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6"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G47" i="21"/>
  <c r="I47" l="1"/>
  <c r="E47"/>
  <c r="D9" i="68"/>
  <c r="D10" s="1"/>
  <c r="C40" i="39"/>
  <c r="K13" i="3"/>
  <c r="F20" i="6" s="1"/>
  <c r="I13" i="3"/>
  <c r="F19" i="6" s="1"/>
  <c r="K59" i="15" l="1"/>
  <c r="P62" s="1"/>
  <c r="P75" l="1"/>
  <c r="Q74" i="44" l="1"/>
  <c r="Q61"/>
  <c r="Q60"/>
  <c r="Q53"/>
  <c r="J51"/>
  <c r="J52" s="1"/>
  <c r="M48"/>
  <c r="A16" i="55" l="1"/>
  <c r="A15"/>
  <c r="A10"/>
  <c r="A9"/>
  <c r="A8"/>
  <c r="A6" i="54"/>
  <c r="A8"/>
  <c r="A7"/>
  <c r="A27" i="51"/>
  <c r="D5" i="46" l="1"/>
  <c r="L5" i="59" l="1"/>
  <c r="Q5" s="1"/>
  <c r="K5"/>
  <c r="J5"/>
  <c r="O5" s="1"/>
  <c r="I5"/>
  <c r="N5" s="1"/>
  <c r="N6"/>
  <c r="O6"/>
  <c r="P6"/>
  <c r="Q6"/>
  <c r="P5"/>
  <c r="B10" i="67"/>
  <c r="B8"/>
  <c r="B14"/>
  <c r="E13"/>
  <c r="F12"/>
  <c r="E8"/>
  <c r="E9"/>
  <c r="F13"/>
  <c r="F8"/>
  <c r="B12"/>
  <c r="B13"/>
  <c r="B9"/>
  <c r="E12"/>
  <c r="E10"/>
  <c r="B11"/>
  <c r="F14"/>
  <c r="F11"/>
  <c r="E14"/>
  <c r="F10"/>
  <c r="E11"/>
  <c r="F9"/>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4"/>
  <c r="AE4"/>
  <c r="AF4" s="1"/>
  <c r="AG4"/>
  <c r="AH4"/>
  <c r="AD5"/>
  <c r="AE5"/>
  <c r="AF5" s="1"/>
  <c r="AG5"/>
  <c r="AH5"/>
  <c r="AD6"/>
  <c r="AE6"/>
  <c r="AF6" s="1"/>
  <c r="AG6"/>
  <c r="AH6"/>
  <c r="AD7"/>
  <c r="AE7"/>
  <c r="AF7" s="1"/>
  <c r="AG7"/>
  <c r="AH7"/>
  <c r="AD8"/>
  <c r="AE8"/>
  <c r="AF8" s="1"/>
  <c r="AG8"/>
  <c r="AH8"/>
  <c r="AD9"/>
  <c r="AE9"/>
  <c r="AF9"/>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c r="AG17"/>
  <c r="AH17"/>
  <c r="AH18"/>
  <c r="AG18"/>
  <c r="AE18"/>
  <c r="AF18" s="1"/>
  <c r="AD18"/>
  <c r="AD19"/>
  <c r="AE19"/>
  <c r="AF19"/>
  <c r="AG19"/>
  <c r="AH19"/>
  <c r="S2" i="31" l="1"/>
  <c r="M2"/>
  <c r="N2"/>
  <c r="O2"/>
  <c r="P2"/>
  <c r="Q2"/>
  <c r="R2"/>
  <c r="C3" i="65" l="1"/>
  <c r="C1"/>
  <c r="N1" s="1"/>
  <c r="N7"/>
  <c r="H1" l="1"/>
  <c r="B76" i="63"/>
  <c r="J4" i="65"/>
  <c r="N3"/>
  <c r="N4"/>
  <c r="N6"/>
  <c r="N5"/>
  <c r="C4" l="1"/>
  <c r="B39" i="1" s="1"/>
  <c r="J5" i="65"/>
  <c r="I3"/>
  <c r="J7"/>
  <c r="I6"/>
  <c r="I5"/>
  <c r="J3"/>
  <c r="J6"/>
  <c r="I4"/>
  <c r="I7"/>
  <c r="E20" i="46" l="1"/>
  <c r="J1" i="65"/>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7" i="59" l="1"/>
  <c r="F7" s="1"/>
  <c r="P7"/>
  <c r="E7" s="1"/>
  <c r="O7"/>
  <c r="C7" s="1"/>
  <c r="N7"/>
  <c r="B7" s="1"/>
  <c r="D68"/>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E46" s="1"/>
  <c r="P46" s="1"/>
  <c r="C47"/>
  <c r="B47"/>
  <c r="N47" s="1"/>
  <c r="F46"/>
  <c r="F45" s="1"/>
  <c r="Q45" s="1"/>
  <c r="B46"/>
  <c r="Q44"/>
  <c r="D44"/>
  <c r="Q43"/>
  <c r="P43"/>
  <c r="O43"/>
  <c r="N43"/>
  <c r="Q42"/>
  <c r="P42"/>
  <c r="O42"/>
  <c r="N42"/>
  <c r="Q41"/>
  <c r="P41"/>
  <c r="O41"/>
  <c r="N41"/>
  <c r="Q40"/>
  <c r="F41" s="1"/>
  <c r="P40"/>
  <c r="E41" s="1"/>
  <c r="E42" s="1"/>
  <c r="E43" s="1"/>
  <c r="U43" s="1"/>
  <c r="O40"/>
  <c r="C41" s="1"/>
  <c r="N40"/>
  <c r="B41" s="1"/>
  <c r="B42" s="1"/>
  <c r="B43" s="1"/>
  <c r="S43" s="1"/>
  <c r="D40"/>
  <c r="Q39"/>
  <c r="P39"/>
  <c r="O39"/>
  <c r="N39"/>
  <c r="Q38"/>
  <c r="P38"/>
  <c r="O38"/>
  <c r="N38"/>
  <c r="Q37"/>
  <c r="P37"/>
  <c r="O37"/>
  <c r="N37"/>
  <c r="Q36"/>
  <c r="F37" s="1"/>
  <c r="P36"/>
  <c r="E37" s="1"/>
  <c r="E38" s="1"/>
  <c r="E39" s="1"/>
  <c r="U39" s="1"/>
  <c r="O36"/>
  <c r="C37" s="1"/>
  <c r="N36"/>
  <c r="B37" s="1"/>
  <c r="B38" s="1"/>
  <c r="B39" s="1"/>
  <c r="S39" s="1"/>
  <c r="D36"/>
  <c r="Q35"/>
  <c r="P35"/>
  <c r="O35"/>
  <c r="N35"/>
  <c r="Q34"/>
  <c r="P34"/>
  <c r="O34"/>
  <c r="N34"/>
  <c r="Q33"/>
  <c r="P33"/>
  <c r="O33"/>
  <c r="N33"/>
  <c r="Q32"/>
  <c r="F33" s="1"/>
  <c r="P32"/>
  <c r="E33" s="1"/>
  <c r="E34" s="1"/>
  <c r="E35" s="1"/>
  <c r="U35" s="1"/>
  <c r="O32"/>
  <c r="C33" s="1"/>
  <c r="N32"/>
  <c r="B33" s="1"/>
  <c r="B34" s="1"/>
  <c r="B35" s="1"/>
  <c r="S35" s="1"/>
  <c r="D32"/>
  <c r="Q31"/>
  <c r="P31"/>
  <c r="O31"/>
  <c r="N31"/>
  <c r="Q30"/>
  <c r="P30"/>
  <c r="O30"/>
  <c r="N30"/>
  <c r="Q29"/>
  <c r="P29"/>
  <c r="O29"/>
  <c r="N29"/>
  <c r="Q28"/>
  <c r="F29" s="1"/>
  <c r="F30" s="1"/>
  <c r="F31" s="1"/>
  <c r="V31" s="1"/>
  <c r="P28"/>
  <c r="E29" s="1"/>
  <c r="O28"/>
  <c r="C29" s="1"/>
  <c r="N28"/>
  <c r="B29" s="1"/>
  <c r="D28"/>
  <c r="T27"/>
  <c r="Q27"/>
  <c r="P27"/>
  <c r="O27"/>
  <c r="N27"/>
  <c r="D27"/>
  <c r="Q26"/>
  <c r="P26"/>
  <c r="O26"/>
  <c r="N26"/>
  <c r="Q25"/>
  <c r="P25"/>
  <c r="O25"/>
  <c r="N25"/>
  <c r="Q24"/>
  <c r="F25" s="1"/>
  <c r="P24"/>
  <c r="E25" s="1"/>
  <c r="E26" s="1"/>
  <c r="E27" s="1"/>
  <c r="U27" s="1"/>
  <c r="O24"/>
  <c r="C25" s="1"/>
  <c r="N24"/>
  <c r="B25" s="1"/>
  <c r="B26" s="1"/>
  <c r="B27" s="1"/>
  <c r="S27" s="1"/>
  <c r="D24"/>
  <c r="Q23"/>
  <c r="P23"/>
  <c r="O23"/>
  <c r="N23"/>
  <c r="Q22"/>
  <c r="P22"/>
  <c r="O22"/>
  <c r="N22"/>
  <c r="Q21"/>
  <c r="P21"/>
  <c r="O21"/>
  <c r="N21"/>
  <c r="Q20"/>
  <c r="F21" s="1"/>
  <c r="P20"/>
  <c r="E21" s="1"/>
  <c r="E22" s="1"/>
  <c r="E23" s="1"/>
  <c r="U23" s="1"/>
  <c r="O20"/>
  <c r="C21" s="1"/>
  <c r="N20"/>
  <c r="B21" s="1"/>
  <c r="B22" s="1"/>
  <c r="B23" s="1"/>
  <c r="S23" s="1"/>
  <c r="D20"/>
  <c r="Q19"/>
  <c r="P19"/>
  <c r="O19"/>
  <c r="N19"/>
  <c r="Q18"/>
  <c r="AB18" s="1"/>
  <c r="P18"/>
  <c r="O18"/>
  <c r="Y18" s="1"/>
  <c r="Z18" s="1"/>
  <c r="N18"/>
  <c r="X18" s="1"/>
  <c r="Q17"/>
  <c r="AB17" s="1"/>
  <c r="P17"/>
  <c r="AA17" s="1"/>
  <c r="O17"/>
  <c r="Y17" s="1"/>
  <c r="N17"/>
  <c r="X17" s="1"/>
  <c r="Q16"/>
  <c r="P16"/>
  <c r="O16"/>
  <c r="N16"/>
  <c r="D16"/>
  <c r="Q15"/>
  <c r="AB15" s="1"/>
  <c r="P15"/>
  <c r="AA15" s="1"/>
  <c r="O15"/>
  <c r="Y15" s="1"/>
  <c r="Z15" s="1"/>
  <c r="N15"/>
  <c r="X15" s="1"/>
  <c r="Q14"/>
  <c r="AB14" s="1"/>
  <c r="P14"/>
  <c r="AA14" s="1"/>
  <c r="O14"/>
  <c r="Y14" s="1"/>
  <c r="Z14" s="1"/>
  <c r="N14"/>
  <c r="X14" s="1"/>
  <c r="Q13"/>
  <c r="AB13" s="1"/>
  <c r="P13"/>
  <c r="AA13" s="1"/>
  <c r="O13"/>
  <c r="Y13" s="1"/>
  <c r="Z13" s="1"/>
  <c r="N13"/>
  <c r="X13" s="1"/>
  <c r="Q12"/>
  <c r="P12"/>
  <c r="O12"/>
  <c r="N12"/>
  <c r="D12"/>
  <c r="Q11"/>
  <c r="AB11" s="1"/>
  <c r="P11"/>
  <c r="AA11" s="1"/>
  <c r="O11"/>
  <c r="Y11" s="1"/>
  <c r="Z11" s="1"/>
  <c r="N11"/>
  <c r="X11" s="1"/>
  <c r="Q10"/>
  <c r="AB10" s="1"/>
  <c r="P10"/>
  <c r="AA10" s="1"/>
  <c r="O10"/>
  <c r="Y10" s="1"/>
  <c r="Z10" s="1"/>
  <c r="N10"/>
  <c r="X10" s="1"/>
  <c r="Q9"/>
  <c r="AB9" s="1"/>
  <c r="P9"/>
  <c r="AA9" s="1"/>
  <c r="O9"/>
  <c r="Y9" s="1"/>
  <c r="Z9" s="1"/>
  <c r="N9"/>
  <c r="X9" s="1"/>
  <c r="Q8"/>
  <c r="P8"/>
  <c r="AA8" s="1"/>
  <c r="O8"/>
  <c r="N8"/>
  <c r="D8"/>
  <c r="C13" l="1"/>
  <c r="Y12"/>
  <c r="Z12" s="1"/>
  <c r="F13"/>
  <c r="AB12"/>
  <c r="B17"/>
  <c r="B18" s="1"/>
  <c r="B19" s="1"/>
  <c r="S19" s="1"/>
  <c r="X16"/>
  <c r="E17"/>
  <c r="E18" s="1"/>
  <c r="E19" s="1"/>
  <c r="U19" s="1"/>
  <c r="AA16"/>
  <c r="S7"/>
  <c r="B6"/>
  <c r="B5" s="1"/>
  <c r="U7"/>
  <c r="E6"/>
  <c r="E5" s="1"/>
  <c r="B9"/>
  <c r="X8"/>
  <c r="C9"/>
  <c r="Y8"/>
  <c r="Z8" s="1"/>
  <c r="F9"/>
  <c r="AB8"/>
  <c r="B13"/>
  <c r="B14" s="1"/>
  <c r="B15" s="1"/>
  <c r="S15" s="1"/>
  <c r="X12"/>
  <c r="E13"/>
  <c r="E14" s="1"/>
  <c r="E15" s="1"/>
  <c r="U15" s="1"/>
  <c r="AA12"/>
  <c r="C17"/>
  <c r="Y16"/>
  <c r="Z16" s="1"/>
  <c r="F17"/>
  <c r="AB16"/>
  <c r="D7"/>
  <c r="T7"/>
  <c r="C6"/>
  <c r="V7"/>
  <c r="F6"/>
  <c r="F5" s="1"/>
  <c r="X3"/>
  <c r="X4"/>
  <c r="X5"/>
  <c r="X6"/>
  <c r="X7"/>
  <c r="AA3"/>
  <c r="AA4"/>
  <c r="AA5"/>
  <c r="AA6"/>
  <c r="AA7"/>
  <c r="Y4"/>
  <c r="Z4" s="1"/>
  <c r="Y5"/>
  <c r="Z5" s="1"/>
  <c r="Y6"/>
  <c r="Z6" s="1"/>
  <c r="Y7"/>
  <c r="Z7" s="1"/>
  <c r="Y3"/>
  <c r="Z3" s="1"/>
  <c r="AB7"/>
  <c r="AB3"/>
  <c r="AB4"/>
  <c r="AB5"/>
  <c r="AB6"/>
  <c r="B10"/>
  <c r="B11" s="1"/>
  <c r="S11" s="1"/>
  <c r="E9"/>
  <c r="E10" s="1"/>
  <c r="E11" s="1"/>
  <c r="U11" s="1"/>
  <c r="B30"/>
  <c r="B31" s="1"/>
  <c r="S31" s="1"/>
  <c r="E30"/>
  <c r="E31" s="1"/>
  <c r="U31" s="1"/>
  <c r="S47"/>
  <c r="Z17"/>
  <c r="AA18"/>
  <c r="F10"/>
  <c r="F11" s="1"/>
  <c r="V11" s="1"/>
  <c r="F14"/>
  <c r="F15" s="1"/>
  <c r="V15" s="1"/>
  <c r="F18"/>
  <c r="F19" s="1"/>
  <c r="V19" s="1"/>
  <c r="F22"/>
  <c r="F23" s="1"/>
  <c r="V23" s="1"/>
  <c r="F26"/>
  <c r="F27" s="1"/>
  <c r="V27" s="1"/>
  <c r="F34"/>
  <c r="F35" s="1"/>
  <c r="V35" s="1"/>
  <c r="F38"/>
  <c r="F39" s="1"/>
  <c r="V39" s="1"/>
  <c r="F42"/>
  <c r="F43" s="1"/>
  <c r="V43" s="1"/>
  <c r="C10"/>
  <c r="D9"/>
  <c r="C18"/>
  <c r="D17"/>
  <c r="C22"/>
  <c r="D21"/>
  <c r="C26"/>
  <c r="D26" s="1"/>
  <c r="D25"/>
  <c r="C30"/>
  <c r="D29"/>
  <c r="C34"/>
  <c r="D33"/>
  <c r="C38"/>
  <c r="D37"/>
  <c r="C42"/>
  <c r="D41"/>
  <c r="C14"/>
  <c r="D13"/>
  <c r="E45"/>
  <c r="N46"/>
  <c r="B45"/>
  <c r="Q46"/>
  <c r="T47"/>
  <c r="O47"/>
  <c r="D47"/>
  <c r="C46"/>
  <c r="P47"/>
  <c r="U47"/>
  <c r="Q47"/>
  <c r="C50"/>
  <c r="E50"/>
  <c r="E49" s="1"/>
  <c r="D51"/>
  <c r="C54"/>
  <c r="E54"/>
  <c r="E53" s="1"/>
  <c r="D55"/>
  <c r="C58"/>
  <c r="E58"/>
  <c r="E57" s="1"/>
  <c r="D59"/>
  <c r="C62"/>
  <c r="C66"/>
  <c r="U16" i="4"/>
  <c r="S16"/>
  <c r="Q16"/>
  <c r="O16"/>
  <c r="M16"/>
  <c r="K16"/>
  <c r="D6" i="59" l="1"/>
  <c r="C5"/>
  <c r="D5" s="1"/>
  <c r="P44"/>
  <c r="P45"/>
  <c r="D66"/>
  <c r="C65"/>
  <c r="D65" s="1"/>
  <c r="D58"/>
  <c r="C57"/>
  <c r="D57" s="1"/>
  <c r="D50"/>
  <c r="C49"/>
  <c r="D49" s="1"/>
  <c r="C45"/>
  <c r="O46"/>
  <c r="D46"/>
  <c r="D62"/>
  <c r="C61"/>
  <c r="D61" s="1"/>
  <c r="D54"/>
  <c r="C53"/>
  <c r="D53" s="1"/>
  <c r="N44"/>
  <c r="N45"/>
  <c r="C15"/>
  <c r="D14"/>
  <c r="C43"/>
  <c r="D42"/>
  <c r="D38"/>
  <c r="C39"/>
  <c r="C35"/>
  <c r="D34"/>
  <c r="C31"/>
  <c r="D30"/>
  <c r="C23"/>
  <c r="D22"/>
  <c r="C19"/>
  <c r="D18"/>
  <c r="C11"/>
  <c r="D10"/>
  <c r="N16" i="4"/>
  <c r="L16"/>
  <c r="T39" i="59" l="1"/>
  <c r="D39"/>
  <c r="T11"/>
  <c r="D11"/>
  <c r="T19"/>
  <c r="D19"/>
  <c r="T23"/>
  <c r="D23"/>
  <c r="T31"/>
  <c r="D31"/>
  <c r="T35"/>
  <c r="D35"/>
  <c r="T43"/>
  <c r="D43"/>
  <c r="T15"/>
  <c r="D15"/>
  <c r="O45"/>
  <c r="D45"/>
  <c r="O44"/>
  <c r="O27" i="6" l="1"/>
  <c r="N27"/>
  <c r="P26"/>
  <c r="L26"/>
  <c r="P25"/>
  <c r="L25"/>
  <c r="P24"/>
  <c r="L24"/>
  <c r="P23"/>
  <c r="L23"/>
  <c r="P22"/>
  <c r="L22"/>
  <c r="P21"/>
  <c r="L21"/>
  <c r="P20"/>
  <c r="P19"/>
  <c r="P27" s="1"/>
  <c r="Q18" i="36" l="1"/>
  <c r="Z18" s="1"/>
  <c r="C18"/>
  <c r="D66"/>
  <c r="F18" s="1"/>
  <c r="AA18" s="1"/>
  <c r="Q18" i="35"/>
  <c r="Z18" s="1"/>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A7"/>
  <c r="A8"/>
  <c r="A9"/>
  <c r="K9" s="1"/>
  <c r="M9" s="1"/>
  <c r="A10"/>
  <c r="R10" s="1"/>
  <c r="A11"/>
  <c r="K11" s="1"/>
  <c r="M11" s="1"/>
  <c r="A6"/>
  <c r="T4"/>
  <c r="K12"/>
  <c r="M12"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c r="AX105"/>
  <c r="AW105"/>
  <c r="AV105"/>
  <c r="AC105"/>
  <c r="H105"/>
  <c r="G105"/>
  <c r="BT104"/>
  <c r="BS104"/>
  <c r="BR104"/>
  <c r="BQ104"/>
  <c r="BP104"/>
  <c r="BO104"/>
  <c r="BN104"/>
  <c r="BM104"/>
  <c r="BL104" s="1"/>
  <c r="BK104"/>
  <c r="BJ104"/>
  <c r="BI104"/>
  <c r="BH104"/>
  <c r="BG104"/>
  <c r="BF104"/>
  <c r="BE104"/>
  <c r="BD104"/>
  <c r="BC104"/>
  <c r="BB104"/>
  <c r="BA104"/>
  <c r="AX104"/>
  <c r="AW104"/>
  <c r="AV104"/>
  <c r="AC104"/>
  <c r="H104"/>
  <c r="G104" s="1"/>
  <c r="BT103"/>
  <c r="BS103"/>
  <c r="BR103"/>
  <c r="BQ103"/>
  <c r="BP103"/>
  <c r="BO103"/>
  <c r="BN103"/>
  <c r="BM103"/>
  <c r="BL103"/>
  <c r="BK103"/>
  <c r="BJ103"/>
  <c r="BI103"/>
  <c r="BH103"/>
  <c r="BG103"/>
  <c r="BF103"/>
  <c r="BE103"/>
  <c r="BD103"/>
  <c r="BC103"/>
  <c r="BB103"/>
  <c r="BA103" s="1"/>
  <c r="AZ103"/>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Z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Z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Z92" s="1"/>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Z88" s="1"/>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Z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Z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Z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c r="AZ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Z64" s="1"/>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Z53" s="1"/>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Z50" s="1"/>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Z37" s="1"/>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X35"/>
  <c r="AW35"/>
  <c r="AV35"/>
  <c r="AC35"/>
  <c r="H35"/>
  <c r="G35" s="1"/>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c r="AZ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B30"/>
  <c r="BA30" s="1"/>
  <c r="AZ30" s="1"/>
  <c r="AX30"/>
  <c r="AW30"/>
  <c r="AV30"/>
  <c r="AC30"/>
  <c r="H30"/>
  <c r="G30"/>
  <c r="BT29"/>
  <c r="BS29"/>
  <c r="BR29"/>
  <c r="BQ29"/>
  <c r="BP29"/>
  <c r="BO29"/>
  <c r="BN29"/>
  <c r="BM29"/>
  <c r="BL29" s="1"/>
  <c r="BK29"/>
  <c r="BJ29"/>
  <c r="BI29"/>
  <c r="BH29"/>
  <c r="BG29"/>
  <c r="BF29"/>
  <c r="BE29"/>
  <c r="BD29"/>
  <c r="BC29"/>
  <c r="BB29"/>
  <c r="BA29"/>
  <c r="AX29"/>
  <c r="AW29"/>
  <c r="AV29"/>
  <c r="AC29"/>
  <c r="H29"/>
  <c r="G29" s="1"/>
  <c r="BT28"/>
  <c r="BS28"/>
  <c r="BR28"/>
  <c r="BQ28"/>
  <c r="BP28"/>
  <c r="BO28"/>
  <c r="BN28"/>
  <c r="BM28"/>
  <c r="BL28"/>
  <c r="BK28"/>
  <c r="BJ28"/>
  <c r="BI28"/>
  <c r="BH28"/>
  <c r="BG28"/>
  <c r="BF28"/>
  <c r="BE28"/>
  <c r="BD28"/>
  <c r="BC28"/>
  <c r="BB28"/>
  <c r="BA28" s="1"/>
  <c r="AZ28" s="1"/>
  <c r="AX28"/>
  <c r="AW28"/>
  <c r="AV28"/>
  <c r="AC28"/>
  <c r="H28"/>
  <c r="G28"/>
  <c r="BT27"/>
  <c r="BS27"/>
  <c r="BR27"/>
  <c r="BQ27"/>
  <c r="BP27"/>
  <c r="BO27"/>
  <c r="BN27"/>
  <c r="BM27"/>
  <c r="BL27" s="1"/>
  <c r="BK27"/>
  <c r="BJ27"/>
  <c r="BI27"/>
  <c r="BH27"/>
  <c r="BG27"/>
  <c r="BF27"/>
  <c r="BE27"/>
  <c r="BD27"/>
  <c r="BC27"/>
  <c r="BB27"/>
  <c r="BA27"/>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s="1"/>
  <c r="BK204"/>
  <c r="BJ204"/>
  <c r="BI204"/>
  <c r="BH204"/>
  <c r="BG204"/>
  <c r="BF204"/>
  <c r="BE204"/>
  <c r="BD204"/>
  <c r="BC204"/>
  <c r="BB204"/>
  <c r="BA204"/>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Z194" s="1"/>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Z155" s="1"/>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s="1"/>
  <c r="BT144"/>
  <c r="BS144"/>
  <c r="BR144"/>
  <c r="BQ144"/>
  <c r="BP144"/>
  <c r="BO144"/>
  <c r="BN144"/>
  <c r="BM144"/>
  <c r="BL144"/>
  <c r="BK144"/>
  <c r="BJ144"/>
  <c r="BI144"/>
  <c r="BH144"/>
  <c r="BG144"/>
  <c r="BF144"/>
  <c r="BE144"/>
  <c r="BD144"/>
  <c r="BC144"/>
  <c r="BB144"/>
  <c r="BA144" s="1"/>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G141"/>
  <c r="BT140"/>
  <c r="BS140"/>
  <c r="BR140"/>
  <c r="BQ140"/>
  <c r="BP140"/>
  <c r="BO140"/>
  <c r="BN140"/>
  <c r="BM140"/>
  <c r="BL140" s="1"/>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c r="BK137"/>
  <c r="BJ137"/>
  <c r="BI137"/>
  <c r="BH137"/>
  <c r="BG137"/>
  <c r="BF137"/>
  <c r="BE137"/>
  <c r="BD137"/>
  <c r="BC137"/>
  <c r="BB137"/>
  <c r="BA137" s="1"/>
  <c r="AX137"/>
  <c r="AW137"/>
  <c r="AV137"/>
  <c r="AC137"/>
  <c r="H137"/>
  <c r="G137" s="1"/>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L133"/>
  <c r="BK133"/>
  <c r="BJ133"/>
  <c r="BI133"/>
  <c r="BH133"/>
  <c r="BG133"/>
  <c r="BF133"/>
  <c r="BE133"/>
  <c r="BD133"/>
  <c r="BC133"/>
  <c r="BB133"/>
  <c r="BA133" s="1"/>
  <c r="AZ133"/>
  <c r="AX133"/>
  <c r="AW133"/>
  <c r="AV133"/>
  <c r="AC133"/>
  <c r="H133"/>
  <c r="G133"/>
  <c r="BT132"/>
  <c r="BS132"/>
  <c r="BR132"/>
  <c r="BQ132"/>
  <c r="BP132"/>
  <c r="BO132"/>
  <c r="BN132"/>
  <c r="BM132"/>
  <c r="BL132" s="1"/>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G131" s="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c r="AX129"/>
  <c r="AW129"/>
  <c r="AV129"/>
  <c r="AC129"/>
  <c r="H129"/>
  <c r="G129" s="1"/>
  <c r="BT128"/>
  <c r="BS128"/>
  <c r="BR128"/>
  <c r="BQ128"/>
  <c r="BP128"/>
  <c r="BO128"/>
  <c r="BN128"/>
  <c r="BM128"/>
  <c r="BL128"/>
  <c r="BK128"/>
  <c r="BJ128"/>
  <c r="BI128"/>
  <c r="BH128"/>
  <c r="BG128"/>
  <c r="BF128"/>
  <c r="BE128"/>
  <c r="BD128"/>
  <c r="BC128"/>
  <c r="BB128"/>
  <c r="BA128" s="1"/>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M121"/>
  <c r="BL121"/>
  <c r="BK121"/>
  <c r="BJ121"/>
  <c r="BI121"/>
  <c r="BH121"/>
  <c r="BG121"/>
  <c r="BF121"/>
  <c r="BE121"/>
  <c r="BD121"/>
  <c r="BC121"/>
  <c r="BB121"/>
  <c r="BA121" s="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L117"/>
  <c r="BK117"/>
  <c r="BJ117"/>
  <c r="BI117"/>
  <c r="BH117"/>
  <c r="BG117"/>
  <c r="BF117"/>
  <c r="BE117"/>
  <c r="BD117"/>
  <c r="BC117"/>
  <c r="BB117"/>
  <c r="BA117" s="1"/>
  <c r="AZ117"/>
  <c r="AX117"/>
  <c r="AW117"/>
  <c r="AV117"/>
  <c r="AC117"/>
  <c r="H117"/>
  <c r="G117"/>
  <c r="BT116"/>
  <c r="BS116"/>
  <c r="BR116"/>
  <c r="BQ116"/>
  <c r="BP116"/>
  <c r="BO116"/>
  <c r="BN116"/>
  <c r="BM116"/>
  <c r="BL116" s="1"/>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G115" s="1"/>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G113" s="1"/>
  <c r="BT296"/>
  <c r="BS296"/>
  <c r="BR296"/>
  <c r="BQ296"/>
  <c r="BP296"/>
  <c r="BO296"/>
  <c r="BN296"/>
  <c r="BM296"/>
  <c r="BL296"/>
  <c r="BK296"/>
  <c r="BJ296"/>
  <c r="BI296"/>
  <c r="BH296"/>
  <c r="BG296"/>
  <c r="BF296"/>
  <c r="BE296"/>
  <c r="BD296"/>
  <c r="BC296"/>
  <c r="BB296"/>
  <c r="BA296" s="1"/>
  <c r="AZ296"/>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Z294" s="1"/>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s="1"/>
  <c r="BT290"/>
  <c r="BS290"/>
  <c r="BR290"/>
  <c r="BQ290"/>
  <c r="BP290"/>
  <c r="BO290"/>
  <c r="BN290"/>
  <c r="BM290"/>
  <c r="BL290"/>
  <c r="BK290"/>
  <c r="BJ290"/>
  <c r="BI290"/>
  <c r="BH290"/>
  <c r="BG290"/>
  <c r="BF290"/>
  <c r="BE290"/>
  <c r="BD290"/>
  <c r="BC290"/>
  <c r="BB290"/>
  <c r="BA290" s="1"/>
  <c r="AX290"/>
  <c r="AW290"/>
  <c r="AV290"/>
  <c r="AC290"/>
  <c r="H290"/>
  <c r="G290" s="1"/>
  <c r="BT289"/>
  <c r="BS289"/>
  <c r="BR289"/>
  <c r="BQ289"/>
  <c r="BP289"/>
  <c r="BO289"/>
  <c r="BN289"/>
  <c r="BM289"/>
  <c r="BL289"/>
  <c r="BK289"/>
  <c r="BJ289"/>
  <c r="BI289"/>
  <c r="BH289"/>
  <c r="BG289"/>
  <c r="BF289"/>
  <c r="BE289"/>
  <c r="BD289"/>
  <c r="BC289"/>
  <c r="BB289"/>
  <c r="BA289" s="1"/>
  <c r="AX289"/>
  <c r="AW289"/>
  <c r="AV289"/>
  <c r="AC289"/>
  <c r="H289"/>
  <c r="G289" s="1"/>
  <c r="BT288"/>
  <c r="BS288"/>
  <c r="BR288"/>
  <c r="BQ288"/>
  <c r="BP288"/>
  <c r="BO288"/>
  <c r="BN288"/>
  <c r="BM288"/>
  <c r="BL288"/>
  <c r="BK288"/>
  <c r="BJ288"/>
  <c r="BI288"/>
  <c r="BH288"/>
  <c r="BG288"/>
  <c r="BF288"/>
  <c r="BE288"/>
  <c r="BD288"/>
  <c r="BC288"/>
  <c r="BB288"/>
  <c r="BA288" s="1"/>
  <c r="AZ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s="1"/>
  <c r="BT286"/>
  <c r="BS286"/>
  <c r="BR286"/>
  <c r="BQ286"/>
  <c r="BP286"/>
  <c r="BO286"/>
  <c r="BN286"/>
  <c r="BM286"/>
  <c r="BL286"/>
  <c r="BK286"/>
  <c r="BJ286"/>
  <c r="BI286"/>
  <c r="BH286"/>
  <c r="BG286"/>
  <c r="BF286"/>
  <c r="BE286"/>
  <c r="BD286"/>
  <c r="BC286"/>
  <c r="BB286"/>
  <c r="BA286" s="1"/>
  <c r="AX286"/>
  <c r="AW286"/>
  <c r="AV286"/>
  <c r="AC286"/>
  <c r="H286"/>
  <c r="G286" s="1"/>
  <c r="BT285"/>
  <c r="BS285"/>
  <c r="BR285"/>
  <c r="BQ285"/>
  <c r="BP285"/>
  <c r="BO285"/>
  <c r="BN285"/>
  <c r="BM285"/>
  <c r="BL285"/>
  <c r="BK285"/>
  <c r="BJ285"/>
  <c r="BI285"/>
  <c r="BH285"/>
  <c r="BG285"/>
  <c r="BF285"/>
  <c r="BE285"/>
  <c r="BD285"/>
  <c r="BC285"/>
  <c r="BB285"/>
  <c r="BA285" s="1"/>
  <c r="AZ285"/>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c r="BT283"/>
  <c r="BS283"/>
  <c r="BR283"/>
  <c r="BQ283"/>
  <c r="BP283"/>
  <c r="BO283"/>
  <c r="BN283"/>
  <c r="BM283"/>
  <c r="BL283" s="1"/>
  <c r="BK283"/>
  <c r="BJ283"/>
  <c r="BI283"/>
  <c r="BH283"/>
  <c r="BG283"/>
  <c r="BF283"/>
  <c r="BE283"/>
  <c r="BD283"/>
  <c r="BC283"/>
  <c r="BB283"/>
  <c r="BA283"/>
  <c r="AZ283" s="1"/>
  <c r="AX283"/>
  <c r="AW283"/>
  <c r="AV283"/>
  <c r="AC283"/>
  <c r="H283"/>
  <c r="G283" s="1"/>
  <c r="BT282"/>
  <c r="BS282"/>
  <c r="BR282"/>
  <c r="BQ282"/>
  <c r="BP282"/>
  <c r="BO282"/>
  <c r="BN282"/>
  <c r="BM282"/>
  <c r="BL282"/>
  <c r="BK282"/>
  <c r="BJ282"/>
  <c r="BI282"/>
  <c r="BH282"/>
  <c r="BG282"/>
  <c r="BF282"/>
  <c r="BE282"/>
  <c r="BD282"/>
  <c r="BC282"/>
  <c r="BB282"/>
  <c r="BA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Z280" s="1"/>
  <c r="AX280"/>
  <c r="AW280"/>
  <c r="AV280"/>
  <c r="AC280"/>
  <c r="H280"/>
  <c r="G280"/>
  <c r="BT279"/>
  <c r="BS279"/>
  <c r="BR279"/>
  <c r="BQ279"/>
  <c r="BP279"/>
  <c r="BO279"/>
  <c r="BN279"/>
  <c r="BM279"/>
  <c r="BL279" s="1"/>
  <c r="BK279"/>
  <c r="BJ279"/>
  <c r="BI279"/>
  <c r="BH279"/>
  <c r="BG279"/>
  <c r="BF279"/>
  <c r="BE279"/>
  <c r="BD279"/>
  <c r="BC279"/>
  <c r="BB279"/>
  <c r="BA279"/>
  <c r="AZ279" s="1"/>
  <c r="AX279"/>
  <c r="AW279"/>
  <c r="AV279"/>
  <c r="AC279"/>
  <c r="H279"/>
  <c r="G279" s="1"/>
  <c r="BT278"/>
  <c r="BS278"/>
  <c r="BR278"/>
  <c r="BQ278"/>
  <c r="BP278"/>
  <c r="BO278"/>
  <c r="BN278"/>
  <c r="BM278"/>
  <c r="BL278"/>
  <c r="BK278"/>
  <c r="BJ278"/>
  <c r="BI278"/>
  <c r="BH278"/>
  <c r="BG278"/>
  <c r="BF278"/>
  <c r="BE278"/>
  <c r="BD278"/>
  <c r="BC278"/>
  <c r="BB278"/>
  <c r="BA278" s="1"/>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s="1"/>
  <c r="BT274"/>
  <c r="BS274"/>
  <c r="BR274"/>
  <c r="BQ274"/>
  <c r="BP274"/>
  <c r="BO274"/>
  <c r="BN274"/>
  <c r="BM274"/>
  <c r="BL274"/>
  <c r="BK274"/>
  <c r="BJ274"/>
  <c r="BI274"/>
  <c r="BH274"/>
  <c r="BG274"/>
  <c r="BF274"/>
  <c r="BE274"/>
  <c r="BD274"/>
  <c r="BC274"/>
  <c r="BB274"/>
  <c r="BA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s="1"/>
  <c r="BT270"/>
  <c r="BS270"/>
  <c r="BR270"/>
  <c r="BQ270"/>
  <c r="BP270"/>
  <c r="BO270"/>
  <c r="BN270"/>
  <c r="BM270"/>
  <c r="BL270"/>
  <c r="BK270"/>
  <c r="BJ270"/>
  <c r="BI270"/>
  <c r="BH270"/>
  <c r="BG270"/>
  <c r="BF270"/>
  <c r="BE270"/>
  <c r="BD270"/>
  <c r="BC270"/>
  <c r="BB270"/>
  <c r="BA270" s="1"/>
  <c r="AX270"/>
  <c r="AW270"/>
  <c r="AV270"/>
  <c r="AC270"/>
  <c r="H270"/>
  <c r="G270" s="1"/>
  <c r="BT269"/>
  <c r="BS269"/>
  <c r="BR269"/>
  <c r="BQ269"/>
  <c r="BP269"/>
  <c r="BO269"/>
  <c r="BN269"/>
  <c r="BM269"/>
  <c r="BL269"/>
  <c r="BK269"/>
  <c r="BJ269"/>
  <c r="BI269"/>
  <c r="BH269"/>
  <c r="BG269"/>
  <c r="BF269"/>
  <c r="BE269"/>
  <c r="BD269"/>
  <c r="BC269"/>
  <c r="BB269"/>
  <c r="BA269" s="1"/>
  <c r="AZ269"/>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Z267" s="1"/>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s="1"/>
  <c r="BT258"/>
  <c r="BS258"/>
  <c r="BR258"/>
  <c r="BQ258"/>
  <c r="BP258"/>
  <c r="BO258"/>
  <c r="BN258"/>
  <c r="BM258"/>
  <c r="BL258"/>
  <c r="BK258"/>
  <c r="BJ258"/>
  <c r="BI258"/>
  <c r="BH258"/>
  <c r="BG258"/>
  <c r="BF258"/>
  <c r="BE258"/>
  <c r="BD258"/>
  <c r="BC258"/>
  <c r="BB258"/>
  <c r="BA258" s="1"/>
  <c r="AZ258"/>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Z256" s="1"/>
  <c r="AX256"/>
  <c r="AW256"/>
  <c r="AV256"/>
  <c r="AC256"/>
  <c r="H256"/>
  <c r="G256" s="1"/>
  <c r="BT255"/>
  <c r="BS255"/>
  <c r="BR255"/>
  <c r="BQ255"/>
  <c r="BP255"/>
  <c r="BO255"/>
  <c r="BN255"/>
  <c r="BM255"/>
  <c r="BL255"/>
  <c r="BK255"/>
  <c r="BJ255"/>
  <c r="BI255"/>
  <c r="BH255"/>
  <c r="BG255"/>
  <c r="BF255"/>
  <c r="BE255"/>
  <c r="BD255"/>
  <c r="BC255"/>
  <c r="BB255"/>
  <c r="BA255" s="1"/>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c r="AZ251" s="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s="1"/>
  <c r="BT247"/>
  <c r="BS247"/>
  <c r="BR247"/>
  <c r="BQ247"/>
  <c r="BP247"/>
  <c r="BO247"/>
  <c r="BN247"/>
  <c r="BM247"/>
  <c r="BL247"/>
  <c r="BK247"/>
  <c r="BJ247"/>
  <c r="BI247"/>
  <c r="BH247"/>
  <c r="BG247"/>
  <c r="BF247"/>
  <c r="BE247"/>
  <c r="BD247"/>
  <c r="BC247"/>
  <c r="BB247"/>
  <c r="BA247" s="1"/>
  <c r="AX247"/>
  <c r="AW247"/>
  <c r="AV247"/>
  <c r="AC247"/>
  <c r="H247"/>
  <c r="G247" s="1"/>
  <c r="BT246"/>
  <c r="BS246"/>
  <c r="BR246"/>
  <c r="BQ246"/>
  <c r="BP246"/>
  <c r="BO246"/>
  <c r="BN246"/>
  <c r="BM246"/>
  <c r="BL246"/>
  <c r="BK246"/>
  <c r="BJ246"/>
  <c r="BI246"/>
  <c r="BH246"/>
  <c r="BG246"/>
  <c r="BF246"/>
  <c r="BE246"/>
  <c r="BD246"/>
  <c r="BC246"/>
  <c r="BB246"/>
  <c r="BA246" s="1"/>
  <c r="AZ246"/>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s="1"/>
  <c r="BT242"/>
  <c r="BS242"/>
  <c r="BR242"/>
  <c r="BQ242"/>
  <c r="BP242"/>
  <c r="BO242"/>
  <c r="BN242"/>
  <c r="BM242"/>
  <c r="BL242"/>
  <c r="BK242"/>
  <c r="BJ242"/>
  <c r="BI242"/>
  <c r="BH242"/>
  <c r="BG242"/>
  <c r="BF242"/>
  <c r="BE242"/>
  <c r="BD242"/>
  <c r="BC242"/>
  <c r="BB242"/>
  <c r="BA242" s="1"/>
  <c r="AZ242"/>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Z240" s="1"/>
  <c r="AX240"/>
  <c r="AW240"/>
  <c r="AV240"/>
  <c r="AC240"/>
  <c r="H240"/>
  <c r="G240" s="1"/>
  <c r="BT239"/>
  <c r="BS239"/>
  <c r="BR239"/>
  <c r="BQ239"/>
  <c r="BP239"/>
  <c r="BO239"/>
  <c r="BN239"/>
  <c r="BM239"/>
  <c r="BL239"/>
  <c r="BK239"/>
  <c r="BJ239"/>
  <c r="BI239"/>
  <c r="BH239"/>
  <c r="BG239"/>
  <c r="BF239"/>
  <c r="BE239"/>
  <c r="BD239"/>
  <c r="BC239"/>
  <c r="BB239"/>
  <c r="BA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c r="BT235"/>
  <c r="BS235"/>
  <c r="BR235"/>
  <c r="BQ235"/>
  <c r="BP235"/>
  <c r="BO235"/>
  <c r="BN235"/>
  <c r="BM235"/>
  <c r="BL235" s="1"/>
  <c r="BK235"/>
  <c r="BJ235"/>
  <c r="BI235"/>
  <c r="BH235"/>
  <c r="BG235"/>
  <c r="BF235"/>
  <c r="BE235"/>
  <c r="BD235"/>
  <c r="BC235"/>
  <c r="BB235"/>
  <c r="BA235"/>
  <c r="AZ235" s="1"/>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s="1"/>
  <c r="BT231"/>
  <c r="BS231"/>
  <c r="BR231"/>
  <c r="BQ231"/>
  <c r="BP231"/>
  <c r="BO231"/>
  <c r="BN231"/>
  <c r="BM231"/>
  <c r="BL231"/>
  <c r="BK231"/>
  <c r="BJ231"/>
  <c r="BI231"/>
  <c r="BH231"/>
  <c r="BG231"/>
  <c r="BF231"/>
  <c r="BE231"/>
  <c r="BD231"/>
  <c r="BC231"/>
  <c r="BB231"/>
  <c r="BA231" s="1"/>
  <c r="AX231"/>
  <c r="AW231"/>
  <c r="AV231"/>
  <c r="AC231"/>
  <c r="H231"/>
  <c r="G231" s="1"/>
  <c r="BT230"/>
  <c r="BS230"/>
  <c r="BR230"/>
  <c r="BQ230"/>
  <c r="BP230"/>
  <c r="BO230"/>
  <c r="BN230"/>
  <c r="BM230"/>
  <c r="BL230"/>
  <c r="BK230"/>
  <c r="BJ230"/>
  <c r="BI230"/>
  <c r="BH230"/>
  <c r="BG230"/>
  <c r="BF230"/>
  <c r="BE230"/>
  <c r="BD230"/>
  <c r="BC230"/>
  <c r="BB230"/>
  <c r="BA230" s="1"/>
  <c r="AZ230"/>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s="1"/>
  <c r="BT226"/>
  <c r="BS226"/>
  <c r="BR226"/>
  <c r="BQ226"/>
  <c r="BP226"/>
  <c r="BO226"/>
  <c r="BN226"/>
  <c r="BM226"/>
  <c r="BL226"/>
  <c r="BK226"/>
  <c r="BJ226"/>
  <c r="BI226"/>
  <c r="BH226"/>
  <c r="BG226"/>
  <c r="BF226"/>
  <c r="BE226"/>
  <c r="BD226"/>
  <c r="BC226"/>
  <c r="BB226"/>
  <c r="BA226" s="1"/>
  <c r="AZ226"/>
  <c r="AX226"/>
  <c r="AW226"/>
  <c r="AV226"/>
  <c r="AC226"/>
  <c r="H226"/>
  <c r="G226"/>
  <c r="BT225"/>
  <c r="BS225"/>
  <c r="BR225"/>
  <c r="BQ225"/>
  <c r="BP225"/>
  <c r="BO225"/>
  <c r="BN225"/>
  <c r="BM225"/>
  <c r="BL225" s="1"/>
  <c r="BK225"/>
  <c r="BJ225"/>
  <c r="BI225"/>
  <c r="BH225"/>
  <c r="BG225"/>
  <c r="BF225"/>
  <c r="BE225"/>
  <c r="BD225"/>
  <c r="BC225"/>
  <c r="BB225"/>
  <c r="BA225"/>
  <c r="AX225"/>
  <c r="AW225"/>
  <c r="AV225"/>
  <c r="AC225"/>
  <c r="H225"/>
  <c r="G225"/>
  <c r="BT224"/>
  <c r="BS224"/>
  <c r="BR224"/>
  <c r="BQ224"/>
  <c r="BP224"/>
  <c r="BO224"/>
  <c r="BN224"/>
  <c r="BM224"/>
  <c r="BL224" s="1"/>
  <c r="BK224"/>
  <c r="BJ224"/>
  <c r="BI224"/>
  <c r="BH224"/>
  <c r="BG224"/>
  <c r="BF224"/>
  <c r="BE224"/>
  <c r="BD224"/>
  <c r="BC224"/>
  <c r="BB224"/>
  <c r="BA224"/>
  <c r="AZ224" s="1"/>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Z218" s="1"/>
  <c r="AX218"/>
  <c r="AW218"/>
  <c r="AV218"/>
  <c r="AC218"/>
  <c r="H218"/>
  <c r="G218"/>
  <c r="BT217"/>
  <c r="BS217"/>
  <c r="BR217"/>
  <c r="BQ217"/>
  <c r="BP217"/>
  <c r="BO217"/>
  <c r="BN217"/>
  <c r="BM217"/>
  <c r="BL217" s="1"/>
  <c r="BK217"/>
  <c r="BJ217"/>
  <c r="BI217"/>
  <c r="BH217"/>
  <c r="BG217"/>
  <c r="BF217"/>
  <c r="BE217"/>
  <c r="BD217"/>
  <c r="BC217"/>
  <c r="BB217"/>
  <c r="BA217"/>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Z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c r="BT211"/>
  <c r="BS211"/>
  <c r="BR211"/>
  <c r="BQ211"/>
  <c r="BP211"/>
  <c r="BO211"/>
  <c r="BN211"/>
  <c r="BM211"/>
  <c r="BL211" s="1"/>
  <c r="BK211"/>
  <c r="BJ211"/>
  <c r="BI211"/>
  <c r="BH211"/>
  <c r="BG211"/>
  <c r="BF211"/>
  <c r="BE211"/>
  <c r="BD211"/>
  <c r="BC211"/>
  <c r="BB211"/>
  <c r="BA211"/>
  <c r="AX211"/>
  <c r="AW211"/>
  <c r="AV211"/>
  <c r="AC211"/>
  <c r="H211"/>
  <c r="G211" s="1"/>
  <c r="BT210"/>
  <c r="BS210"/>
  <c r="BR210"/>
  <c r="BQ210"/>
  <c r="BP210"/>
  <c r="BO210"/>
  <c r="BN210"/>
  <c r="BM210"/>
  <c r="BL210"/>
  <c r="BK210"/>
  <c r="BJ210"/>
  <c r="BI210"/>
  <c r="BH210"/>
  <c r="BG210"/>
  <c r="BF210"/>
  <c r="BE210"/>
  <c r="BD210"/>
  <c r="BC210"/>
  <c r="BB210"/>
  <c r="BA210" s="1"/>
  <c r="AZ210"/>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207"/>
  <c r="BS207"/>
  <c r="BR207"/>
  <c r="BQ207"/>
  <c r="BP207"/>
  <c r="BO207"/>
  <c r="BN207"/>
  <c r="BM207"/>
  <c r="BL207"/>
  <c r="BK207"/>
  <c r="BJ207"/>
  <c r="BI207"/>
  <c r="BH207"/>
  <c r="BG207"/>
  <c r="BF207"/>
  <c r="BE207"/>
  <c r="BD207"/>
  <c r="BC207"/>
  <c r="BB207"/>
  <c r="BA207" s="1"/>
  <c r="AX207"/>
  <c r="AW207"/>
  <c r="AV207"/>
  <c r="AC207"/>
  <c r="H207"/>
  <c r="G207" s="1"/>
  <c r="BT206"/>
  <c r="BS206"/>
  <c r="BR206"/>
  <c r="BQ206"/>
  <c r="BP206"/>
  <c r="BO206"/>
  <c r="BN206"/>
  <c r="BM206"/>
  <c r="BL206"/>
  <c r="BK206"/>
  <c r="BJ206"/>
  <c r="BI206"/>
  <c r="BH206"/>
  <c r="BG206"/>
  <c r="BF206"/>
  <c r="BE206"/>
  <c r="BD206"/>
  <c r="BC206"/>
  <c r="BB206"/>
  <c r="BA206" s="1"/>
  <c r="AZ206" s="1"/>
  <c r="AX206"/>
  <c r="AW206"/>
  <c r="AV206"/>
  <c r="AC206"/>
  <c r="H206"/>
  <c r="G206"/>
  <c r="BT205"/>
  <c r="BS205"/>
  <c r="BR205"/>
  <c r="BQ205"/>
  <c r="BP205"/>
  <c r="BO205"/>
  <c r="BN205"/>
  <c r="BM205"/>
  <c r="BL205" s="1"/>
  <c r="BK205"/>
  <c r="BJ205"/>
  <c r="BI205"/>
  <c r="BH205"/>
  <c r="BG205"/>
  <c r="BF205"/>
  <c r="BE205"/>
  <c r="BD205"/>
  <c r="BC205"/>
  <c r="BB205"/>
  <c r="BA205"/>
  <c r="AX205"/>
  <c r="AW205"/>
  <c r="AV205"/>
  <c r="AC205"/>
  <c r="H205"/>
  <c r="G205"/>
  <c r="BT388"/>
  <c r="BS388"/>
  <c r="BR388"/>
  <c r="BQ388"/>
  <c r="BP388"/>
  <c r="BO388"/>
  <c r="BN388"/>
  <c r="BM388"/>
  <c r="BL388" s="1"/>
  <c r="BK388"/>
  <c r="BJ388"/>
  <c r="BI388"/>
  <c r="BH388"/>
  <c r="BG388"/>
  <c r="BF388"/>
  <c r="BE388"/>
  <c r="BD388"/>
  <c r="BC388"/>
  <c r="BB388"/>
  <c r="BA388"/>
  <c r="AX388"/>
  <c r="AW388"/>
  <c r="AV388"/>
  <c r="AC388"/>
  <c r="H388"/>
  <c r="G388"/>
  <c r="BT387"/>
  <c r="BS387"/>
  <c r="BR387"/>
  <c r="BQ387"/>
  <c r="BP387"/>
  <c r="BO387"/>
  <c r="BN387"/>
  <c r="BM387"/>
  <c r="BL387" s="1"/>
  <c r="BK387"/>
  <c r="BJ387"/>
  <c r="BI387"/>
  <c r="BH387"/>
  <c r="BG387"/>
  <c r="BF387"/>
  <c r="BE387"/>
  <c r="BD387"/>
  <c r="BC387"/>
  <c r="BB387"/>
  <c r="BA387"/>
  <c r="AZ387" s="1"/>
  <c r="AX387"/>
  <c r="AW387"/>
  <c r="AV387"/>
  <c r="AC387"/>
  <c r="H387"/>
  <c r="G387" s="1"/>
  <c r="BT386"/>
  <c r="BS386"/>
  <c r="BR386"/>
  <c r="BQ386"/>
  <c r="BP386"/>
  <c r="BO386"/>
  <c r="BN386"/>
  <c r="BM386"/>
  <c r="BL386"/>
  <c r="BK386"/>
  <c r="BJ386"/>
  <c r="BI386"/>
  <c r="BH386"/>
  <c r="BG386"/>
  <c r="BF386"/>
  <c r="BE386"/>
  <c r="BD386"/>
  <c r="BC386"/>
  <c r="BB386"/>
  <c r="BA386" s="1"/>
  <c r="AZ386" s="1"/>
  <c r="AX386"/>
  <c r="AW386"/>
  <c r="AV386"/>
  <c r="AC386"/>
  <c r="H386"/>
  <c r="G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s="1"/>
  <c r="AZ384" s="1"/>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s="1"/>
  <c r="AZ368" s="1"/>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s="1"/>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L350" s="1"/>
  <c r="BK350"/>
  <c r="BJ350"/>
  <c r="BI350"/>
  <c r="BH350"/>
  <c r="BG350"/>
  <c r="BF350"/>
  <c r="BE350"/>
  <c r="BD350"/>
  <c r="BC350"/>
  <c r="BB350"/>
  <c r="BA350"/>
  <c r="AZ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BA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L318" s="1"/>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BA317" s="1"/>
  <c r="AX317"/>
  <c r="AW317"/>
  <c r="AV317"/>
  <c r="AC317"/>
  <c r="H317"/>
  <c r="G317" s="1"/>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G309" s="1"/>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c r="AX478"/>
  <c r="AW478"/>
  <c r="AV478"/>
  <c r="AC478"/>
  <c r="H478"/>
  <c r="G478" s="1"/>
  <c r="BT477"/>
  <c r="BS477"/>
  <c r="BR477"/>
  <c r="BQ477"/>
  <c r="BP477"/>
  <c r="BO477"/>
  <c r="BN477"/>
  <c r="BM477"/>
  <c r="BL477"/>
  <c r="BK477"/>
  <c r="BJ477"/>
  <c r="BI477"/>
  <c r="BH477"/>
  <c r="BG477"/>
  <c r="BF477"/>
  <c r="BE477"/>
  <c r="BD477"/>
  <c r="BC477"/>
  <c r="BB477"/>
  <c r="BA477" s="1"/>
  <c r="AX477"/>
  <c r="AW477"/>
  <c r="AV477"/>
  <c r="AC477"/>
  <c r="H477"/>
  <c r="G477" s="1"/>
  <c r="BT476"/>
  <c r="BS476"/>
  <c r="BR476"/>
  <c r="BQ476"/>
  <c r="BP476"/>
  <c r="BO476"/>
  <c r="BN476"/>
  <c r="BM476"/>
  <c r="BL476"/>
  <c r="BK476"/>
  <c r="BJ476"/>
  <c r="BI476"/>
  <c r="BH476"/>
  <c r="BG476"/>
  <c r="BF476"/>
  <c r="BE476"/>
  <c r="BD476"/>
  <c r="BC476"/>
  <c r="BB476"/>
  <c r="BA476" s="1"/>
  <c r="AZ476"/>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c r="AX472"/>
  <c r="AW472"/>
  <c r="AV472"/>
  <c r="AC472"/>
  <c r="H472"/>
  <c r="G472"/>
  <c r="BT471"/>
  <c r="BS471"/>
  <c r="BR471"/>
  <c r="BQ471"/>
  <c r="BP471"/>
  <c r="BO471"/>
  <c r="BN471"/>
  <c r="BM471"/>
  <c r="BL471" s="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c r="AZ470" s="1"/>
  <c r="AX470"/>
  <c r="AW470"/>
  <c r="AV470"/>
  <c r="AC470"/>
  <c r="H470"/>
  <c r="G470" s="1"/>
  <c r="BT469"/>
  <c r="BS469"/>
  <c r="BR469"/>
  <c r="BQ469"/>
  <c r="BP469"/>
  <c r="BO469"/>
  <c r="BN469"/>
  <c r="BM469"/>
  <c r="BL469"/>
  <c r="BK469"/>
  <c r="BJ469"/>
  <c r="BI469"/>
  <c r="BH469"/>
  <c r="BG469"/>
  <c r="BF469"/>
  <c r="BE469"/>
  <c r="BD469"/>
  <c r="BC469"/>
  <c r="BB469"/>
  <c r="BA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c r="AZ465" s="1"/>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c r="BT462"/>
  <c r="BS462"/>
  <c r="BR462"/>
  <c r="BQ462"/>
  <c r="BP462"/>
  <c r="BO462"/>
  <c r="BN462"/>
  <c r="BM462"/>
  <c r="BL462" s="1"/>
  <c r="BK462"/>
  <c r="BJ462"/>
  <c r="BI462"/>
  <c r="BH462"/>
  <c r="BG462"/>
  <c r="BF462"/>
  <c r="BE462"/>
  <c r="BD462"/>
  <c r="BC462"/>
  <c r="BB462"/>
  <c r="BA462"/>
  <c r="AX462"/>
  <c r="AW462"/>
  <c r="AV462"/>
  <c r="AC462"/>
  <c r="H462"/>
  <c r="G462" s="1"/>
  <c r="BT461"/>
  <c r="BS461"/>
  <c r="BR461"/>
  <c r="BQ461"/>
  <c r="BP461"/>
  <c r="BO461"/>
  <c r="BN461"/>
  <c r="BM461"/>
  <c r="BL461"/>
  <c r="BK461"/>
  <c r="BJ461"/>
  <c r="BI461"/>
  <c r="BH461"/>
  <c r="BG461"/>
  <c r="BF461"/>
  <c r="BE461"/>
  <c r="BD461"/>
  <c r="BC461"/>
  <c r="BB461"/>
  <c r="BA461" s="1"/>
  <c r="AX461"/>
  <c r="AW461"/>
  <c r="AV461"/>
  <c r="AC461"/>
  <c r="H461"/>
  <c r="G461" s="1"/>
  <c r="BT460"/>
  <c r="BS460"/>
  <c r="BR460"/>
  <c r="BQ460"/>
  <c r="BP460"/>
  <c r="BO460"/>
  <c r="BN460"/>
  <c r="BM460"/>
  <c r="BL460"/>
  <c r="BK460"/>
  <c r="BJ460"/>
  <c r="BI460"/>
  <c r="BH460"/>
  <c r="BG460"/>
  <c r="BF460"/>
  <c r="BE460"/>
  <c r="BD460"/>
  <c r="BC460"/>
  <c r="BB460"/>
  <c r="BA460" s="1"/>
  <c r="AZ460"/>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BA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c r="AZ451" s="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Z447" s="1"/>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X441"/>
  <c r="AW441"/>
  <c r="AV441"/>
  <c r="AC441"/>
  <c r="H441"/>
  <c r="G441" s="1"/>
  <c r="BT440"/>
  <c r="BS440"/>
  <c r="BR440"/>
  <c r="BQ440"/>
  <c r="BP440"/>
  <c r="BO440"/>
  <c r="BN440"/>
  <c r="BM440"/>
  <c r="BL440"/>
  <c r="BK440"/>
  <c r="BJ440"/>
  <c r="BI440"/>
  <c r="BH440"/>
  <c r="BG440"/>
  <c r="BF440"/>
  <c r="BE440"/>
  <c r="BD440"/>
  <c r="BC440"/>
  <c r="BB440"/>
  <c r="BA440" s="1"/>
  <c r="AZ440"/>
  <c r="AX440"/>
  <c r="AW440"/>
  <c r="AV440"/>
  <c r="AC440"/>
  <c r="H440"/>
  <c r="G440"/>
  <c r="BT439"/>
  <c r="BS439"/>
  <c r="BR439"/>
  <c r="BQ439"/>
  <c r="BP439"/>
  <c r="BO439"/>
  <c r="BN439"/>
  <c r="BM439"/>
  <c r="BL439" s="1"/>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X436"/>
  <c r="AW436"/>
  <c r="AV436"/>
  <c r="AC436"/>
  <c r="H436"/>
  <c r="G436" s="1"/>
  <c r="BT435"/>
  <c r="BS435"/>
  <c r="BR435"/>
  <c r="BQ435"/>
  <c r="BP435"/>
  <c r="BO435"/>
  <c r="BN435"/>
  <c r="BM435"/>
  <c r="BL435"/>
  <c r="BK435"/>
  <c r="BJ435"/>
  <c r="BI435"/>
  <c r="BH435"/>
  <c r="BG435"/>
  <c r="BF435"/>
  <c r="BE435"/>
  <c r="BD435"/>
  <c r="BC435"/>
  <c r="BB435"/>
  <c r="BA435" s="1"/>
  <c r="AZ435"/>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X431"/>
  <c r="AW431"/>
  <c r="AV431"/>
  <c r="AC431"/>
  <c r="H431"/>
  <c r="G431" s="1"/>
  <c r="BT430"/>
  <c r="BS430"/>
  <c r="BR430"/>
  <c r="BQ430"/>
  <c r="BP430"/>
  <c r="BO430"/>
  <c r="BN430"/>
  <c r="BM430"/>
  <c r="BL430"/>
  <c r="BK430"/>
  <c r="BJ430"/>
  <c r="BI430"/>
  <c r="BH430"/>
  <c r="BG430"/>
  <c r="BF430"/>
  <c r="BE430"/>
  <c r="BD430"/>
  <c r="BC430"/>
  <c r="BB430"/>
  <c r="BA430" s="1"/>
  <c r="AX430"/>
  <c r="AW430"/>
  <c r="AV430"/>
  <c r="AC430"/>
  <c r="H430"/>
  <c r="G430" s="1"/>
  <c r="BT429"/>
  <c r="BS429"/>
  <c r="BR429"/>
  <c r="BQ429"/>
  <c r="BP429"/>
  <c r="BO429"/>
  <c r="BN429"/>
  <c r="BM429"/>
  <c r="BL429"/>
  <c r="BK429"/>
  <c r="BJ429"/>
  <c r="BI429"/>
  <c r="BH429"/>
  <c r="BG429"/>
  <c r="BF429"/>
  <c r="BE429"/>
  <c r="BD429"/>
  <c r="BC429"/>
  <c r="BB429"/>
  <c r="BA429" s="1"/>
  <c r="AZ429"/>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s="1"/>
  <c r="BT422"/>
  <c r="BS422"/>
  <c r="BR422"/>
  <c r="BQ422"/>
  <c r="BP422"/>
  <c r="BO422"/>
  <c r="BN422"/>
  <c r="BM422"/>
  <c r="BL422"/>
  <c r="BK422"/>
  <c r="BJ422"/>
  <c r="BI422"/>
  <c r="BH422"/>
  <c r="BG422"/>
  <c r="BF422"/>
  <c r="BE422"/>
  <c r="BD422"/>
  <c r="BC422"/>
  <c r="BB422"/>
  <c r="BA422" s="1"/>
  <c r="AZ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Z420" s="1"/>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AZ415" s="1"/>
  <c r="BK415"/>
  <c r="BJ415"/>
  <c r="BI415"/>
  <c r="BH415"/>
  <c r="BG415"/>
  <c r="BF415"/>
  <c r="BE415"/>
  <c r="BD415"/>
  <c r="BC415"/>
  <c r="BB415"/>
  <c r="BA415"/>
  <c r="AX415"/>
  <c r="AW415"/>
  <c r="AV415"/>
  <c r="AC415"/>
  <c r="H415"/>
  <c r="G415"/>
  <c r="BT414"/>
  <c r="BS414"/>
  <c r="BR414"/>
  <c r="BQ414"/>
  <c r="BP414"/>
  <c r="BO414"/>
  <c r="BN414"/>
  <c r="BM414"/>
  <c r="BL414" s="1"/>
  <c r="AZ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Z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AZ399" s="1"/>
  <c r="BK399"/>
  <c r="BJ399"/>
  <c r="BI399"/>
  <c r="BH399"/>
  <c r="BG399"/>
  <c r="BF399"/>
  <c r="BE399"/>
  <c r="BD399"/>
  <c r="BC399"/>
  <c r="BB399"/>
  <c r="BA399"/>
  <c r="AX399"/>
  <c r="AW399"/>
  <c r="AV399"/>
  <c r="AC399"/>
  <c r="H399"/>
  <c r="G399"/>
  <c r="BT398"/>
  <c r="BS398"/>
  <c r="BR398"/>
  <c r="BQ398"/>
  <c r="BP398"/>
  <c r="BO398"/>
  <c r="BN398"/>
  <c r="BM398"/>
  <c r="BL398" s="1"/>
  <c r="AZ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L394"/>
  <c r="BK394"/>
  <c r="BJ394"/>
  <c r="BI394"/>
  <c r="BH394"/>
  <c r="BG394"/>
  <c r="BF394"/>
  <c r="BE394"/>
  <c r="BD394"/>
  <c r="BC394"/>
  <c r="BB394"/>
  <c r="BA394" s="1"/>
  <c r="AZ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X392"/>
  <c r="AW392"/>
  <c r="AV392"/>
  <c r="AC392"/>
  <c r="H392"/>
  <c r="G392" s="1"/>
  <c r="BT391"/>
  <c r="BS391"/>
  <c r="BR391"/>
  <c r="BQ391"/>
  <c r="BP391"/>
  <c r="BO391"/>
  <c r="BN391"/>
  <c r="BM391"/>
  <c r="BL391"/>
  <c r="BK391"/>
  <c r="BJ391"/>
  <c r="BI391"/>
  <c r="BH391"/>
  <c r="BG391"/>
  <c r="BF391"/>
  <c r="BE391"/>
  <c r="BD391"/>
  <c r="BC391"/>
  <c r="BB391"/>
  <c r="BA391" s="1"/>
  <c r="AZ391" s="1"/>
  <c r="AX391"/>
  <c r="AW391"/>
  <c r="AV391"/>
  <c r="AC391"/>
  <c r="H391"/>
  <c r="G391" s="1"/>
  <c r="BT390"/>
  <c r="BS390"/>
  <c r="BR390"/>
  <c r="BQ390"/>
  <c r="BP390"/>
  <c r="BO390"/>
  <c r="BN390"/>
  <c r="BM390"/>
  <c r="BL390"/>
  <c r="BK390"/>
  <c r="BJ390"/>
  <c r="BI390"/>
  <c r="BH390"/>
  <c r="BG390"/>
  <c r="BF390"/>
  <c r="BE390"/>
  <c r="BD390"/>
  <c r="BC390"/>
  <c r="BB390"/>
  <c r="BA390" s="1"/>
  <c r="AZ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F15"/>
  <c r="E15"/>
  <c r="D15"/>
  <c r="C15"/>
  <c r="C10"/>
  <c r="C11" s="1"/>
  <c r="C9"/>
  <c r="E19" i="6"/>
  <c r="E32" s="1"/>
  <c r="E20"/>
  <c r="D9" i="12" s="1"/>
  <c r="E21" i="6"/>
  <c r="K8" i="1" s="1"/>
  <c r="M8" s="1"/>
  <c r="O8" s="1"/>
  <c r="P8" s="1"/>
  <c r="E22" i="6"/>
  <c r="E23"/>
  <c r="E24"/>
  <c r="E25"/>
  <c r="E26"/>
  <c r="C35" i="4"/>
  <c r="E16" i="12"/>
  <c r="F14"/>
  <c r="F15"/>
  <c r="F17"/>
  <c r="E19"/>
  <c r="E21"/>
  <c r="E22"/>
  <c r="F23"/>
  <c r="F24"/>
  <c r="F25"/>
  <c r="C43" i="9"/>
  <c r="K47" s="1"/>
  <c r="I73"/>
  <c r="F73"/>
  <c r="P73" s="1"/>
  <c r="D107"/>
  <c r="C107" s="1"/>
  <c r="C105" s="1"/>
  <c r="C110" s="1"/>
  <c r="C17"/>
  <c r="D17"/>
  <c r="B30"/>
  <c r="F17" i="44"/>
  <c r="F19"/>
  <c r="F22"/>
  <c r="F25"/>
  <c r="D25" s="1"/>
  <c r="F23"/>
  <c r="E16" i="43"/>
  <c r="F14"/>
  <c r="F15"/>
  <c r="F17"/>
  <c r="F19"/>
  <c r="F20"/>
  <c r="C20" s="1"/>
  <c r="F10" i="40"/>
  <c r="AA10" s="1"/>
  <c r="F11"/>
  <c r="AA11" s="1"/>
  <c r="C21"/>
  <c r="C32"/>
  <c r="H32" s="1"/>
  <c r="F36"/>
  <c r="AA36" s="1"/>
  <c r="H10"/>
  <c r="AB10" s="1"/>
  <c r="H11"/>
  <c r="AB11" s="1"/>
  <c r="H36"/>
  <c r="AB36" s="1"/>
  <c r="J10"/>
  <c r="AC10" s="1"/>
  <c r="J11"/>
  <c r="AC11" s="1"/>
  <c r="J36"/>
  <c r="AC36" s="1"/>
  <c r="F10" i="39"/>
  <c r="AA10" s="1"/>
  <c r="F11"/>
  <c r="AA11" s="1"/>
  <c r="C25"/>
  <c r="F40"/>
  <c r="AA40" s="1"/>
  <c r="H10"/>
  <c r="AB10" s="1"/>
  <c r="H11"/>
  <c r="AB11" s="1"/>
  <c r="H40"/>
  <c r="AB40" s="1"/>
  <c r="J10"/>
  <c r="AC10" s="1"/>
  <c r="J11"/>
  <c r="AC11" s="1"/>
  <c r="J40"/>
  <c r="AC40" s="1"/>
  <c r="F35" i="44"/>
  <c r="M21"/>
  <c r="F20"/>
  <c r="C6" i="43"/>
  <c r="K9"/>
  <c r="J9"/>
  <c r="I9"/>
  <c r="H9"/>
  <c r="G9"/>
  <c r="F9"/>
  <c r="E9"/>
  <c r="D9"/>
  <c r="C9"/>
  <c r="BC13" i="3"/>
  <c r="BB13"/>
  <c r="BR13"/>
  <c r="B24" i="1"/>
  <c r="E77" i="9"/>
  <c r="O75" s="1"/>
  <c r="L75"/>
  <c r="F77"/>
  <c r="P75" s="1"/>
  <c r="O74"/>
  <c r="O73"/>
  <c r="E66"/>
  <c r="O72"/>
  <c r="F74"/>
  <c r="P74"/>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2" i="1"/>
  <c r="D30" i="9"/>
  <c r="D95"/>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AB31" s="1"/>
  <c r="F31"/>
  <c r="D87"/>
  <c r="E87" s="1"/>
  <c r="F87" s="1"/>
  <c r="G87" s="1"/>
  <c r="H87" s="1"/>
  <c r="I87" s="1"/>
  <c r="J87" s="1"/>
  <c r="K87" s="1"/>
  <c r="L87" s="1"/>
  <c r="M87" s="1"/>
  <c r="H34" i="37"/>
  <c r="AB34" s="1"/>
  <c r="D101"/>
  <c r="F34"/>
  <c r="D99"/>
  <c r="E99" s="1"/>
  <c r="F99" s="1"/>
  <c r="G99" s="1"/>
  <c r="F33" s="1"/>
  <c r="H42" i="34"/>
  <c r="J42"/>
  <c r="F42"/>
  <c r="J38"/>
  <c r="D114"/>
  <c r="F38"/>
  <c r="D112"/>
  <c r="E112" s="1"/>
  <c r="F112" s="1"/>
  <c r="G112" s="1"/>
  <c r="H112" s="1"/>
  <c r="I112" s="1"/>
  <c r="J112" s="1"/>
  <c r="K112" s="1"/>
  <c r="L112" s="1"/>
  <c r="M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s="1"/>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s="1"/>
  <c r="B83"/>
  <c r="F16" s="1"/>
  <c r="AA16" s="1"/>
  <c r="B81"/>
  <c r="B79"/>
  <c r="F14"/>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F29" s="1"/>
  <c r="AA29" s="1"/>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c r="F95" s="1"/>
  <c r="G95" s="1"/>
  <c r="D93"/>
  <c r="E93" s="1"/>
  <c r="F93" s="1"/>
  <c r="G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c r="Q19"/>
  <c r="Z19"/>
  <c r="Q17"/>
  <c r="Z17" s="1"/>
  <c r="Q16"/>
  <c r="Z16" s="1"/>
  <c r="Q15"/>
  <c r="Z15" s="1"/>
  <c r="Q14"/>
  <c r="Z14" s="1"/>
  <c r="Q13"/>
  <c r="Z13" s="1"/>
  <c r="Q12"/>
  <c r="Z12" s="1"/>
  <c r="Q11"/>
  <c r="Z11" s="1"/>
  <c r="U10"/>
  <c r="C20" i="36"/>
  <c r="C20" i="35"/>
  <c r="C16" i="36"/>
  <c r="C16" i="35"/>
  <c r="C14" i="36"/>
  <c r="C14" i="35"/>
  <c r="B80" i="37"/>
  <c r="H25"/>
  <c r="U25" s="1"/>
  <c r="B110"/>
  <c r="J39"/>
  <c r="AC39" s="1"/>
  <c r="B108"/>
  <c r="C23"/>
  <c r="C19"/>
  <c r="C17"/>
  <c r="C15"/>
  <c r="B112"/>
  <c r="D107"/>
  <c r="E107"/>
  <c r="D105"/>
  <c r="E105"/>
  <c r="H36"/>
  <c r="D103"/>
  <c r="J35"/>
  <c r="AC35" s="1"/>
  <c r="F97"/>
  <c r="E97"/>
  <c r="D97"/>
  <c r="C97"/>
  <c r="D96"/>
  <c r="E96" s="1"/>
  <c r="F96" s="1"/>
  <c r="G96" s="1"/>
  <c r="H96" s="1"/>
  <c r="I96" s="1"/>
  <c r="J96" s="1"/>
  <c r="K96" s="1"/>
  <c r="L96" s="1"/>
  <c r="M96" s="1"/>
  <c r="D94"/>
  <c r="M90"/>
  <c r="L90"/>
  <c r="K90"/>
  <c r="J90"/>
  <c r="I90"/>
  <c r="H90"/>
  <c r="G90"/>
  <c r="F90"/>
  <c r="E90"/>
  <c r="D90"/>
  <c r="C90"/>
  <c r="D89"/>
  <c r="B86"/>
  <c r="B84"/>
  <c r="H27" s="1"/>
  <c r="B82"/>
  <c r="J26" s="1"/>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H26"/>
  <c r="AB26" s="1"/>
  <c r="Q25"/>
  <c r="Z25" s="1"/>
  <c r="J25"/>
  <c r="W25" s="1"/>
  <c r="F25"/>
  <c r="AA25" s="1"/>
  <c r="Q23"/>
  <c r="Z23" s="1"/>
  <c r="Q19"/>
  <c r="Z19" s="1"/>
  <c r="Q17"/>
  <c r="Z17"/>
  <c r="Q15"/>
  <c r="Z15"/>
  <c r="Q14"/>
  <c r="Z14"/>
  <c r="Q13"/>
  <c r="Z13"/>
  <c r="Q12"/>
  <c r="Z12"/>
  <c r="Q11"/>
  <c r="Z11"/>
  <c r="Q10"/>
  <c r="Z10"/>
  <c r="F10"/>
  <c r="AA10" s="1"/>
  <c r="Q9"/>
  <c r="Z9" s="1"/>
  <c r="J8"/>
  <c r="W8" s="1"/>
  <c r="H8"/>
  <c r="AB8" s="1"/>
  <c r="F8"/>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H9" s="1"/>
  <c r="AB9" s="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F9"/>
  <c r="AA9" s="1"/>
  <c r="J8"/>
  <c r="AC8" s="1"/>
  <c r="H8"/>
  <c r="U8" s="1"/>
  <c r="F8"/>
  <c r="AA8" s="1"/>
  <c r="D89" i="35"/>
  <c r="H30"/>
  <c r="U30" s="1"/>
  <c r="M90"/>
  <c r="L90"/>
  <c r="K90"/>
  <c r="J90"/>
  <c r="I90"/>
  <c r="H90"/>
  <c r="G90"/>
  <c r="F90"/>
  <c r="E90"/>
  <c r="D90"/>
  <c r="C90"/>
  <c r="F85"/>
  <c r="E85"/>
  <c r="D85"/>
  <c r="C85"/>
  <c r="J27"/>
  <c r="W27" s="1"/>
  <c r="H27"/>
  <c r="U27" s="1"/>
  <c r="F27"/>
  <c r="AA27" s="1"/>
  <c r="J22"/>
  <c r="AC22" s="1"/>
  <c r="B101"/>
  <c r="H36"/>
  <c r="B99"/>
  <c r="B97"/>
  <c r="J34" s="1"/>
  <c r="AC34" s="1"/>
  <c r="B77"/>
  <c r="B75"/>
  <c r="J24" s="1"/>
  <c r="B73"/>
  <c r="J23" s="1"/>
  <c r="B57"/>
  <c r="B61"/>
  <c r="B59"/>
  <c r="H12" s="1"/>
  <c r="B131" i="34"/>
  <c r="B129"/>
  <c r="B127"/>
  <c r="B99"/>
  <c r="B97"/>
  <c r="B95"/>
  <c r="B93"/>
  <c r="B75"/>
  <c r="B73"/>
  <c r="B71"/>
  <c r="B130" i="33"/>
  <c r="B128"/>
  <c r="H45"/>
  <c r="U45" s="1"/>
  <c r="B126"/>
  <c r="B98"/>
  <c r="F31" s="1"/>
  <c r="B96"/>
  <c r="B94"/>
  <c r="B74"/>
  <c r="B72"/>
  <c r="B70"/>
  <c r="J12" s="1"/>
  <c r="W12" s="1"/>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J36"/>
  <c r="AC36" s="1"/>
  <c r="Q35"/>
  <c r="Z35" s="1"/>
  <c r="Q34"/>
  <c r="Z34" s="1"/>
  <c r="H34"/>
  <c r="AB34" s="1"/>
  <c r="Q33"/>
  <c r="Z33" s="1"/>
  <c r="Q32"/>
  <c r="Z32" s="1"/>
  <c r="H32"/>
  <c r="AB32" s="1"/>
  <c r="F32"/>
  <c r="AA32" s="1"/>
  <c r="Q31"/>
  <c r="Z31" s="1"/>
  <c r="AC31"/>
  <c r="AA31"/>
  <c r="Q30"/>
  <c r="Z30" s="1"/>
  <c r="Q29"/>
  <c r="Z29" s="1"/>
  <c r="Q28"/>
  <c r="Z28" s="1"/>
  <c r="J28"/>
  <c r="H28"/>
  <c r="F28"/>
  <c r="AA28" s="1"/>
  <c r="Q27"/>
  <c r="Z27" s="1"/>
  <c r="Q26"/>
  <c r="Z26" s="1"/>
  <c r="Q25"/>
  <c r="Z25"/>
  <c r="Q24"/>
  <c r="Z24"/>
  <c r="Q23"/>
  <c r="Z23"/>
  <c r="Q22"/>
  <c r="Z22" s="1"/>
  <c r="Q20"/>
  <c r="Z20" s="1"/>
  <c r="Q16"/>
  <c r="Z16" s="1"/>
  <c r="Q14"/>
  <c r="Z14" s="1"/>
  <c r="Q13"/>
  <c r="Z13" s="1"/>
  <c r="Q12"/>
  <c r="Z12" s="1"/>
  <c r="J12"/>
  <c r="W12" s="1"/>
  <c r="F12"/>
  <c r="AA12" s="1"/>
  <c r="Q11"/>
  <c r="Z11" s="1"/>
  <c r="Q10"/>
  <c r="Z10" s="1"/>
  <c r="Q9"/>
  <c r="Z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J9" s="1"/>
  <c r="P50"/>
  <c r="P49"/>
  <c r="V48"/>
  <c r="T48"/>
  <c r="R48"/>
  <c r="P48"/>
  <c r="Q47"/>
  <c r="Z47"/>
  <c r="Q46"/>
  <c r="Z46"/>
  <c r="Q45"/>
  <c r="Z45"/>
  <c r="Q44"/>
  <c r="Z44"/>
  <c r="H44"/>
  <c r="AB44" s="1"/>
  <c r="Q43"/>
  <c r="Z43" s="1"/>
  <c r="F43"/>
  <c r="AA43" s="1"/>
  <c r="Q42"/>
  <c r="Z42" s="1"/>
  <c r="Q41"/>
  <c r="Z41" s="1"/>
  <c r="Q40"/>
  <c r="Z40" s="1"/>
  <c r="F40"/>
  <c r="S40" s="1"/>
  <c r="Q39"/>
  <c r="Z39" s="1"/>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s="1"/>
  <c r="C17"/>
  <c r="Q15"/>
  <c r="Z15" s="1"/>
  <c r="Q14"/>
  <c r="Z14" s="1"/>
  <c r="Q13"/>
  <c r="Z13" s="1"/>
  <c r="Q12"/>
  <c r="Z12" s="1"/>
  <c r="Q11"/>
  <c r="Z11" s="1"/>
  <c r="Q10"/>
  <c r="Z10" s="1"/>
  <c r="F10"/>
  <c r="AA10" s="1"/>
  <c r="Q9"/>
  <c r="Z9" s="1"/>
  <c r="H9"/>
  <c r="AB9" s="1"/>
  <c r="J8"/>
  <c r="AC8" s="1"/>
  <c r="H8"/>
  <c r="U8" s="1"/>
  <c r="F8"/>
  <c r="AA8" s="1"/>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c r="J40"/>
  <c r="AC40" s="1"/>
  <c r="H40"/>
  <c r="AA40"/>
  <c r="Q39"/>
  <c r="Z39" s="1"/>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H9"/>
  <c r="AB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D119"/>
  <c r="D117"/>
  <c r="E117" s="1"/>
  <c r="F117" s="1"/>
  <c r="G117" s="1"/>
  <c r="D115"/>
  <c r="E115" s="1"/>
  <c r="F115" s="1"/>
  <c r="G115" s="1"/>
  <c r="H115" s="1"/>
  <c r="I115" s="1"/>
  <c r="J115" s="1"/>
  <c r="K115" s="1"/>
  <c r="L115" s="1"/>
  <c r="M115" s="1"/>
  <c r="D113"/>
  <c r="E113" s="1"/>
  <c r="F113" s="1"/>
  <c r="G113" s="1"/>
  <c r="D110"/>
  <c r="E110"/>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s="1"/>
  <c r="F10"/>
  <c r="AA10"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J35"/>
  <c r="W35" s="1"/>
  <c r="Q35"/>
  <c r="Z35"/>
  <c r="Q36"/>
  <c r="Z36"/>
  <c r="Q37"/>
  <c r="Z37" s="1"/>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E9"/>
  <c r="G9"/>
  <c r="K5" i="3"/>
  <c r="J5"/>
  <c r="BE10"/>
  <c r="BD13"/>
  <c r="BE13"/>
  <c r="BF13"/>
  <c r="BG13"/>
  <c r="BG5"/>
  <c r="BH13"/>
  <c r="BI13"/>
  <c r="BI5" s="1"/>
  <c r="BJ13"/>
  <c r="BK13"/>
  <c r="BM13"/>
  <c r="BN13"/>
  <c r="BO13"/>
  <c r="BP13"/>
  <c r="BS13"/>
  <c r="BT13"/>
  <c r="BB570"/>
  <c r="BC570"/>
  <c r="BA570" s="1"/>
  <c r="AZ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G572" s="1"/>
  <c r="F5"/>
  <c r="G27" i="6"/>
  <c r="F34" i="21"/>
  <c r="AA34" s="1"/>
  <c r="H34"/>
  <c r="U34" s="1"/>
  <c r="F43"/>
  <c r="S43" s="1"/>
  <c r="H38"/>
  <c r="AB38" s="1"/>
  <c r="H43"/>
  <c r="AB43" s="1"/>
  <c r="F32"/>
  <c r="F38"/>
  <c r="S38" s="1"/>
  <c r="F36"/>
  <c r="S36" s="1"/>
  <c r="F39"/>
  <c r="AA39" s="1"/>
  <c r="J40"/>
  <c r="W40" s="1"/>
  <c r="J8"/>
  <c r="AC8" s="1"/>
  <c r="J9"/>
  <c r="AC9" s="1"/>
  <c r="H8"/>
  <c r="H9"/>
  <c r="AB9" s="1"/>
  <c r="H10"/>
  <c r="U10" s="1"/>
  <c r="H39"/>
  <c r="AB39" s="1"/>
  <c r="J34"/>
  <c r="W34" s="1"/>
  <c r="H36"/>
  <c r="U36" s="1"/>
  <c r="F35"/>
  <c r="AA35" s="1"/>
  <c r="J10"/>
  <c r="AC10" s="1"/>
  <c r="H26"/>
  <c r="F19"/>
  <c r="AA19" s="1"/>
  <c r="J19"/>
  <c r="W19" s="1"/>
  <c r="H12"/>
  <c r="U12" s="1"/>
  <c r="J26"/>
  <c r="W26" s="1"/>
  <c r="F26"/>
  <c r="AA26" s="1"/>
  <c r="AB41"/>
  <c r="S41"/>
  <c r="AA41"/>
  <c r="W41"/>
  <c r="S10" i="39"/>
  <c r="U30" i="37"/>
  <c r="E103"/>
  <c r="F103"/>
  <c r="F39"/>
  <c r="S39" s="1"/>
  <c r="W39"/>
  <c r="F29" i="36"/>
  <c r="AA29" s="1"/>
  <c r="F16"/>
  <c r="AA16" s="1"/>
  <c r="U22"/>
  <c r="W23"/>
  <c r="W22"/>
  <c r="U26"/>
  <c r="AC31"/>
  <c r="J33"/>
  <c r="W33" s="1"/>
  <c r="AC27" i="35"/>
  <c r="U31"/>
  <c r="W36"/>
  <c r="S31"/>
  <c r="W31"/>
  <c r="U34"/>
  <c r="F36" i="34"/>
  <c r="S36" s="1"/>
  <c r="S34"/>
  <c r="W39"/>
  <c r="H39" i="33"/>
  <c r="AB39" s="1"/>
  <c r="F26"/>
  <c r="AA26" s="1"/>
  <c r="U9"/>
  <c r="U33"/>
  <c r="W38"/>
  <c r="S40"/>
  <c r="S33"/>
  <c r="W33"/>
  <c r="U38"/>
  <c r="H39" i="37"/>
  <c r="AB39" s="1"/>
  <c r="AB27" i="35"/>
  <c r="S10" i="40"/>
  <c r="W10"/>
  <c r="S11"/>
  <c r="U11"/>
  <c r="S36"/>
  <c r="U36"/>
  <c r="F11" i="21"/>
  <c r="S11" s="1"/>
  <c r="AB36"/>
  <c r="C29" i="39"/>
  <c r="H32" i="33"/>
  <c r="AB32" s="1"/>
  <c r="J11" i="21"/>
  <c r="W11" s="1"/>
  <c r="F100" i="40"/>
  <c r="U9" i="21"/>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AB30" i="36"/>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35" i="35"/>
  <c r="W46" i="33"/>
  <c r="AB40" i="37"/>
  <c r="J36"/>
  <c r="AC36" s="1"/>
  <c r="G105"/>
  <c r="AB28" i="36"/>
  <c r="AB31" i="21"/>
  <c r="U46"/>
  <c r="AC30"/>
  <c r="W30"/>
  <c r="AB30"/>
  <c r="S28"/>
  <c r="AA28"/>
  <c r="AB14"/>
  <c r="W14"/>
  <c r="AC14"/>
  <c r="W31" i="34"/>
  <c r="S46" i="33"/>
  <c r="U36" i="37"/>
  <c r="AB45" i="33"/>
  <c r="AA27"/>
  <c r="S45" i="21"/>
  <c r="AC28" i="33"/>
  <c r="U28" i="21"/>
  <c r="S19"/>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BQ550"/>
  <c r="BL550" s="1"/>
  <c r="AZ550" s="1"/>
  <c r="BQ548"/>
  <c r="BQ546"/>
  <c r="BL546"/>
  <c r="BQ544"/>
  <c r="BL544"/>
  <c r="G544"/>
  <c r="G538"/>
  <c r="G534"/>
  <c r="G530"/>
  <c r="G526"/>
  <c r="G522"/>
  <c r="BQ540"/>
  <c r="BL540" s="1"/>
  <c r="AZ540" s="1"/>
  <c r="BQ538"/>
  <c r="BL538" s="1"/>
  <c r="AZ538" s="1"/>
  <c r="BQ536"/>
  <c r="BQ534"/>
  <c r="BL534"/>
  <c r="BQ532"/>
  <c r="BL532"/>
  <c r="BQ530"/>
  <c r="BQ528"/>
  <c r="BQ526"/>
  <c r="BL526"/>
  <c r="BQ524"/>
  <c r="BL524"/>
  <c r="BQ522"/>
  <c r="BQ520"/>
  <c r="BL520" s="1"/>
  <c r="BQ518"/>
  <c r="BQ516"/>
  <c r="BL516"/>
  <c r="BQ514"/>
  <c r="BL514"/>
  <c r="BQ512"/>
  <c r="BQ510"/>
  <c r="BL510" s="1"/>
  <c r="BQ508"/>
  <c r="BL508" s="1"/>
  <c r="AZ508" s="1"/>
  <c r="AC506"/>
  <c r="G506" s="1"/>
  <c r="BQ506"/>
  <c r="G502"/>
  <c r="G498"/>
  <c r="BQ504"/>
  <c r="BQ502"/>
  <c r="BL502" s="1"/>
  <c r="AZ502" s="1"/>
  <c r="BQ500"/>
  <c r="BL500" s="1"/>
  <c r="BQ498"/>
  <c r="BQ496"/>
  <c r="AC494"/>
  <c r="BQ494"/>
  <c r="BL493"/>
  <c r="G492"/>
  <c r="G488"/>
  <c r="G484"/>
  <c r="G20"/>
  <c r="BQ492"/>
  <c r="BL492"/>
  <c r="BQ490"/>
  <c r="BQ488"/>
  <c r="BL488" s="1"/>
  <c r="AZ488" s="1"/>
  <c r="BQ486"/>
  <c r="BQ484"/>
  <c r="BL484"/>
  <c r="AZ484" s="1"/>
  <c r="BQ482"/>
  <c r="BL482"/>
  <c r="BQ20"/>
  <c r="BL20" s="1"/>
  <c r="AZ20" s="1"/>
  <c r="BQ18"/>
  <c r="AZ501"/>
  <c r="S505" i="31"/>
  <c r="S503"/>
  <c r="S501"/>
  <c r="S499"/>
  <c r="O27"/>
  <c r="O28"/>
  <c r="O26"/>
  <c r="M27"/>
  <c r="M28"/>
  <c r="M26"/>
  <c r="I26"/>
  <c r="I25"/>
  <c r="S25"/>
  <c r="Q26"/>
  <c r="K26"/>
  <c r="I27"/>
  <c r="Q27"/>
  <c r="K27"/>
  <c r="I28"/>
  <c r="Q28"/>
  <c r="K28"/>
  <c r="AC28" i="34"/>
  <c r="H25" i="21"/>
  <c r="U25" s="1"/>
  <c r="F25"/>
  <c r="S25" s="1"/>
  <c r="J25"/>
  <c r="AC25" s="1"/>
  <c r="E125" i="33"/>
  <c r="F125"/>
  <c r="G125" s="1"/>
  <c r="H43"/>
  <c r="U43" s="1"/>
  <c r="H17" i="37"/>
  <c r="U17" s="1"/>
  <c r="F23"/>
  <c r="S23" s="1"/>
  <c r="F79"/>
  <c r="G79" s="1"/>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J23" i="37"/>
  <c r="W23" s="1"/>
  <c r="F17"/>
  <c r="AA17" s="1"/>
  <c r="AB43" i="33"/>
  <c r="AC33" i="36"/>
  <c r="AC12" i="35"/>
  <c r="S27" i="37"/>
  <c r="U39"/>
  <c r="AC8"/>
  <c r="S25"/>
  <c r="AC36" i="34"/>
  <c r="AB8"/>
  <c r="AC37" i="33"/>
  <c r="AA13"/>
  <c r="AC45"/>
  <c r="F43"/>
  <c r="AA43" s="1"/>
  <c r="AA23" i="37"/>
  <c r="S10" i="35"/>
  <c r="AB44" i="33"/>
  <c r="G107" i="37"/>
  <c r="H107" s="1"/>
  <c r="I107" s="1"/>
  <c r="J107" s="1"/>
  <c r="K107" s="1"/>
  <c r="L107" s="1"/>
  <c r="M107" s="1"/>
  <c r="AA9" i="2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21"/>
  <c r="S21" s="1"/>
  <c r="W36"/>
  <c r="F90"/>
  <c r="J21"/>
  <c r="AC21" s="1"/>
  <c r="G90"/>
  <c r="S27" i="31"/>
  <c r="G483" i="3"/>
  <c r="G515"/>
  <c r="G507"/>
  <c r="G501"/>
  <c r="BA15"/>
  <c r="BL17"/>
  <c r="BL15"/>
  <c r="BA14"/>
  <c r="AZ14" s="1"/>
  <c r="BT5"/>
  <c r="J57" i="39"/>
  <c r="H13" i="40"/>
  <c r="U13" s="1"/>
  <c r="I4" i="4"/>
  <c r="K141" i="21"/>
  <c r="K143"/>
  <c r="K144"/>
  <c r="I59" i="40"/>
  <c r="C59" s="1"/>
  <c r="I60"/>
  <c r="C60" s="1"/>
  <c r="G297" i="3"/>
  <c r="BL298"/>
  <c r="G299"/>
  <c r="BL300"/>
  <c r="BA302"/>
  <c r="AZ302" s="1"/>
  <c r="BA303"/>
  <c r="BL303"/>
  <c r="G304"/>
  <c r="BA305"/>
  <c r="G321"/>
  <c r="BL322"/>
  <c r="G323"/>
  <c r="BL324"/>
  <c r="BA326"/>
  <c r="AZ326"/>
  <c r="BA327"/>
  <c r="BL327"/>
  <c r="AZ327" s="1"/>
  <c r="G328"/>
  <c r="BA329"/>
  <c r="G337"/>
  <c r="BL338"/>
  <c r="G339"/>
  <c r="BL340"/>
  <c r="BA342"/>
  <c r="AZ342"/>
  <c r="BA343"/>
  <c r="BL343"/>
  <c r="AZ343" s="1"/>
  <c r="G344"/>
  <c r="BA345"/>
  <c r="G353"/>
  <c r="BL354"/>
  <c r="G355"/>
  <c r="BL356"/>
  <c r="G357"/>
  <c r="BL358"/>
  <c r="G359"/>
  <c r="BA360"/>
  <c r="AZ360"/>
  <c r="BA361"/>
  <c r="BL361"/>
  <c r="G362"/>
  <c r="BA363"/>
  <c r="G371"/>
  <c r="BL372"/>
  <c r="G373"/>
  <c r="BL374"/>
  <c r="BA376"/>
  <c r="AZ376"/>
  <c r="BA377"/>
  <c r="AZ377"/>
  <c r="BL377"/>
  <c r="G378"/>
  <c r="BA379"/>
  <c r="BA114"/>
  <c r="AZ114" s="1"/>
  <c r="BL115"/>
  <c r="AZ115" s="1"/>
  <c r="G116"/>
  <c r="BA118"/>
  <c r="AZ118"/>
  <c r="BL119"/>
  <c r="AZ119"/>
  <c r="G120"/>
  <c r="BA122"/>
  <c r="AZ122" s="1"/>
  <c r="BL123"/>
  <c r="AZ123" s="1"/>
  <c r="G124"/>
  <c r="BA126"/>
  <c r="AZ126"/>
  <c r="BL127"/>
  <c r="G128"/>
  <c r="BA130"/>
  <c r="AZ130"/>
  <c r="BL131"/>
  <c r="AZ131"/>
  <c r="G132"/>
  <c r="BA134"/>
  <c r="AZ134" s="1"/>
  <c r="BL135"/>
  <c r="AZ135" s="1"/>
  <c r="G136"/>
  <c r="BA138"/>
  <c r="AZ138"/>
  <c r="BL139"/>
  <c r="AZ139"/>
  <c r="G140"/>
  <c r="BA142"/>
  <c r="AZ142" s="1"/>
  <c r="BL143"/>
  <c r="AZ143" s="1"/>
  <c r="G144"/>
  <c r="BA146"/>
  <c r="AZ146" s="1"/>
  <c r="BL147"/>
  <c r="AZ147" s="1"/>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s="1"/>
  <c r="G182"/>
  <c r="BA184"/>
  <c r="AZ184"/>
  <c r="BL185"/>
  <c r="G186"/>
  <c r="BA188"/>
  <c r="AZ188"/>
  <c r="BL189"/>
  <c r="AZ189"/>
  <c r="G190"/>
  <c r="BA192"/>
  <c r="AZ192" s="1"/>
  <c r="BL193"/>
  <c r="AZ193" s="1"/>
  <c r="G194"/>
  <c r="BA196"/>
  <c r="AZ196"/>
  <c r="BL197"/>
  <c r="AZ197"/>
  <c r="G198"/>
  <c r="BA200"/>
  <c r="AZ200" s="1"/>
  <c r="BL201"/>
  <c r="AZ201" s="1"/>
  <c r="AZ66"/>
  <c r="AZ70"/>
  <c r="AZ74"/>
  <c r="AZ78"/>
  <c r="AZ82"/>
  <c r="AZ185"/>
  <c r="AZ84"/>
  <c r="AZ86"/>
  <c r="AZ90"/>
  <c r="AZ94"/>
  <c r="AZ98"/>
  <c r="AZ102"/>
  <c r="AZ106"/>
  <c r="AZ110"/>
  <c r="G491"/>
  <c r="BA298"/>
  <c r="AZ298"/>
  <c r="BA299"/>
  <c r="AZ299"/>
  <c r="BL299"/>
  <c r="G300"/>
  <c r="G303"/>
  <c r="BL304"/>
  <c r="BA306"/>
  <c r="AZ306"/>
  <c r="BA307"/>
  <c r="BL307"/>
  <c r="AZ307" s="1"/>
  <c r="G308"/>
  <c r="G319"/>
  <c r="BL320"/>
  <c r="BA322"/>
  <c r="BA323"/>
  <c r="AZ323" s="1"/>
  <c r="BL323"/>
  <c r="G324"/>
  <c r="G327"/>
  <c r="BL328"/>
  <c r="BA330"/>
  <c r="AZ330" s="1"/>
  <c r="BA331"/>
  <c r="AZ331" s="1"/>
  <c r="BL331"/>
  <c r="G332"/>
  <c r="G335"/>
  <c r="BL336"/>
  <c r="BA338"/>
  <c r="AZ338"/>
  <c r="BA339"/>
  <c r="BL339"/>
  <c r="AZ339" s="1"/>
  <c r="G340"/>
  <c r="G343"/>
  <c r="BL344"/>
  <c r="BA346"/>
  <c r="AZ346" s="1"/>
  <c r="BA347"/>
  <c r="BL347"/>
  <c r="G348"/>
  <c r="G351"/>
  <c r="BL352"/>
  <c r="BA354"/>
  <c r="BA355"/>
  <c r="AZ355" s="1"/>
  <c r="BL355"/>
  <c r="G356"/>
  <c r="AZ127"/>
  <c r="BA358"/>
  <c r="AZ358" s="1"/>
  <c r="BA359"/>
  <c r="BL359"/>
  <c r="AZ359" s="1"/>
  <c r="G360"/>
  <c r="G361"/>
  <c r="BL362"/>
  <c r="BA364"/>
  <c r="AZ364"/>
  <c r="BA365"/>
  <c r="AZ365"/>
  <c r="BL365"/>
  <c r="G366"/>
  <c r="G369"/>
  <c r="BL370"/>
  <c r="BA372"/>
  <c r="AZ372" s="1"/>
  <c r="BA373"/>
  <c r="BL373"/>
  <c r="AZ373"/>
  <c r="G374"/>
  <c r="G377"/>
  <c r="BL378"/>
  <c r="BA380"/>
  <c r="AZ380" s="1"/>
  <c r="BA381"/>
  <c r="AZ381" s="1"/>
  <c r="BL381"/>
  <c r="G382"/>
  <c r="G385"/>
  <c r="AZ154"/>
  <c r="AZ158"/>
  <c r="AZ162"/>
  <c r="AZ166"/>
  <c r="AZ170"/>
  <c r="AZ174"/>
  <c r="AZ179"/>
  <c r="AZ183"/>
  <c r="AZ187"/>
  <c r="AZ191"/>
  <c r="AZ195"/>
  <c r="AZ199"/>
  <c r="AZ203"/>
  <c r="G523"/>
  <c r="BL297"/>
  <c r="AZ297"/>
  <c r="G298"/>
  <c r="BA300"/>
  <c r="BL301"/>
  <c r="AZ301"/>
  <c r="G302"/>
  <c r="BA304"/>
  <c r="AZ304" s="1"/>
  <c r="BL305"/>
  <c r="AZ305" s="1"/>
  <c r="G306"/>
  <c r="BA308"/>
  <c r="AZ308" s="1"/>
  <c r="BL309"/>
  <c r="G310"/>
  <c r="BA310"/>
  <c r="AZ310" s="1"/>
  <c r="BL311"/>
  <c r="AZ311" s="1"/>
  <c r="G312"/>
  <c r="BA312"/>
  <c r="AZ312" s="1"/>
  <c r="BL313"/>
  <c r="G314"/>
  <c r="BA314"/>
  <c r="AZ314" s="1"/>
  <c r="BL315"/>
  <c r="AZ315" s="1"/>
  <c r="G316"/>
  <c r="BA316"/>
  <c r="AZ316" s="1"/>
  <c r="BL317"/>
  <c r="AZ317" s="1"/>
  <c r="G318"/>
  <c r="BA320"/>
  <c r="AZ320" s="1"/>
  <c r="BL321"/>
  <c r="G322"/>
  <c r="BA324"/>
  <c r="AZ324" s="1"/>
  <c r="BL325"/>
  <c r="AZ325" s="1"/>
  <c r="G326"/>
  <c r="BA328"/>
  <c r="AZ328" s="1"/>
  <c r="BL329"/>
  <c r="AZ329" s="1"/>
  <c r="G330"/>
  <c r="BA332"/>
  <c r="AZ332" s="1"/>
  <c r="BL333"/>
  <c r="G334"/>
  <c r="BA336"/>
  <c r="AZ336" s="1"/>
  <c r="BL337"/>
  <c r="AZ337" s="1"/>
  <c r="G338"/>
  <c r="BA340"/>
  <c r="AZ340" s="1"/>
  <c r="BL341"/>
  <c r="G342"/>
  <c r="BA344"/>
  <c r="AZ344" s="1"/>
  <c r="BL345"/>
  <c r="AZ345" s="1"/>
  <c r="G346"/>
  <c r="BA348"/>
  <c r="AZ348" s="1"/>
  <c r="BL349"/>
  <c r="AZ349" s="1"/>
  <c r="G350"/>
  <c r="BA352"/>
  <c r="AZ352" s="1"/>
  <c r="BL353"/>
  <c r="G354"/>
  <c r="BA356"/>
  <c r="AZ356" s="1"/>
  <c r="BL357"/>
  <c r="AZ357" s="1"/>
  <c r="G358"/>
  <c r="BA362"/>
  <c r="AZ362" s="1"/>
  <c r="BL363"/>
  <c r="G364"/>
  <c r="BA366"/>
  <c r="AZ366" s="1"/>
  <c r="BL367"/>
  <c r="AZ367" s="1"/>
  <c r="AZ205"/>
  <c r="AZ209"/>
  <c r="AZ213"/>
  <c r="AZ217"/>
  <c r="AZ221"/>
  <c r="AZ225"/>
  <c r="AZ229"/>
  <c r="AZ233"/>
  <c r="AZ237"/>
  <c r="AZ241"/>
  <c r="AZ245"/>
  <c r="AZ309"/>
  <c r="AZ321"/>
  <c r="AZ333"/>
  <c r="AZ341"/>
  <c r="AZ353"/>
  <c r="AZ363"/>
  <c r="G368"/>
  <c r="BA370"/>
  <c r="AZ370" s="1"/>
  <c r="BL371"/>
  <c r="AZ371" s="1"/>
  <c r="G372"/>
  <c r="BA374"/>
  <c r="AZ374"/>
  <c r="BL375"/>
  <c r="G376"/>
  <c r="BA378"/>
  <c r="AZ378"/>
  <c r="BL379"/>
  <c r="AZ379"/>
  <c r="G380"/>
  <c r="BA382"/>
  <c r="AZ382" s="1"/>
  <c r="BL383"/>
  <c r="G384"/>
  <c r="AZ249"/>
  <c r="AZ253"/>
  <c r="AZ257"/>
  <c r="AZ261"/>
  <c r="AZ265"/>
  <c r="AZ375"/>
  <c r="AZ383"/>
  <c r="AZ270"/>
  <c r="AZ274"/>
  <c r="AZ278"/>
  <c r="AZ282"/>
  <c r="AZ286"/>
  <c r="AZ290"/>
  <c r="AZ295"/>
  <c r="AZ303"/>
  <c r="AZ313"/>
  <c r="AZ319"/>
  <c r="AZ335"/>
  <c r="AZ347"/>
  <c r="AZ351"/>
  <c r="AZ361"/>
  <c r="AZ369"/>
  <c r="AZ385"/>
  <c r="AZ426"/>
  <c r="AZ430"/>
  <c r="AZ434"/>
  <c r="AZ438"/>
  <c r="AZ442"/>
  <c r="AZ446"/>
  <c r="AZ450"/>
  <c r="AZ455"/>
  <c r="AZ459"/>
  <c r="AZ463"/>
  <c r="AZ467"/>
  <c r="AZ471"/>
  <c r="AZ475"/>
  <c r="AZ479"/>
  <c r="H113" i="46"/>
  <c r="F33"/>
  <c r="F37"/>
  <c r="H9" i="48"/>
  <c r="C12" i="46"/>
  <c r="AB16" i="35"/>
  <c r="AB15" i="37"/>
  <c r="U43" i="21"/>
  <c r="AA13" i="40"/>
  <c r="E78"/>
  <c r="F78" s="1"/>
  <c r="G78" s="1"/>
  <c r="H78" s="1"/>
  <c r="I78" s="1"/>
  <c r="J78" s="1"/>
  <c r="K78" s="1"/>
  <c r="L78" s="1"/>
  <c r="M78" s="1"/>
  <c r="BH5" i="3"/>
  <c r="R16" i="4"/>
  <c r="P16"/>
  <c r="D3" i="35"/>
  <c r="G4" i="4"/>
  <c r="S37" i="34"/>
  <c r="J16" i="35"/>
  <c r="W16" s="1"/>
  <c r="AC26" i="36"/>
  <c r="W25" i="35"/>
  <c r="AZ300" i="3"/>
  <c r="AZ354"/>
  <c r="AZ322"/>
  <c r="H13" i="39"/>
  <c r="AB13" s="1"/>
  <c r="F13"/>
  <c r="J13"/>
  <c r="AC13" s="1"/>
  <c r="AA36" i="35"/>
  <c r="H11" i="37"/>
  <c r="AB11" s="1"/>
  <c r="W37"/>
  <c r="AA30" i="33"/>
  <c r="AA36" i="37"/>
  <c r="S42" i="33"/>
  <c r="U32"/>
  <c r="AB17" i="37"/>
  <c r="AZ516" i="3"/>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J32"/>
  <c r="AC32" s="1"/>
  <c r="G13" i="3"/>
  <c r="AC5"/>
  <c r="F17" i="21"/>
  <c r="S17" s="1"/>
  <c r="H17"/>
  <c r="AB17" s="1"/>
  <c r="J17"/>
  <c r="AC1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s="1"/>
  <c r="G80" s="1"/>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H32" i="37"/>
  <c r="AB32" s="1"/>
  <c r="F19" i="39"/>
  <c r="S19" s="1"/>
  <c r="H19"/>
  <c r="AB19" s="1"/>
  <c r="J19"/>
  <c r="W19" s="1"/>
  <c r="F43"/>
  <c r="S43" s="1"/>
  <c r="H43"/>
  <c r="U43" s="1"/>
  <c r="J43"/>
  <c r="W43" s="1"/>
  <c r="AC27" i="37"/>
  <c r="U25" i="35"/>
  <c r="S45" i="34"/>
  <c r="U31"/>
  <c r="AC40" i="37"/>
  <c r="W40"/>
  <c r="W27" i="33"/>
  <c r="AC45" i="21"/>
  <c r="S28" i="33"/>
  <c r="S14" i="21"/>
  <c r="AA44" i="34"/>
  <c r="AB29" i="35"/>
  <c r="U29"/>
  <c r="AC19" i="33"/>
  <c r="W19"/>
  <c r="U43" i="34"/>
  <c r="AB43"/>
  <c r="AC34" i="37"/>
  <c r="S35"/>
  <c r="AA35"/>
  <c r="AB10" i="35"/>
  <c r="AA32" i="21"/>
  <c r="S32"/>
  <c r="U38"/>
  <c r="AB34"/>
  <c r="BL571" i="3"/>
  <c r="BA571"/>
  <c r="AZ571" s="1"/>
  <c r="BL570"/>
  <c r="BE5"/>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s="1"/>
  <c r="G78" s="1"/>
  <c r="H78" s="1"/>
  <c r="I78" s="1"/>
  <c r="J78" s="1"/>
  <c r="K78" s="1"/>
  <c r="L78" s="1"/>
  <c r="M78" s="1"/>
  <c r="F26"/>
  <c r="S26" s="1"/>
  <c r="U34"/>
  <c r="AB34"/>
  <c r="H33"/>
  <c r="U33" s="1"/>
  <c r="F33"/>
  <c r="AA33" s="1"/>
  <c r="H27"/>
  <c r="AB27" s="1"/>
  <c r="AA31"/>
  <c r="AC25" i="37"/>
  <c r="AB29"/>
  <c r="AA30"/>
  <c r="S30"/>
  <c r="AC30"/>
  <c r="AC31"/>
  <c r="W31"/>
  <c r="AB14"/>
  <c r="F21" i="39"/>
  <c r="S21" s="1"/>
  <c r="H21"/>
  <c r="J21"/>
  <c r="W21" s="1"/>
  <c r="F33"/>
  <c r="AA33" s="1"/>
  <c r="H33"/>
  <c r="U33" s="1"/>
  <c r="J33"/>
  <c r="AC33" s="1"/>
  <c r="F44"/>
  <c r="S44" s="1"/>
  <c r="H44"/>
  <c r="U44" s="1"/>
  <c r="J44"/>
  <c r="W44" s="1"/>
  <c r="E128"/>
  <c r="F128"/>
  <c r="G128" s="1"/>
  <c r="H128" s="1"/>
  <c r="I128" s="1"/>
  <c r="J128" s="1"/>
  <c r="K128" s="1"/>
  <c r="L128" s="1"/>
  <c r="M128" s="1"/>
  <c r="F46"/>
  <c r="S46" s="1"/>
  <c r="H46"/>
  <c r="U46" s="1"/>
  <c r="J46"/>
  <c r="W46" s="1"/>
  <c r="E103"/>
  <c r="F103" s="1"/>
  <c r="G103" s="1"/>
  <c r="F34"/>
  <c r="AA34" s="1"/>
  <c r="H34"/>
  <c r="AB34" s="1"/>
  <c r="J34"/>
  <c r="AC34" s="1"/>
  <c r="F39"/>
  <c r="H39"/>
  <c r="AB39" s="1"/>
  <c r="J39"/>
  <c r="J29" i="35"/>
  <c r="AC29" s="1"/>
  <c r="F29"/>
  <c r="S29" s="1"/>
  <c r="W30" i="36"/>
  <c r="AC30"/>
  <c r="F37" i="39"/>
  <c r="S37" s="1"/>
  <c r="H37"/>
  <c r="U37" s="1"/>
  <c r="J37"/>
  <c r="W37" s="1"/>
  <c r="BL568" i="3"/>
  <c r="BA568"/>
  <c r="AZ568"/>
  <c r="BL567"/>
  <c r="BA567"/>
  <c r="AZ567" s="1"/>
  <c r="BL566"/>
  <c r="AZ566" s="1"/>
  <c r="BL565"/>
  <c r="AZ565" s="1"/>
  <c r="BA564"/>
  <c r="AZ564" s="1"/>
  <c r="BA563"/>
  <c r="AZ563" s="1"/>
  <c r="BL554"/>
  <c r="AZ554" s="1"/>
  <c r="BA553"/>
  <c r="AZ553" s="1"/>
  <c r="BA552"/>
  <c r="AZ552" s="1"/>
  <c r="BL549"/>
  <c r="BA549"/>
  <c r="BL548"/>
  <c r="BA548"/>
  <c r="BL547"/>
  <c r="BA547"/>
  <c r="BL539"/>
  <c r="BA539"/>
  <c r="AZ539"/>
  <c r="BA538"/>
  <c r="BL537"/>
  <c r="BA537"/>
  <c r="BL536"/>
  <c r="AZ536"/>
  <c r="BA535"/>
  <c r="AZ535"/>
  <c r="BA534"/>
  <c r="AZ534"/>
  <c r="BA533"/>
  <c r="AZ533"/>
  <c r="BL531"/>
  <c r="AZ531"/>
  <c r="BL530"/>
  <c r="BA530"/>
  <c r="BL529"/>
  <c r="BA529"/>
  <c r="BL528"/>
  <c r="AZ528"/>
  <c r="BA527"/>
  <c r="AZ527"/>
  <c r="BA526"/>
  <c r="AZ526"/>
  <c r="BA525"/>
  <c r="AZ525"/>
  <c r="BL523"/>
  <c r="BA523"/>
  <c r="AZ523" s="1"/>
  <c r="BL522"/>
  <c r="BA522"/>
  <c r="AZ522"/>
  <c r="BL521"/>
  <c r="AZ521"/>
  <c r="BA519"/>
  <c r="AZ519"/>
  <c r="BL518"/>
  <c r="BA518"/>
  <c r="AZ518" s="1"/>
  <c r="BL517"/>
  <c r="BA517"/>
  <c r="AZ517"/>
  <c r="BL515"/>
  <c r="BA515"/>
  <c r="BA514"/>
  <c r="AZ514"/>
  <c r="BL513"/>
  <c r="BA513"/>
  <c r="AZ513" s="1"/>
  <c r="BL512"/>
  <c r="AZ512" s="1"/>
  <c r="BA511"/>
  <c r="AZ511" s="1"/>
  <c r="BA510"/>
  <c r="AZ510" s="1"/>
  <c r="BL509"/>
  <c r="AZ509" s="1"/>
  <c r="BL507"/>
  <c r="BA507"/>
  <c r="AZ507"/>
  <c r="BL506"/>
  <c r="BA506"/>
  <c r="AZ506" s="1"/>
  <c r="BL505"/>
  <c r="AZ505" s="1"/>
  <c r="BL504"/>
  <c r="BA504"/>
  <c r="BA503"/>
  <c r="AZ503" s="1"/>
  <c r="BA500"/>
  <c r="AZ500" s="1"/>
  <c r="BL499"/>
  <c r="BA499"/>
  <c r="AZ499"/>
  <c r="BL498"/>
  <c r="AZ498"/>
  <c r="BL497"/>
  <c r="BA497"/>
  <c r="BL496"/>
  <c r="BA496"/>
  <c r="AZ496" s="1"/>
  <c r="BA495"/>
  <c r="AZ495" s="1"/>
  <c r="BL494"/>
  <c r="BA494"/>
  <c r="AZ494"/>
  <c r="G494"/>
  <c r="BA491"/>
  <c r="AZ491" s="1"/>
  <c r="BL490"/>
  <c r="BA490"/>
  <c r="AZ490"/>
  <c r="BL489"/>
  <c r="BA489"/>
  <c r="AZ489" s="1"/>
  <c r="BL487"/>
  <c r="AZ487" s="1"/>
  <c r="BL486"/>
  <c r="BA486"/>
  <c r="BA485"/>
  <c r="AZ485" s="1"/>
  <c r="BA483"/>
  <c r="AZ483" s="1"/>
  <c r="BA482"/>
  <c r="AZ482" s="1"/>
  <c r="BL481"/>
  <c r="BJ5"/>
  <c r="BA481"/>
  <c r="AZ481" s="1"/>
  <c r="BB5"/>
  <c r="BL19"/>
  <c r="AZ19" s="1"/>
  <c r="BA18"/>
  <c r="F36" i="44"/>
  <c r="F114" i="34"/>
  <c r="G114" s="1"/>
  <c r="H114" s="1"/>
  <c r="I114" s="1"/>
  <c r="J114" s="1"/>
  <c r="K114" s="1"/>
  <c r="L114" s="1"/>
  <c r="M114" s="1"/>
  <c r="H38"/>
  <c r="U38" s="1"/>
  <c r="H30" i="40"/>
  <c r="AB30" s="1"/>
  <c r="G100"/>
  <c r="J30" s="1"/>
  <c r="AC30" s="1"/>
  <c r="F38"/>
  <c r="AA38" s="1"/>
  <c r="AA36" i="34"/>
  <c r="S35" i="21"/>
  <c r="AB10"/>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E97"/>
  <c r="F23" s="1"/>
  <c r="AA23" s="1"/>
  <c r="F27"/>
  <c r="AA27" s="1"/>
  <c r="H27"/>
  <c r="AB27" s="1"/>
  <c r="J27"/>
  <c r="AC27" s="1"/>
  <c r="F15" i="40"/>
  <c r="AA15" s="1"/>
  <c r="J15"/>
  <c r="H15"/>
  <c r="AB15" s="1"/>
  <c r="E92"/>
  <c r="F92" s="1"/>
  <c r="G92" s="1"/>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3"/>
  <c r="AB33" s="1"/>
  <c r="F33"/>
  <c r="AA33" s="1"/>
  <c r="J33"/>
  <c r="AC33" s="1"/>
  <c r="H35"/>
  <c r="AB35" s="1"/>
  <c r="F35"/>
  <c r="AA35" s="1"/>
  <c r="J35"/>
  <c r="AC35" s="1"/>
  <c r="J38" i="39"/>
  <c r="W38" s="1"/>
  <c r="H38"/>
  <c r="U38" s="1"/>
  <c r="J16" i="40"/>
  <c r="W16" s="1"/>
  <c r="J14"/>
  <c r="W14" s="1"/>
  <c r="H42"/>
  <c r="H40"/>
  <c r="U40" s="1"/>
  <c r="H34"/>
  <c r="U34" s="1"/>
  <c r="AZ431" i="3"/>
  <c r="AZ439"/>
  <c r="AZ454"/>
  <c r="B41" i="1"/>
  <c r="F27" i="43" s="1"/>
  <c r="J42" i="40"/>
  <c r="AC42" s="1"/>
  <c r="J40"/>
  <c r="AC40" s="1"/>
  <c r="J34"/>
  <c r="AC34" s="1"/>
  <c r="H16"/>
  <c r="AB16" s="1"/>
  <c r="H14"/>
  <c r="U14" s="1"/>
  <c r="AZ428" i="3"/>
  <c r="AZ433"/>
  <c r="AZ436"/>
  <c r="AZ441"/>
  <c r="AZ444"/>
  <c r="AZ449"/>
  <c r="AZ452"/>
  <c r="M6" i="46"/>
  <c r="N2"/>
  <c r="F47"/>
  <c r="H49" s="1"/>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11" i="46"/>
  <c r="N6"/>
  <c r="AZ164" i="3"/>
  <c r="AZ167"/>
  <c r="AZ177"/>
  <c r="AZ180"/>
  <c r="AZ24"/>
  <c r="AZ32"/>
  <c r="AZ40"/>
  <c r="AZ48"/>
  <c r="AZ56"/>
  <c r="AZ63"/>
  <c r="AZ71"/>
  <c r="AZ79"/>
  <c r="AZ91"/>
  <c r="AZ99"/>
  <c r="AZ107"/>
  <c r="AZ112"/>
  <c r="H47" i="46"/>
  <c r="J13" i="40"/>
  <c r="W13" s="1"/>
  <c r="AB14"/>
  <c r="F34" i="44"/>
  <c r="F66" i="9"/>
  <c r="P72" s="1"/>
  <c r="F72"/>
  <c r="AC14" i="40"/>
  <c r="W35"/>
  <c r="S33"/>
  <c r="AC47" i="39"/>
  <c r="S47"/>
  <c r="U37" i="34"/>
  <c r="AB37"/>
  <c r="AC41" i="40"/>
  <c r="W41"/>
  <c r="U41"/>
  <c r="J23"/>
  <c r="AC23" s="1"/>
  <c r="F23"/>
  <c r="S23" s="1"/>
  <c r="AC15"/>
  <c r="W15"/>
  <c r="W27" i="39"/>
  <c r="AB16"/>
  <c r="W14"/>
  <c r="U23" i="35"/>
  <c r="AB23"/>
  <c r="H20"/>
  <c r="F20"/>
  <c r="S20" s="1"/>
  <c r="H15" i="34"/>
  <c r="AB15" s="1"/>
  <c r="F78"/>
  <c r="G78" s="1"/>
  <c r="J15"/>
  <c r="H41" i="33"/>
  <c r="U41" s="1"/>
  <c r="F121"/>
  <c r="G121" s="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U46" i="34"/>
  <c r="AC30"/>
  <c r="AA14"/>
  <c r="W12"/>
  <c r="U29" i="33"/>
  <c r="AC13"/>
  <c r="U17" i="34"/>
  <c r="AA11"/>
  <c r="W32" i="33"/>
  <c r="H15"/>
  <c r="U15" s="1"/>
  <c r="AA11"/>
  <c r="AA40" i="21"/>
  <c r="S13" i="39"/>
  <c r="AA13"/>
  <c r="U16" i="40"/>
  <c r="W34"/>
  <c r="AB34"/>
  <c r="AB42"/>
  <c r="U42"/>
  <c r="AC16"/>
  <c r="W32"/>
  <c r="H25"/>
  <c r="AB25" s="1"/>
  <c r="F94"/>
  <c r="G94" s="1"/>
  <c r="U47" i="39"/>
  <c r="J37" i="34"/>
  <c r="AC37" s="1"/>
  <c r="J36" i="33"/>
  <c r="W36" s="1"/>
  <c r="S41" i="40"/>
  <c r="AB23"/>
  <c r="H23" i="39"/>
  <c r="AB23" s="1"/>
  <c r="F97"/>
  <c r="G97" s="1"/>
  <c r="S16"/>
  <c r="S15" i="34"/>
  <c r="AA15"/>
  <c r="AA41" i="33"/>
  <c r="AA34"/>
  <c r="F106"/>
  <c r="G106" s="1"/>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F32" i="37"/>
  <c r="S32" s="1"/>
  <c r="U11" i="35"/>
  <c r="AB11"/>
  <c r="S46" i="34"/>
  <c r="U32"/>
  <c r="U14"/>
  <c r="AC14"/>
  <c r="U12"/>
  <c r="AB13" i="33"/>
  <c r="F17" i="34"/>
  <c r="AA17" s="1"/>
  <c r="J17"/>
  <c r="AC17" s="1"/>
  <c r="H11"/>
  <c r="AB11" s="1"/>
  <c r="J35" i="33"/>
  <c r="W35" s="1"/>
  <c r="S32"/>
  <c r="AC15"/>
  <c r="H11"/>
  <c r="U11" s="1"/>
  <c r="H10"/>
  <c r="U10" s="1"/>
  <c r="I66"/>
  <c r="J10"/>
  <c r="AC10" s="1"/>
  <c r="U40" i="21"/>
  <c r="U11" i="37"/>
  <c r="U13" i="39"/>
  <c r="AC16" i="35"/>
  <c r="AC13" i="40"/>
  <c r="J11" i="34"/>
  <c r="W11" s="1"/>
  <c r="F25" i="40"/>
  <c r="AA25" s="1"/>
  <c r="J11" i="33"/>
  <c r="W11" s="1"/>
  <c r="H33" i="37"/>
  <c r="AB33" s="1"/>
  <c r="W15" i="34"/>
  <c r="AC15"/>
  <c r="U20" i="35"/>
  <c r="AB20"/>
  <c r="W23" i="40"/>
  <c r="D73" i="9"/>
  <c r="N73" s="1"/>
  <c r="AP11" i="1"/>
  <c r="J51" i="15"/>
  <c r="B11" i="1"/>
  <c r="E11" s="1"/>
  <c r="B9"/>
  <c r="E9" s="1"/>
  <c r="B7"/>
  <c r="E7" s="1"/>
  <c r="E2" i="65"/>
  <c r="N10" i="46" l="1"/>
  <c r="N3"/>
  <c r="M7"/>
  <c r="N7"/>
  <c r="N5"/>
  <c r="F58" s="1"/>
  <c r="M10"/>
  <c r="M1"/>
  <c r="F32" i="40"/>
  <c r="AA32" s="1"/>
  <c r="H8" i="48"/>
  <c r="H16"/>
  <c r="F35" i="46"/>
  <c r="H17"/>
  <c r="H7" i="48"/>
  <c r="H12"/>
  <c r="U40" i="39"/>
  <c r="D3" i="21"/>
  <c r="C7" i="37"/>
  <c r="G17" i="46"/>
  <c r="G19"/>
  <c r="H29" i="39"/>
  <c r="U29" s="1"/>
  <c r="U27" i="33"/>
  <c r="AB27"/>
  <c r="AC9" i="34"/>
  <c r="W9"/>
  <c r="AA31" i="33"/>
  <c r="S31"/>
  <c r="AC23" i="35"/>
  <c r="W23"/>
  <c r="U27" i="37"/>
  <c r="AB27"/>
  <c r="F91" i="39"/>
  <c r="G91" s="1"/>
  <c r="F17"/>
  <c r="AA17" s="1"/>
  <c r="J17"/>
  <c r="W17" s="1"/>
  <c r="H17"/>
  <c r="U17" s="1"/>
  <c r="J17" i="40"/>
  <c r="F86"/>
  <c r="G86" s="1"/>
  <c r="AZ392" i="3"/>
  <c r="AZ397"/>
  <c r="AZ408"/>
  <c r="AZ413"/>
  <c r="AZ424"/>
  <c r="AZ520"/>
  <c r="S12" i="21"/>
  <c r="AA12"/>
  <c r="F123"/>
  <c r="G123" s="1"/>
  <c r="H123" s="1"/>
  <c r="I123" s="1"/>
  <c r="J123" s="1"/>
  <c r="K123" s="1"/>
  <c r="L123" s="1"/>
  <c r="M123" s="1"/>
  <c r="J42"/>
  <c r="F42"/>
  <c r="AA42" s="1"/>
  <c r="H42"/>
  <c r="AB42" s="1"/>
  <c r="AC9" i="33"/>
  <c r="W9"/>
  <c r="AC24" i="35"/>
  <c r="W24"/>
  <c r="W26" i="37"/>
  <c r="AC26"/>
  <c r="C92" i="9"/>
  <c r="AZ211" i="3"/>
  <c r="AZ216"/>
  <c r="AZ227"/>
  <c r="AZ232"/>
  <c r="AZ243"/>
  <c r="AZ248"/>
  <c r="AZ259"/>
  <c r="AZ264"/>
  <c r="AZ271"/>
  <c r="AZ275"/>
  <c r="AZ287"/>
  <c r="AZ291"/>
  <c r="AZ113"/>
  <c r="AZ116"/>
  <c r="AZ129"/>
  <c r="AZ132"/>
  <c r="AZ149"/>
  <c r="S17" i="34"/>
  <c r="AC36" i="33"/>
  <c r="F71" i="9"/>
  <c r="W40" i="40"/>
  <c r="U31" i="37"/>
  <c r="S39" i="33"/>
  <c r="AC23" i="37"/>
  <c r="AC41" i="34"/>
  <c r="AB31" i="33"/>
  <c r="AC13" i="36"/>
  <c r="AB13" i="21"/>
  <c r="U30" i="33"/>
  <c r="AB13" i="35"/>
  <c r="AA38" i="37"/>
  <c r="AC34" i="36"/>
  <c r="H11" i="21"/>
  <c r="U11" s="1"/>
  <c r="C23" i="39"/>
  <c r="J12" i="21"/>
  <c r="H19"/>
  <c r="AB19" s="1"/>
  <c r="H35"/>
  <c r="AB35" s="1"/>
  <c r="H5" i="3"/>
  <c r="F9" i="33"/>
  <c r="AA9" s="1"/>
  <c r="F12"/>
  <c r="F9" i="34"/>
  <c r="AA9" s="1"/>
  <c r="J9" i="35"/>
  <c r="W9" s="1"/>
  <c r="F34"/>
  <c r="F26" i="37"/>
  <c r="AA26" s="1"/>
  <c r="A14" i="55"/>
  <c r="B65" i="63" s="1"/>
  <c r="AZ432" i="3"/>
  <c r="AZ437"/>
  <c r="AZ443"/>
  <c r="AZ457"/>
  <c r="AZ462"/>
  <c r="AZ473"/>
  <c r="AZ478"/>
  <c r="AZ318"/>
  <c r="AZ334"/>
  <c r="AZ160"/>
  <c r="AZ163"/>
  <c r="AZ176"/>
  <c r="AZ182"/>
  <c r="AZ190"/>
  <c r="AZ198"/>
  <c r="AZ204"/>
  <c r="AZ26"/>
  <c r="AZ29"/>
  <c r="AZ36"/>
  <c r="AZ42"/>
  <c r="AZ45"/>
  <c r="AZ52"/>
  <c r="AZ58"/>
  <c r="AZ61"/>
  <c r="AZ67"/>
  <c r="AZ22"/>
  <c r="B13" i="1"/>
  <c r="E13" s="1"/>
  <c r="K13"/>
  <c r="M13" s="1"/>
  <c r="G22" i="3"/>
  <c r="AZ85"/>
  <c r="AZ104"/>
  <c r="AZ108"/>
  <c r="AZ111"/>
  <c r="I21" i="57"/>
  <c r="D1" s="1"/>
  <c r="E10" s="1"/>
  <c r="K7" i="1"/>
  <c r="M7" s="1"/>
  <c r="O7" s="1"/>
  <c r="P7" s="1"/>
  <c r="C18" i="9"/>
  <c r="H113" i="21"/>
  <c r="F37"/>
  <c r="S37" s="1"/>
  <c r="H37"/>
  <c r="U37" s="1"/>
  <c r="J37"/>
  <c r="W37" s="1"/>
  <c r="AA36"/>
  <c r="AC35"/>
  <c r="U19"/>
  <c r="U17"/>
  <c r="U42"/>
  <c r="AC40"/>
  <c r="U39"/>
  <c r="AA38"/>
  <c r="J42" i="39"/>
  <c r="AC42" s="1"/>
  <c r="H42"/>
  <c r="AB42" s="1"/>
  <c r="F42"/>
  <c r="S33"/>
  <c r="S40"/>
  <c r="AA43" i="21"/>
  <c r="AB44"/>
  <c r="S46"/>
  <c r="S10"/>
  <c r="W9"/>
  <c r="W8"/>
  <c r="S8"/>
  <c r="AB44" i="39"/>
  <c r="AB25"/>
  <c r="J36"/>
  <c r="AC36" s="1"/>
  <c r="F36"/>
  <c r="AA36" s="1"/>
  <c r="H36"/>
  <c r="J23"/>
  <c r="AC23" s="1"/>
  <c r="S23"/>
  <c r="AA19"/>
  <c r="S17"/>
  <c r="U19"/>
  <c r="AA43"/>
  <c r="W33"/>
  <c r="AC43"/>
  <c r="U34"/>
  <c r="U27"/>
  <c r="U32" i="40"/>
  <c r="AB32"/>
  <c r="C7" i="21"/>
  <c r="C7" i="34"/>
  <c r="C7" i="36"/>
  <c r="C9" i="39"/>
  <c r="C70" s="1"/>
  <c r="C9" i="40"/>
  <c r="C65" s="1"/>
  <c r="N67" i="9"/>
  <c r="D38" i="4"/>
  <c r="C39" s="1"/>
  <c r="W15" i="39"/>
  <c r="A30" i="51"/>
  <c r="A30" i="64"/>
  <c r="A2" i="55"/>
  <c r="B55" i="63" s="1"/>
  <c r="A11" i="55"/>
  <c r="B62" i="63" s="1"/>
  <c r="G10" i="1"/>
  <c r="G13"/>
  <c r="F6"/>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30"/>
  <c r="C25" s="1"/>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11" i="44"/>
  <c r="F38" i="15"/>
  <c r="F7"/>
  <c r="F13"/>
  <c r="L48" i="44"/>
  <c r="M11"/>
  <c r="F45"/>
  <c r="M28"/>
  <c r="M22" i="15"/>
  <c r="F43" i="44"/>
  <c r="M31"/>
  <c r="M25"/>
  <c r="F40"/>
  <c r="F8"/>
  <c r="L49"/>
  <c r="J36" i="15"/>
  <c r="M29" i="44"/>
  <c r="F37" i="15"/>
  <c r="F15" i="44"/>
  <c r="M9" i="15"/>
  <c r="F39" i="44"/>
  <c r="F18"/>
  <c r="J17"/>
  <c r="F28"/>
  <c r="M10"/>
  <c r="M30"/>
  <c r="F36" i="15"/>
  <c r="F38" i="44"/>
  <c r="M24"/>
  <c r="F9"/>
  <c r="M8"/>
  <c r="F16" i="15"/>
  <c r="F26"/>
  <c r="F10" i="44"/>
  <c r="M26"/>
  <c r="F40" i="15"/>
  <c r="AB29" i="39" l="1"/>
  <c r="AB17"/>
  <c r="C58" i="21"/>
  <c r="D58" s="1"/>
  <c r="E58" s="1"/>
  <c r="F58" s="1"/>
  <c r="G58" s="1"/>
  <c r="H58" s="1"/>
  <c r="I58" s="1"/>
  <c r="J58" s="1"/>
  <c r="K58" s="1"/>
  <c r="L58" s="1"/>
  <c r="M58" s="1"/>
  <c r="N58" s="1"/>
  <c r="O58" s="1"/>
  <c r="I7"/>
  <c r="E7"/>
  <c r="G7"/>
  <c r="AA34" i="35"/>
  <c r="S34"/>
  <c r="AC12" i="21"/>
  <c r="W12"/>
  <c r="AC42"/>
  <c r="W42"/>
  <c r="E413" i="3"/>
  <c r="C33" i="21"/>
  <c r="S12" i="33"/>
  <c r="AA12"/>
  <c r="AC23" i="21"/>
  <c r="AA42" i="39"/>
  <c r="S42"/>
  <c r="W36"/>
  <c r="S36"/>
  <c r="AB36"/>
  <c r="U36"/>
  <c r="G6" i="1"/>
  <c r="G16" s="1"/>
  <c r="J12" i="40" s="1"/>
  <c r="I55" i="44"/>
  <c r="J54"/>
  <c r="L60"/>
  <c r="Q63" s="1"/>
  <c r="L59"/>
  <c r="Q75" s="1"/>
  <c r="J60"/>
  <c r="J58"/>
  <c r="J56" s="1"/>
  <c r="J59" s="1"/>
  <c r="Q52" s="1"/>
  <c r="L57"/>
  <c r="J61"/>
  <c r="Q50" s="1"/>
  <c r="E86" i="3"/>
  <c r="AE11" i="46"/>
  <c r="AE13" s="1"/>
  <c r="F29" i="6"/>
  <c r="F28"/>
  <c r="Q73" i="44"/>
  <c r="C12"/>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E35" s="1"/>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F7"/>
  <c r="E48" i="35"/>
  <c r="F48" s="1"/>
  <c r="G48" s="1"/>
  <c r="H48" s="1"/>
  <c r="I48" s="1"/>
  <c r="J48" s="1"/>
  <c r="K48" s="1"/>
  <c r="L48" s="1"/>
  <c r="M48" s="1"/>
  <c r="N48" s="1"/>
  <c r="O48" s="1"/>
  <c r="J7"/>
  <c r="AC7" s="1"/>
  <c r="V38" s="1"/>
  <c r="I38" s="1"/>
  <c r="E46" i="36"/>
  <c r="F46" s="1"/>
  <c r="G46" s="1"/>
  <c r="H46" s="1"/>
  <c r="I46" s="1"/>
  <c r="J46" s="1"/>
  <c r="K46" s="1"/>
  <c r="L46" s="1"/>
  <c r="M46" s="1"/>
  <c r="N46" s="1"/>
  <c r="O46" s="1"/>
  <c r="H7"/>
  <c r="AB7" s="1"/>
  <c r="T36" s="1"/>
  <c r="G36" s="1"/>
  <c r="G40" s="1"/>
  <c r="H40"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63"/>
  <c r="F67"/>
  <c r="M7"/>
  <c r="F49"/>
  <c r="F65"/>
  <c r="G66" i="36"/>
  <c r="J18"/>
  <c r="AE8" i="1"/>
  <c r="AE6"/>
  <c r="F31" i="15"/>
  <c r="F58"/>
  <c r="F33" i="44"/>
  <c r="M17" i="15"/>
  <c r="M19" i="44"/>
  <c r="J15" i="15"/>
  <c r="M24"/>
  <c r="C18" i="44"/>
  <c r="F6" i="15"/>
  <c r="M28"/>
  <c r="L47"/>
  <c r="F46" i="44"/>
  <c r="M8" i="15"/>
  <c r="F43"/>
  <c r="M26"/>
  <c r="L48"/>
  <c r="M27"/>
  <c r="M23"/>
  <c r="F9"/>
  <c r="M6"/>
  <c r="M29"/>
  <c r="F42"/>
  <c r="F8"/>
  <c r="C16"/>
  <c r="F50" l="1"/>
  <c r="C48" s="1"/>
  <c r="J53"/>
  <c r="F1" s="1"/>
  <c r="J57"/>
  <c r="J55" s="1"/>
  <c r="J58" s="1"/>
  <c r="Q51" s="1"/>
  <c r="I54"/>
  <c r="L56"/>
  <c r="C6"/>
  <c r="C10"/>
  <c r="L58"/>
  <c r="Q74" s="1"/>
  <c r="L59"/>
  <c r="Q75" s="1"/>
  <c r="F70"/>
  <c r="J33" i="21"/>
  <c r="F33"/>
  <c r="H33"/>
  <c r="J7" i="36"/>
  <c r="W7" s="1"/>
  <c r="F7"/>
  <c r="H7" i="35"/>
  <c r="AB7" s="1"/>
  <c r="T38" s="1"/>
  <c r="G38" s="1"/>
  <c r="G42" s="1"/>
  <c r="H42" s="1"/>
  <c r="F7"/>
  <c r="H7" i="34"/>
  <c r="AB7" s="1"/>
  <c r="T49" s="1"/>
  <c r="G49" s="1"/>
  <c r="G53" s="1"/>
  <c r="H53" s="1"/>
  <c r="J7"/>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53"/>
  <c r="C20" i="11"/>
  <c r="C21" s="1"/>
  <c r="C22" s="1"/>
  <c r="C23" s="1"/>
  <c r="B2" s="1"/>
  <c r="AC12" i="40"/>
  <c r="W12"/>
  <c r="E46" i="37"/>
  <c r="F46" s="1"/>
  <c r="C48" i="33"/>
  <c r="C49"/>
  <c r="B3" s="1"/>
  <c r="B2" s="1"/>
  <c r="AE7" i="1"/>
  <c r="L52" i="44"/>
  <c r="F7" i="67"/>
  <c r="Q62" i="15" l="1"/>
  <c r="L19" i="6"/>
  <c r="AA33" i="21"/>
  <c r="S33"/>
  <c r="U33"/>
  <c r="AB33"/>
  <c r="W33"/>
  <c r="AC33"/>
  <c r="S6" i="46"/>
  <c r="T6" s="1"/>
  <c r="V6" s="1"/>
  <c r="S7"/>
  <c r="T7" s="1"/>
  <c r="V7" s="1"/>
  <c r="S4"/>
  <c r="T4" s="1"/>
  <c r="V4" s="1"/>
  <c r="S5"/>
  <c r="T5" s="1"/>
  <c r="V5" s="1"/>
  <c r="S2"/>
  <c r="T2" s="1"/>
  <c r="V2" s="1"/>
  <c r="S3"/>
  <c r="T3" s="1"/>
  <c r="V3" s="1"/>
  <c r="AB12" i="39"/>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B14" i="66" s="1"/>
  <c r="B1" s="1"/>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E7" i="67"/>
  <c r="F41" i="15"/>
  <c r="C19" i="44"/>
  <c r="C17" i="15"/>
  <c r="F68" l="1"/>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O14" i="1"/>
  <c r="M16"/>
  <c r="T7"/>
  <c r="C43" i="37"/>
  <c r="B3" s="1"/>
  <c r="B2" s="1"/>
  <c r="C42"/>
  <c r="C49" i="34"/>
  <c r="E54"/>
  <c r="F54" s="1"/>
  <c r="I54"/>
  <c r="J54" s="1"/>
  <c r="E53"/>
  <c r="F53" s="1"/>
  <c r="I52" i="21"/>
  <c r="J52" s="1"/>
  <c r="E48"/>
  <c r="R49"/>
  <c r="G52"/>
  <c r="H52" s="1"/>
  <c r="G53"/>
  <c r="H53" s="1"/>
  <c r="G67" i="40"/>
  <c r="H65"/>
  <c r="G72" i="39"/>
  <c r="H70"/>
  <c r="B7" i="67"/>
  <c r="C14" i="66" l="1"/>
  <c r="B2" s="1"/>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I53"/>
  <c r="J53" s="1"/>
  <c r="I70" i="39"/>
  <c r="H72"/>
  <c r="I65" i="40"/>
  <c r="H67"/>
  <c r="C16" i="44"/>
  <c r="C14" i="15"/>
  <c r="B2" i="21" l="1"/>
  <c r="C10" i="12" s="1"/>
  <c r="C8"/>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1"/>
  <c r="F37" i="44"/>
  <c r="F35" i="15"/>
  <c r="M23" i="44"/>
  <c r="C21" l="1"/>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Q49" s="1"/>
  <c r="C23" i="12"/>
  <c r="C19" i="43"/>
  <c r="C22" s="1"/>
  <c r="C21" s="1"/>
  <c r="K67" i="40"/>
  <c r="L65"/>
  <c r="K72" i="39"/>
  <c r="L70"/>
  <c r="C33" i="44" l="1"/>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C58"/>
  <c r="Q70" i="44"/>
  <c r="Q49"/>
  <c r="Q55" s="1"/>
  <c r="Q58"/>
  <c r="Q64" s="1"/>
  <c r="C57" i="15"/>
  <c r="C66" s="1"/>
  <c r="C67" s="1"/>
  <c r="C70" s="1"/>
  <c r="Q70"/>
  <c r="Q69"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8" i="12" s="1"/>
  <c r="D10"/>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4" i="12" l="1"/>
  <c r="C29"/>
  <c r="F68" i="39"/>
  <c r="B2" s="1"/>
  <c r="F63" i="40"/>
  <c r="B2" s="1"/>
  <c r="C19" i="9"/>
  <c r="C28" i="12" l="1"/>
  <c r="C26" s="1"/>
  <c r="C31" s="1"/>
  <c r="C30" s="1"/>
  <c r="C35"/>
  <c r="C33" s="1"/>
  <c r="L43" i="9"/>
  <c r="B3" i="40"/>
  <c r="B4"/>
  <c r="B5"/>
  <c r="B3" i="39"/>
  <c r="B4"/>
  <c r="B5"/>
  <c r="C21" i="9"/>
  <c r="C20"/>
  <c r="C36" i="12" l="1"/>
  <c r="B2" s="1"/>
  <c r="B4" s="1"/>
  <c r="C45" i="9"/>
  <c r="H14" i="66" s="1"/>
  <c r="B7" s="1"/>
  <c r="D21" i="9"/>
  <c r="D19"/>
  <c r="B3" i="12" l="1"/>
  <c r="L44" i="9"/>
  <c r="D22"/>
  <c r="G19"/>
  <c r="B5" i="12"/>
  <c r="G21" i="9"/>
  <c r="D7" i="66"/>
  <c r="C7"/>
  <c r="D20" i="9"/>
  <c r="G20" l="1"/>
  <c r="C32"/>
  <c r="N43"/>
  <c r="G22"/>
  <c r="D45"/>
  <c r="E45"/>
  <c r="O40"/>
  <c r="F45"/>
  <c r="O38" l="1"/>
  <c r="C33"/>
  <c r="C35"/>
  <c r="F42" s="1"/>
  <c r="C42"/>
  <c r="C34"/>
  <c r="O43"/>
  <c r="K31"/>
  <c r="K32" s="1"/>
  <c r="R7" i="54"/>
  <c r="B52" i="63" s="1"/>
  <c r="M38" i="9" l="1"/>
  <c r="K27" s="1"/>
  <c r="E42"/>
  <c r="P5" i="54" s="1"/>
  <c r="B46" i="63" s="1"/>
  <c r="K25" i="9"/>
  <c r="K26"/>
  <c r="C44"/>
  <c r="R5" i="54"/>
  <c r="B48" i="63" s="1"/>
  <c r="D63" i="9"/>
  <c r="D14" i="66"/>
  <c r="N68" i="9"/>
  <c r="N38"/>
  <c r="K28" s="1"/>
  <c r="D42"/>
  <c r="Q5" i="54" s="1"/>
  <c r="B47" i="63" s="1"/>
  <c r="C111" i="9" l="1"/>
  <c r="C104" s="1"/>
  <c r="C103"/>
  <c r="C90"/>
  <c r="D70"/>
  <c r="C82"/>
  <c r="C81" s="1"/>
  <c r="C85" s="1"/>
  <c r="C86" s="1"/>
  <c r="D72" s="1"/>
  <c r="C96"/>
  <c r="C91" s="1"/>
  <c r="D71"/>
  <c r="D66" s="1"/>
  <c r="N72" s="1"/>
  <c r="D77"/>
  <c r="N75" s="1"/>
  <c r="G14" i="66"/>
  <c r="B6" s="1"/>
  <c r="O39" i="9"/>
  <c r="E44"/>
  <c r="N69"/>
  <c r="D44"/>
  <c r="F44"/>
  <c r="F14" i="66"/>
  <c r="B5"/>
  <c r="E14"/>
  <c r="C6" l="1"/>
  <c r="D6"/>
  <c r="C97" i="9"/>
  <c r="C5" i="66"/>
  <c r="D5"/>
  <c r="M84" i="9"/>
  <c r="N84" s="1"/>
  <c r="M87"/>
  <c r="N87" s="1"/>
  <c r="M83"/>
  <c r="N83" s="1"/>
  <c r="M86"/>
  <c r="N86" s="1"/>
  <c r="M88"/>
  <c r="N88" s="1"/>
  <c r="M85"/>
  <c r="N85" s="1"/>
  <c r="K29"/>
  <c r="K30" s="1"/>
  <c r="R6" i="54"/>
  <c r="B50" i="63" s="1"/>
  <c r="C113" i="9"/>
  <c r="N76"/>
  <c r="N89" l="1"/>
  <c r="O89" s="1"/>
  <c r="C114"/>
  <c r="E114" s="1"/>
  <c r="E115" s="1"/>
  <c r="C98"/>
  <c r="E98" s="1"/>
  <c r="E99" s="1"/>
  <c r="C99" l="1"/>
  <c r="C115"/>
  <c r="D76" s="1"/>
  <c r="D74" s="1"/>
  <c r="N74" s="1"/>
  <c r="O77" s="1"/>
  <c r="O78" s="1"/>
  <c r="Q77" l="1"/>
  <c r="O79"/>
  <c r="C46" s="1"/>
  <c r="K33" l="1"/>
  <c r="F46"/>
  <c r="I14" i="66"/>
  <c r="B8" s="1"/>
  <c r="D46" i="9"/>
  <c r="O41"/>
  <c r="R8" i="54" s="1"/>
  <c r="B54" i="63" s="1"/>
  <c r="E46" i="9"/>
  <c r="O80"/>
  <c r="O81"/>
  <c r="C8" i="66" l="1"/>
  <c r="D8"/>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<sst xmlns="http://schemas.openxmlformats.org/spreadsheetml/2006/main" count="7051" uniqueCount="3117">
  <si>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</si>
  <si>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</si>
  <si>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</si>
  <si>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</si>
  <si>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</si>
  <si>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</si>
  <si>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</si>
  <si>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</si>
  <si>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</si>
  <si>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</si>
  <si>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</si>
  <si>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</si>
  <si>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</si>
  <si>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</si>
  <si>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</si>
  <si>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</si>
  <si>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</si>
  <si>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</si>
  <si>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</si>
  <si>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</si>
  <si>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</si>
  <si>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</si>
  <si>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</si>
  <si>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</si>
  <si>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</si>
  <si>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</si>
  <si>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</si>
  <si>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</si>
  <si>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</si>
  <si>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</si>
  <si>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</si>
  <si>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</si>
  <si>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</si>
  <si>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</si>
  <si>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</si>
  <si>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</si>
  <si>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</si>
  <si>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</si>
  <si>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</si>
  <si>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</si>
  <si>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</si>
  <si>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</si>
  <si>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</si>
  <si>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</si>
  <si>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</si>
  <si>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</si>
  <si>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</si>
  <si>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</si>
  <si>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</si>
  <si>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</si>
  <si>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</si>
  <si>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</si>
  <si>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</si>
  <si>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</si>
  <si>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</si>
  <si>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</si>
  <si>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</si>
  <si>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</si>
  <si>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</si>
  <si>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</si>
  <si>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</si>
  <si>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</si>
  <si>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</si>
  <si>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</si>
  <si>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</si>
  <si>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</si>
  <si>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</si>
  <si>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</si>
  <si>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</si>
  <si>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</si>
  <si>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</si>
  <si>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</si>
  <si>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</si>
  <si>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</si>
  <si>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</si>
  <si>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</si>
  <si>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</si>
  <si>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</si>
  <si>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</si>
  <si>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</si>
  <si>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</si>
  <si>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</si>
  <si>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</si>
  <si>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</si>
  <si>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</si>
  <si>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</si>
  <si>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</si>
  <si>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</si>
  <si>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</si>
  <si>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</si>
  <si>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</si>
  <si>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</si>
  <si>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</si>
  <si>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</si>
  <si>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</si>
  <si>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</si>
  <si>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</si>
  <si>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</si>
  <si>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</si>
  <si>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</si>
  <si>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</si>
  <si>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</si>
  <si>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</si>
  <si>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</si>
  <si>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</si>
  <si>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</si>
  <si>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</si>
  <si>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</si>
  <si>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</si>
  <si>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</si>
  <si>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</si>
  <si>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</si>
  <si>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</si>
  <si>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</si>
  <si>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</si>
  <si>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</si>
  <si>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</si>
  <si>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</si>
  <si>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</si>
  <si>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</si>
  <si>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</si>
  <si>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</si>
  <si>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</si>
  <si>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</si>
  <si>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</si>
  <si>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</si>
  <si>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</si>
  <si>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</si>
  <si>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</si>
  <si>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</si>
  <si>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</si>
  <si>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</si>
  <si>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</si>
  <si>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</si>
  <si>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</si>
  <si>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</si>
  <si>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</si>
  <si>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</si>
  <si>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</si>
  <si>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</si>
  <si>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</si>
  <si>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</si>
  <si>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</si>
  <si>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</si>
  <si>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</si>
  <si>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</si>
  <si>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</si>
  <si>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</si>
  <si>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</si>
  <si>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</si>
  <si>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</si>
  <si>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</si>
  <si>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</si>
  <si>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</si>
  <si>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</si>
  <si>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</si>
  <si>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</si>
  <si>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</si>
  <si>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</si>
  <si>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</si>
  <si>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</si>
  <si>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</si>
  <si>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</si>
  <si>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</si>
  <si>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</si>
  <si>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</si>
  <si>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</si>
  <si>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</si>
  <si>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</si>
  <si>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</si>
  <si>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</si>
  <si>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</si>
  <si>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</si>
  <si>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</si>
  <si>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</si>
  <si>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</si>
  <si>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</si>
  <si>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</si>
  <si>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</si>
  <si>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</si>
  <si>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</si>
  <si>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</si>
  <si>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</si>
  <si>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</si>
  <si>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</si>
  <si>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</si>
  <si>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</si>
  <si>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</si>
  <si>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</si>
  <si>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</si>
  <si>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</si>
  <si>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</si>
  <si>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</si>
  <si>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</si>
  <si>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</si>
  <si>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</si>
  <si>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</si>
  <si>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</si>
  <si>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</si>
  <si>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</si>
  <si>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</si>
  <si>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</si>
  <si>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</si>
  <si>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</si>
  <si>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</si>
  <si>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</si>
  <si>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</si>
  <si>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</si>
  <si>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</si>
  <si>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</si>
  <si>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</si>
  <si>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</si>
  <si>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</si>
  <si>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</si>
  <si>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</si>
  <si>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</si>
  <si>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</si>
  <si>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</si>
  <si>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</si>
  <si>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</si>
  <si>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</si>
  <si>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</si>
  <si>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</si>
  <si>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</si>
  <si>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</si>
  <si>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</si>
  <si>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</si>
  <si>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</si>
  <si>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</si>
  <si>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</si>
  <si>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</si>
  <si>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</si>
  <si>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</si>
  <si>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</si>
  <si>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</si>
  <si>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</si>
  <si>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</si>
  <si>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</si>
  <si>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</si>
  <si>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</si>
  <si>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</si>
  <si>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</si>
  <si>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</si>
  <si>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</si>
  <si>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</si>
  <si>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</si>
  <si>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</si>
  <si>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</si>
  <si>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</si>
  <si>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</si>
  <si>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</si>
  <si>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</si>
  <si>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</si>
  <si>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</si>
  <si>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</si>
  <si>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</si>
  <si>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</si>
  <si>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</si>
  <si>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</si>
  <si>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</si>
  <si>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</si>
  <si>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</si>
  <si>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</si>
  <si>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</si>
  <si>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</si>
  <si>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</si>
  <si>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</si>
  <si>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</si>
  <si>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</si>
  <si>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</si>
  <si>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</si>
  <si>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</si>
  <si>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</si>
  <si>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</si>
  <si>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</si>
  <si>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</si>
  <si>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</si>
  <si>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</si>
  <si>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</si>
  <si>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</si>
  <si>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</si>
  <si>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</si>
  <si>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</si>
  <si>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</si>
  <si>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</si>
  <si>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</si>
  <si>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</si>
  <si>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</si>
  <si>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</si>
  <si>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</si>
  <si>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</si>
  <si>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</si>
  <si>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</si>
  <si>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</si>
  <si>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</si>
  <si>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</si>
  <si>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</si>
  <si>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</si>
  <si>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</si>
  <si>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</si>
  <si>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</si>
  <si>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</si>
  <si>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</si>
  <si>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</si>
  <si>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</si>
  <si>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</si>
  <si>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</si>
  <si>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</si>
  <si>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</si>
  <si>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</si>
  <si>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</si>
  <si>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</si>
  <si>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</si>
  <si>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</si>
  <si>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</si>
  <si>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</si>
  <si>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</si>
  <si>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</si>
  <si>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</si>
  <si>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</si>
  <si>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</si>
  <si>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</si>
  <si>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</si>
  <si>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</si>
  <si>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</si>
  <si>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</si>
  <si>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</si>
  <si>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</si>
  <si>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</si>
  <si>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</si>
  <si>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</si>
  <si>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</si>
  <si>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</si>
  <si>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</si>
  <si>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</si>
  <si>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</si>
  <si>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</si>
  <si>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</si>
  <si>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</si>
  <si>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</si>
  <si>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</si>
  <si>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</si>
  <si>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</si>
  <si>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</si>
  <si>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</si>
  <si>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</si>
  <si>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</si>
  <si>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</si>
  <si>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</si>
  <si>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</si>
  <si>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</si>
  <si>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</si>
  <si>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</si>
  <si>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</si>
  <si>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</si>
  <si>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</si>
  <si>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</si>
  <si>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</si>
  <si>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</si>
  <si>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</si>
  <si>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</si>
  <si>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</si>
  <si>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</si>
  <si>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</si>
  <si>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</si>
  <si>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</si>
  <si>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</si>
  <si>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</si>
  <si>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</si>
  <si>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</si>
  <si>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</si>
  <si>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</si>
  <si>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</si>
  <si>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</si>
  <si>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</si>
  <si>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</si>
  <si>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</si>
  <si>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</si>
  <si>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</si>
  <si>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</si>
  <si>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</si>
  <si>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</si>
  <si>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</si>
  <si>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</si>
  <si>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</si>
  <si>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</si>
  <si>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</si>
  <si>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</si>
  <si>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</si>
  <si>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</si>
  <si>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</si>
  <si>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</si>
  <si>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</si>
  <si>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</si>
  <si>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</si>
  <si>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</si>
  <si>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</si>
  <si>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</si>
  <si>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</si>
  <si>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</si>
  <si>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</si>
  <si>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</si>
  <si>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</si>
  <si>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</si>
  <si>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</si>
  <si>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</si>
  <si>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</si>
  <si>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</si>
  <si>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</si>
  <si>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</si>
  <si>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</si>
  <si>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</si>
  <si>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</si>
  <si>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</si>
  <si>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</si>
  <si>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</si>
  <si>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</si>
  <si>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</si>
  <si>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</si>
  <si>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</si>
  <si>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</si>
  <si>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</si>
  <si>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</si>
  <si>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</si>
  <si>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</si>
  <si>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</si>
  <si>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</si>
  <si>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</si>
  <si>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</si>
  <si>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</si>
  <si>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</si>
  <si>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</si>
  <si>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</si>
  <si>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</si>
  <si>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</si>
  <si>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</si>
  <si>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</si>
  <si>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</si>
  <si>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</si>
  <si>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</si>
  <si>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</si>
  <si>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</si>
  <si>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</si>
  <si>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</si>
  <si>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</si>
  <si>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</si>
  <si>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</si>
  <si>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</si>
  <si>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</si>
  <si>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</si>
  <si>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</si>
  <si>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</si>
  <si>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</si>
  <si>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</si>
  <si>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</si>
  <si>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</si>
  <si>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</si>
  <si>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</si>
  <si>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</si>
  <si>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</si>
  <si>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</si>
  <si>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</si>
  <si>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</si>
  <si>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</si>
  <si>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</si>
  <si>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</si>
  <si>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</si>
  <si>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</si>
  <si>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</si>
  <si>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</si>
  <si>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</si>
  <si>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</si>
  <si>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</si>
  <si>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</si>
  <si>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</si>
  <si>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</si>
  <si>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</si>
  <si>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</si>
  <si>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</si>
  <si>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</si>
  <si>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</si>
  <si>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</si>
  <si>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</si>
  <si>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</si>
  <si>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</si>
  <si>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</si>
  <si>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</si>
  <si>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</si>
  <si>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</si>
  <si>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</si>
  <si>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</si>
  <si>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</si>
  <si>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</si>
  <si>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</si>
  <si>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</si>
  <si>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</si>
  <si>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</si>
  <si>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</si>
  <si>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</si>
  <si>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</si>
  <si>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</si>
  <si>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</si>
  <si>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</si>
  <si>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</si>
  <si>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</si>
  <si>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</si>
  <si>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</si>
  <si>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</si>
  <si>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</si>
  <si>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</si>
  <si>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</si>
  <si>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</si>
  <si>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</si>
  <si>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</si>
  <si>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</si>
  <si>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</si>
  <si>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</si>
  <si>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</si>
  <si>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</si>
  <si>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</si>
  <si>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</si>
  <si>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</si>
  <si>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</si>
  <si>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</si>
  <si>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</si>
  <si>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</si>
  <si>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</si>
  <si>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</si>
  <si>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</si>
  <si>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</si>
  <si>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</si>
  <si>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</si>
  <si>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</si>
  <si>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</si>
  <si>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</si>
  <si>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</si>
  <si>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</si>
  <si>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</si>
  <si>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</si>
  <si>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</si>
  <si>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</si>
  <si>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</si>
  <si>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</si>
  <si>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</si>
  <si>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</si>
  <si>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</si>
  <si>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</si>
  <si>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</si>
  <si>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</si>
  <si>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</si>
  <si>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</si>
  <si>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</si>
  <si>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</si>
  <si>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</si>
  <si>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</si>
  <si>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</si>
  <si>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</si>
  <si>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</si>
  <si>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</si>
  <si>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</si>
  <si>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</si>
  <si>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</si>
  <si>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</si>
  <si>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</si>
  <si>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</si>
  <si>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</si>
  <si>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</si>
  <si>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</si>
  <si>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</si>
  <si>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</si>
  <si>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</si>
  <si>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</si>
  <si>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</si>
  <si>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</si>
  <si>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</si>
  <si>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</si>
  <si>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</si>
  <si>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</si>
  <si>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</si>
  <si>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</si>
  <si>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</si>
  <si>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</si>
  <si>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</si>
  <si>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</si>
  <si>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</si>
  <si>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</si>
  <si>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</si>
  <si>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</si>
  <si>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</si>
  <si>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</si>
  <si>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</si>
  <si>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</si>
  <si>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</si>
  <si>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</si>
  <si>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</si>
  <si>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</si>
  <si>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</si>
  <si>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</si>
  <si>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</si>
  <si>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</si>
  <si>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</si>
  <si>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</si>
  <si>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</si>
  <si>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</si>
  <si>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</si>
  <si>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</si>
  <si>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</si>
  <si>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</si>
  <si>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</si>
  <si>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</si>
  <si>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</si>
  <si>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</si>
  <si>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</si>
  <si>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</si>
  <si>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</si>
  <si>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</si>
  <si>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</si>
  <si>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</si>
  <si>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</si>
  <si>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</si>
  <si>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</si>
  <si>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</si>
  <si>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</si>
  <si>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</si>
  <si>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</si>
  <si>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</si>
  <si>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</si>
  <si>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</si>
  <si>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</si>
  <si>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</si>
  <si>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</si>
  <si>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</si>
  <si>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</si>
  <si>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</si>
  <si>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</si>
  <si>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</si>
  <si>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</si>
  <si>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</si>
  <si>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</si>
  <si>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</si>
  <si>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</si>
  <si>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</si>
  <si>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</si>
  <si>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</si>
  <si>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</si>
  <si>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</si>
  <si>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</si>
  <si>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</si>
  <si>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</si>
  <si>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</si>
  <si>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</si>
  <si>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</si>
  <si>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</si>
  <si>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</si>
  <si>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</si>
  <si>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</si>
  <si>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</si>
  <si>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</si>
  <si>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</si>
  <si>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</si>
  <si>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</si>
  <si>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</si>
  <si>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</si>
  <si>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</si>
  <si>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</si>
  <si>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</si>
  <si>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</si>
  <si>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</si>
  <si>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</si>
  <si>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</si>
  <si>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</si>
  <si>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</si>
  <si>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</si>
  <si>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</si>
  <si>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</si>
  <si>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</si>
  <si>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</si>
  <si>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</si>
  <si>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</si>
  <si>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</si>
  <si>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</si>
  <si>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</si>
  <si>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</si>
  <si>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</si>
  <si>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</si>
  <si>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</si>
  <si>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</si>
  <si>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</si>
  <si>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</si>
  <si>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</si>
  <si>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</si>
  <si>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</si>
  <si>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</si>
  <si>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</si>
  <si>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</si>
  <si>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</si>
  <si>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</si>
  <si>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</si>
  <si>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</si>
  <si>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</si>
  <si>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</si>
  <si>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</si>
  <si>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</si>
  <si>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</si>
  <si>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</si>
  <si>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</si>
  <si>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</si>
  <si>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</si>
  <si>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</si>
  <si>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</si>
  <si>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</si>
  <si>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</si>
  <si>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</si>
  <si>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</si>
  <si>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</si>
  <si>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</si>
  <si>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</si>
  <si>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</si>
  <si>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</si>
  <si>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</si>
  <si>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</si>
  <si>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</si>
  <si>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</si>
  <si>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</si>
  <si>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</si>
  <si>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</si>
  <si>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</si>
  <si>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</si>
  <si>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</si>
  <si>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</si>
  <si>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</si>
  <si>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</si>
  <si>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</si>
  <si>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</si>
  <si>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</si>
  <si>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</si>
  <si>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</si>
  <si>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</si>
  <si>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</si>
  <si>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</si>
  <si>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</si>
  <si>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</si>
  <si>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</si>
  <si>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</si>
  <si>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</si>
  <si>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</si>
  <si>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</si>
  <si>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</si>
  <si>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</si>
  <si>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</si>
  <si>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</si>
  <si>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</si>
  <si>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</si>
  <si>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</si>
  <si>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</si>
  <si>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</si>
  <si>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</si>
  <si>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</si>
  <si>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</si>
  <si>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</si>
  <si>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</si>
  <si>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</si>
  <si>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</si>
  <si>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</si>
  <si>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</si>
  <si>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</si>
  <si>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</si>
  <si>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</si>
  <si>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</si>
  <si>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</si>
  <si>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</si>
  <si>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</si>
  <si>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</si>
  <si>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</si>
  <si>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</si>
  <si>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</si>
  <si>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</si>
  <si>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</si>
  <si>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</si>
  <si>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</si>
  <si>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</si>
  <si>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</si>
  <si>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</si>
  <si>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</si>
  <si>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</si>
  <si>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</si>
  <si>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</si>
  <si>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</si>
  <si>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</si>
  <si>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</si>
  <si>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</si>
  <si>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</si>
  <si>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</si>
  <si>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</si>
  <si>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</si>
  <si>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</si>
  <si>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</si>
  <si>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</si>
  <si>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</si>
  <si>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</si>
  <si>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</si>
  <si>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</si>
  <si>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</si>
  <si>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</si>
  <si>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</si>
  <si>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</si>
  <si>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</si>
  <si>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</si>
  <si>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</si>
  <si>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</si>
  <si>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</si>
  <si>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</si>
  <si>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</si>
  <si>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</si>
  <si>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</si>
  <si>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</si>
  <si>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</si>
  <si>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</si>
  <si>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</si>
  <si>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</si>
  <si>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</si>
  <si>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</si>
  <si>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</si>
  <si>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</si>
  <si>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</si>
  <si>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</si>
  <si>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</si>
  <si>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</si>
  <si>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</si>
  <si>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</si>
  <si>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</si>
  <si>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</si>
  <si>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</si>
  <si>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</si>
  <si>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</si>
  <si>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</si>
  <si>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</si>
  <si>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</si>
  <si>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</si>
  <si>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</si>
  <si>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</si>
  <si>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</si>
  <si>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</si>
  <si>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</si>
  <si>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</si>
  <si>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</si>
  <si>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</si>
  <si>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</si>
  <si>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</si>
  <si>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</si>
  <si>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</si>
  <si>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</si>
  <si>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</si>
  <si>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</si>
  <si>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</si>
  <si>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</si>
  <si>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</si>
  <si>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</si>
  <si>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</si>
  <si>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</si>
  <si>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</si>
  <si>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</si>
  <si>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</si>
  <si>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</si>
  <si>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</si>
  <si>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</si>
  <si>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</si>
  <si>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</si>
  <si>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</si>
  <si>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</si>
  <si>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</si>
  <si>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</si>
  <si>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</si>
  <si>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</si>
  <si>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</si>
  <si>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</si>
  <si>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</si>
  <si>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</si>
  <si>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</si>
  <si>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</si>
  <si>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</si>
  <si>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</si>
  <si>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</si>
  <si>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</si>
  <si>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</si>
  <si>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</si>
  <si>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</si>
  <si>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</si>
  <si>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</si>
  <si>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</si>
  <si>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</si>
  <si>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</si>
  <si>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</si>
  <si>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</si>
  <si>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</si>
  <si>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</si>
  <si>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</si>
  <si>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</si>
  <si>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</si>
  <si>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</si>
  <si>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</si>
  <si>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</si>
  <si>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</si>
  <si>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</si>
  <si>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</si>
  <si>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</si>
  <si>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</si>
  <si>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</si>
  <si>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</si>
  <si>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</si>
  <si>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</si>
  <si>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</si>
  <si>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</si>
  <si>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</si>
  <si>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</si>
  <si>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</si>
  <si>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</si>
  <si>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</si>
  <si>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</si>
  <si>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</si>
  <si>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</si>
  <si>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</si>
  <si>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</si>
  <si>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</si>
  <si>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</si>
  <si>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</si>
  <si>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</si>
  <si>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</si>
  <si>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</si>
  <si>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</si>
  <si>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</si>
  <si>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</si>
  <si>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</si>
  <si>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</si>
  <si>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</si>
  <si>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</si>
  <si>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</si>
  <si>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</si>
  <si>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</si>
  <si>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</si>
  <si>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</si>
  <si>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</si>
  <si>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</si>
  <si>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</si>
  <si>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</si>
  <si>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</si>
  <si>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</si>
  <si>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</si>
  <si>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</si>
  <si>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</si>
  <si>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</si>
  <si>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</si>
  <si>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</si>
  <si>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</si>
  <si>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</si>
  <si>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</si>
  <si>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</si>
  <si>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</si>
  <si>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</si>
  <si>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</si>
  <si>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</si>
  <si>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</si>
  <si>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</si>
  <si>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</si>
  <si>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</si>
  <si>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</si>
  <si>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</si>
  <si>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</si>
  <si>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</si>
  <si>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</si>
  <si>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</si>
  <si>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</si>
  <si>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</si>
  <si>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</si>
  <si>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</si>
  <si>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</si>
  <si>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</si>
  <si>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</si>
  <si>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</si>
  <si>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</si>
  <si>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</si>
  <si>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</si>
  <si>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</si>
  <si>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</si>
  <si>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</si>
  <si>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</si>
  <si>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</si>
  <si>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</si>
  <si>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</si>
  <si>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</si>
  <si>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</si>
  <si>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</si>
  <si>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</si>
  <si>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</si>
  <si>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</si>
  <si>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</si>
  <si>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</si>
  <si>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</si>
  <si>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</si>
  <si>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</si>
  <si>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</si>
  <si>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</si>
  <si>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</si>
  <si>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</si>
  <si>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</si>
  <si>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</si>
  <si>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</si>
  <si>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</si>
  <si>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</si>
  <si>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</si>
  <si>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</si>
  <si>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</si>
  <si>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</si>
  <si>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</si>
  <si>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</si>
  <si>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</si>
  <si>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</si>
  <si>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</si>
  <si>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</si>
  <si>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</si>
  <si>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</si>
  <si>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</si>
  <si>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</si>
  <si>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</si>
  <si>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</si>
  <si>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</si>
  <si>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</si>
  <si>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</si>
  <si>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</si>
  <si>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</si>
  <si>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</si>
  <si>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</si>
  <si>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</si>
  <si>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</si>
  <si>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</si>
  <si>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</si>
  <si>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</si>
  <si>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</si>
  <si>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</si>
  <si>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</si>
  <si>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</si>
  <si>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</si>
  <si>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</si>
  <si>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</si>
  <si>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</si>
  <si>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</si>
  <si>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</si>
  <si>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</si>
  <si>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</si>
  <si>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</si>
  <si>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</si>
  <si>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</si>
  <si>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</si>
  <si>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</si>
  <si>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</si>
  <si>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</si>
  <si>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</si>
  <si>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</si>
  <si>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</si>
  <si>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</si>
  <si>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</si>
  <si>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</si>
  <si>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</si>
  <si>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</si>
  <si>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</si>
  <si>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</si>
  <si>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</si>
  <si>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</si>
  <si>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</si>
  <si>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</si>
  <si>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</si>
  <si>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</si>
  <si>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</si>
  <si>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</si>
  <si>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</si>
  <si>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</si>
  <si>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</si>
  <si>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</si>
  <si>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</si>
  <si>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</si>
  <si>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</si>
  <si>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</si>
  <si>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</si>
  <si>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</si>
  <si>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</si>
  <si>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</si>
  <si>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</si>
  <si>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</si>
  <si>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</si>
  <si>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</si>
  <si>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</si>
  <si>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</si>
  <si>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</si>
  <si>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</si>
  <si>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</si>
  <si>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</si>
  <si>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</si>
  <si>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</si>
  <si>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</si>
  <si>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</si>
  <si>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</si>
  <si>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</si>
  <si>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</si>
  <si>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</si>
  <si>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</si>
  <si>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</si>
  <si>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</si>
  <si>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</si>
  <si>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</si>
  <si>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</si>
  <si>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</si>
  <si>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</si>
  <si>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</si>
  <si>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</si>
  <si>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</si>
  <si>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</si>
  <si>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</si>
  <si>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</si>
  <si>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</si>
  <si>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</si>
  <si>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</si>
  <si>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</si>
  <si>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</si>
  <si>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</si>
  <si>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</si>
  <si>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</si>
  <si>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</si>
  <si>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</si>
  <si>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</si>
  <si>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</si>
  <si>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</si>
  <si>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</si>
  <si>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</si>
  <si>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</si>
  <si>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</si>
  <si>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</si>
  <si>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</si>
  <si>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</si>
  <si>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</si>
  <si>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</si>
  <si>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</si>
  <si>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</si>
  <si>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</si>
  <si>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</si>
  <si>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</si>
  <si>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</si>
  <si>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</si>
  <si>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</si>
  <si>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</si>
  <si>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</si>
  <si>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</si>
  <si>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</si>
  <si>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</si>
  <si>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</si>
  <si>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</si>
  <si>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</si>
  <si>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</si>
  <si>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</si>
  <si>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</si>
  <si>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</si>
  <si>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</si>
  <si>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</si>
  <si>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</si>
  <si>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</si>
  <si>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</si>
  <si>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</si>
  <si>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</si>
  <si>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</si>
  <si>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</si>
  <si>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</si>
  <si>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</si>
  <si>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</si>
  <si>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</si>
  <si>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</si>
  <si>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</si>
  <si>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</si>
  <si>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</si>
  <si>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</si>
  <si>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</si>
  <si>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</si>
  <si>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</si>
  <si>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</si>
  <si>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</si>
  <si>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</si>
  <si>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</si>
  <si>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</si>
  <si>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</si>
  <si>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</si>
  <si>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</si>
  <si>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</si>
  <si>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</si>
  <si>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</si>
  <si>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</si>
  <si>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</si>
  <si>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</si>
  <si>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</si>
  <si>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</si>
  <si>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</si>
  <si>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</si>
  <si>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</si>
  <si>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</si>
  <si>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</si>
  <si>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</si>
  <si>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</si>
  <si>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</si>
  <si>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</si>
  <si>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</si>
  <si>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</si>
  <si>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</si>
  <si>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</si>
  <si>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</si>
  <si>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</si>
  <si>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</si>
  <si>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</si>
  <si>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</si>
  <si>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</si>
  <si>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</si>
  <si>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</si>
  <si>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</si>
  <si>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</si>
  <si>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</si>
  <si>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</si>
  <si>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</si>
  <si>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</si>
  <si>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</si>
  <si>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</si>
  <si>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</si>
  <si>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</si>
  <si>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</si>
  <si>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</si>
  <si>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</si>
  <si>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</si>
  <si>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</si>
  <si>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</si>
  <si>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</si>
  <si>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</si>
  <si>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</si>
  <si>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</si>
  <si>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</si>
  <si>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</si>
  <si>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</si>
  <si>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</si>
  <si>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</si>
  <si>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</si>
  <si>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</si>
  <si>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</si>
  <si>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</si>
  <si>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</si>
  <si>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</si>
  <si>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</si>
  <si>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</si>
  <si>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</si>
  <si>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</si>
  <si>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</si>
  <si>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</si>
  <si>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</si>
  <si>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</si>
  <si>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</si>
  <si>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</si>
  <si>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</si>
  <si>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</si>
  <si>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</si>
  <si>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</si>
  <si>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</si>
  <si>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</si>
  <si>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</si>
  <si>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</si>
  <si>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</si>
  <si>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</si>
  <si>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</si>
  <si>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</si>
  <si>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</si>
  <si>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</si>
  <si>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</si>
  <si>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</si>
  <si>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</si>
  <si>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</si>
  <si>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</si>
  <si>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</si>
  <si>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</si>
  <si>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</si>
  <si>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</si>
  <si>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</si>
  <si>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</si>
  <si>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</si>
  <si>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</si>
  <si>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</si>
  <si>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</si>
  <si>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</si>
  <si>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</si>
  <si>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</si>
  <si>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</si>
  <si>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</si>
  <si>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</si>
  <si>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</si>
  <si>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</si>
  <si>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</si>
  <si>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</si>
  <si>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</si>
  <si>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</si>
  <si>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</si>
  <si>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</si>
  <si>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</si>
  <si>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</si>
  <si>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</si>
  <si>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</si>
  <si>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</si>
  <si>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</si>
  <si>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</si>
  <si>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</si>
  <si>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</si>
  <si>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</si>
  <si>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</si>
  <si>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</si>
  <si>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</si>
  <si>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</si>
  <si>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</si>
  <si>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</si>
  <si>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</si>
  <si>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</si>
  <si>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</si>
  <si>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</si>
  <si>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</si>
  <si>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</si>
  <si>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</si>
  <si>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</si>
  <si>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</si>
  <si>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</si>
  <si>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</si>
  <si>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</si>
  <si>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</si>
  <si>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</si>
  <si>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</si>
  <si>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</si>
  <si>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</si>
  <si>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</si>
  <si>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</si>
  <si>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</si>
  <si>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</si>
  <si>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</si>
  <si>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</si>
  <si>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</si>
  <si>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</si>
  <si>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</si>
  <si>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</si>
  <si>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</si>
  <si>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</si>
  <si>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</si>
  <si>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</si>
  <si>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</si>
  <si>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</si>
  <si>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</si>
  <si>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</si>
  <si>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</si>
  <si>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</si>
  <si>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</si>
  <si>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</si>
  <si>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</si>
  <si>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</si>
  <si>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</si>
  <si>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</si>
  <si>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</si>
  <si>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</si>
  <si>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</si>
  <si>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</si>
  <si>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</si>
  <si>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</si>
  <si>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</si>
  <si>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</si>
  <si>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</si>
  <si>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</si>
  <si>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</si>
  <si>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</si>
  <si>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</si>
  <si>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</si>
  <si>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</si>
  <si>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</si>
  <si>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</si>
  <si>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</si>
  <si>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</si>
  <si>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</si>
  <si>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</si>
  <si>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</si>
  <si>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</si>
  <si>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</si>
  <si>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</si>
  <si>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</si>
  <si>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</si>
  <si>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</si>
  <si>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</si>
  <si>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</si>
  <si>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</si>
  <si>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</si>
  <si>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</si>
  <si>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</si>
  <si>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</si>
  <si>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</si>
  <si>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</si>
  <si>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</si>
  <si>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</si>
  <si>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</si>
  <si>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</si>
  <si>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</si>
  <si>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</si>
  <si>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</si>
  <si>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</si>
  <si>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</si>
  <si>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</si>
  <si>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</si>
  <si>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</si>
  <si>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</si>
  <si>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</si>
  <si>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</si>
  <si>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</si>
  <si>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</si>
  <si>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</si>
  <si>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</si>
  <si>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</si>
  <si>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</si>
  <si>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</si>
  <si>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</si>
  <si>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</si>
  <si>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</si>
  <si>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</si>
  <si>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</si>
  <si>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</si>
  <si>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</si>
  <si>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</si>
  <si>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</si>
  <si>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</si>
  <si>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</si>
  <si>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</si>
  <si>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</si>
  <si>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</si>
  <si>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</si>
  <si>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</si>
  <si>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</si>
  <si>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</si>
  <si>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</si>
  <si>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</si>
  <si>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</si>
  <si>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</si>
  <si>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</si>
  <si>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</si>
  <si>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</si>
  <si>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</si>
  <si>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</si>
  <si>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</si>
  <si>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</si>
  <si>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</si>
  <si>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</si>
  <si>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</si>
  <si>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</si>
  <si>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</si>
  <si>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</si>
  <si>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</si>
  <si>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</si>
  <si>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</si>
  <si>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</si>
  <si>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</si>
  <si>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</si>
  <si>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</si>
  <si>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</si>
  <si>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</si>
  <si>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</si>
  <si>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</si>
  <si>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</si>
  <si>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</si>
  <si>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</si>
  <si>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</si>
  <si>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</si>
  <si>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</si>
  <si>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</si>
  <si>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</si>
  <si>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</si>
  <si>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</si>
  <si>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</si>
  <si>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</si>
  <si>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</si>
  <si>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</si>
  <si>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</si>
  <si>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</si>
  <si>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</si>
  <si>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</si>
  <si>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</si>
  <si>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</si>
  <si>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</si>
  <si>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</si>
  <si>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</si>
  <si>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</si>
  <si>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</si>
  <si>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</si>
  <si>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</si>
  <si>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</si>
  <si>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</si>
  <si>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</si>
  <si>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</si>
  <si>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</si>
  <si>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</si>
  <si>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</si>
  <si>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</si>
  <si>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</si>
  <si>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</si>
  <si>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</si>
  <si>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</si>
  <si>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</si>
  <si>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</si>
  <si>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</si>
  <si>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</si>
  <si>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</si>
  <si>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</si>
  <si>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</si>
  <si>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</si>
  <si>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</si>
  <si>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</si>
  <si>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</si>
  <si>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</si>
  <si>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</si>
  <si>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</si>
  <si>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</si>
  <si>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</si>
  <si>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</si>
  <si>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</si>
  <si>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</si>
  <si>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</si>
  <si>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</si>
  <si>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</si>
  <si>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</si>
  <si>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</si>
  <si>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</si>
  <si>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</si>
  <si>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</si>
  <si>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</si>
  <si>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</si>
  <si>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</si>
  <si>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</si>
  <si>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</si>
  <si>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</si>
  <si>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</si>
  <si>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</si>
  <si>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</si>
  <si>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</si>
  <si>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</si>
  <si>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</si>
  <si>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</si>
  <si>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</si>
  <si>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</si>
  <si>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</si>
  <si>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</si>
  <si>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</si>
  <si>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</si>
  <si>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</si>
  <si>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</si>
  <si>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</si>
  <si>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</si>
  <si>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</si>
  <si>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</si>
  <si>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</si>
  <si>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</si>
  <si>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</si>
  <si>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</si>
  <si>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</si>
  <si>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</si>
  <si>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</si>
  <si>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</si>
  <si>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</si>
  <si>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</si>
  <si>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</si>
  <si>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</si>
  <si>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</si>
  <si>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</si>
  <si>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</si>
  <si>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</si>
  <si>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</si>
  <si>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</si>
  <si>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</si>
  <si>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</si>
  <si>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</si>
  <si>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</si>
  <si>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</si>
  <si>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</si>
  <si>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</si>
  <si>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</si>
  <si>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</si>
  <si>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</si>
  <si>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</si>
  <si>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</si>
  <si>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</si>
  <si>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</si>
  <si>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</si>
  <si>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</si>
  <si>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</si>
  <si>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</si>
  <si>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</si>
  <si>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</si>
  <si>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</si>
  <si>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</si>
  <si>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</si>
  <si>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</si>
  <si>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</si>
  <si>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</si>
  <si>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</si>
  <si>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</si>
  <si>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</si>
  <si>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</si>
  <si>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</si>
  <si>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</si>
  <si>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</si>
  <si>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</si>
  <si>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</si>
  <si>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</si>
  <si>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</si>
  <si>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</si>
  <si>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</si>
  <si>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</si>
  <si>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</si>
  <si>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</si>
  <si>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</si>
  <si>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</si>
  <si>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</si>
  <si>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</si>
  <si>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</si>
  <si>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</si>
  <si>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</si>
  <si>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</si>
  <si>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</si>
  <si>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</si>
  <si>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</si>
  <si>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</si>
  <si>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</si>
  <si>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</si>
  <si>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</si>
  <si>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</si>
  <si>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</si>
  <si>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</si>
  <si>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</si>
  <si>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</si>
  <si>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</si>
  <si>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</si>
  <si>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</si>
  <si>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</si>
  <si>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</si>
  <si>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</si>
  <si>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</si>
  <si>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</si>
  <si>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</si>
  <si>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</si>
  <si>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</si>
  <si>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</si>
  <si>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</si>
  <si>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</si>
  <si>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</si>
  <si>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</si>
  <si>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</si>
  <si>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</si>
  <si>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</si>
  <si>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</si>
  <si>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</si>
  <si>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</si>
  <si>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</si>
  <si>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</si>
  <si>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</si>
  <si>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</si>
  <si>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</si>
  <si>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</si>
  <si>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</si>
  <si>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</si>
  <si>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</si>
  <si>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</si>
  <si>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</si>
  <si>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</si>
  <si>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</si>
  <si>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</si>
  <si>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</si>
  <si>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</si>
  <si>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</si>
  <si>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</si>
  <si>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</si>
  <si>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</si>
  <si>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</si>
  <si>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</si>
  <si>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</si>
  <si>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</si>
  <si>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</si>
  <si>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</si>
  <si>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</si>
  <si>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</si>
  <si>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</si>
  <si>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</si>
  <si>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</si>
  <si>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</si>
  <si>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</si>
  <si>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</si>
  <si>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</si>
  <si>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</si>
  <si>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</si>
  <si>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</si>
  <si>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</si>
  <si>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</si>
  <si>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</si>
  <si>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</si>
  <si>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</si>
  <si>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</si>
  <si>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</si>
  <si>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</si>
  <si>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</si>
  <si>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</si>
  <si>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</si>
  <si>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</si>
  <si>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</si>
  <si>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</si>
  <si>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</si>
  <si>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</si>
  <si>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</si>
  <si>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</si>
  <si>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</si>
  <si>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</si>
  <si>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</si>
  <si>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</si>
  <si>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</si>
  <si>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</si>
  <si>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</si>
  <si>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</si>
  <si>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</si>
  <si>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</si>
  <si>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</si>
  <si>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</si>
  <si>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</si>
  <si>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</si>
  <si>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</si>
  <si>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</si>
  <si>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</si>
  <si>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</si>
  <si>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</si>
  <si>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</si>
  <si>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</si>
  <si>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</si>
  <si>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</si>
  <si>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</si>
  <si>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</si>
  <si>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</si>
  <si>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</si>
  <si>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</si>
  <si>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</si>
  <si>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</si>
  <si>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</si>
  <si>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</si>
  <si>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</si>
  <si>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</si>
  <si>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</si>
  <si>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</si>
  <si>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</si>
  <si>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</si>
  <si>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</si>
  <si>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</si>
  <si>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</si>
  <si>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</si>
  <si>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</si>
  <si>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</si>
  <si>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</si>
  <si>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</si>
  <si>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</si>
  <si>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</si>
  <si>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</si>
  <si>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</si>
  <si>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</si>
  <si>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</si>
  <si>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</si>
  <si>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</si>
  <si>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</si>
  <si>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</si>
  <si>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</si>
  <si>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</si>
  <si>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</si>
  <si>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</si>
  <si>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</si>
  <si>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</si>
  <si>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</si>
  <si>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</si>
  <si>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</si>
  <si>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</si>
  <si>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</si>
  <si>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</si>
  <si>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</si>
  <si>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</si>
  <si>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</si>
  <si>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</si>
  <si>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</si>
  <si>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</si>
  <si>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</si>
  <si>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</si>
  <si>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</si>
  <si>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</si>
  <si>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</si>
  <si>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</si>
  <si>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</si>
  <si>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</si>
  <si>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</si>
  <si>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</si>
  <si>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</si>
  <si>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</si>
  <si>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</si>
  <si>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</si>
  <si>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</si>
  <si>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</si>
  <si>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</si>
  <si>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</si>
  <si>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</si>
  <si>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</si>
  <si>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</si>
  <si>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</si>
  <si>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</si>
  <si>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</si>
  <si>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</si>
  <si>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</si>
  <si>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</si>
  <si>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</si>
  <si>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</si>
  <si>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</si>
  <si>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</si>
  <si>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</si>
  <si>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</si>
  <si>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</si>
  <si>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</si>
  <si>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</si>
  <si>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</si>
  <si>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</si>
  <si>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</si>
  <si>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</si>
  <si>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</si>
  <si>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</si>
  <si>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</si>
  <si>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</si>
  <si>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</si>
  <si>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</si>
  <si>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</si>
  <si>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</si>
  <si>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</si>
  <si>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</si>
  <si>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</si>
  <si>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</si>
  <si>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</si>
  <si>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</si>
  <si>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</si>
  <si>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</si>
  <si>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</si>
  <si>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</si>
  <si>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</si>
  <si>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</si>
  <si>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</si>
  <si>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</si>
  <si>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</si>
  <si>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</si>
  <si>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</si>
  <si>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</si>
  <si>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</si>
  <si>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</si>
  <si>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</si>
  <si>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</si>
  <si>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</si>
  <si>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</si>
  <si>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</si>
  <si>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</si>
  <si>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</si>
  <si>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</si>
  <si>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</si>
  <si>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</si>
  <si>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</si>
  <si>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</si>
  <si>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</si>
  <si>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</si>
  <si>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</si>
  <si>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</si>
  <si>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</si>
  <si>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</si>
  <si>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</si>
  <si>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</si>
  <si>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</si>
  <si>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</si>
  <si>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</si>
  <si>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</si>
  <si>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</si>
  <si>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</si>
  <si>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</si>
  <si>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</si>
  <si>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</si>
  <si>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</si>
  <si>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</si>
  <si>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</si>
  <si>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</si>
  <si>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</si>
  <si>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</si>
  <si>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</si>
  <si>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</si>
  <si>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</si>
  <si>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</si>
  <si>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</si>
  <si>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</si>
  <si>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</si>
  <si>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</si>
  <si>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</si>
  <si>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</si>
  <si>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</si>
  <si>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</si>
  <si>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</si>
  <si>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</si>
  <si>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</si>
  <si>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</si>
  <si>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</si>
  <si>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</si>
  <si>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</si>
  <si>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</si>
  <si>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</si>
  <si>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</si>
  <si>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</si>
  <si>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</si>
  <si>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</si>
  <si>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</si>
  <si>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</si>
  <si>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</si>
  <si>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</si>
  <si>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</si>
  <si>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</si>
  <si>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</si>
  <si>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</si>
  <si>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</si>
  <si>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</si>
  <si>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</si>
  <si>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</si>
  <si>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</si>
  <si>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</si>
  <si>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</si>
  <si>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</si>
  <si>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</si>
  <si>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</si>
  <si>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</si>
  <si>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</si>
  <si>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</si>
  <si>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</si>
  <si>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</si>
  <si>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</si>
  <si>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</si>
  <si>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</si>
  <si>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</si>
  <si>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</si>
  <si>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</si>
  <si>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</si>
  <si>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</si>
  <si>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</si>
  <si>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</si>
  <si>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</si>
  <si>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</si>
  <si>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</si>
  <si>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</si>
  <si>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</si>
  <si>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</si>
  <si>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</si>
  <si>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</si>
  <si>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</si>
  <si>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</si>
  <si>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</si>
  <si>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</si>
  <si>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</si>
  <si>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</si>
  <si>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</si>
  <si>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</si>
  <si>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</si>
  <si>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</si>
  <si>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</si>
  <si>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</si>
  <si>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</si>
  <si>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</si>
  <si>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</si>
  <si>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</si>
  <si>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</si>
  <si>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</si>
  <si>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</si>
  <si>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</si>
  <si>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</si>
  <si>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</si>
  <si>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</si>
  <si>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</si>
  <si>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</si>
  <si>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</si>
  <si>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</si>
  <si>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</si>
  <si>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</si>
  <si>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</si>
  <si>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</si>
  <si>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</si>
  <si>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</si>
  <si>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</si>
  <si>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</si>
  <si>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</si>
  <si>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</si>
  <si>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</si>
  <si>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</si>
  <si>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</si>
  <si>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</si>
  <si>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</si>
  <si>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</si>
  <si>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</si>
  <si>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</si>
  <si>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</si>
  <si>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</si>
  <si>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</si>
  <si>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</si>
  <si>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</si>
  <si>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</si>
  <si>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</si>
  <si>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</si>
  <si>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</si>
  <si>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</si>
  <si>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</si>
  <si>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</si>
  <si>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</si>
  <si>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</si>
  <si>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</si>
  <si>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</si>
  <si>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</si>
  <si>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</si>
  <si>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</si>
  <si>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</si>
  <si>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</si>
  <si>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</si>
  <si>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</si>
  <si>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</si>
  <si>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</si>
  <si>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</si>
  <si>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</si>
  <si>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</si>
  <si>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</si>
  <si>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</si>
  <si>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</si>
  <si>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</si>
  <si>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</si>
  <si>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</si>
  <si>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</si>
  <si>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</si>
  <si>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</si>
  <si>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</si>
  <si>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</si>
  <si>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</si>
  <si>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</si>
  <si>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</si>
  <si>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</si>
  <si>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</si>
  <si>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</si>
  <si>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</si>
  <si>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</si>
  <si>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</si>
  <si>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</si>
  <si>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</si>
  <si>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</si>
  <si>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</si>
  <si>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</si>
  <si>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</si>
  <si>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</si>
  <si>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</si>
  <si>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</si>
  <si>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</si>
  <si>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</si>
  <si>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</si>
  <si>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</si>
  <si>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</si>
  <si>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</si>
  <si>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</si>
  <si>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</si>
  <si>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</si>
  <si>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</si>
  <si>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</si>
  <si>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</si>
  <si>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</si>
  <si>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</si>
  <si>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</si>
  <si>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</si>
  <si>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</si>
  <si>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</si>
  <si>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</si>
  <si>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</si>
  <si>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</si>
  <si>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</si>
  <si>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</si>
  <si>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</si>
  <si>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</si>
  <si>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</si>
  <si>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</si>
  <si>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</si>
  <si>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</si>
  <si>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</si>
  <si>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</si>
  <si>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</si>
  <si>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</si>
  <si>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</si>
  <si>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</si>
  <si>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</si>
  <si>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</si>
  <si>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</si>
  <si>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</si>
  <si>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</si>
  <si>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</si>
  <si>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</si>
  <si>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</si>
  <si>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</si>
  <si>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</si>
  <si>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</si>
  <si>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</si>
  <si>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</si>
  <si>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</si>
  <si>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</si>
  <si>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</si>
  <si>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</si>
  <si>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</si>
  <si>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</si>
  <si>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</si>
  <si>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</si>
  <si>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</si>
  <si>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</si>
  <si>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</si>
  <si>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</si>
  <si>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</si>
  <si>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</si>
  <si>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</si>
  <si>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</si>
  <si>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</si>
  <si>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</si>
  <si>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</si>
  <si>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</si>
  <si>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</si>
  <si>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</si>
  <si>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</si>
  <si>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</si>
  <si>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</si>
  <si>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</si>
  <si>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</si>
  <si>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</si>
  <si>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</si>
  <si>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</si>
  <si>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</si>
  <si>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</si>
  <si>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</si>
  <si>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</si>
  <si>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</si>
  <si>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</si>
  <si>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</si>
  <si>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</si>
  <si>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</si>
  <si>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</si>
  <si>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</si>
  <si>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</si>
  <si>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</si>
  <si>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</si>
  <si>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</si>
  <si>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</si>
  <si>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</si>
  <si>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</si>
  <si>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</si>
  <si>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</si>
  <si>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</si>
  <si>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</si>
  <si>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</si>
  <si>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</si>
  <si>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</si>
  <si>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</si>
  <si>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</si>
  <si>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</si>
  <si>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</si>
  <si>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</si>
  <si>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</si>
  <si>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</si>
  <si>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</si>
  <si>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</si>
  <si>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</si>
  <si>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</si>
  <si>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</si>
  <si>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</si>
  <si>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</si>
  <si>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</si>
  <si>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</si>
  <si>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</si>
  <si>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</si>
  <si>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</si>
  <si>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</si>
  <si>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</si>
  <si>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</si>
  <si>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</si>
  <si>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</si>
  <si>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</si>
  <si>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</si>
  <si>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</si>
  <si>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</si>
  <si>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</si>
  <si>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</si>
  <si>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</si>
  <si>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</si>
  <si>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</si>
  <si>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</si>
  <si>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</si>
  <si>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</si>
  <si>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</si>
  <si>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</si>
  <si>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</si>
  <si>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</si>
  <si>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</si>
  <si>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</si>
  <si>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</si>
  <si>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</si>
  <si>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</si>
  <si>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</si>
  <si>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</si>
  <si>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</si>
  <si>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</si>
  <si>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</si>
  <si>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</si>
  <si>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</si>
  <si>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</si>
  <si>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</si>
  <si>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</si>
  <si>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</si>
  <si>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</si>
  <si>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</si>
  <si>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</si>
  <si>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</si>
  <si>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</si>
  <si>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</si>
  <si>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</si>
  <si>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</si>
  <si>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</si>
  <si>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</si>
  <si>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</si>
  <si>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</si>
  <si>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</si>
  <si>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</si>
  <si>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</si>
  <si>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</si>
  <si>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</si>
  <si>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</si>
  <si>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</si>
  <si>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</si>
  <si>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</si>
  <si>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</si>
  <si>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</si>
  <si>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</si>
  <si>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</si>
  <si>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</si>
  <si>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</si>
  <si>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</si>
  <si>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</si>
  <si>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</si>
  <si>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</si>
  <si>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</si>
  <si>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</si>
  <si>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</si>
  <si>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</si>
  <si>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</si>
  <si>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</si>
  <si>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</si>
  <si>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</si>
  <si>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</si>
  <si>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</si>
  <si>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</si>
  <si>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</si>
  <si>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</si>
  <si>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</si>
  <si>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</si>
  <si>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</si>
  <si>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</si>
  <si>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</si>
  <si>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</si>
  <si>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</si>
  <si>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</si>
  <si>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</si>
  <si>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</si>
  <si>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</si>
  <si>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</si>
  <si>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</si>
  <si>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</si>
  <si>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</si>
  <si>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</si>
  <si>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</si>
  <si>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</si>
  <si>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</si>
  <si>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</si>
  <si>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</si>
  <si>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</si>
  <si>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</si>
  <si>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</si>
  <si>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</si>
  <si>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</si>
  <si>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</si>
  <si>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</si>
  <si>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</si>
  <si>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</si>
  <si>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</si>
  <si>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</si>
  <si>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</si>
  <si>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</si>
  <si>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</si>
  <si>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</si>
  <si>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</si>
  <si>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</si>
  <si>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</si>
  <si>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</si>
  <si>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</si>
  <si>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</si>
  <si>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</si>
  <si>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</si>
  <si>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</si>
  <si>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</si>
  <si>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</si>
  <si>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</si>
  <si>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</si>
  <si>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</si>
  <si>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</si>
  <si>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</si>
  <si>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</si>
  <si>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</si>
  <si>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</si>
  <si>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</si>
  <si>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</si>
  <si>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</si>
  <si>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</si>
  <si>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</si>
  <si>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</si>
  <si>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</si>
  <si>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</si>
  <si>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</si>
  <si>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</si>
  <si>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</si>
  <si>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</si>
  <si>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</si>
  <si>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</si>
  <si>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</si>
  <si>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</si>
  <si>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</si>
  <si>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</si>
  <si>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</si>
  <si>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</si>
  <si>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</si>
  <si>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</si>
  <si>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</si>
  <si>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</si>
  <si>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</si>
  <si>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</si>
  <si>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</si>
  <si>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</si>
  <si>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</si>
  <si>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</si>
  <si>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</si>
  <si>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</si>
  <si>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</si>
  <si>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</si>
  <si>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</si>
  <si>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</si>
  <si>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</si>
  <si>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</si>
  <si>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</si>
  <si>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</si>
  <si>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</si>
  <si>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</si>
  <si>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</si>
  <si>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</si>
  <si>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</si>
  <si>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</si>
  <si>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</si>
  <si>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</si>
  <si>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</si>
  <si>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</si>
  <si>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</si>
  <si>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</si>
  <si>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</si>
  <si>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</si>
  <si>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</si>
  <si>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</si>
  <si>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</si>
  <si>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</si>
  <si>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</si>
  <si>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</si>
  <si>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</si>
  <si>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</si>
  <si>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</si>
  <si>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</si>
  <si>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</si>
  <si>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</si>
  <si>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</si>
  <si>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</si>
  <si>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</si>
  <si>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</si>
  <si>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</si>
  <si>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</si>
  <si>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</si>
  <si>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</si>
  <si>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</si>
  <si>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</si>
  <si>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</si>
  <si>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</si>
  <si>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</si>
  <si>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</si>
  <si>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</si>
  <si>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</si>
  <si>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</si>
  <si>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</si>
  <si>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</si>
  <si>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</si>
  <si>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</si>
  <si>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</si>
  <si>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</si>
  <si>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</si>
  <si>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</si>
  <si>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</si>
  <si>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</si>
  <si>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</si>
  <si>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</si>
  <si>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</si>
  <si>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</si>
  <si>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</si>
  <si>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</si>
  <si>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</si>
  <si>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</si>
  <si>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</si>
  <si>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</si>
  <si>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</si>
  <si>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</si>
  <si>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</si>
  <si>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</si>
  <si>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</si>
  <si>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</si>
  <si>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</si>
  <si>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</si>
  <si>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</si>
  <si>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</si>
  <si>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</si>
  <si>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</si>
  <si>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</si>
  <si>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</si>
  <si>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</si>
  <si>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</si>
  <si>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</si>
  <si>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</si>
  <si>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</si>
  <si>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</si>
  <si>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</si>
  <si>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</si>
  <si>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</si>
  <si>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</si>
  <si>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</si>
  <si>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</si>
  <si>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</si>
  <si>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</si>
  <si>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</si>
  <si>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</si>
  <si>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</si>
  <si>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</si>
  <si>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</si>
  <si>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</si>
  <si>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</si>
  <si>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</si>
  <si>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</si>
  <si>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</si>
  <si>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</si>
  <si>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</si>
  <si>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</si>
  <si>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</si>
  <si>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</si>
  <si>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</si>
  <si>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</si>
  <si>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</si>
  <si>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</si>
  <si>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</si>
  <si>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</si>
  <si>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</si>
  <si>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</si>
  <si>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</si>
  <si>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</si>
  <si>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</si>
  <si>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</si>
  <si>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</si>
  <si>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</si>
  <si>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</si>
  <si>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</si>
  <si>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</si>
  <si>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</si>
  <si>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</si>
  <si>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</si>
  <si>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</si>
  <si>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</si>
  <si>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</si>
  <si>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</si>
  <si>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</si>
  <si>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</si>
  <si>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</si>
  <si>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</si>
  <si>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</si>
  <si>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</si>
  <si>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</si>
  <si>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</si>
  <si>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</si>
  <si>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</si>
  <si>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</si>
  <si>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</si>
  <si>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</si>
  <si>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</si>
  <si>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</si>
  <si>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</si>
  <si>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</si>
  <si>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</si>
  <si>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</si>
  <si>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</si>
  <si>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</si>
  <si>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</si>
  <si>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</si>
  <si>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</si>
  <si>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</si>
  <si>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</si>
  <si>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</si>
  <si>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</si>
  <si>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</si>
  <si>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</si>
  <si>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</si>
  <si>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</si>
  <si>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</si>
  <si>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</si>
  <si>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</si>
  <si>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</si>
  <si>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</si>
  <si>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</si>
  <si>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</si>
  <si>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</si>
  <si>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</si>
  <si>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</si>
  <si>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</si>
  <si>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</si>
  <si>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</si>
  <si>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</si>
  <si>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</si>
  <si>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</si>
  <si>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</si>
  <si>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</si>
  <si>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</si>
  <si>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</si>
  <si>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</si>
  <si>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</si>
  <si>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</si>
  <si>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</si>
  <si>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</si>
  <si>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</si>
  <si>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</si>
  <si>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</si>
  <si>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</si>
  <si>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</si>
  <si>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</si>
  <si>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</si>
  <si>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</si>
  <si>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</si>
  <si>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</si>
  <si>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</si>
  <si>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</si>
  <si>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</si>
  <si>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</si>
  <si>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</si>
  <si>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</si>
  <si>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</si>
  <si>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</si>
  <si>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</si>
  <si>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</si>
  <si>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</si>
  <si>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</si>
  <si>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</si>
  <si>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</si>
  <si>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</si>
  <si>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</si>
  <si>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</si>
  <si>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</si>
  <si>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</si>
  <si>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</si>
  <si>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</si>
  <si>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</si>
  <si>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</si>
  <si>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</si>
  <si>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</si>
  <si>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</si>
  <si>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</si>
  <si>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</si>
  <si>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</si>
  <si>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</si>
  <si>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</si>
  <si>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</si>
  <si>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</si>
  <si>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</si>
  <si>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</si>
  <si>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</si>
  <si>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</si>
  <si>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</si>
  <si>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</si>
  <si>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</si>
  <si>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</si>
  <si>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</si>
  <si>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</si>
  <si>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</si>
  <si>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</si>
  <si>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</si>
  <si>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</si>
  <si>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</si>
  <si>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</si>
  <si>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</si>
  <si>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</si>
  <si>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</si>
  <si>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</si>
  <si>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</si>
  <si>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</si>
  <si>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</si>
  <si>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</si>
  <si>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</si>
  <si>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</si>
  <si>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</si>
  <si>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</si>
  <si>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</si>
  <si>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</si>
  <si>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</si>
  <si>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</si>
  <si>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</si>
  <si>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</si>
  <si>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</si>
  <si>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</si>
  <si>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</si>
  <si>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</si>
  <si>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</si>
  <si>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</si>
  <si>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</si>
  <si>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</si>
  <si>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</si>
  <si>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</si>
  <si>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</si>
  <si>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</si>
  <si>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</si>
  <si>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</si>
  <si>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</si>
  <si>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</si>
  <si>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</si>
  <si>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</si>
  <si>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</si>
  <si>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</si>
  <si>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</si>
  <si>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</si>
  <si>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</si>
  <si>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</si>
  <si>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</si>
  <si>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</si>
  <si>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</si>
  <si>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</si>
  <si>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</si>
  <si>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</si>
  <si>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</si>
  <si>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</si>
  <si>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</si>
  <si>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</si>
  <si>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</si>
  <si>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</si>
  <si>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</si>
  <si>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</si>
  <si>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</si>
  <si>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</si>
  <si>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</si>
  <si>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</si>
  <si>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</si>
  <si>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</si>
  <si>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</si>
  <si>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</si>
  <si>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</si>
  <si>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</si>
  <si>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</si>
  <si>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</si>
  <si>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</si>
  <si>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</si>
  <si>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</si>
  <si>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</si>
  <si>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</si>
  <si>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</si>
  <si>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</si>
  <si>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</si>
  <si>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</si>
  <si>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</si>
  <si>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</si>
  <si>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</si>
  <si>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</si>
  <si>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</si>
  <si>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</si>
  <si>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</si>
  <si>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</si>
  <si>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</si>
  <si>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</si>
  <si>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</si>
  <si>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</si>
  <si>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</si>
  <si>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</si>
  <si>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</si>
  <si>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</si>
  <si>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</si>
  <si>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</si>
  <si>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</si>
  <si>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</si>
  <si>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</si>
  <si>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</si>
  <si>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</si>
  <si>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</si>
  <si>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</si>
  <si>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</si>
  <si>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</si>
  <si>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</si>
  <si>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</si>
  <si>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</si>
  <si>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</si>
  <si>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</si>
  <si>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</si>
  <si>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</si>
  <si>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</si>
  <si>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</si>
  <si>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</si>
  <si>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</si>
  <si>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</si>
  <si>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</si>
  <si>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</si>
  <si>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</si>
  <si>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</si>
  <si>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</si>
  <si>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</si>
  <si>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</si>
  <si>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</si>
  <si>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</si>
  <si>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</si>
  <si>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</si>
  <si>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</si>
  <si>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</si>
  <si>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</si>
  <si>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</si>
  <si>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</si>
  <si>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</si>
  <si>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</si>
  <si>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</si>
  <si>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</si>
  <si>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</si>
  <si>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</si>
  <si>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</si>
  <si>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</si>
  <si>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</si>
  <si>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</si>
  <si>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</si>
  <si>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</si>
  <si>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</si>
  <si>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</si>
  <si>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</si>
  <si>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</si>
  <si>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</si>
  <si>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</si>
  <si>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</si>
  <si>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</si>
  <si>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</si>
  <si>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</si>
  <si>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</si>
  <si>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</si>
  <si>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</si>
  <si>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</si>
  <si>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</si>
  <si>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</si>
  <si>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</si>
  <si>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</si>
  <si>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</si>
  <si>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</si>
  <si>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</si>
  <si>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</si>
  <si>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</si>
  <si>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</si>
  <si>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</si>
  <si>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</si>
  <si>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</si>
  <si>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</si>
  <si>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</si>
  <si>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</si>
  <si>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</si>
  <si>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</si>
  <si>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</si>
  <si>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</si>
  <si>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</si>
  <si>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</si>
  <si>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</si>
  <si>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</si>
  <si>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</si>
  <si>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</si>
  <si>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</si>
  <si>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</si>
  <si>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</si>
  <si>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</si>
  <si>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</si>
  <si>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</si>
  <si>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</si>
  <si>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</si>
  <si>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</si>
  <si>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</si>
  <si>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</si>
  <si>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</si>
  <si>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</si>
  <si>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</si>
  <si>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</si>
  <si>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</si>
  <si>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</si>
  <si>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</si>
  <si>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</si>
  <si>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</si>
  <si>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</si>
  <si>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</si>
  <si>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</si>
  <si>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</si>
  <si>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</si>
  <si>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</si>
  <si>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</si>
  <si>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</si>
  <si>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</si>
  <si>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</si>
  <si>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</si>
  <si>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</si>
  <si>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</si>
  <si>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</si>
  <si>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</si>
  <si>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</si>
  <si>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</si>
  <si>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</si>
  <si>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</si>
  <si>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</si>
  <si>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</si>
  <si>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</si>
  <si>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</si>
  <si>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</si>
  <si>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</si>
  <si>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</si>
  <si>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</si>
  <si>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</si>
  <si>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</si>
  <si>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</si>
  <si>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</si>
  <si>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</si>
  <si>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</si>
  <si>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</si>
  <si>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</si>
  <si>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</si>
  <si>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</si>
  <si>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</si>
  <si>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</si>
  <si>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</si>
  <si>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</si>
  <si>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</si>
  <si>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</si>
  <si>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</si>
  <si>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</si>
  <si>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</si>
  <si>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</si>
  <si>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</si>
  <si>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</si>
  <si>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</si>
  <si>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</si>
  <si>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</si>
  <si>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</si>
  <si>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</si>
  <si>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</si>
  <si>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</si>
  <si>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</si>
  <si>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</si>
  <si>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</si>
  <si>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</si>
  <si>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</si>
  <si>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</si>
  <si>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</si>
  <si>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</si>
  <si>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</si>
  <si>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</si>
  <si>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</si>
  <si>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</si>
  <si>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</si>
  <si>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</si>
  <si>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</si>
  <si>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</si>
  <si>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</si>
  <si>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</si>
  <si>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</si>
  <si>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</si>
  <si>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</si>
  <si>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</si>
  <si>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</si>
  <si>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</si>
  <si>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</si>
  <si>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</si>
  <si>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</si>
  <si>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</si>
  <si>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</si>
  <si>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</si>
  <si>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</si>
  <si>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</si>
  <si>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</si>
  <si>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</si>
  <si>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</si>
  <si>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</si>
  <si>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</si>
  <si>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</si>
  <si>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</si>
  <si>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</si>
  <si>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</si>
  <si>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</si>
  <si>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</si>
  <si>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</si>
  <si>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</si>
  <si>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</si>
  <si>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</si>
  <si>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</si>
  <si>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</si>
  <si>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</si>
  <si>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</si>
  <si>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</si>
  <si>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</si>
  <si>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</si>
  <si>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</si>
  <si>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</si>
  <si>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</si>
  <si>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</si>
  <si>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</si>
  <si>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</si>
  <si>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</si>
  <si>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</si>
  <si>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</si>
  <si>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</si>
  <si>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</si>
  <si>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</si>
  <si>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</si>
  <si>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</si>
  <si>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</si>
  <si>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</si>
  <si>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</si>
  <si>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</si>
  <si>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</si>
  <si>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</si>
  <si>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</si>
  <si>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</si>
  <si>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</si>
  <si>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</si>
  <si>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</si>
  <si>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</si>
  <si>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</si>
  <si>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</si>
  <si>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</si>
  <si>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</si>
  <si>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</si>
  <si>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</si>
  <si>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</si>
  <si>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</si>
  <si>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</si>
  <si>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</si>
  <si>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</si>
  <si>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</si>
  <si>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</si>
  <si>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</si>
  <si>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</si>
  <si>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</si>
  <si>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</si>
  <si>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</si>
  <si>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</si>
  <si>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</si>
  <si>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</si>
  <si>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</si>
  <si>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</si>
  <si>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</si>
  <si>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</si>
  <si>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</si>
  <si>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</si>
  <si>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</si>
  <si>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</si>
  <si>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</si>
  <si>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梁津</t>
  </si>
  <si>
    <t>王鹏</t>
  </si>
  <si>
    <t>大业信托有限责任公司</t>
    <phoneticPr fontId="6" type="noConversion"/>
  </si>
  <si>
    <t>沈阳颐和城地产开发有限公司</t>
    <phoneticPr fontId="6" type="noConversion"/>
  </si>
  <si>
    <t>抵押</t>
  </si>
  <si>
    <t>抵押价格</t>
  </si>
  <si>
    <t>其他：</t>
  </si>
  <si>
    <t>沈阳市</t>
    <phoneticPr fontId="6" type="noConversion"/>
  </si>
  <si>
    <t>企业</t>
  </si>
  <si>
    <t>城镇住宅用地和其他商服用地</t>
    <phoneticPr fontId="6" type="noConversion"/>
  </si>
  <si>
    <t>住宅、商业</t>
    <phoneticPr fontId="6" type="noConversion"/>
  </si>
  <si>
    <t>一致</t>
  </si>
  <si>
    <t>符合</t>
  </si>
  <si>
    <t>出让</t>
  </si>
  <si>
    <t>商业</t>
  </si>
  <si>
    <t>住宅66.84年，商业36.90年</t>
    <phoneticPr fontId="6" type="noConversion"/>
  </si>
  <si>
    <t>否</t>
  </si>
  <si>
    <t>居住项目</t>
  </si>
  <si>
    <t>无</t>
  </si>
  <si>
    <t>场地平整</t>
  </si>
  <si>
    <t>平整</t>
  </si>
  <si>
    <t>通路</t>
  </si>
  <si>
    <t>通电</t>
  </si>
  <si>
    <t>通讯</t>
  </si>
  <si>
    <t>通上水</t>
  </si>
  <si>
    <t>通下水</t>
  </si>
  <si>
    <t>通热</t>
  </si>
  <si>
    <t>燃气</t>
  </si>
  <si>
    <t>住宅</t>
    <phoneticPr fontId="6" type="noConversion"/>
  </si>
  <si>
    <t>六级</t>
    <phoneticPr fontId="6" type="noConversion"/>
  </si>
  <si>
    <t>地上</t>
  </si>
  <si>
    <t>普通住宅</t>
  </si>
  <si>
    <t>底商</t>
  </si>
  <si>
    <t>地上住宅</t>
  </si>
  <si>
    <t>地上住宅</t>
    <phoneticPr fontId="7" type="noConversion"/>
  </si>
  <si>
    <t>地上商业</t>
  </si>
  <si>
    <t>地上商业</t>
    <phoneticPr fontId="7" type="noConversion"/>
  </si>
  <si>
    <t>比较法-住宅、综合</t>
  </si>
  <si>
    <t>剩余法-待开发</t>
  </si>
  <si>
    <t>楼面地价</t>
  </si>
  <si>
    <t>正常</t>
  </si>
  <si>
    <t>押一</t>
  </si>
  <si>
    <t>钢混</t>
  </si>
  <si>
    <t>不动产收益法</t>
  </si>
  <si>
    <t>土地（套用方法）</t>
  </si>
  <si>
    <t>售价</t>
  </si>
  <si>
    <t>住宅</t>
    <phoneticPr fontId="26" type="noConversion"/>
  </si>
  <si>
    <t>居住</t>
  </si>
  <si>
    <t>居住</t>
    <phoneticPr fontId="26" type="noConversion"/>
  </si>
  <si>
    <t>60-70</t>
    <phoneticPr fontId="26" type="noConversion"/>
  </si>
  <si>
    <t>一般</t>
  </si>
  <si>
    <t>较差</t>
  </si>
  <si>
    <t>较好</t>
  </si>
  <si>
    <t>七通</t>
  </si>
  <si>
    <t>双面临街</t>
  </si>
  <si>
    <t>高速路</t>
    <phoneticPr fontId="26" type="noConversion"/>
  </si>
  <si>
    <t>快速路</t>
    <phoneticPr fontId="26" type="noConversion"/>
  </si>
  <si>
    <t>主干道</t>
  </si>
  <si>
    <t>主干道</t>
    <phoneticPr fontId="26" type="noConversion"/>
  </si>
  <si>
    <t>次干道</t>
  </si>
  <si>
    <t>次干道</t>
    <phoneticPr fontId="26" type="noConversion"/>
  </si>
  <si>
    <t>支路</t>
  </si>
  <si>
    <t>支路</t>
    <phoneticPr fontId="26" type="noConversion"/>
  </si>
  <si>
    <t>六级</t>
    <phoneticPr fontId="26" type="noConversion"/>
  </si>
  <si>
    <t>五级</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</si>
  <si>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</si>
  <si>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</si>
  <si>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</si>
  <si>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</si>
  <si>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</si>
  <si>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</si>
  <si>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好</t>
    <phoneticPr fontId="26" type="noConversion"/>
  </si>
  <si>
    <t>较好</t>
    <phoneticPr fontId="26" type="noConversion"/>
  </si>
  <si>
    <t>一般</t>
    <phoneticPr fontId="26" type="noConversion"/>
  </si>
  <si>
    <t>较差</t>
    <phoneticPr fontId="26" type="noConversion"/>
  </si>
  <si>
    <t>差</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</si>
  <si>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</si>
  <si>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</si>
  <si>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</si>
  <si>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</si>
  <si>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</si>
  <si>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多面临街</t>
  </si>
  <si>
    <t>单面临街</t>
  </si>
  <si>
    <t>居住、商业</t>
  </si>
  <si>
    <t>居住、商业</t>
    <phoneticPr fontId="26" type="noConversion"/>
  </si>
  <si>
    <t>浑南区玄菟路580号（金橙街与玄菟路交汇处西北角）</t>
    <phoneticPr fontId="3" type="noConversion"/>
  </si>
  <si>
    <t>住宅</t>
    <phoneticPr fontId="21" type="noConversion"/>
  </si>
  <si>
    <t>60-70（含）</t>
  </si>
  <si>
    <t>80-150</t>
    <phoneticPr fontId="21" type="noConversion"/>
  </si>
  <si>
    <t>独栋别墅</t>
    <phoneticPr fontId="21" type="noConversion"/>
  </si>
  <si>
    <t>联排别墅</t>
    <phoneticPr fontId="21" type="noConversion"/>
  </si>
  <si>
    <t>叠拼别墅</t>
    <phoneticPr fontId="21" type="noConversion"/>
  </si>
  <si>
    <t>洋房</t>
  </si>
  <si>
    <t>洋房</t>
    <phoneticPr fontId="21" type="noConversion"/>
  </si>
  <si>
    <t>高层住宅</t>
    <phoneticPr fontId="21" type="noConversion"/>
  </si>
  <si>
    <t>钢混</t>
    <phoneticPr fontId="21" type="noConversion"/>
  </si>
  <si>
    <t>混合</t>
    <phoneticPr fontId="21" type="noConversion"/>
  </si>
  <si>
    <t>东:北环路西侧规划绿线、南:白塔河二路北侧规划绿线、西:确定用地范围界限、北:北环路南侧规划绿线</t>
    <phoneticPr fontId="3" type="noConversion"/>
  </si>
  <si>
    <t>GN-SW-02-20</t>
    <phoneticPr fontId="3" type="noConversion"/>
  </si>
  <si>
    <t>东:智慧二街西侧规划绿线、南:全运路北侧规划绿线、西:智慧一街东侧规划绿线、北:高深路南侧规划绿线</t>
    <phoneticPr fontId="3" type="noConversion"/>
  </si>
  <si>
    <t>GN-SW-02-24</t>
    <phoneticPr fontId="3" type="noConversion"/>
  </si>
  <si>
    <t>东:智慧四街西侧规划绿线、南:白塔河三路北侧规划绿线、西:智慧三街东侧规划绿线、北:白塔河二路南侧规划绿线</t>
    <phoneticPr fontId="3" type="noConversion"/>
  </si>
  <si>
    <t>沈阳监测指标情况一览表</t>
  </si>
  <si>
    <t>时间</t>
  </si>
  <si>
    <t>水平值</t>
  </si>
  <si>
    <t>环比增长率</t>
  </si>
  <si>
    <t>指数</t>
  </si>
  <si>
    <t>高档</t>
    <phoneticPr fontId="21" type="noConversion"/>
  </si>
  <si>
    <t>中档</t>
  </si>
  <si>
    <t>中档</t>
    <phoneticPr fontId="21" type="noConversion"/>
  </si>
  <si>
    <t>低档</t>
    <phoneticPr fontId="21" type="noConversion"/>
  </si>
  <si>
    <t>精装修</t>
  </si>
  <si>
    <t>精装修</t>
    <phoneticPr fontId="21" type="noConversion"/>
  </si>
  <si>
    <t>简单装修</t>
    <phoneticPr fontId="21" type="noConversion"/>
  </si>
  <si>
    <t>毛坯</t>
  </si>
  <si>
    <t>毛坯</t>
    <phoneticPr fontId="21" type="noConversion"/>
  </si>
  <si>
    <t>专业</t>
  </si>
  <si>
    <t>专业</t>
    <phoneticPr fontId="21" type="noConversion"/>
  </si>
  <si>
    <t>不专业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</si>
  <si>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</si>
  <si>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</si>
  <si>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</si>
  <si>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</si>
  <si>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</si>
  <si>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150-300</t>
    <phoneticPr fontId="21" type="noConversion"/>
  </si>
  <si>
    <r>
      <t>300</t>
    </r>
    <r>
      <rPr>
        <sz val="11"/>
        <color indexed="8"/>
        <rFont val="宋体"/>
        <family val="3"/>
        <charset val="134"/>
      </rPr>
      <t>以上</t>
    </r>
    <phoneticPr fontId="21" type="noConversion"/>
  </si>
  <si>
    <t>次干道</t>
    <phoneticPr fontId="21" type="noConversion"/>
  </si>
  <si>
    <t>主干道</t>
    <phoneticPr fontId="21" type="noConversion"/>
  </si>
  <si>
    <t>浑南区东陵路16-18号（东陵公园对面）</t>
    <phoneticPr fontId="3" type="noConversion"/>
  </si>
  <si>
    <t>浑南区沈棋路36号（盛京高尔夫东侧）</t>
    <phoneticPr fontId="3" type="noConversion"/>
  </si>
  <si>
    <t>项目全部</t>
  </si>
  <si>
    <t>土地</t>
  </si>
  <si>
    <t>GN-SW-01-56-2</t>
    <phoneticPr fontId="3" type="noConversion"/>
  </si>
  <si>
    <t>中旅国际小镇</t>
    <phoneticPr fontId="3" type="noConversion"/>
  </si>
  <si>
    <t>首创·花屿岸</t>
    <phoneticPr fontId="3" type="noConversion"/>
  </si>
  <si>
    <t>保利.白沙林语</t>
    <phoneticPr fontId="3" type="noConversion"/>
  </si>
  <si>
    <r>
      <t>1.</t>
    </r>
    <r>
      <rPr>
        <sz val="10"/>
        <color indexed="8"/>
        <rFont val="宋体"/>
        <family val="3"/>
        <charset val="134"/>
      </rPr>
      <t>土地案例不足，选取超</t>
    </r>
    <r>
      <rPr>
        <sz val="10"/>
        <color indexed="8"/>
        <rFont val="Arial"/>
        <family val="2"/>
      </rPr>
      <t>30%</t>
    </r>
    <phoneticPr fontId="9" type="noConversion"/>
  </si>
  <si>
    <r>
      <t>2.</t>
    </r>
    <r>
      <rPr>
        <sz val="10"/>
        <color indexed="8"/>
        <rFont val="宋体"/>
        <family val="3"/>
        <charset val="134"/>
      </rPr>
      <t>开发后价值水平略高</t>
    </r>
    <r>
      <rPr>
        <sz val="10"/>
        <color indexed="8"/>
        <rFont val="Arial"/>
        <family val="2"/>
      </rPr>
      <t>10%</t>
    </r>
    <phoneticPr fontId="9" type="noConversion"/>
  </si>
  <si>
    <t>《不动产权证书》[辽（2017）沈阳市不动产权第9000184号]</t>
    <phoneticPr fontId="3" type="noConversion"/>
  </si>
  <si>
    <t>《国有建设用地使用权出让合同》[电子监管号：2101122013B03485]及附件</t>
    <phoneticPr fontId="6" type="noConversion"/>
  </si>
  <si>
    <t>沈阳市浑南区香堤路197号</t>
    <phoneticPr fontId="6" type="noConversion"/>
  </si>
  <si>
    <t>《不动产权证书》[辽（2017）沈阳市不动产权第9000184号]</t>
    <phoneticPr fontId="3" type="noConversion"/>
  </si>
  <si>
    <t>《国有建设用地使用权出让合同》[电子监管号：2101122013B03485]及附件</t>
    <phoneticPr fontId="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</si>
</sst>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78" fillId="2" borderId="20"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7" borderId="0" xfId="0" applyFont="1" applyFill="1" applyAlignment="1">
      <alignment horizontal="left" vertical="center" wrapText="1"/>
    </xf>
    <xf numFmtId="0" fontId="280" fillId="17" borderId="154" xfId="0" applyFont="1" applyFill="1" applyBorder="1" applyAlignment="1">
      <alignment horizontal="right" vertical="center" wrapText="1"/>
    </xf>
    <xf numFmtId="0" fontId="279" fillId="16" borderId="0" xfId="0" applyFont="1" applyFill="1" applyBorder="1" applyAlignment="1">
      <alignment horizontal="center"/>
    </xf>
    <xf numFmtId="0" fontId="280" fillId="18" borderId="0" xfId="0" applyFont="1" applyFill="1" applyAlignment="1">
      <alignment horizontal="left" vertical="center" wrapText="1"/>
    </xf>
    <xf numFmtId="0" fontId="280" fillId="18" borderId="154" xfId="0" applyFont="1" applyFill="1" applyBorder="1" applyAlignment="1">
      <alignment horizontal="right" vertical="center" wrapText="1"/>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181" fontId="152" fillId="9" borderId="2" xfId="0"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106" fillId="9" borderId="0" xfId="0" applyFont="1" applyFill="1" applyAlignment="1" applyProtection="1">
      <alignment horizontal="center" vertical="center"/>
      <protection locked="0"/>
    </xf>
    <xf numFmtId="181" fontId="71" fillId="9" borderId="12"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2662</v>
      </c>
      <c r="B1" s="2922" t="s">
        <v>2759</v>
      </c>
    </row>
    <row r="2" spans="1:55" s="2926" customFormat="1" ht="15" thickTop="1">
      <c r="A2" s="2924" t="s">
        <v>2666</v>
      </c>
      <c r="B2" s="2925" t="str">
        <f>'预评函-封皮'!B37</f>
        <v>沈阳市沈阳市浑南区香堤路197号出让国有建设用地使用权抵押价格预评估</v>
      </c>
      <c r="AX2" s="2927"/>
      <c r="AZ2" s="2927"/>
      <c r="BA2" s="2928"/>
      <c r="BC2" s="2928"/>
    </row>
    <row r="3" spans="1:55" s="2929" customFormat="1">
      <c r="A3" s="2908" t="s">
        <v>2667</v>
      </c>
      <c r="B3" s="2911" t="str">
        <f>'预评函-封皮'!B40</f>
        <v>大业信托有限责任公司</v>
      </c>
    </row>
    <row r="4" spans="1:55" s="2910" customFormat="1">
      <c r="A4" s="2908" t="s">
        <v>2668</v>
      </c>
      <c r="B4" s="2909" t="str">
        <f>'预评函-封皮'!B46</f>
        <v>梁津、王鹏</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2669</v>
      </c>
      <c r="B5" s="2931" t="str">
        <f>'预评函-封皮'!B49</f>
        <v>康正预评字号</v>
      </c>
    </row>
    <row r="6" spans="1:55" s="2932" customFormat="1" ht="15" thickTop="1">
      <c r="A6" s="2924" t="s">
        <v>2711</v>
      </c>
      <c r="B6" s="2925" t="str">
        <f>'预评函-1'!A4</f>
        <v>受贵公司委托，我公司对沈阳市沈阳市浑南区香堤路197号出让国有建设用地使用权抵押价格进行了预评估。</v>
      </c>
      <c r="AM6" s="2933"/>
    </row>
    <row r="7" spans="1:55" s="2907" customFormat="1">
      <c r="A7" s="2908" t="s">
        <v>2663</v>
      </c>
      <c r="B7" s="2909" t="str">
        <f>'预评函-1'!A6</f>
        <v>估价对象为沈阳颐和城地产开发有限公司使用的、位于沈阳市沈阳市浑南区香堤路197号出让国有建设用地使用权。根据《国有建设用地使用权出让合同》[电子监管号：2101122013B03485]及附件，估价对象（分摊）出让国有建设用地使用权面积为72507.13平方米。根据《不动产权证书》[辽（2017）沈阳市不动产权第9000184号]，估价对象规划建筑面积为108760.69平方米。</v>
      </c>
    </row>
    <row r="8" spans="1:55" s="2907" customFormat="1">
      <c r="A8" s="2908" t="s">
        <v>2664</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2714</v>
      </c>
      <c r="B9" s="2909" t="str">
        <f>'预评函-1'!A9</f>
        <v>沈阳颐和城地产开发有限公司拟使用沈阳市沈阳市浑南区香堤路197号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907" customFormat="1">
      <c r="A10" s="2908" t="s">
        <v>2665</v>
      </c>
      <c r="B10" s="2909" t="str">
        <f>'预评函-1'!A11</f>
        <v>2017年10月10日（评估专业人员勘察现场之日）</v>
      </c>
    </row>
    <row r="11" spans="1:55" s="2907" customFormat="1">
      <c r="A11" s="2908" t="s">
        <v>2671</v>
      </c>
      <c r="B11" s="2909" t="str">
        <f>'预评函-1'!A14</f>
        <v>根据《不动产权证书》[辽（2017）沈阳市不动产权第9000184号]，本次评估估价对象证载（地类）用途为城镇住宅用地和其他商服用地。</v>
      </c>
    </row>
    <row r="12" spans="1:55" s="2907" customFormat="1">
      <c r="A12" s="2908" t="s">
        <v>2672</v>
      </c>
      <c r="B12" s="2909" t="str">
        <f>'预评函-1'!A15</f>
        <v>本次评估设定用途即为证载用途住宅、商业。</v>
      </c>
    </row>
    <row r="13" spans="1:55" s="2907" customFormat="1">
      <c r="A13" s="2908" t="s">
        <v>2673</v>
      </c>
      <c r="B13" s="2909" t="str">
        <f>'预评函-1'!A17</f>
        <v>根据委托估价方介绍及评估专业人员现场勘查，本次评估估价对象实际土地开发程度为红线外市政基础设施达“七通”（即通路、通电、通讯、通上水、通下水、通热、燃气）、宗地红线内场地平整。</v>
      </c>
    </row>
    <row r="14" spans="1:55" s="2907" customFormat="1">
      <c r="A14" s="2908" t="s">
        <v>2674</v>
      </c>
      <c r="B14" s="2909" t="str">
        <f>'预评函-1'!A18</f>
        <v>本次评估设定土地开发程度为红线外市政基础设施达“七通”、宗地红线内场地平整。</v>
      </c>
    </row>
    <row r="15" spans="1:55" s="2907" customFormat="1">
      <c r="A15" s="2908" t="s">
        <v>2670</v>
      </c>
      <c r="B15" s="2909" t="str">
        <f>'预评函-1'!A20</f>
        <v>根据《国有建设用地使用权出让合同》[电子监管号：2101122013B03485]及附件，估价对象（分摊）出让国有建设用地使用权面积为72507.13平方米。根据《不动产权证书》[辽（2017）沈阳市不动产权第9000184号]，估价对象规划建筑面积为108760.69平方米。</v>
      </c>
    </row>
    <row r="16" spans="1:55" s="2907" customFormat="1">
      <c r="A16" s="2908" t="s">
        <v>2675</v>
      </c>
      <c r="B16" s="2909" t="str">
        <f>'预评函-1'!A22</f>
        <v>本次估价对象为出让国有建设用地使用权，《不动产权证书》[辽（2017）沈阳市不动产权第9000184号]证载土地终止日期为住宅2084年7月27日、商业2054年7月27日。截至估价期日，出让国有建设用地使用权剩余土地使用年限为住宅66.84年，商业36.90年。</v>
      </c>
    </row>
    <row r="17" spans="1:48" s="2907" customFormat="1">
      <c r="A17" s="2908" t="s">
        <v>2676</v>
      </c>
      <c r="B17" s="2909" t="str">
        <f>'预评函-1'!A23</f>
        <v>本次评估设定估价对象剩余土地使用年限为住宅66.84年，商业36.90年。</v>
      </c>
    </row>
    <row r="18" spans="1:48" s="2907" customFormat="1">
      <c r="A18" s="2908" t="s">
        <v>2677</v>
      </c>
      <c r="B18" s="2909" t="str">
        <f>'预评函-1'!A25</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住宅、商业，剩余土地使用年限为住宅66.84年，商业36.90年的出让国有建设用地使用权价格。</v>
      </c>
    </row>
    <row r="19" spans="1:48" s="2907" customFormat="1">
      <c r="A19" s="2908" t="s">
        <v>2678</v>
      </c>
      <c r="B19" s="2909" t="str">
        <f>'预评函-1'!A26</f>
        <v>本次估价的“抵押价格”是指估价对象在估价期日的“出让国有建设用地使用权价格”扣减估价师于估价期日所知悉的法定优先受偿款后的余额。</v>
      </c>
    </row>
    <row r="20" spans="1:48" s="2907" customFormat="1">
      <c r="A20" s="2908" t="s">
        <v>2679</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2680</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2681</v>
      </c>
      <c r="B22" s="292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8" t="s">
        <v>2682</v>
      </c>
      <c r="B23" s="2909" t="str">
        <f>'预评函-2'!K2</f>
        <v>估价期日：2017年10月10日</v>
      </c>
    </row>
    <row r="24" spans="1:48">
      <c r="A24" s="2908" t="s">
        <v>2683</v>
      </c>
      <c r="B24" s="2909" t="str">
        <f>'预评函-2'!R2</f>
        <v>估价期日的国有建设用地使用权性质：出让</v>
      </c>
    </row>
    <row r="25" spans="1:48">
      <c r="A25" s="2908" t="s">
        <v>2739</v>
      </c>
      <c r="B25" s="2909" t="str">
        <f>'预评函-2'!A3</f>
        <v>估价期日土地使用者</v>
      </c>
    </row>
    <row r="26" spans="1:48">
      <c r="A26" s="2908" t="s">
        <v>2715</v>
      </c>
      <c r="B26" s="2909" t="str">
        <f>'预评函-2'!A5</f>
        <v>中信开发</v>
      </c>
    </row>
    <row r="27" spans="1:48">
      <c r="A27" s="2908" t="s">
        <v>2740</v>
      </c>
      <c r="B27" s="2909" t="str">
        <f>'预评函-2'!B3</f>
        <v>宗地编号/不动产单元号</v>
      </c>
    </row>
    <row r="28" spans="1:48">
      <c r="A28" s="2908" t="s">
        <v>2716</v>
      </c>
      <c r="B28" s="2909" t="str">
        <f>'预评函-2'!B5</f>
        <v>11111111111</v>
      </c>
    </row>
    <row r="29" spans="1:48">
      <c r="A29" s="2908" t="s">
        <v>2742</v>
      </c>
      <c r="B29" s="2909">
        <f>'预评函-2'!C5</f>
        <v>22</v>
      </c>
    </row>
    <row r="30" spans="1:48">
      <c r="A30" s="2908" t="s">
        <v>2743</v>
      </c>
      <c r="B30" s="2909" t="str">
        <f>'预评函-2'!D3</f>
        <v>土地使用证编号/不动产权证书编号</v>
      </c>
    </row>
    <row r="31" spans="1:48">
      <c r="A31" s="2908" t="s">
        <v>2717</v>
      </c>
      <c r="B31" s="2909" t="str">
        <f>'预评函-2'!D5</f>
        <v>京国土字第111号</v>
      </c>
    </row>
    <row r="32" spans="1:48">
      <c r="A32" s="2908" t="s">
        <v>2718</v>
      </c>
      <c r="B32" s="2909" t="str">
        <f>'预评函-2'!E5</f>
        <v>城镇住宅用地和其他商服用地</v>
      </c>
      <c r="AV32" s="2913"/>
    </row>
    <row r="33" spans="1:2">
      <c r="A33" s="2908" t="s">
        <v>2719</v>
      </c>
      <c r="B33" s="2909">
        <f>'预评函-2'!F5</f>
        <v>258</v>
      </c>
    </row>
    <row r="34" spans="1:2">
      <c r="A34" s="2908" t="s">
        <v>2720</v>
      </c>
      <c r="B34" s="2909" t="str">
        <f>'预评函-2'!G5</f>
        <v>住宅、商业</v>
      </c>
    </row>
    <row r="35" spans="1:2">
      <c r="A35" s="2908" t="s">
        <v>2721</v>
      </c>
      <c r="B35" s="2909">
        <f>'预评函-2'!H5</f>
        <v>1.5</v>
      </c>
    </row>
    <row r="36" spans="1:2">
      <c r="A36" s="2908" t="s">
        <v>2722</v>
      </c>
      <c r="B36" s="2909">
        <f>'预评函-2'!I5</f>
        <v>1.5</v>
      </c>
    </row>
    <row r="37" spans="1:2">
      <c r="A37" s="2908" t="s">
        <v>2723</v>
      </c>
      <c r="B37" s="2909">
        <f>'预评函-2'!J5</f>
        <v>1.5</v>
      </c>
    </row>
    <row r="38" spans="1:2">
      <c r="A38" s="2908" t="s">
        <v>2724</v>
      </c>
      <c r="B38" s="2909" t="str">
        <f>'预评函-2'!K5</f>
        <v>红线外七通、宗地红线内场地平整</v>
      </c>
    </row>
    <row r="39" spans="1:2">
      <c r="A39" s="2908" t="s">
        <v>2725</v>
      </c>
      <c r="B39" s="2909" t="str">
        <f>'预评函-2'!L5</f>
        <v>红线外七通、宗地红线内场地平整</v>
      </c>
    </row>
    <row r="40" spans="1:2">
      <c r="A40" s="2908" t="s">
        <v>2744</v>
      </c>
      <c r="B40" s="2909" t="str">
        <f>'预评函-2'!M3</f>
        <v>（剩余）土地使用年限/年</v>
      </c>
    </row>
    <row r="41" spans="1:2">
      <c r="A41" s="2908" t="s">
        <v>2726</v>
      </c>
      <c r="B41" s="2909" t="str">
        <f>'预评函-2'!M5</f>
        <v>住宅66.84年，商业36.90年</v>
      </c>
    </row>
    <row r="42" spans="1:2">
      <c r="A42" s="2908" t="s">
        <v>2745</v>
      </c>
      <c r="B42" s="2909" t="str">
        <f>'预评函-2'!N3</f>
        <v>（分摊）出让国有建设用地使用权面积/㎡</v>
      </c>
    </row>
    <row r="43" spans="1:2">
      <c r="A43" s="2908" t="s">
        <v>2727</v>
      </c>
      <c r="B43" s="2909">
        <f>'预评函-2'!N5</f>
        <v>72507.13</v>
      </c>
    </row>
    <row r="44" spans="1:2">
      <c r="A44" s="2908" t="s">
        <v>2746</v>
      </c>
      <c r="B44" s="2909" t="str">
        <f>'预评函-2'!O3</f>
        <v>规划建筑面积/㎡</v>
      </c>
    </row>
    <row r="45" spans="1:2">
      <c r="A45" s="2908" t="s">
        <v>2728</v>
      </c>
      <c r="B45" s="2909">
        <f>'预评函-2'!O5</f>
        <v>108760.69</v>
      </c>
    </row>
    <row r="46" spans="1:2">
      <c r="A46" s="2908" t="s">
        <v>2729</v>
      </c>
      <c r="B46" s="2909">
        <f ca="1">'预评函-2'!P5</f>
        <v>3925</v>
      </c>
    </row>
    <row r="47" spans="1:2">
      <c r="A47" s="2908" t="s">
        <v>2730</v>
      </c>
      <c r="B47" s="2909">
        <f ca="1">'预评函-2'!Q5</f>
        <v>2616</v>
      </c>
    </row>
    <row r="48" spans="1:2">
      <c r="A48" s="2908" t="s">
        <v>2731</v>
      </c>
      <c r="B48" s="2909">
        <f ca="1">'预评函-2'!R5</f>
        <v>28456</v>
      </c>
    </row>
    <row r="49" spans="1:2">
      <c r="A49" s="2908" t="s">
        <v>2747</v>
      </c>
      <c r="B49" s="2909" t="str">
        <f>'预评函-2'!A6</f>
        <v>抵押价格</v>
      </c>
    </row>
    <row r="50" spans="1:2">
      <c r="A50" s="2908" t="s">
        <v>2732</v>
      </c>
      <c r="B50" s="2909">
        <f ca="1">'预评函-2'!R6</f>
        <v>28456</v>
      </c>
    </row>
    <row r="51" spans="1:2">
      <c r="A51" s="2908" t="s">
        <v>2748</v>
      </c>
      <c r="B51" s="2909" t="str">
        <f>'预评函-2'!A7</f>
        <v>——</v>
      </c>
    </row>
    <row r="52" spans="1:2">
      <c r="A52" s="2908" t="s">
        <v>2733</v>
      </c>
      <c r="B52" s="2909" t="str">
        <f>'预评函-2'!R7</f>
        <v>——</v>
      </c>
    </row>
    <row r="53" spans="1:2">
      <c r="A53" s="2908" t="s">
        <v>2749</v>
      </c>
      <c r="B53" s="2909">
        <f>'预评函-2'!A8</f>
        <v>0</v>
      </c>
    </row>
    <row r="54" spans="1:2" s="2923" customFormat="1" ht="15" thickBot="1">
      <c r="A54" s="2930" t="s">
        <v>2734</v>
      </c>
      <c r="B54" s="2931" t="str">
        <f>'预评函-2'!R8</f>
        <v>——</v>
      </c>
    </row>
    <row r="55" spans="1:2" ht="15" thickTop="1">
      <c r="A55" s="2919" t="s">
        <v>2684</v>
      </c>
      <c r="B55" s="2920" t="str">
        <f>'预评函-3'!A2</f>
        <v>1.权利限制：根据估价对象《不动产权证书》原件，截至估价期日，估价对象抵押权未见登记。未设定租赁等其他他项权利。</v>
      </c>
    </row>
    <row r="56" spans="1:2">
      <c r="A56" s="2908" t="s">
        <v>2685</v>
      </c>
      <c r="B56" s="2909" t="str">
        <f>'预评函-3'!A3</f>
        <v>2.基础设施条件：估价对象实际开发程度为红线外七通、宗地红线内场地平整；本次评估设定开发程度为红线外七通、宗地红线内场地平整。</v>
      </c>
    </row>
    <row r="57" spans="1:2">
      <c r="A57" s="2908" t="s">
        <v>2686</v>
      </c>
      <c r="B57" s="2909" t="str">
        <f>'预评函-3'!A4</f>
        <v>3.估价规划限制条件：详见《不动产权证书》[辽（2017）沈阳市不动产权第9000184号]。</v>
      </c>
    </row>
    <row r="58" spans="1:2" s="2923" customFormat="1" ht="15" thickBot="1">
      <c r="A58" s="2930" t="s">
        <v>2735</v>
      </c>
      <c r="B58" s="2931" t="str">
        <f>'预评函-3'!A5</f>
        <v>4.影响价格的其他限定条件：无。</v>
      </c>
    </row>
    <row r="59" spans="1:2" ht="15" thickTop="1">
      <c r="A59" s="2919" t="s">
        <v>2687</v>
      </c>
      <c r="B59" s="2920" t="str">
        <f>'预评函-3'!A8</f>
        <v>2.本《评估意见函》仅供金融机构进行内部审核使用，不做其他目的之用。</v>
      </c>
    </row>
    <row r="60" spans="1:2">
      <c r="A60" s="2908" t="s">
        <v>2688</v>
      </c>
      <c r="B60" s="2909" t="str">
        <f>'预评函-3'!A9</f>
        <v>3.抵押双方在办理抵押登记手续时，应使用本公司出具的正式《土地估价报告》，特提请报告使用者注意。</v>
      </c>
    </row>
    <row r="61" spans="1:2">
      <c r="A61" s="2908" t="s">
        <v>2690</v>
      </c>
      <c r="B61" s="2909" t="str">
        <f>'预评函-3'!A10</f>
        <v>4.估价师所知悉的法定优先受偿款情况为：</v>
      </c>
    </row>
    <row r="62" spans="1:2">
      <c r="A62" s="2908" t="s">
        <v>2689</v>
      </c>
      <c r="B62" s="2909" t="str">
        <f>'预评函-3'!A11</f>
        <v>（1）根据估价对象《不动产权证书》原件，截至估价期日，估价对象抵押权未见登记。</v>
      </c>
    </row>
    <row r="63" spans="1:2">
      <c r="A63" s="2908" t="s">
        <v>2691</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2692</v>
      </c>
      <c r="B64" s="2914" t="str">
        <f>'预评函-3'!A13</f>
        <v>（3）。</v>
      </c>
    </row>
    <row r="65" spans="1:2">
      <c r="A65" s="2908" t="s">
        <v>2693</v>
      </c>
      <c r="B65" s="2915" t="str">
        <f>'预评函-3'!A14</f>
        <v>综上，本次评估不存在估价师知悉的法定优先受偿款</v>
      </c>
    </row>
    <row r="66" spans="1:2">
      <c r="A66" s="2908" t="s">
        <v>2694</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2695</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2698</v>
      </c>
      <c r="B68" s="2934">
        <f>'预评函-3'!D30</f>
        <v>42558</v>
      </c>
    </row>
    <row r="69" spans="1:2" ht="15" thickTop="1">
      <c r="A69" s="2919" t="s">
        <v>2696</v>
      </c>
      <c r="B69" s="2920" t="str">
        <f>'预评函-3'!A20</f>
        <v>梁津</v>
      </c>
    </row>
    <row r="70" spans="1:2">
      <c r="A70" s="2908" t="s">
        <v>2696</v>
      </c>
      <c r="B70" s="2915">
        <f ca="1">'预评函-3'!B20</f>
        <v>96010014</v>
      </c>
    </row>
    <row r="71" spans="1:2">
      <c r="A71" s="2908" t="s">
        <v>2697</v>
      </c>
      <c r="B71" s="2909" t="str">
        <f>'预评函-3'!A21</f>
        <v>王鹏</v>
      </c>
    </row>
    <row r="72" spans="1:2" s="2923" customFormat="1" ht="15" thickBot="1">
      <c r="A72" s="2930" t="s">
        <v>2697</v>
      </c>
      <c r="B72" s="2936">
        <f ca="1">'预评函-3'!B21</f>
        <v>2002110030</v>
      </c>
    </row>
    <row r="73" spans="1:2" ht="15" thickTop="1">
      <c r="A73" s="2919" t="s">
        <v>2756</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2757</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2758</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2793</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7" zoomScale="90" zoomScaleSheetLayoutView="90" workbookViewId="0">
      <selection activeCell="L20" sqref="L20"/>
    </sheetView>
  </sheetViews>
  <sheetFormatPr defaultColWidth="10" defaultRowHeight="14.25"/>
  <cols>
    <col min="1" max="1" width="15.375" style="1693" customWidth="1"/>
    <col min="2" max="2" width="11.375" style="1693" customWidth="1"/>
    <col min="3" max="3" width="12.625" style="1693" customWidth="1"/>
    <col min="4" max="4" width="11.75"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4"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1941</v>
      </c>
      <c r="B1" s="3235" t="str">
        <f>IF(B10="北京市","北京市",C10)&amp;F10&amp;B16&amp;"国有建设用地使用权"&amp;B9&amp;"预评估"</f>
        <v>沈阳市沈阳市浑南区香堤路197号出让国有建设用地使用权抵押价格预评估</v>
      </c>
      <c r="C1" s="3236"/>
      <c r="D1" s="3236"/>
      <c r="E1" s="3236"/>
      <c r="F1" s="3236"/>
      <c r="G1" s="3236"/>
      <c r="H1" s="3236"/>
      <c r="I1" s="3237"/>
      <c r="J1" s="1696"/>
      <c r="K1" s="2481" t="str">
        <f>IF(B10="北京市","北京市",C10)&amp;F10&amp;B16&amp;"国有建设用地使用权"&amp;B9</f>
        <v>沈阳市沈阳市浑南区香堤路197号出让国有建设用地使用权抵押价格</v>
      </c>
      <c r="L1" s="1724"/>
      <c r="M1" s="1724"/>
      <c r="N1" s="1696"/>
      <c r="O1" s="1697"/>
      <c r="P1" s="1696"/>
      <c r="Q1" s="1696"/>
      <c r="R1" s="1696"/>
      <c r="S1" s="1696"/>
      <c r="T1" s="1696"/>
      <c r="U1" s="1696"/>
    </row>
    <row r="2" spans="1:21">
      <c r="A2" s="1663" t="s">
        <v>1942</v>
      </c>
      <c r="B2" s="1843"/>
      <c r="D2" s="1696"/>
      <c r="E2" s="1696"/>
      <c r="F2" s="1696"/>
      <c r="G2" s="1696"/>
      <c r="H2" s="1663"/>
      <c r="I2" s="1697"/>
      <c r="J2" s="1696"/>
      <c r="K2" s="2481" t="str">
        <f>IF(B10="北京市","北京市",C10)&amp;F10&amp;B16&amp;"国有建设用地使用权"</f>
        <v>沈阳市沈阳市浑南区香堤路197号出让国有建设用地使用权</v>
      </c>
      <c r="L2" s="1724"/>
      <c r="M2" s="1724"/>
      <c r="N2" s="1696"/>
      <c r="O2" s="1697"/>
      <c r="P2" s="1696"/>
      <c r="Q2" s="1696"/>
      <c r="R2" s="1696"/>
      <c r="S2" s="1696"/>
      <c r="T2" s="1696"/>
      <c r="U2" s="1696"/>
    </row>
    <row r="3" spans="1:21">
      <c r="A3" s="1664" t="s">
        <v>1943</v>
      </c>
      <c r="B3" s="1665">
        <v>43018</v>
      </c>
      <c r="C3" s="1666" t="s">
        <v>1998</v>
      </c>
      <c r="D3" s="1665">
        <v>43018</v>
      </c>
      <c r="E3" s="1696"/>
      <c r="F3" s="1696"/>
      <c r="G3" s="1696"/>
      <c r="H3" s="1663"/>
      <c r="I3" s="1697"/>
      <c r="J3" s="1696"/>
      <c r="K3" s="1775"/>
      <c r="L3" s="1724"/>
      <c r="M3" s="1724"/>
      <c r="N3" s="1696"/>
      <c r="O3" s="1697"/>
      <c r="P3" s="1696"/>
      <c r="Q3" s="1696"/>
      <c r="R3" s="1696"/>
      <c r="S3" s="1696"/>
      <c r="T3" s="1696"/>
      <c r="U3" s="1696"/>
    </row>
    <row r="4" spans="1:21" ht="15" thickBot="1">
      <c r="A4" s="1667" t="s">
        <v>1944</v>
      </c>
      <c r="B4" s="1844" t="s">
        <v>2974</v>
      </c>
      <c r="C4" s="1847">
        <f ca="1">SUMIF(土地估价师,B4,估价师及机构信息!E3:E24)</f>
        <v>96010014</v>
      </c>
      <c r="D4" s="1844" t="s">
        <v>2975</v>
      </c>
      <c r="E4" s="1847">
        <f ca="1">SUMIF(土地估价师,D4,估价师及机构信息!E3:E24)</f>
        <v>2002110030</v>
      </c>
      <c r="F4" s="1844" t="s">
        <v>953</v>
      </c>
      <c r="G4" s="1847">
        <f>SUMIF(土地估价师,F4,估价师及机构信息!E3:E24)</f>
        <v>0</v>
      </c>
      <c r="H4" s="1844" t="s">
        <v>953</v>
      </c>
      <c r="I4" s="1847">
        <f>SUMIF(土地估价师,H4,估价师及机构信息!E3:E24)</f>
        <v>0</v>
      </c>
      <c r="J4" s="1696"/>
      <c r="K4" s="2481" t="str">
        <f>IF(AND(F4="——",H4="——"),B4&amp;"、"&amp;D4,IF(AND(F4&lt;&gt;"——",H4="——"),B4&amp;"、"&amp;D4&amp;"、"&amp;F4,B4&amp;"、"&amp;D4&amp;"、"&amp;F4&amp;"、"&amp;H4))</f>
        <v>梁津、王鹏</v>
      </c>
      <c r="L4" s="1724"/>
      <c r="M4" s="1724"/>
      <c r="N4" s="1696"/>
      <c r="O4" s="1697"/>
      <c r="P4" s="1696"/>
      <c r="Q4" s="1696"/>
      <c r="R4" s="1696"/>
      <c r="S4" s="1696"/>
      <c r="T4" s="1696"/>
      <c r="U4" s="1696"/>
    </row>
    <row r="5" spans="1:21" ht="15" thickTop="1">
      <c r="A5" s="1668" t="s">
        <v>1945</v>
      </c>
      <c r="B5" s="1790" t="s">
        <v>2976</v>
      </c>
      <c r="C5" s="1669"/>
      <c r="D5" s="1670"/>
      <c r="E5" s="1696"/>
      <c r="F5" s="1696"/>
      <c r="G5" s="1696"/>
      <c r="H5" s="1663"/>
      <c r="I5" s="1697"/>
      <c r="J5" s="1696"/>
      <c r="K5" s="1775"/>
      <c r="L5" s="1724"/>
      <c r="M5" s="1724"/>
      <c r="N5" s="1696"/>
      <c r="O5" s="1697"/>
      <c r="P5" s="1696"/>
      <c r="Q5" s="1696"/>
      <c r="R5" s="1696"/>
      <c r="S5" s="1696"/>
      <c r="T5" s="1696"/>
      <c r="U5" s="1696"/>
    </row>
    <row r="6" spans="1:21" ht="26.25">
      <c r="A6" s="1666" t="s">
        <v>2712</v>
      </c>
      <c r="B6" s="1790" t="s">
        <v>2976</v>
      </c>
      <c r="C6" s="1762"/>
      <c r="D6" s="1671"/>
      <c r="E6" s="1696"/>
      <c r="F6" s="1696"/>
      <c r="G6" s="1696"/>
      <c r="H6" s="1663"/>
      <c r="I6" s="1697"/>
      <c r="J6" s="1696"/>
      <c r="K6" s="3086" t="str">
        <f>IF(COUNTIF(B6,"*上海银行*"),"上海银行","")</f>
        <v/>
      </c>
      <c r="L6" s="1724"/>
      <c r="M6" s="1724"/>
      <c r="N6" s="1696"/>
      <c r="O6" s="1697"/>
      <c r="P6" s="1696"/>
      <c r="Q6" s="1696"/>
      <c r="R6" s="1696"/>
      <c r="S6" s="1696"/>
      <c r="T6" s="1696"/>
      <c r="U6" s="1696"/>
    </row>
    <row r="7" spans="1:21">
      <c r="A7" s="1672" t="s">
        <v>2713</v>
      </c>
      <c r="B7" s="1790" t="s">
        <v>2977</v>
      </c>
      <c r="C7" s="1762"/>
      <c r="D7" s="1671"/>
      <c r="E7" s="1696"/>
      <c r="F7" s="1696"/>
      <c r="G7" s="1696"/>
      <c r="H7" s="1663"/>
      <c r="I7" s="1697"/>
      <c r="J7" s="1696"/>
      <c r="K7" s="1775"/>
      <c r="L7" s="1724"/>
      <c r="M7" s="1724"/>
      <c r="N7" s="1696"/>
      <c r="O7" s="1697"/>
      <c r="P7" s="1696"/>
      <c r="Q7" s="1696"/>
      <c r="R7" s="1696"/>
      <c r="S7" s="1696"/>
      <c r="T7" s="1696"/>
      <c r="U7" s="1696"/>
    </row>
    <row r="8" spans="1:21">
      <c r="A8" s="1672" t="s">
        <v>1946</v>
      </c>
      <c r="B8" s="1673" t="s">
        <v>2978</v>
      </c>
      <c r="C8" s="1674"/>
      <c r="D8" s="3241" t="s">
        <v>1948</v>
      </c>
      <c r="E8" s="1845" t="s">
        <v>2979</v>
      </c>
      <c r="F8" s="1675"/>
      <c r="G8" s="1663"/>
      <c r="H8" s="1663"/>
      <c r="I8" s="1709"/>
      <c r="J8" s="1696"/>
      <c r="K8" s="1775"/>
      <c r="L8" s="1724"/>
      <c r="M8" s="1724"/>
      <c r="N8" s="1696"/>
      <c r="O8" s="1697"/>
      <c r="P8" s="1696"/>
      <c r="Q8" s="1696"/>
      <c r="R8" s="1696"/>
      <c r="S8" s="1696"/>
      <c r="T8" s="1696"/>
      <c r="U8" s="1696"/>
    </row>
    <row r="9" spans="1:21" ht="15" thickBot="1">
      <c r="A9" s="1676" t="s">
        <v>1947</v>
      </c>
      <c r="B9" s="1677" t="s">
        <v>2979</v>
      </c>
      <c r="C9" s="1678"/>
      <c r="D9" s="3242"/>
      <c r="E9" s="1677"/>
      <c r="F9" s="1748"/>
      <c r="G9" s="1743"/>
      <c r="H9" s="1743"/>
      <c r="I9" s="1744"/>
      <c r="J9" s="1696"/>
      <c r="K9" s="1775"/>
      <c r="L9" s="1724"/>
      <c r="M9" s="1724"/>
      <c r="N9" s="1696"/>
      <c r="O9" s="1697"/>
      <c r="P9" s="1696"/>
      <c r="Q9" s="1696"/>
      <c r="R9" s="1696"/>
      <c r="S9" s="1696"/>
      <c r="T9" s="1696"/>
      <c r="U9" s="1696"/>
    </row>
    <row r="10" spans="1:21" ht="15" thickTop="1">
      <c r="A10" s="1745" t="s">
        <v>2001</v>
      </c>
      <c r="B10" s="3165" t="s">
        <v>2980</v>
      </c>
      <c r="C10" s="1679" t="s">
        <v>2981</v>
      </c>
      <c r="D10" s="1670"/>
      <c r="E10" s="1680" t="s">
        <v>1950</v>
      </c>
      <c r="F10" s="1681" t="s">
        <v>3114</v>
      </c>
      <c r="G10" s="1746"/>
      <c r="H10" s="1747"/>
      <c r="I10" s="1670"/>
      <c r="J10" s="1696"/>
      <c r="K10" s="1775"/>
      <c r="L10" s="1724"/>
      <c r="M10" s="1724"/>
      <c r="N10" s="1696"/>
      <c r="O10" s="1697"/>
      <c r="P10" s="1696"/>
      <c r="Q10" s="1696"/>
      <c r="R10" s="1696"/>
      <c r="S10" s="1696"/>
      <c r="T10" s="1696"/>
      <c r="U10" s="1696"/>
    </row>
    <row r="11" spans="1:21">
      <c r="A11" s="1699" t="s">
        <v>2002</v>
      </c>
      <c r="B11" s="1700" t="s">
        <v>2982</v>
      </c>
      <c r="C11" s="3187" t="s">
        <v>2977</v>
      </c>
      <c r="D11" s="1763"/>
      <c r="E11" s="1663"/>
      <c r="F11" s="1663"/>
      <c r="G11" s="1663"/>
      <c r="H11" s="1663"/>
      <c r="I11" s="1663"/>
      <c r="J11" s="1696"/>
      <c r="K11" s="1775"/>
      <c r="L11" s="1724"/>
      <c r="M11" s="1724"/>
      <c r="N11" s="1696"/>
      <c r="O11" s="1697"/>
      <c r="P11" s="1696"/>
      <c r="Q11" s="1696"/>
      <c r="R11" s="1696"/>
      <c r="S11" s="1696"/>
      <c r="T11" s="1696"/>
      <c r="U11" s="1696"/>
    </row>
    <row r="12" spans="1:21">
      <c r="A12" s="1786" t="s">
        <v>2060</v>
      </c>
      <c r="B12" s="3238" t="s">
        <v>2983</v>
      </c>
      <c r="C12" s="3239"/>
      <c r="D12" s="3240"/>
      <c r="E12" s="1701" t="s">
        <v>2063</v>
      </c>
      <c r="F12" s="3256" t="s">
        <v>3112</v>
      </c>
      <c r="G12" s="3257"/>
      <c r="H12" s="3257"/>
      <c r="I12" s="3258"/>
      <c r="J12" s="1696"/>
      <c r="K12" s="1775"/>
      <c r="L12" s="1724"/>
      <c r="M12" s="1724"/>
      <c r="N12" s="1696"/>
      <c r="O12" s="1697"/>
      <c r="P12" s="1696"/>
      <c r="Q12" s="1696"/>
      <c r="R12" s="1696"/>
      <c r="S12" s="1696"/>
      <c r="T12" s="1696"/>
      <c r="U12" s="1696"/>
    </row>
    <row r="13" spans="1:21">
      <c r="A13" s="1689" t="s">
        <v>2061</v>
      </c>
      <c r="B13" s="3238" t="s">
        <v>2984</v>
      </c>
      <c r="C13" s="3239"/>
      <c r="D13" s="3240"/>
      <c r="E13" s="1701" t="s">
        <v>2063</v>
      </c>
      <c r="F13" s="3256" t="s">
        <v>3116</v>
      </c>
      <c r="G13" s="3257"/>
      <c r="H13" s="3257"/>
      <c r="I13" s="3258"/>
      <c r="J13" s="1696"/>
      <c r="K13" s="1775"/>
      <c r="L13" s="1724"/>
      <c r="M13" s="1724"/>
      <c r="N13" s="1696"/>
      <c r="O13" s="1697"/>
      <c r="P13" s="1696"/>
      <c r="Q13" s="1696"/>
      <c r="R13" s="1696"/>
      <c r="S13" s="1696"/>
      <c r="T13" s="1696"/>
      <c r="U13" s="1696"/>
    </row>
    <row r="14" spans="1:21">
      <c r="A14" s="1664" t="s">
        <v>2064</v>
      </c>
      <c r="B14" s="1701"/>
      <c r="C14" s="1846" t="s">
        <v>2985</v>
      </c>
      <c r="D14" s="1734" t="str">
        <f>IF(C14="不一致","是否符合证载地类范围","")</f>
        <v/>
      </c>
      <c r="E14" s="1701"/>
      <c r="F14" s="1791" t="s">
        <v>2986</v>
      </c>
      <c r="G14" s="1729"/>
      <c r="H14" s="1729"/>
      <c r="I14" s="1838"/>
      <c r="J14" s="1696"/>
      <c r="K14" s="1775"/>
      <c r="L14" s="1724"/>
      <c r="M14" s="1724"/>
      <c r="N14" s="1696"/>
      <c r="O14" s="1697"/>
      <c r="P14" s="1696"/>
      <c r="Q14" s="1696"/>
      <c r="R14" s="1696"/>
      <c r="S14" s="1696"/>
      <c r="T14" s="1696"/>
      <c r="U14" s="1696"/>
    </row>
    <row r="15" spans="1:21" hidden="1">
      <c r="A15" s="2672"/>
      <c r="B15" s="1666"/>
      <c r="C15" s="1666"/>
      <c r="D15" s="1767" t="s">
        <v>1953</v>
      </c>
      <c r="E15" s="1767" t="s">
        <v>1954</v>
      </c>
      <c r="F15" s="1767" t="s">
        <v>1955</v>
      </c>
      <c r="G15" s="1688" t="s">
        <v>1956</v>
      </c>
      <c r="H15" s="1688" t="s">
        <v>1957</v>
      </c>
      <c r="I15" s="1688" t="s">
        <v>1958</v>
      </c>
      <c r="J15" s="1696"/>
      <c r="K15" s="1775"/>
      <c r="L15" s="1724"/>
      <c r="M15" s="1724"/>
      <c r="N15" s="1696"/>
      <c r="O15" s="1697"/>
      <c r="P15" s="1696"/>
      <c r="Q15" s="1696"/>
      <c r="R15" s="1696"/>
      <c r="S15" s="1696"/>
      <c r="T15" s="1696"/>
      <c r="U15" s="1696"/>
    </row>
    <row r="16" spans="1:21" ht="28.5">
      <c r="A16" s="1682" t="s">
        <v>1951</v>
      </c>
      <c r="B16" s="1683" t="s">
        <v>2987</v>
      </c>
      <c r="C16" s="1701" t="s">
        <v>1952</v>
      </c>
      <c r="D16" s="2673" t="s">
        <v>1953</v>
      </c>
      <c r="E16" s="1723" t="s">
        <v>2988</v>
      </c>
      <c r="F16" s="1723"/>
      <c r="G16" s="1723"/>
      <c r="H16" s="1723"/>
      <c r="I16" s="1688" t="s">
        <v>1958</v>
      </c>
      <c r="J16" s="1696"/>
      <c r="K16" s="2482" t="str">
        <f>IF(D17="","",D16&amp;TEXT(D17,"yyyy年m月d日;;"))</f>
        <v>住宅2084年7月27日</v>
      </c>
      <c r="L16" s="1701" t="str">
        <f>IF(OR(K16="",M16=""),"","、")</f>
        <v>、</v>
      </c>
      <c r="M16" s="2482" t="str">
        <f>IF(E17="","",E16&amp;TEXT(E17,"yyyy年m月d日;;"))</f>
        <v>商业2054年7月27日</v>
      </c>
      <c r="N16" s="1701" t="str">
        <f>IF(OR(M16="",O16=""),"","、")</f>
        <v/>
      </c>
      <c r="O16" s="2482" t="str">
        <f>IF(F17="","",F16&amp;TEXT(F17,"yyyy年m月d日;;"))</f>
        <v/>
      </c>
      <c r="P16" s="1701" t="str">
        <f>IF(OR(O16="",Q16=""),"","、")</f>
        <v/>
      </c>
      <c r="Q16" s="2482" t="str">
        <f>IF(G17="","",G16&amp;TEXT(G17,"yyyy年m月d日;;"))</f>
        <v/>
      </c>
      <c r="R16" s="1701" t="str">
        <f>IF(OR(Q16="",S16=""),"","、")</f>
        <v/>
      </c>
      <c r="S16" s="2482" t="str">
        <f>IF(H17="","",H16&amp;TEXT(H17,"yyyy年m月d日;;"))</f>
        <v/>
      </c>
      <c r="T16" s="1701" t="str">
        <f>IF(OR(S16="",U16=""),"","、")</f>
        <v/>
      </c>
      <c r="U16" s="2482" t="str">
        <f>IF(I17="","",I16&amp;TEXT(I17,"yyyy年m月d日;;"))</f>
        <v/>
      </c>
    </row>
    <row r="17" spans="1:21">
      <c r="A17" s="1764"/>
      <c r="B17" s="1684"/>
      <c r="C17" s="1685" t="s">
        <v>1959</v>
      </c>
      <c r="D17" s="1702">
        <v>67415</v>
      </c>
      <c r="E17" s="1702">
        <v>56457</v>
      </c>
      <c r="F17" s="1702"/>
      <c r="G17" s="1702"/>
      <c r="H17" s="1702"/>
      <c r="I17" s="1702"/>
      <c r="J17" s="1696"/>
      <c r="K17" s="2481" t="str">
        <f>CONCATENATE(K16,L16,M16,N16,O16,P16,Q16,R16,S16,T16,,U16)</f>
        <v>住宅2084年7月27日、商业2054年7月27日</v>
      </c>
      <c r="L17" s="1724"/>
      <c r="M17" s="1724"/>
      <c r="N17" s="1696"/>
      <c r="O17" s="1697"/>
      <c r="P17" s="1696"/>
      <c r="Q17" s="1696"/>
      <c r="R17" s="1696"/>
      <c r="S17" s="1696"/>
      <c r="T17" s="1696"/>
      <c r="U17" s="1696"/>
    </row>
    <row r="18" spans="1:21">
      <c r="A18" s="1764"/>
      <c r="B18" s="1684"/>
      <c r="C18" s="1685" t="s">
        <v>1960</v>
      </c>
      <c r="D18" s="1686">
        <v>70</v>
      </c>
      <c r="E18" s="1686">
        <v>40</v>
      </c>
      <c r="F18" s="1686"/>
      <c r="G18" s="1686"/>
      <c r="H18" s="1686"/>
      <c r="I18" s="1686"/>
      <c r="J18" s="1696"/>
      <c r="K18" s="1775"/>
      <c r="L18" s="1724"/>
      <c r="M18" s="1724"/>
      <c r="N18" s="1696"/>
      <c r="O18" s="1697"/>
      <c r="P18" s="1696"/>
      <c r="Q18" s="1696"/>
      <c r="R18" s="1696"/>
      <c r="S18" s="1696"/>
      <c r="T18" s="1696"/>
      <c r="U18" s="1696"/>
    </row>
    <row r="19" spans="1:21">
      <c r="A19" s="1764"/>
      <c r="B19" s="1684"/>
      <c r="C19" s="1663" t="s">
        <v>1961</v>
      </c>
      <c r="D19" s="1759">
        <f>IF(B16="出让",IF(D17="","",ROUNDDOWN(MIN((D17-$D$3)/365,D18),2)),D18)</f>
        <v>66.84</v>
      </c>
      <c r="E19" s="1687">
        <f>IF(B16="出让",IF(E17="","",ROUNDDOWN(MIN((E17-$D$3)/365,E18),2)),E18)</f>
        <v>36.81</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5"/>
      <c r="L19" s="1724"/>
      <c r="M19" s="1724"/>
      <c r="N19" s="1696"/>
      <c r="O19" s="1697"/>
      <c r="P19" s="1696"/>
      <c r="Q19" s="1696"/>
      <c r="R19" s="1696"/>
      <c r="S19" s="1696"/>
      <c r="T19" s="1696"/>
      <c r="U19" s="1696"/>
    </row>
    <row r="20" spans="1:21">
      <c r="A20" s="1787"/>
      <c r="B20" s="1788"/>
      <c r="C20" s="1789" t="s">
        <v>2062</v>
      </c>
      <c r="D20" s="3253" t="s">
        <v>2989</v>
      </c>
      <c r="E20" s="3254"/>
      <c r="F20" s="3254"/>
      <c r="G20" s="3254"/>
      <c r="H20" s="3254"/>
      <c r="I20" s="3255"/>
      <c r="J20" s="1696"/>
      <c r="K20" s="1775"/>
      <c r="L20" s="1724"/>
      <c r="M20" s="1724"/>
      <c r="N20" s="1696"/>
      <c r="O20" s="1697"/>
      <c r="P20" s="1696"/>
      <c r="Q20" s="1696"/>
      <c r="R20" s="1696"/>
      <c r="S20" s="1696"/>
      <c r="T20" s="1696"/>
      <c r="U20" s="1696"/>
    </row>
    <row r="21" spans="1:21">
      <c r="A21" s="1764" t="s">
        <v>1962</v>
      </c>
      <c r="B21" s="1765" t="s">
        <v>1963</v>
      </c>
      <c r="C21" s="1760">
        <f>'数据-汇总表'!E3</f>
        <v>108760.69</v>
      </c>
      <c r="D21" s="1761" t="s">
        <v>1964</v>
      </c>
      <c r="E21" s="3243" t="s">
        <v>3115</v>
      </c>
      <c r="F21" s="3244"/>
      <c r="G21" s="3244"/>
      <c r="H21" s="3244"/>
      <c r="I21" s="3245"/>
      <c r="J21" s="1696"/>
      <c r="K21" s="1775"/>
      <c r="L21" s="1724"/>
      <c r="M21" s="1724"/>
      <c r="N21" s="1696"/>
      <c r="O21" s="1697"/>
      <c r="P21" s="1696"/>
      <c r="Q21" s="1696"/>
      <c r="R21" s="1696"/>
      <c r="S21" s="1696"/>
      <c r="T21" s="1696"/>
      <c r="U21" s="1696"/>
    </row>
    <row r="22" spans="1:21">
      <c r="A22" s="2664" t="s">
        <v>953</v>
      </c>
      <c r="B22" s="1664" t="s">
        <v>1965</v>
      </c>
      <c r="C22" s="1688">
        <f>'数据-汇总表'!D3</f>
        <v>72507.13</v>
      </c>
      <c r="D22" s="1689" t="s">
        <v>1964</v>
      </c>
      <c r="E22" s="3243" t="s">
        <v>3113</v>
      </c>
      <c r="F22" s="3244"/>
      <c r="G22" s="3244"/>
      <c r="H22" s="3244"/>
      <c r="I22" s="3245"/>
      <c r="J22" s="1696"/>
      <c r="K22" s="1775"/>
      <c r="L22" s="1724"/>
      <c r="M22" s="1724"/>
      <c r="N22" s="1696"/>
      <c r="O22" s="1697"/>
      <c r="P22" s="1696"/>
      <c r="Q22" s="1696"/>
      <c r="R22" s="1696"/>
      <c r="S22" s="1696"/>
      <c r="T22" s="1696"/>
      <c r="U22" s="1696"/>
    </row>
    <row r="23" spans="1:21" ht="43.5" thickBot="1">
      <c r="A23" s="1766" t="s">
        <v>1966</v>
      </c>
      <c r="B23" s="1703" t="s">
        <v>1967</v>
      </c>
      <c r="C23" s="1704" t="s">
        <v>2990</v>
      </c>
      <c r="D23" s="1705" t="s">
        <v>1968</v>
      </c>
      <c r="E23" s="1706" t="s">
        <v>953</v>
      </c>
      <c r="F23" s="1707" t="str">
        <f>IF(AND(C23="是",E23="否"),"是否提供他项权证或相关说明","")</f>
        <v/>
      </c>
      <c r="G23" s="1708"/>
      <c r="H23" s="1696"/>
      <c r="I23" s="1709"/>
      <c r="J23" s="1696"/>
      <c r="K23" s="1775"/>
      <c r="L23" s="1724"/>
      <c r="M23" s="1724"/>
      <c r="N23" s="1696"/>
      <c r="O23" s="1697"/>
      <c r="P23" s="1696"/>
      <c r="Q23" s="1696"/>
      <c r="R23" s="1696"/>
      <c r="S23" s="1696"/>
      <c r="T23" s="1696"/>
      <c r="U23" s="1696"/>
    </row>
    <row r="24" spans="1:21">
      <c r="A24" s="1751" t="s">
        <v>1969</v>
      </c>
      <c r="B24" s="3246" t="s">
        <v>1970</v>
      </c>
      <c r="C24" s="3247"/>
      <c r="D24" s="3248" t="s">
        <v>1971</v>
      </c>
      <c r="E24" s="3249"/>
      <c r="F24" s="1710" t="s">
        <v>1972</v>
      </c>
      <c r="G24" s="1696"/>
      <c r="H24" s="1696"/>
      <c r="I24" s="1709"/>
      <c r="J24" s="1696"/>
      <c r="K24" s="3234" t="s">
        <v>1973</v>
      </c>
      <c r="L24" s="2483"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4"/>
      <c r="N24" s="1696"/>
      <c r="O24" s="1697"/>
      <c r="P24" s="1696"/>
      <c r="Q24" s="1696"/>
      <c r="R24" s="1696"/>
      <c r="S24" s="1696"/>
      <c r="T24" s="1696"/>
      <c r="U24" s="1696"/>
    </row>
    <row r="25" spans="1:21" ht="28.5">
      <c r="A25" s="1752"/>
      <c r="B25" s="1749" t="s">
        <v>2327</v>
      </c>
      <c r="C25" s="1711" t="s">
        <v>1974</v>
      </c>
      <c r="D25" s="1712"/>
      <c r="E25" s="1713" t="s">
        <v>953</v>
      </c>
      <c r="F25" s="1714"/>
      <c r="G25" s="1696"/>
      <c r="H25" s="1696"/>
      <c r="I25" s="1709"/>
      <c r="J25" s="1696"/>
      <c r="K25" s="3234"/>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6"/>
      <c r="O25" s="1697"/>
      <c r="P25" s="1696"/>
      <c r="Q25" s="1696"/>
      <c r="R25" s="1696"/>
      <c r="S25" s="1696"/>
      <c r="T25" s="1696"/>
      <c r="U25" s="1696"/>
    </row>
    <row r="26" spans="1:21" ht="15" thickBot="1">
      <c r="A26" s="1753"/>
      <c r="B26" s="1750" t="s">
        <v>953</v>
      </c>
      <c r="C26" s="1711" t="s">
        <v>953</v>
      </c>
      <c r="D26" s="1663"/>
      <c r="E26" s="1663"/>
      <c r="F26" s="1690"/>
      <c r="G26" s="1696"/>
      <c r="H26" s="1696"/>
      <c r="I26" s="1709"/>
      <c r="J26" s="1696"/>
      <c r="K26" s="3234"/>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6"/>
      <c r="O26" s="1697"/>
      <c r="P26" s="1696"/>
      <c r="Q26" s="1696"/>
      <c r="R26" s="1696"/>
      <c r="S26" s="1696"/>
      <c r="T26" s="1696"/>
      <c r="U26" s="1696"/>
    </row>
    <row r="27" spans="1:21">
      <c r="A27" s="1756" t="s">
        <v>1975</v>
      </c>
      <c r="B27" s="1754" t="s">
        <v>1976</v>
      </c>
      <c r="C27" s="1715"/>
      <c r="D27" s="2678" t="s">
        <v>1976</v>
      </c>
      <c r="E27" s="1716"/>
      <c r="F27" s="1690"/>
      <c r="G27" s="1696"/>
      <c r="H27" s="1696"/>
      <c r="I27" s="1709"/>
      <c r="J27" s="1696"/>
      <c r="K27" s="1775"/>
      <c r="L27" s="1724"/>
      <c r="M27" s="1724"/>
      <c r="N27" s="1696"/>
      <c r="O27" s="1697"/>
      <c r="P27" s="1696"/>
      <c r="Q27" s="1696"/>
      <c r="R27" s="1696"/>
      <c r="S27" s="1696"/>
      <c r="T27" s="1696"/>
      <c r="U27" s="1696"/>
    </row>
    <row r="28" spans="1:21">
      <c r="A28" s="1757"/>
      <c r="B28" s="1754" t="s">
        <v>1977</v>
      </c>
      <c r="C28" s="1717"/>
      <c r="D28" s="2679" t="s">
        <v>1977</v>
      </c>
      <c r="E28" s="1718"/>
      <c r="F28" s="1690"/>
      <c r="G28" s="1696"/>
      <c r="H28" s="1696"/>
      <c r="I28" s="1709"/>
      <c r="J28" s="1696"/>
      <c r="K28" s="1775"/>
      <c r="L28" s="1724"/>
      <c r="M28" s="1724"/>
      <c r="N28" s="1696"/>
      <c r="O28" s="1697"/>
      <c r="P28" s="1696"/>
      <c r="Q28" s="1696"/>
      <c r="R28" s="1696"/>
      <c r="S28" s="1696"/>
      <c r="T28" s="1696"/>
      <c r="U28" s="1696"/>
    </row>
    <row r="29" spans="1:21">
      <c r="A29" s="1757"/>
      <c r="B29" s="1754" t="s">
        <v>1978</v>
      </c>
      <c r="C29" s="1717"/>
      <c r="D29" s="2679" t="s">
        <v>1978</v>
      </c>
      <c r="E29" s="1718"/>
      <c r="F29" s="1690"/>
      <c r="G29" s="1696"/>
      <c r="H29" s="1696"/>
      <c r="I29" s="1709"/>
      <c r="J29" s="1696"/>
      <c r="K29" s="1775"/>
      <c r="L29" s="1724"/>
      <c r="M29" s="1724"/>
      <c r="N29" s="1696"/>
      <c r="O29" s="1697"/>
      <c r="P29" s="1696"/>
      <c r="Q29" s="1696"/>
      <c r="R29" s="1696"/>
      <c r="S29" s="1696"/>
      <c r="T29" s="1696"/>
      <c r="U29" s="1696"/>
    </row>
    <row r="30" spans="1:21" ht="15" thickBot="1">
      <c r="A30" s="1758"/>
      <c r="B30" s="1755" t="s">
        <v>1979</v>
      </c>
      <c r="C30" s="1719"/>
      <c r="D30" s="2680" t="s">
        <v>1979</v>
      </c>
      <c r="E30" s="1720"/>
      <c r="F30" s="1691"/>
      <c r="G30" s="1743"/>
      <c r="H30" s="1743"/>
      <c r="I30" s="1744"/>
      <c r="J30" s="1696"/>
      <c r="K30" s="1775"/>
      <c r="L30" s="1724"/>
      <c r="M30" s="1724"/>
      <c r="N30" s="1696"/>
      <c r="O30" s="1697"/>
      <c r="P30" s="1696"/>
      <c r="Q30" s="1696"/>
      <c r="R30" s="1696"/>
      <c r="S30" s="1696"/>
      <c r="T30" s="1696"/>
      <c r="U30" s="1696"/>
    </row>
    <row r="31" spans="1:21" ht="15" thickTop="1">
      <c r="A31" s="3220" t="s">
        <v>2003</v>
      </c>
      <c r="B31" s="1765" t="s">
        <v>2004</v>
      </c>
      <c r="C31" s="3259" t="s">
        <v>2991</v>
      </c>
      <c r="D31" s="3260"/>
      <c r="E31" s="1696"/>
      <c r="F31" s="1696"/>
      <c r="G31" s="1696"/>
      <c r="H31" s="1696"/>
      <c r="I31" s="1709"/>
      <c r="J31" s="1696"/>
      <c r="K31" s="2484"/>
      <c r="L31" s="1696"/>
      <c r="M31" s="1696"/>
      <c r="N31" s="1696"/>
      <c r="O31" s="1696"/>
      <c r="P31" s="1696"/>
      <c r="Q31" s="1696"/>
      <c r="R31" s="1696"/>
      <c r="S31" s="1696"/>
      <c r="T31" s="1696"/>
      <c r="U31" s="1696"/>
    </row>
    <row r="32" spans="1:21">
      <c r="A32" s="3220"/>
      <c r="B32" s="1664" t="s">
        <v>2005</v>
      </c>
      <c r="C32" s="3165" t="s">
        <v>2992</v>
      </c>
      <c r="D32" s="1721"/>
      <c r="E32" s="1696"/>
      <c r="F32" s="1696"/>
      <c r="G32" s="1696"/>
      <c r="H32" s="1696"/>
      <c r="I32" s="1709"/>
      <c r="J32" s="1696"/>
      <c r="K32" s="2484"/>
      <c r="L32" s="1696"/>
      <c r="M32" s="1696"/>
      <c r="N32" s="1696"/>
      <c r="O32" s="1696"/>
      <c r="P32" s="1696"/>
      <c r="Q32" s="1696"/>
      <c r="R32" s="1696"/>
      <c r="S32" s="1696"/>
      <c r="T32" s="1696"/>
      <c r="U32" s="1696"/>
    </row>
    <row r="33" spans="1:21">
      <c r="A33" s="3220"/>
      <c r="B33" s="1664" t="s">
        <v>2006</v>
      </c>
      <c r="C33" s="1722" t="s">
        <v>2990</v>
      </c>
      <c r="D33" s="1839"/>
      <c r="E33" s="1696"/>
      <c r="F33" s="1696"/>
      <c r="G33" s="1696"/>
      <c r="H33" s="1696"/>
      <c r="I33" s="1709"/>
      <c r="J33" s="1696"/>
      <c r="K33" s="2484"/>
      <c r="L33" s="1696"/>
      <c r="M33" s="1696"/>
      <c r="N33" s="1696"/>
      <c r="O33" s="1696"/>
      <c r="P33" s="1696"/>
      <c r="Q33" s="1696"/>
      <c r="R33" s="1696"/>
      <c r="S33" s="1696"/>
      <c r="T33" s="1696"/>
      <c r="U33" s="1696"/>
    </row>
    <row r="34" spans="1:21">
      <c r="A34" s="3221"/>
      <c r="B34" s="1664" t="s">
        <v>2007</v>
      </c>
      <c r="C34" s="3222"/>
      <c r="D34" s="3223"/>
      <c r="E34" s="1696"/>
      <c r="F34" s="1696"/>
      <c r="G34" s="1696"/>
      <c r="H34" s="1696"/>
      <c r="I34" s="1709"/>
      <c r="J34" s="1696"/>
      <c r="K34" s="2484"/>
      <c r="L34" s="1696"/>
      <c r="M34" s="1696"/>
      <c r="N34" s="1696"/>
      <c r="O34" s="1696"/>
      <c r="P34" s="1696"/>
      <c r="Q34" s="1696"/>
      <c r="R34" s="1696"/>
      <c r="S34" s="1696"/>
      <c r="T34" s="1696"/>
      <c r="U34" s="1696"/>
    </row>
    <row r="35" spans="1:21">
      <c r="A35" s="3224" t="s">
        <v>848</v>
      </c>
      <c r="B35" s="1723" t="s">
        <v>2993</v>
      </c>
      <c r="C35" s="1777" t="str">
        <f>IF(B35="场地平整","——","具体情况：")</f>
        <v>——</v>
      </c>
      <c r="D35" s="3226"/>
      <c r="E35" s="3227"/>
      <c r="F35" s="3227"/>
      <c r="G35" s="3227"/>
      <c r="H35" s="3227"/>
      <c r="I35" s="3228"/>
      <c r="J35" s="1696"/>
      <c r="K35" s="1776"/>
      <c r="L35" s="1724"/>
      <c r="M35" s="1724"/>
      <c r="N35" s="1696"/>
      <c r="O35" s="1697"/>
      <c r="P35" s="1696"/>
      <c r="Q35" s="1696"/>
      <c r="R35" s="1696"/>
      <c r="S35" s="1696"/>
      <c r="T35" s="1696"/>
      <c r="U35" s="1696"/>
    </row>
    <row r="36" spans="1:21">
      <c r="A36" s="3220"/>
      <c r="B36" s="3229" t="s">
        <v>2056</v>
      </c>
      <c r="C36" s="3230"/>
      <c r="D36" s="1793" t="s">
        <v>2994</v>
      </c>
      <c r="E36" s="3231"/>
      <c r="F36" s="3231"/>
      <c r="G36" s="1689" t="str">
        <f>IF(B35="场地未平整","估价结果处理","")</f>
        <v/>
      </c>
      <c r="H36" s="3232"/>
      <c r="I36" s="3232"/>
      <c r="J36" s="1696"/>
      <c r="K36" s="1776"/>
      <c r="L36" s="1724"/>
      <c r="M36" s="1724"/>
      <c r="N36" s="1696"/>
      <c r="O36" s="1697"/>
      <c r="P36" s="1696"/>
      <c r="Q36" s="1696"/>
      <c r="R36" s="1696"/>
      <c r="S36" s="1696"/>
      <c r="T36" s="1696"/>
      <c r="U36" s="1696"/>
    </row>
    <row r="37" spans="1:21" ht="28.5">
      <c r="A37" s="3220"/>
      <c r="B37" s="3250" t="s">
        <v>849</v>
      </c>
      <c r="C37" s="1725" t="s">
        <v>850</v>
      </c>
      <c r="D37" s="1726"/>
      <c r="E37" s="1727"/>
      <c r="F37" s="1696"/>
      <c r="G37" s="1696"/>
      <c r="H37" s="1696"/>
      <c r="I37" s="1709"/>
      <c r="J37" s="1696"/>
      <c r="K37" s="1776"/>
      <c r="L37" s="1696"/>
      <c r="M37" s="1696"/>
      <c r="N37" s="1696"/>
      <c r="O37" s="1696"/>
      <c r="P37" s="1696"/>
      <c r="Q37" s="1696"/>
      <c r="R37" s="1696"/>
      <c r="S37" s="1696"/>
      <c r="T37" s="1696"/>
      <c r="U37" s="1696"/>
    </row>
    <row r="38" spans="1:21">
      <c r="A38" s="3220"/>
      <c r="B38" s="3251"/>
      <c r="C38" s="1672" t="s">
        <v>851</v>
      </c>
      <c r="D38" s="1792">
        <f>ROUNDDOWN(MIN(('数据-取费表'!$B$2-D37)/365,D34),1)</f>
        <v>117.8</v>
      </c>
      <c r="E38" s="1728" t="s">
        <v>852</v>
      </c>
      <c r="F38" s="1696"/>
      <c r="G38" s="1696"/>
      <c r="H38" s="1696"/>
      <c r="I38" s="1709"/>
      <c r="J38" s="1696"/>
      <c r="K38" s="1776"/>
      <c r="L38" s="1696"/>
      <c r="M38" s="1696"/>
      <c r="N38" s="1696"/>
      <c r="O38" s="1696"/>
      <c r="P38" s="1696"/>
      <c r="Q38" s="1696"/>
      <c r="R38" s="1696"/>
      <c r="S38" s="1696"/>
      <c r="T38" s="1696"/>
      <c r="U38" s="1696"/>
    </row>
    <row r="39" spans="1:21">
      <c r="A39" s="3221"/>
      <c r="B39" s="3252"/>
      <c r="C39" s="1699" t="str">
        <f>IF(D38&lt;1,"不存在土地闲置",IF(B35="宗地内已开工建设","已开工，不存在土地闲置","估价对象已涉嫌土地闲置"))</f>
        <v>估价对象已涉嫌土地闲置</v>
      </c>
      <c r="D39" s="1729"/>
      <c r="E39" s="1730"/>
      <c r="F39" s="1696"/>
      <c r="G39" s="1696"/>
      <c r="H39" s="1696"/>
      <c r="I39" s="1709"/>
      <c r="J39" s="1696"/>
      <c r="K39" s="1775"/>
      <c r="L39" s="1724"/>
      <c r="M39" s="1724"/>
      <c r="N39" s="1696"/>
      <c r="O39" s="1697"/>
      <c r="P39" s="1696"/>
      <c r="Q39" s="1696"/>
      <c r="R39" s="1696"/>
      <c r="S39" s="1696"/>
      <c r="T39" s="1696"/>
      <c r="U39" s="1696"/>
    </row>
    <row r="40" spans="1:21">
      <c r="A40" s="1689" t="s">
        <v>1980</v>
      </c>
      <c r="B40" s="1692" t="s">
        <v>2995</v>
      </c>
      <c r="C40" s="1692" t="s">
        <v>2996</v>
      </c>
      <c r="D40" s="1692" t="s">
        <v>2997</v>
      </c>
      <c r="E40" s="1692" t="s">
        <v>2998</v>
      </c>
      <c r="F40" s="1692" t="s">
        <v>2999</v>
      </c>
      <c r="G40" s="1692" t="s">
        <v>3000</v>
      </c>
      <c r="H40" s="1692" t="s">
        <v>3001</v>
      </c>
      <c r="I40" s="1709"/>
      <c r="J40" s="1696"/>
      <c r="K40" s="1731">
        <f>COUNTIF(B40:H40,"——")</f>
        <v>0</v>
      </c>
      <c r="L40" s="1701" t="s">
        <v>1981</v>
      </c>
      <c r="M40" s="1698" t="s">
        <v>1982</v>
      </c>
      <c r="N40" s="1698" t="s">
        <v>1983</v>
      </c>
      <c r="O40" s="1698" t="s">
        <v>1984</v>
      </c>
      <c r="P40" s="1698" t="s">
        <v>1985</v>
      </c>
      <c r="Q40" s="1698" t="s">
        <v>1986</v>
      </c>
      <c r="R40" s="1698" t="s">
        <v>1987</v>
      </c>
      <c r="S40" s="3233" t="s">
        <v>1988</v>
      </c>
      <c r="T40" s="1732" t="str">
        <f>NUMBERSTRING(7-K40,1)&amp;"通"</f>
        <v>七通</v>
      </c>
      <c r="U40" s="1696"/>
    </row>
    <row r="41" spans="1:21">
      <c r="A41" s="1666"/>
      <c r="B41" s="3225" t="s">
        <v>1723</v>
      </c>
      <c r="C41" s="3225"/>
      <c r="D41" s="3225"/>
      <c r="E41" s="3225"/>
      <c r="F41" s="1733" t="str">
        <f>C10</f>
        <v>沈阳市</v>
      </c>
      <c r="G41" s="1696"/>
      <c r="H41" s="1696"/>
      <c r="I41" s="1709"/>
      <c r="J41" s="1696"/>
      <c r="K41" s="1701"/>
      <c r="L41" s="1698" t="str">
        <f>B40</f>
        <v>通路</v>
      </c>
      <c r="M41" s="1734" t="str">
        <f>B40&amp;"、"&amp;C40</f>
        <v>通路、通电</v>
      </c>
      <c r="N41" s="1735" t="str">
        <f>B40&amp;"、"&amp;C40&amp;"、"&amp;D40</f>
        <v>通路、通电、通讯</v>
      </c>
      <c r="O41" s="1735" t="str">
        <f>B40&amp;"、"&amp;C40&amp;"、"&amp;D40&amp;"、"&amp;E40</f>
        <v>通路、通电、通讯、通上水</v>
      </c>
      <c r="P41" s="1735" t="str">
        <f>B40&amp;"、"&amp;C40&amp;"、"&amp;D40&amp;"、"&amp;E40&amp;"、"&amp;F40</f>
        <v>通路、通电、通讯、通上水、通下水</v>
      </c>
      <c r="Q41" s="1735" t="str">
        <f>B40&amp;"、"&amp;C40&amp;"、"&amp;D40&amp;"、"&amp;E40&amp;"、"&amp;F40&amp;"、"&amp;G40</f>
        <v>通路、通电、通讯、通上水、通下水、通热</v>
      </c>
      <c r="R41" s="1735" t="str">
        <f>B40&amp;"、"&amp;C40&amp;"、"&amp;D40&amp;"、"&amp;E40&amp;"、"&amp;F40&amp;"、"&amp;G40&amp;"、"&amp;H40</f>
        <v>通路、通电、通讯、通上水、通下水、通热、燃气</v>
      </c>
      <c r="S41" s="3233"/>
      <c r="T41" s="1734" t="str">
        <f>IF(T40="一通",L41,IF(T40="二通",M41,IF(T40="三通",N41,IF(T40="四通",O41,IF(T40="五通",P41,IF(T40="六通",Q41,R41))))))</f>
        <v>通路、通电、通讯、通上水、通下水、通热、燃气</v>
      </c>
      <c r="U41" s="1696"/>
    </row>
    <row r="42" spans="1:21">
      <c r="A42" s="1736"/>
      <c r="B42" s="1767" t="s">
        <v>1899</v>
      </c>
      <c r="C42" s="1767" t="s">
        <v>1900</v>
      </c>
      <c r="D42" s="1767" t="s">
        <v>1901</v>
      </c>
      <c r="E42" s="1701" t="s">
        <v>1902</v>
      </c>
      <c r="F42" s="1737" t="s">
        <v>3002</v>
      </c>
      <c r="G42" s="1696"/>
      <c r="H42" s="1696"/>
      <c r="I42" s="1709"/>
      <c r="J42" s="1696"/>
      <c r="K42" s="1775"/>
      <c r="L42" s="1724"/>
      <c r="M42" s="1724"/>
      <c r="N42" s="1696"/>
      <c r="O42" s="1697"/>
      <c r="P42" s="1696"/>
      <c r="Q42" s="1696"/>
      <c r="R42" s="1696"/>
      <c r="S42" s="1696"/>
      <c r="T42" s="1696"/>
      <c r="U42" s="1696"/>
    </row>
    <row r="43" spans="1:21">
      <c r="A43" s="1738" t="s">
        <v>1708</v>
      </c>
      <c r="B43" s="1739"/>
      <c r="C43" s="1739"/>
      <c r="D43" s="1739"/>
      <c r="E43" s="1739"/>
      <c r="F43" s="1740" t="s">
        <v>3003</v>
      </c>
      <c r="G43" s="1696"/>
      <c r="H43" s="1696"/>
      <c r="I43" s="1709"/>
      <c r="J43" s="1696"/>
      <c r="K43" s="1775"/>
      <c r="L43" s="1724"/>
      <c r="M43" s="1724"/>
      <c r="N43" s="1696"/>
      <c r="O43" s="1697"/>
      <c r="P43" s="1696"/>
      <c r="Q43" s="1696"/>
      <c r="R43" s="1696"/>
      <c r="S43" s="1696"/>
      <c r="T43" s="1696"/>
      <c r="U43" s="1696"/>
    </row>
    <row r="44" spans="1:21">
      <c r="A44" s="1738" t="s">
        <v>1709</v>
      </c>
      <c r="B44" s="1739"/>
      <c r="C44" s="1739"/>
      <c r="D44" s="1739"/>
      <c r="E44" s="1793"/>
      <c r="F44" s="1740"/>
      <c r="G44" s="1696"/>
      <c r="H44" s="1696"/>
      <c r="I44" s="1709"/>
      <c r="J44" s="1696"/>
      <c r="K44" s="1775"/>
      <c r="L44" s="1724"/>
      <c r="M44" s="1724"/>
      <c r="N44" s="1696"/>
      <c r="O44" s="1697"/>
      <c r="P44" s="1696"/>
      <c r="Q44" s="1696"/>
      <c r="R44" s="1696"/>
      <c r="S44" s="1696"/>
      <c r="T44" s="1696"/>
      <c r="U44" s="1696"/>
    </row>
    <row r="45" spans="1:21" s="3103" customFormat="1" ht="21" thickBot="1">
      <c r="A45" s="3104" t="s">
        <v>2895</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6"/>
      <c r="B46" s="1696"/>
      <c r="C46" s="1696"/>
      <c r="D46" s="1696"/>
      <c r="E46" s="1696"/>
      <c r="F46" s="1696"/>
      <c r="G46" s="1696"/>
      <c r="H46" s="1696"/>
      <c r="I46" s="1709"/>
      <c r="J46" s="1696"/>
      <c r="K46" s="1775"/>
      <c r="L46" s="1724"/>
      <c r="M46" s="1724"/>
      <c r="N46" s="1696"/>
      <c r="O46" s="1697"/>
      <c r="P46" s="1696"/>
      <c r="Q46" s="1696"/>
      <c r="R46" s="1696"/>
      <c r="S46" s="1696"/>
      <c r="T46" s="1696"/>
      <c r="U46" s="1696"/>
    </row>
    <row r="47" spans="1:21">
      <c r="A47" s="1741" t="s">
        <v>2008</v>
      </c>
      <c r="B47" s="1742"/>
      <c r="C47" s="1730"/>
      <c r="D47" s="1696"/>
      <c r="E47" s="1696"/>
      <c r="F47" s="1696"/>
      <c r="G47" s="1696"/>
      <c r="H47" s="1696"/>
      <c r="I47" s="1697"/>
      <c r="J47" s="1696"/>
      <c r="K47" s="1775"/>
      <c r="L47" s="1724"/>
      <c r="M47" s="1724"/>
      <c r="N47" s="1696"/>
      <c r="O47" s="1697"/>
      <c r="P47" s="1696"/>
      <c r="Q47" s="1696"/>
      <c r="R47" s="1696"/>
      <c r="S47" s="1696"/>
      <c r="T47" s="1696"/>
      <c r="U47" s="1696"/>
    </row>
    <row r="48" spans="1:21" ht="28.5">
      <c r="A48" s="1701" t="s">
        <v>2009</v>
      </c>
      <c r="B48" s="1688" t="s">
        <v>2010</v>
      </c>
      <c r="C48" s="1688" t="s">
        <v>2011</v>
      </c>
      <c r="D48" s="1688" t="s">
        <v>2012</v>
      </c>
      <c r="E48" s="1688" t="s">
        <v>2013</v>
      </c>
      <c r="F48" s="1688" t="s">
        <v>2014</v>
      </c>
      <c r="G48" s="1688" t="s">
        <v>2015</v>
      </c>
      <c r="H48" s="1688" t="s">
        <v>2016</v>
      </c>
      <c r="I48" s="1688" t="s">
        <v>2017</v>
      </c>
      <c r="J48" s="1773" t="s">
        <v>2018</v>
      </c>
      <c r="K48" s="1767" t="s">
        <v>2019</v>
      </c>
      <c r="L48" s="1767" t="s">
        <v>2020</v>
      </c>
      <c r="M48" s="1767" t="s">
        <v>2021</v>
      </c>
      <c r="N48" s="1688" t="s">
        <v>2022</v>
      </c>
      <c r="O48" s="1688" t="s">
        <v>2023</v>
      </c>
      <c r="P48" s="1688" t="s">
        <v>2024</v>
      </c>
      <c r="Q48" s="1701" t="s">
        <v>2025</v>
      </c>
      <c r="R48" s="1701" t="s">
        <v>2026</v>
      </c>
      <c r="S48" s="1696"/>
      <c r="T48" s="1696"/>
      <c r="U48" s="1696"/>
    </row>
    <row r="49" spans="1:21">
      <c r="A49" s="1698"/>
      <c r="B49" s="1731"/>
      <c r="C49" s="1731"/>
      <c r="D49" s="1731"/>
      <c r="E49" s="1731"/>
      <c r="F49" s="1731"/>
      <c r="G49" s="1731"/>
      <c r="H49" s="1731"/>
      <c r="I49" s="1731"/>
      <c r="J49" s="1840"/>
      <c r="K49" s="1841"/>
      <c r="L49" s="1841"/>
      <c r="M49" s="1731"/>
      <c r="N49" s="1731"/>
      <c r="O49" s="1731"/>
      <c r="P49" s="1731"/>
      <c r="Q49" s="1731"/>
      <c r="R49" s="1731"/>
      <c r="S49" s="1696"/>
      <c r="T49" s="1696"/>
      <c r="U49" s="1696"/>
    </row>
    <row r="50" spans="1:21">
      <c r="A50" s="1698"/>
      <c r="B50" s="1698"/>
      <c r="C50" s="1731"/>
      <c r="D50" s="1731"/>
      <c r="E50" s="1731"/>
      <c r="F50" s="1731"/>
      <c r="G50" s="1731"/>
      <c r="H50" s="1731"/>
      <c r="I50" s="1731"/>
      <c r="J50" s="1840"/>
      <c r="K50" s="1841"/>
      <c r="L50" s="1841"/>
      <c r="M50" s="1731"/>
      <c r="N50" s="1731"/>
      <c r="O50" s="1731"/>
      <c r="P50" s="1731"/>
      <c r="Q50" s="1731"/>
      <c r="R50" s="1731"/>
      <c r="S50" s="1696"/>
      <c r="T50" s="1696"/>
      <c r="U50" s="1696"/>
    </row>
    <row r="51" spans="1:21">
      <c r="A51" s="1698"/>
      <c r="B51" s="1698"/>
      <c r="C51" s="1731"/>
      <c r="D51" s="1731"/>
      <c r="E51" s="1731"/>
      <c r="F51" s="1731"/>
      <c r="G51" s="1731"/>
      <c r="H51" s="1731"/>
      <c r="I51" s="1731"/>
      <c r="J51" s="1840"/>
      <c r="K51" s="1841"/>
      <c r="L51" s="1841"/>
      <c r="M51" s="1731"/>
      <c r="N51" s="1731"/>
      <c r="O51" s="1731"/>
      <c r="P51" s="1731"/>
      <c r="Q51" s="1731"/>
      <c r="R51" s="1731"/>
      <c r="S51" s="1696"/>
      <c r="T51" s="1696"/>
      <c r="U51" s="1696"/>
    </row>
    <row r="52" spans="1:21">
      <c r="A52" s="1698"/>
      <c r="B52" s="1698"/>
      <c r="C52" s="1731"/>
      <c r="D52" s="1731"/>
      <c r="E52" s="1731"/>
      <c r="F52" s="1731"/>
      <c r="G52" s="1731"/>
      <c r="H52" s="1731"/>
      <c r="I52" s="1731"/>
      <c r="J52" s="1840"/>
      <c r="K52" s="1841"/>
      <c r="L52" s="1841"/>
      <c r="M52" s="1731"/>
      <c r="N52" s="1731"/>
      <c r="O52" s="1731"/>
      <c r="P52" s="1731"/>
      <c r="Q52" s="1731"/>
      <c r="R52" s="1731"/>
      <c r="S52" s="1696"/>
      <c r="T52" s="1696"/>
      <c r="U52" s="1696"/>
    </row>
    <row r="53" spans="1:21">
      <c r="A53" s="1698"/>
      <c r="B53" s="1698"/>
      <c r="C53" s="1731"/>
      <c r="D53" s="1731"/>
      <c r="E53" s="1731"/>
      <c r="F53" s="1731"/>
      <c r="G53" s="1731"/>
      <c r="H53" s="1731"/>
      <c r="I53" s="1731"/>
      <c r="J53" s="1840"/>
      <c r="K53" s="1841"/>
      <c r="L53" s="1841"/>
      <c r="M53" s="1731"/>
      <c r="N53" s="1731"/>
      <c r="O53" s="1731"/>
      <c r="P53" s="1731"/>
      <c r="Q53" s="1731"/>
      <c r="R53" s="1731"/>
      <c r="S53" s="1696"/>
      <c r="T53" s="1696"/>
      <c r="U53" s="1696"/>
    </row>
    <row r="54" spans="1:21">
      <c r="A54" s="1698"/>
      <c r="B54" s="1698"/>
      <c r="C54" s="1698"/>
      <c r="D54" s="1698"/>
      <c r="E54" s="1698"/>
      <c r="F54" s="1731"/>
      <c r="G54" s="1698"/>
      <c r="H54" s="1698"/>
      <c r="I54" s="1698"/>
      <c r="J54" s="1842"/>
      <c r="K54" s="1841"/>
      <c r="L54" s="1841"/>
      <c r="M54" s="1841"/>
      <c r="N54" s="1698"/>
      <c r="O54" s="1698"/>
      <c r="P54" s="1698"/>
      <c r="Q54" s="1698"/>
      <c r="R54" s="1698"/>
      <c r="S54" s="1696"/>
      <c r="T54" s="1696"/>
      <c r="U54" s="1696"/>
    </row>
    <row r="55" spans="1:21">
      <c r="A55" s="1698"/>
      <c r="B55" s="1698"/>
      <c r="C55" s="1698"/>
      <c r="D55" s="1698"/>
      <c r="E55" s="1698"/>
      <c r="F55" s="1731"/>
      <c r="G55" s="1698"/>
      <c r="H55" s="1698"/>
      <c r="I55" s="1698"/>
      <c r="J55" s="1842"/>
      <c r="K55" s="1841"/>
      <c r="L55" s="1841"/>
      <c r="M55" s="1841"/>
      <c r="N55" s="1698"/>
      <c r="O55" s="1698"/>
      <c r="P55" s="1698"/>
      <c r="Q55" s="1698"/>
      <c r="R55" s="1698"/>
      <c r="S55" s="1696"/>
      <c r="T55" s="1696"/>
      <c r="U55" s="1696"/>
    </row>
    <row r="56" spans="1:21">
      <c r="A56" s="1698"/>
      <c r="B56" s="1698"/>
      <c r="C56" s="1698"/>
      <c r="D56" s="1698"/>
      <c r="E56" s="1698"/>
      <c r="F56" s="1731"/>
      <c r="G56" s="1698"/>
      <c r="H56" s="1698"/>
      <c r="I56" s="1698"/>
      <c r="J56" s="1842"/>
      <c r="K56" s="1841"/>
      <c r="L56" s="1841"/>
      <c r="M56" s="1841"/>
      <c r="N56" s="1698"/>
      <c r="O56" s="1698"/>
      <c r="P56" s="1698"/>
      <c r="Q56" s="1698"/>
      <c r="R56" s="1698"/>
      <c r="S56" s="1696"/>
      <c r="T56" s="1696"/>
      <c r="U56" s="1696"/>
    </row>
    <row r="57" spans="1:21">
      <c r="A57" s="1698"/>
      <c r="B57" s="1698"/>
      <c r="C57" s="1698"/>
      <c r="D57" s="1698"/>
      <c r="E57" s="1698"/>
      <c r="F57" s="1731"/>
      <c r="G57" s="1698"/>
      <c r="H57" s="1698"/>
      <c r="I57" s="1698"/>
      <c r="J57" s="1842"/>
      <c r="K57" s="1841"/>
      <c r="L57" s="1841"/>
      <c r="M57" s="1841"/>
      <c r="N57" s="1698"/>
      <c r="O57" s="1698"/>
      <c r="P57" s="1698"/>
      <c r="Q57" s="1698"/>
      <c r="R57" s="1698"/>
      <c r="S57" s="1696"/>
      <c r="T57" s="1696"/>
      <c r="U57" s="1696"/>
    </row>
    <row r="58" spans="1:21">
      <c r="A58" s="1698"/>
      <c r="B58" s="1698"/>
      <c r="C58" s="1698"/>
      <c r="D58" s="1698"/>
      <c r="E58" s="1698"/>
      <c r="F58" s="1731"/>
      <c r="G58" s="1698"/>
      <c r="H58" s="1698"/>
      <c r="I58" s="1698"/>
      <c r="J58" s="1842"/>
      <c r="K58" s="1841"/>
      <c r="L58" s="1841"/>
      <c r="M58" s="1841"/>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2" t="s">
        <v>2334</v>
      </c>
      <c r="BA2" s="2363" t="s">
        <v>2333</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72507.13</v>
      </c>
      <c r="B3" s="22">
        <f>IF(C3="否",G5-AT5,G5)</f>
        <v>108760.69</v>
      </c>
      <c r="C3" s="23" t="s">
        <v>2990</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4"/>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108760.69</v>
      </c>
      <c r="H5" s="27">
        <f t="shared" ref="H5:AT5" si="0">SUM(H13:H641)</f>
        <v>108760.69</v>
      </c>
      <c r="I5" s="27">
        <f t="shared" si="0"/>
        <v>103322.66</v>
      </c>
      <c r="J5" s="27">
        <f t="shared" si="0"/>
        <v>0</v>
      </c>
      <c r="K5" s="27">
        <f t="shared" si="0"/>
        <v>5438.03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108760.69</v>
      </c>
      <c r="BA5" s="29">
        <f t="shared" si="1"/>
        <v>108760.69</v>
      </c>
      <c r="BB5" s="29">
        <f t="shared" si="1"/>
        <v>103322.66</v>
      </c>
      <c r="BC5" s="29">
        <f t="shared" si="1"/>
        <v>5438.03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72507.13</v>
      </c>
      <c r="F6" s="27" t="s">
        <v>1</v>
      </c>
      <c r="G6" s="27" t="s">
        <v>2</v>
      </c>
      <c r="H6" s="33">
        <f>SUMIF(I$12:AB$12,"总值",I6:AB6)</f>
        <v>72507.13</v>
      </c>
      <c r="I6" s="27">
        <f t="shared" ref="I6:AB6" si="2">ROUND($A$3*I5/$B$3,2)</f>
        <v>68881.78</v>
      </c>
      <c r="J6" s="27">
        <f t="shared" si="2"/>
        <v>0</v>
      </c>
      <c r="K6" s="27">
        <f t="shared" si="2"/>
        <v>3625.35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72507.13</v>
      </c>
      <c r="AZ6" s="27" t="s">
        <v>3</v>
      </c>
      <c r="BA6" s="27">
        <f>ROUND($AY$6*BA5/$AZ$5,2)</f>
        <v>72507.13</v>
      </c>
      <c r="BB6" s="27">
        <f>ROUND($AY$6*BB5/$AZ$5,2)</f>
        <v>68881.78</v>
      </c>
      <c r="BC6" s="27">
        <f t="shared" ref="BC6:BH6" si="4">ROUND($AY$6*BC5/$AZ$5,2)</f>
        <v>3625.35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299"/>
      <c r="AT8" s="2330"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3004</v>
      </c>
      <c r="J9" s="51"/>
      <c r="K9" s="3049" t="s">
        <v>3004</v>
      </c>
      <c r="L9" s="51"/>
      <c r="M9" s="304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1"/>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924</v>
      </c>
      <c r="J10" s="51"/>
      <c r="K10" s="3051" t="s">
        <v>2988</v>
      </c>
      <c r="L10" s="51"/>
      <c r="M10" s="3051"/>
      <c r="N10" s="51"/>
      <c r="O10" s="66"/>
      <c r="P10" s="51"/>
      <c r="Q10" s="66"/>
      <c r="R10" s="51"/>
      <c r="S10" s="66"/>
      <c r="T10" s="51"/>
      <c r="U10" s="66"/>
      <c r="V10" s="51"/>
      <c r="W10" s="66"/>
      <c r="X10" s="51"/>
      <c r="Y10" s="66"/>
      <c r="Z10" s="51"/>
      <c r="AA10" s="66"/>
      <c r="AB10" s="51"/>
      <c r="AC10" s="55"/>
      <c r="AD10" s="2316" t="s">
        <v>2319</v>
      </c>
      <c r="AE10" s="2338"/>
      <c r="AF10" s="2316" t="s">
        <v>2319</v>
      </c>
      <c r="AG10" s="2338"/>
      <c r="AH10" s="2316" t="s">
        <v>2320</v>
      </c>
      <c r="AI10" s="2338"/>
      <c r="AJ10" s="26" t="s">
        <v>2332</v>
      </c>
      <c r="AK10" s="2335"/>
      <c r="AL10" s="2316" t="s">
        <v>2321</v>
      </c>
      <c r="AM10" s="2317"/>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3005</v>
      </c>
      <c r="J11" s="71"/>
      <c r="K11" s="3050" t="s">
        <v>3006</v>
      </c>
      <c r="L11" s="71"/>
      <c r="M11" s="70"/>
      <c r="N11" s="71"/>
      <c r="O11" s="70"/>
      <c r="P11" s="71"/>
      <c r="Q11" s="70"/>
      <c r="R11" s="71"/>
      <c r="S11" s="70"/>
      <c r="T11" s="71"/>
      <c r="U11" s="70"/>
      <c r="V11" s="71"/>
      <c r="W11" s="70"/>
      <c r="X11" s="71"/>
      <c r="Y11" s="70"/>
      <c r="Z11" s="71"/>
      <c r="AA11" s="70"/>
      <c r="AB11" s="71"/>
      <c r="AC11" s="55"/>
      <c r="AD11" s="2336" t="s">
        <v>2331</v>
      </c>
      <c r="AE11" s="1005"/>
      <c r="AF11" s="2336" t="s">
        <v>2331</v>
      </c>
      <c r="AG11" s="1005"/>
      <c r="AH11" s="2336" t="s">
        <v>2330</v>
      </c>
      <c r="AI11" s="2337"/>
      <c r="AJ11" s="2336" t="s">
        <v>2330</v>
      </c>
      <c r="AK11" s="2335"/>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c r="D13" s="3045" t="s">
        <v>1680</v>
      </c>
      <c r="E13" s="27">
        <f t="shared" ref="E13:E20" si="6">IF($C$3="是",ROUND($A$3*G13/$B$3,2),ROUND($A$3*(G13-AT13)/$B$3,2))</f>
        <v>72507.13</v>
      </c>
      <c r="F13" s="81"/>
      <c r="G13" s="82">
        <f t="shared" ref="G13:G20" si="7">H13+AC13+AT13</f>
        <v>108760.69</v>
      </c>
      <c r="H13" s="33">
        <f t="shared" ref="H13:H20" si="8">SUMIF(I$12:AB$12,"总值",I13:AB13)</f>
        <v>108760.69</v>
      </c>
      <c r="I13" s="3048">
        <f>ROUND(A3*1.5*0.95,2)</f>
        <v>103322.66</v>
      </c>
      <c r="J13" s="3048"/>
      <c r="K13" s="3048">
        <f>ROUND(A3*1.5*0.05,2)</f>
        <v>5438.03</v>
      </c>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f t="shared" si="10"/>
        <v>0</v>
      </c>
      <c r="AY13" s="999">
        <f t="shared" ref="AY13:AY20" si="11">ROUND($AY$6*AZ13/$AZ$5,2)</f>
        <v>72507.13</v>
      </c>
      <c r="AZ13" s="27">
        <f t="shared" ref="AZ13:AZ20" si="12">BA13+BL13</f>
        <v>108760.69</v>
      </c>
      <c r="BA13" s="27">
        <f t="shared" ref="BA13:BA20" si="13">SUM(BB13:BK13)</f>
        <v>108760.69</v>
      </c>
      <c r="BB13" s="27">
        <f t="shared" ref="BB13:BB20" si="14">IF($D13="是",I13-J13,0)</f>
        <v>103322.66</v>
      </c>
      <c r="BC13" s="27">
        <f t="shared" ref="BC13:BC20" si="15">IF($D13="是",K13-L13,0)</f>
        <v>5438.03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c r="D14" s="3045"/>
      <c r="E14" s="27">
        <f t="shared" si="6"/>
        <v>0</v>
      </c>
      <c r="F14" s="81"/>
      <c r="G14" s="82">
        <f t="shared" si="7"/>
        <v>0</v>
      </c>
      <c r="H14" s="33">
        <f t="shared" si="8"/>
        <v>0</v>
      </c>
      <c r="I14" s="3048"/>
      <c r="J14" s="3048"/>
      <c r="K14" s="3048"/>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c r="D15" s="3045"/>
      <c r="E15" s="27">
        <f t="shared" si="6"/>
        <v>0</v>
      </c>
      <c r="F15" s="81"/>
      <c r="G15" s="82">
        <f t="shared" si="7"/>
        <v>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0</v>
      </c>
      <c r="AD15" s="3052"/>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4"/>
      <c r="B16" s="3044"/>
      <c r="C16" s="3046"/>
      <c r="D16" s="3045"/>
      <c r="E16" s="27">
        <f t="shared" si="6"/>
        <v>0</v>
      </c>
      <c r="F16" s="81"/>
      <c r="G16" s="82">
        <f t="shared" si="7"/>
        <v>0</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c r="D17" s="3045"/>
      <c r="E17" s="27">
        <f t="shared" si="6"/>
        <v>0</v>
      </c>
      <c r="F17" s="81"/>
      <c r="G17" s="82">
        <f t="shared" si="7"/>
        <v>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c r="AU17" s="3054"/>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72" t="s">
        <v>203</v>
      </c>
      <c r="B2" s="3272"/>
      <c r="C2" s="3272"/>
      <c r="D2" s="1977" t="s">
        <v>204</v>
      </c>
      <c r="E2" s="106" t="s">
        <v>205</v>
      </c>
      <c r="F2" s="1986"/>
      <c r="G2" s="1201"/>
      <c r="H2" s="1202"/>
      <c r="I2" s="1203" t="s">
        <v>858</v>
      </c>
      <c r="J2" s="1986"/>
      <c r="K2" s="1986"/>
      <c r="L2" s="1986"/>
    </row>
    <row r="3" spans="1:16" ht="15.75" thickBot="1">
      <c r="A3" s="3273" t="s">
        <v>206</v>
      </c>
      <c r="B3" s="3273"/>
      <c r="C3" s="3273"/>
      <c r="D3" s="107">
        <f>'数据-基础表'!AY6</f>
        <v>72507.13</v>
      </c>
      <c r="E3" s="107">
        <f>'数据-基础表'!AZ5</f>
        <v>108760.69</v>
      </c>
      <c r="F3" s="1986"/>
      <c r="G3" s="280" t="s">
        <v>859</v>
      </c>
      <c r="H3" s="275" t="s">
        <v>860</v>
      </c>
      <c r="I3" s="1978">
        <f>ROUND('数据-基础表'!B3/'数据-基础表'!A3,2)</f>
        <v>1.5</v>
      </c>
      <c r="J3" s="1986"/>
      <c r="K3" s="1986"/>
      <c r="L3" s="1986"/>
    </row>
    <row r="4" spans="1:16" ht="15">
      <c r="A4" s="3274"/>
      <c r="B4" s="3275"/>
      <c r="C4" s="3276"/>
      <c r="D4" s="108" t="s">
        <v>204</v>
      </c>
      <c r="E4" s="109" t="s">
        <v>205</v>
      </c>
      <c r="F4" s="1986"/>
      <c r="G4" s="1204"/>
      <c r="H4" s="275" t="s">
        <v>861</v>
      </c>
      <c r="I4" s="1978">
        <f>ROUND(SUMIF('数据-基础表'!I9:AS9,"地上",'数据-基础表'!I5:AS5)/'数据-基础表'!A3,2)</f>
        <v>1.5</v>
      </c>
      <c r="J4" s="1986"/>
      <c r="K4" s="1986"/>
      <c r="L4" s="1986"/>
    </row>
    <row r="5" spans="1:16">
      <c r="A5" s="110" t="s">
        <v>207</v>
      </c>
      <c r="B5" s="3277" t="s">
        <v>230</v>
      </c>
      <c r="C5" s="3277"/>
      <c r="D5" s="111">
        <f>ROUND($D$3*E5/$E$3,2)</f>
        <v>68881.78</v>
      </c>
      <c r="E5" s="112">
        <f>SUMIF('数据-基础表'!$11:$11,"住宅",'数据-基础表'!$5:$5)</f>
        <v>103322.66</v>
      </c>
      <c r="F5" s="1986"/>
      <c r="G5" s="280" t="s">
        <v>862</v>
      </c>
      <c r="H5" s="275" t="s">
        <v>860</v>
      </c>
      <c r="I5" s="1978">
        <f>ROUND(E31/D31,2)</f>
        <v>1.5</v>
      </c>
      <c r="J5" s="1986"/>
      <c r="K5" s="1986"/>
      <c r="L5" s="1986"/>
    </row>
    <row r="6" spans="1:16" ht="15" thickBot="1">
      <c r="A6" s="113"/>
      <c r="B6" s="3277" t="s">
        <v>208</v>
      </c>
      <c r="C6" s="3277"/>
      <c r="D6" s="111">
        <f>ROUND($D$3*E6/$E$3,2)</f>
        <v>3625.35</v>
      </c>
      <c r="E6" s="112">
        <f>E3-E5</f>
        <v>5438.0299999999988</v>
      </c>
      <c r="F6" s="1986"/>
      <c r="G6" s="1204"/>
      <c r="H6" s="275" t="s">
        <v>861</v>
      </c>
      <c r="I6" s="1978">
        <f>ROUND(F31/D31,2)</f>
        <v>1.5</v>
      </c>
      <c r="J6" s="1986"/>
      <c r="K6" s="1986"/>
      <c r="L6" s="1986"/>
    </row>
    <row r="7" spans="1:16" ht="15">
      <c r="A7" s="3269"/>
      <c r="B7" s="3270"/>
      <c r="C7" s="3271"/>
      <c r="D7" s="108" t="s">
        <v>204</v>
      </c>
      <c r="E7" s="114" t="s">
        <v>231</v>
      </c>
      <c r="F7" s="1986"/>
      <c r="G7" s="1159" t="s">
        <v>1647</v>
      </c>
      <c r="H7" s="1160"/>
      <c r="I7" s="1848"/>
      <c r="J7" s="1986"/>
      <c r="K7" s="1986"/>
      <c r="L7" s="1986"/>
    </row>
    <row r="8" spans="1:16">
      <c r="A8" s="110" t="s">
        <v>209</v>
      </c>
      <c r="B8" s="115" t="s">
        <v>210</v>
      </c>
      <c r="C8" s="111" t="s">
        <v>211</v>
      </c>
      <c r="D8" s="111">
        <f t="shared" ref="D8:D15" si="0">ROUND($D$3*E8/$E$3,2)</f>
        <v>72507.13</v>
      </c>
      <c r="E8" s="116">
        <f>SUMIF('数据-基础表'!BB10:BK10,"地上",'数据-基础表'!BB5:BK5)</f>
        <v>108760.69</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3" t="s">
        <v>2328</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2335</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72507.13</v>
      </c>
      <c r="E16" s="120">
        <f>SUM(E8:E15)</f>
        <v>108760.69</v>
      </c>
      <c r="F16" s="1986"/>
      <c r="G16" s="1988"/>
      <c r="H16" s="971" t="s">
        <v>219</v>
      </c>
      <c r="I16" s="972"/>
      <c r="J16" s="1986"/>
      <c r="K16" s="3263" t="s">
        <v>2570</v>
      </c>
      <c r="L16" s="3264"/>
      <c r="M16" s="3264"/>
      <c r="N16" s="3264"/>
      <c r="O16" s="3264"/>
      <c r="P16" s="3265"/>
    </row>
    <row r="17" spans="1:19" ht="15">
      <c r="A17" s="121" t="s">
        <v>216</v>
      </c>
      <c r="B17" s="122" t="s">
        <v>217</v>
      </c>
      <c r="C17" s="2300" t="s">
        <v>2315</v>
      </c>
      <c r="D17" s="108" t="s">
        <v>204</v>
      </c>
      <c r="E17" s="124" t="s">
        <v>205</v>
      </c>
      <c r="F17" s="125"/>
      <c r="G17" s="1369"/>
      <c r="H17" s="973" t="s">
        <v>218</v>
      </c>
      <c r="I17" s="974" t="s">
        <v>2314</v>
      </c>
      <c r="J17" s="1986"/>
      <c r="K17" s="3266" t="s">
        <v>2571</v>
      </c>
      <c r="L17" s="3267"/>
      <c r="M17" s="3268"/>
      <c r="N17" s="3266" t="s">
        <v>2572</v>
      </c>
      <c r="O17" s="3267"/>
      <c r="P17" s="3268"/>
      <c r="R17" s="2301" t="s">
        <v>2313</v>
      </c>
      <c r="S17" s="144"/>
    </row>
    <row r="18" spans="1:19" ht="15">
      <c r="A18" s="117"/>
      <c r="B18" s="128"/>
      <c r="C18" s="129"/>
      <c r="D18" s="2669"/>
      <c r="E18" s="130" t="s">
        <v>220</v>
      </c>
      <c r="F18" s="131" t="s">
        <v>221</v>
      </c>
      <c r="G18" s="1370" t="s">
        <v>222</v>
      </c>
      <c r="H18" s="975" t="s">
        <v>223</v>
      </c>
      <c r="I18" s="976" t="s">
        <v>224</v>
      </c>
      <c r="J18" s="1986"/>
      <c r="K18" s="2631" t="s">
        <v>2573</v>
      </c>
      <c r="L18" s="2632" t="s">
        <v>2574</v>
      </c>
      <c r="M18" s="2633" t="s">
        <v>2575</v>
      </c>
      <c r="N18" s="2631" t="s">
        <v>2573</v>
      </c>
      <c r="O18" s="2632" t="s">
        <v>2574</v>
      </c>
      <c r="P18" s="2633" t="s">
        <v>2575</v>
      </c>
      <c r="R18" s="2302" t="s">
        <v>2311</v>
      </c>
      <c r="S18" s="2302" t="s">
        <v>2312</v>
      </c>
    </row>
    <row r="19" spans="1:19">
      <c r="A19" s="133"/>
      <c r="B19" s="115" t="s">
        <v>225</v>
      </c>
      <c r="C19" s="3055" t="s">
        <v>3008</v>
      </c>
      <c r="D19" s="111">
        <f t="shared" ref="D19:D26" si="1">ROUND($D$3*E19/$E$3,2)</f>
        <v>68881.78</v>
      </c>
      <c r="E19" s="134">
        <f t="shared" ref="E19:E26" si="2">SUM(F19:G19)</f>
        <v>103322.66</v>
      </c>
      <c r="F19" s="135">
        <f>'数据-基础表'!I13</f>
        <v>103322.66</v>
      </c>
      <c r="G19" s="1371"/>
      <c r="H19" s="977">
        <f>ROUND($D$3*I19/$E$3,2)</f>
        <v>0</v>
      </c>
      <c r="I19" s="116">
        <f>IF($I$17="自定义",P19,M19)</f>
        <v>0</v>
      </c>
      <c r="J19" s="1986"/>
      <c r="K19" s="2634">
        <f t="shared" ref="K19:K26" si="3">ROUND(E$28*E19/E$27,2)</f>
        <v>0</v>
      </c>
      <c r="L19" s="275">
        <f t="shared" ref="L19:L26" si="4">ROUND(IF(COUNTIF(C19,"*住宅*")&gt;0,E$29*E19/E$32,0),2)</f>
        <v>0</v>
      </c>
      <c r="M19" s="2635">
        <f>K19+L19</f>
        <v>0</v>
      </c>
      <c r="N19" s="2636"/>
      <c r="O19" s="2637"/>
      <c r="P19" s="2638">
        <f>N19+O19</f>
        <v>0</v>
      </c>
      <c r="R19" s="275">
        <f t="shared" ref="R19:S26" si="5">D19+H19</f>
        <v>68881.78</v>
      </c>
      <c r="S19" s="2303">
        <f t="shared" si="5"/>
        <v>103322.66</v>
      </c>
    </row>
    <row r="20" spans="1:19">
      <c r="A20" s="138"/>
      <c r="B20" s="115" t="s">
        <v>226</v>
      </c>
      <c r="C20" s="3055" t="s">
        <v>3010</v>
      </c>
      <c r="D20" s="111">
        <f t="shared" si="1"/>
        <v>3625.35</v>
      </c>
      <c r="E20" s="134">
        <f t="shared" si="2"/>
        <v>5438.03</v>
      </c>
      <c r="F20" s="135">
        <f>'数据-基础表'!K13</f>
        <v>5438.03</v>
      </c>
      <c r="G20" s="1371"/>
      <c r="H20" s="977">
        <f t="shared" ref="H20:H26" si="6">ROUND($D$3*I20/$E$3,2)</f>
        <v>0</v>
      </c>
      <c r="I20" s="116">
        <f t="shared" ref="I20:I26" si="7">IF($I$17="自定义",P20,M20)</f>
        <v>0</v>
      </c>
      <c r="J20" s="1986"/>
      <c r="K20" s="2634">
        <f t="shared" si="3"/>
        <v>0</v>
      </c>
      <c r="L20" s="275">
        <f t="shared" si="4"/>
        <v>0</v>
      </c>
      <c r="M20" s="2635">
        <f t="shared" ref="M20:M26" si="8">K20+L20</f>
        <v>0</v>
      </c>
      <c r="N20" s="2636"/>
      <c r="O20" s="2637"/>
      <c r="P20" s="2638">
        <f t="shared" ref="P20:P26" si="9">N20+O20</f>
        <v>0</v>
      </c>
      <c r="R20" s="275">
        <f t="shared" si="5"/>
        <v>3625.35</v>
      </c>
      <c r="S20" s="2303">
        <f t="shared" si="5"/>
        <v>5438.03</v>
      </c>
    </row>
    <row r="21" spans="1:19">
      <c r="A21" s="138"/>
      <c r="B21" s="115" t="s">
        <v>226</v>
      </c>
      <c r="C21" s="3055"/>
      <c r="D21" s="111">
        <f t="shared" si="1"/>
        <v>0</v>
      </c>
      <c r="E21" s="134">
        <f t="shared" si="2"/>
        <v>0</v>
      </c>
      <c r="F21" s="135"/>
      <c r="G21" s="1371"/>
      <c r="H21" s="977">
        <f t="shared" si="6"/>
        <v>0</v>
      </c>
      <c r="I21" s="116">
        <f t="shared" si="7"/>
        <v>0</v>
      </c>
      <c r="J21" s="1986"/>
      <c r="K21" s="2634">
        <f t="shared" si="3"/>
        <v>0</v>
      </c>
      <c r="L21" s="275">
        <f t="shared" si="4"/>
        <v>0</v>
      </c>
      <c r="M21" s="2635">
        <f t="shared" si="8"/>
        <v>0</v>
      </c>
      <c r="N21" s="2636"/>
      <c r="O21" s="2637"/>
      <c r="P21" s="2638">
        <f t="shared" si="9"/>
        <v>0</v>
      </c>
      <c r="R21" s="275">
        <f t="shared" si="5"/>
        <v>0</v>
      </c>
      <c r="S21" s="2303">
        <f t="shared" si="5"/>
        <v>0</v>
      </c>
    </row>
    <row r="22" spans="1:19">
      <c r="A22" s="138"/>
      <c r="B22" s="115" t="s">
        <v>226</v>
      </c>
      <c r="C22" s="1368"/>
      <c r="D22" s="111">
        <f t="shared" si="1"/>
        <v>0</v>
      </c>
      <c r="E22" s="134">
        <f t="shared" si="2"/>
        <v>0</v>
      </c>
      <c r="F22" s="140"/>
      <c r="G22" s="1372"/>
      <c r="H22" s="977">
        <f t="shared" si="6"/>
        <v>0</v>
      </c>
      <c r="I22" s="116">
        <f t="shared" si="7"/>
        <v>0</v>
      </c>
      <c r="J22" s="1986"/>
      <c r="K22" s="2634">
        <f t="shared" si="3"/>
        <v>0</v>
      </c>
      <c r="L22" s="275">
        <f t="shared" si="4"/>
        <v>0</v>
      </c>
      <c r="M22" s="2635">
        <f t="shared" si="8"/>
        <v>0</v>
      </c>
      <c r="N22" s="2636"/>
      <c r="O22" s="2637"/>
      <c r="P22" s="2638">
        <f t="shared" si="9"/>
        <v>0</v>
      </c>
      <c r="R22" s="275">
        <f t="shared" si="5"/>
        <v>0</v>
      </c>
      <c r="S22" s="2303">
        <f t="shared" si="5"/>
        <v>0</v>
      </c>
    </row>
    <row r="23" spans="1:19">
      <c r="A23" s="138"/>
      <c r="B23" s="115" t="s">
        <v>226</v>
      </c>
      <c r="C23" s="139"/>
      <c r="D23" s="111">
        <f>ROUND($D$3*E23/$E$3,2)</f>
        <v>0</v>
      </c>
      <c r="E23" s="134">
        <f>SUM(F23:G23)</f>
        <v>0</v>
      </c>
      <c r="F23" s="140"/>
      <c r="G23" s="1372"/>
      <c r="H23" s="977">
        <f>ROUND($D$3*I23/$E$3,2)</f>
        <v>0</v>
      </c>
      <c r="I23" s="116">
        <f t="shared" si="7"/>
        <v>0</v>
      </c>
      <c r="J23" s="1986"/>
      <c r="K23" s="2634">
        <f t="shared" si="3"/>
        <v>0</v>
      </c>
      <c r="L23" s="275">
        <f t="shared" si="4"/>
        <v>0</v>
      </c>
      <c r="M23" s="2635">
        <f t="shared" si="8"/>
        <v>0</v>
      </c>
      <c r="N23" s="2636"/>
      <c r="O23" s="2637"/>
      <c r="P23" s="2638">
        <f t="shared" si="9"/>
        <v>0</v>
      </c>
      <c r="R23" s="275">
        <f t="shared" si="5"/>
        <v>0</v>
      </c>
      <c r="S23" s="2303">
        <f t="shared" si="5"/>
        <v>0</v>
      </c>
    </row>
    <row r="24" spans="1:19">
      <c r="A24" s="138"/>
      <c r="B24" s="115" t="s">
        <v>226</v>
      </c>
      <c r="C24" s="139"/>
      <c r="D24" s="111">
        <f>ROUND($D$3*E24/$E$3,2)</f>
        <v>0</v>
      </c>
      <c r="E24" s="134">
        <f>SUM(F24:G24)</f>
        <v>0</v>
      </c>
      <c r="F24" s="140"/>
      <c r="G24" s="1372"/>
      <c r="H24" s="977">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c r="A25" s="138"/>
      <c r="B25" s="115" t="s">
        <v>226</v>
      </c>
      <c r="C25" s="139"/>
      <c r="D25" s="111">
        <f t="shared" si="1"/>
        <v>0</v>
      </c>
      <c r="E25" s="134">
        <f t="shared" si="2"/>
        <v>0</v>
      </c>
      <c r="F25" s="140"/>
      <c r="G25" s="1372"/>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c r="A26" s="138"/>
      <c r="B26" s="115" t="s">
        <v>226</v>
      </c>
      <c r="C26" s="142"/>
      <c r="D26" s="111">
        <f t="shared" si="1"/>
        <v>0</v>
      </c>
      <c r="E26" s="134">
        <f t="shared" si="2"/>
        <v>0</v>
      </c>
      <c r="F26" s="140"/>
      <c r="G26" s="1372"/>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215</v>
      </c>
      <c r="D27" s="134">
        <f>SUM(D19:D26)</f>
        <v>72507.13</v>
      </c>
      <c r="E27" s="143">
        <f>IF(SUM(E19:E26)='数据-基础表'!BA5,SUM(E19:E26),IF(F27="地上面积有误","面积有误","地下面积有误"))</f>
        <v>108760.69</v>
      </c>
      <c r="F27" s="134">
        <f>IF(SUM(F19:F26)=E8,SUM(F19:F26),"地上面积有误")</f>
        <v>108760.69</v>
      </c>
      <c r="G27" s="112">
        <f>SUM(G19:G26)</f>
        <v>0</v>
      </c>
      <c r="H27" s="978">
        <f>SUM(H19:H26)</f>
        <v>0</v>
      </c>
      <c r="I27" s="979">
        <f>SUM(I19:I26)</f>
        <v>0</v>
      </c>
      <c r="J27" s="1986"/>
      <c r="K27" s="2643">
        <f>SUM(K19:K26)</f>
        <v>0</v>
      </c>
      <c r="L27" s="2644">
        <f>SUM(L19:L26)</f>
        <v>0</v>
      </c>
      <c r="M27" s="2645">
        <f>SUM(M19:M26)</f>
        <v>0</v>
      </c>
      <c r="N27" s="2643">
        <f t="shared" ref="N27:O27" si="10">SUM(N19:N26)</f>
        <v>0</v>
      </c>
      <c r="O27" s="2644">
        <f t="shared" si="10"/>
        <v>0</v>
      </c>
      <c r="P27" s="2646">
        <f>SUM(P19:P26)</f>
        <v>0</v>
      </c>
      <c r="R27" s="2307">
        <f>IF(SUM(R19:R26)=$D$3,SUM(R19:R26),SUM(R19:R26)&amp;"误差"&amp;ROUND(SUM(R19:R26)-$D$3,2))</f>
        <v>72507.13</v>
      </c>
      <c r="S27" s="275">
        <f>IF(SUM(S19:S26)=$E$3,SUM(S19:S26),SUM(S19:S26)&amp;"误差"&amp;ROUND(SUM(S19:S26)-E3,2))</f>
        <v>108760.69</v>
      </c>
    </row>
    <row r="28" spans="1:19">
      <c r="A28" s="138"/>
      <c r="B28" s="115" t="s">
        <v>227</v>
      </c>
      <c r="C28" s="136" t="s">
        <v>228</v>
      </c>
      <c r="D28" s="111">
        <f>ROUND($D$3*E28/$E$3,2)</f>
        <v>0</v>
      </c>
      <c r="E28" s="134">
        <f>SUM(F28:G28)</f>
        <v>0</v>
      </c>
      <c r="F28" s="144">
        <f>'数据-基础表'!BQ5+'数据-基础表'!BS5</f>
        <v>0</v>
      </c>
      <c r="G28" s="145">
        <f>'数据-基础表'!BR5+'数据-基础表'!BT5</f>
        <v>0</v>
      </c>
      <c r="H28" s="1986"/>
      <c r="I28" s="1986"/>
      <c r="J28" s="1986"/>
      <c r="K28" s="1986"/>
      <c r="L28" s="1986"/>
    </row>
    <row r="29" spans="1:19">
      <c r="A29" s="138"/>
      <c r="B29" s="115" t="s">
        <v>227</v>
      </c>
      <c r="C29" s="2315" t="s">
        <v>2322</v>
      </c>
      <c r="D29" s="111">
        <f>ROUND($D$3*E29/$E$3,2)</f>
        <v>0</v>
      </c>
      <c r="E29" s="134">
        <f>SUM(F29:G29)</f>
        <v>0</v>
      </c>
      <c r="F29" s="144">
        <f>'数据-基础表'!BM5+'数据-基础表'!BO5</f>
        <v>0</v>
      </c>
      <c r="G29" s="146">
        <f>'数据-基础表'!BN5+'数据-基础表'!BP5</f>
        <v>0</v>
      </c>
      <c r="H29" s="1986"/>
      <c r="I29" s="1986"/>
      <c r="J29" s="1986"/>
      <c r="K29" s="1986"/>
      <c r="L29" s="1986"/>
    </row>
    <row r="30" spans="1:19">
      <c r="A30" s="138"/>
      <c r="B30" s="111"/>
      <c r="C30" s="147" t="s">
        <v>215</v>
      </c>
      <c r="D30" s="134">
        <f>SUM(D28:D29)</f>
        <v>0</v>
      </c>
      <c r="E30" s="134">
        <f>SUM(E28:E29)</f>
        <v>0</v>
      </c>
      <c r="F30" s="134">
        <f>SUM(F28:F29)</f>
        <v>0</v>
      </c>
      <c r="G30" s="112">
        <f>SUM(G28:G29)</f>
        <v>0</v>
      </c>
      <c r="H30" s="1986"/>
      <c r="I30" s="1986"/>
      <c r="J30" s="1986"/>
      <c r="K30" s="1986"/>
      <c r="L30" s="1986"/>
    </row>
    <row r="31" spans="1:19" ht="32.25" customHeight="1" thickBot="1">
      <c r="A31" s="1373"/>
      <c r="B31" s="1374" t="s">
        <v>229</v>
      </c>
      <c r="C31" s="2332" t="s">
        <v>2324</v>
      </c>
      <c r="D31" s="1375">
        <f>D27+D30</f>
        <v>72507.13</v>
      </c>
      <c r="E31" s="1375">
        <f>E27+E30</f>
        <v>108760.69</v>
      </c>
      <c r="F31" s="1376">
        <f>F27+F30</f>
        <v>108760.69</v>
      </c>
      <c r="G31" s="1377">
        <f>G27+G30</f>
        <v>0</v>
      </c>
      <c r="H31" s="1986"/>
      <c r="I31" s="1986"/>
      <c r="J31" s="1986"/>
      <c r="K31" s="1986"/>
      <c r="L31" s="1986"/>
    </row>
    <row r="32" spans="1:19">
      <c r="A32" s="1986"/>
      <c r="B32" s="2365" t="s">
        <v>2323</v>
      </c>
      <c r="C32" s="2674"/>
      <c r="D32" s="1204"/>
      <c r="E32" s="1204">
        <f>SUMIF(C19:C26,"*住宅*",E19:E26)</f>
        <v>103322.66</v>
      </c>
      <c r="F32" s="1204"/>
      <c r="G32" s="1204"/>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E27" sqref="AE2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hidden="1" customWidth="1"/>
    <col min="31" max="31" width="6.5" style="1206" customWidth="1"/>
    <col min="32" max="34" width="7.25" style="1206" customWidth="1"/>
    <col min="35" max="39" width="8" style="1206" customWidth="1"/>
    <col min="40" max="41" width="13.75" style="2000"/>
    <col min="42" max="42" width="0" style="2000" hidden="1" customWidth="1"/>
    <col min="43" max="83" width="13.75" style="2000"/>
    <col min="84" max="16384" width="13.75" style="1206"/>
  </cols>
  <sheetData>
    <row r="1" spans="1:83" ht="19.5" thickBot="1">
      <c r="A1" s="148" t="s">
        <v>234</v>
      </c>
      <c r="B1" s="1205"/>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9" customFormat="1" ht="15.75" thickBot="1">
      <c r="A2" s="149" t="s">
        <v>235</v>
      </c>
      <c r="B2" s="2340">
        <f>项目基本情况!D3</f>
        <v>43018</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9" customFormat="1" ht="15" thickBot="1">
      <c r="A3" s="1210"/>
      <c r="B3" s="1207"/>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5" customFormat="1" ht="54">
      <c r="A5" s="2306"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2834</v>
      </c>
      <c r="O5" s="163" t="s">
        <v>246</v>
      </c>
      <c r="P5" s="165" t="s">
        <v>247</v>
      </c>
      <c r="Q5" s="166" t="s">
        <v>248</v>
      </c>
      <c r="R5" s="167" t="s">
        <v>249</v>
      </c>
      <c r="S5" s="2647" t="s">
        <v>2576</v>
      </c>
      <c r="T5" s="168" t="s">
        <v>250</v>
      </c>
      <c r="U5" s="169" t="s">
        <v>251</v>
      </c>
      <c r="V5" s="159" t="s">
        <v>252</v>
      </c>
      <c r="W5" s="159" t="s">
        <v>253</v>
      </c>
      <c r="X5" s="1820"/>
      <c r="Y5" s="170" t="s">
        <v>254</v>
      </c>
      <c r="Z5" s="171" t="s">
        <v>255</v>
      </c>
      <c r="AA5" s="159" t="s">
        <v>252</v>
      </c>
      <c r="AB5" s="159" t="s">
        <v>253</v>
      </c>
      <c r="AC5" s="1821"/>
      <c r="AD5" s="172" t="s">
        <v>254</v>
      </c>
      <c r="AE5" s="1" t="s">
        <v>871</v>
      </c>
      <c r="AF5" s="159" t="s">
        <v>256</v>
      </c>
      <c r="AG5" s="170" t="s">
        <v>257</v>
      </c>
      <c r="AH5" s="1821" t="s">
        <v>2325</v>
      </c>
      <c r="AI5" s="171" t="s">
        <v>2294</v>
      </c>
      <c r="AJ5" s="171" t="s">
        <v>258</v>
      </c>
      <c r="AK5" s="159" t="s">
        <v>259</v>
      </c>
      <c r="AL5" s="159" t="s">
        <v>260</v>
      </c>
      <c r="AM5" s="172" t="s">
        <v>261</v>
      </c>
      <c r="AN5" s="2417" t="s">
        <v>2375</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9" customFormat="1" ht="14.25">
      <c r="A6" s="2304" t="str">
        <f>'数据-汇总表'!C19</f>
        <v>地上住宅</v>
      </c>
      <c r="B6" s="2339" t="str">
        <f>IF(A6=0,"","经营性")</f>
        <v>经营性</v>
      </c>
      <c r="C6" s="173" t="s">
        <v>924</v>
      </c>
      <c r="D6" s="2310">
        <f>SUMIF(项目基本情况!D$15:I$15,C6,项目基本情况!D$18:I$18)</f>
        <v>70</v>
      </c>
      <c r="E6" s="2311">
        <f>IF(B6="","",SUMIF(项目基本情况!D$15:I$15,C6,项目基本情况!D$17:I$17))</f>
        <v>67415</v>
      </c>
      <c r="F6" s="174">
        <f>SUMIF(项目基本情况!D$15:I$15,C6,项目基本情况!D$19:I$19)</f>
        <v>66.84</v>
      </c>
      <c r="G6" s="175">
        <f>IF(ISERROR(ROUND(POWER(1+H6,D6-F6)*(POWER(1+H6,F6)-1)/(POWER(1+H6,D6)-1),3)),0,ROUND(POWER(1+H6,D6-F6)*(POWER(1+H6,F6)-1)/(POWER(1+H6,D6)-1),3))</f>
        <v>0.99099999999999999</v>
      </c>
      <c r="H6" s="3188">
        <v>0.04</v>
      </c>
      <c r="I6" s="3056">
        <v>0.05</v>
      </c>
      <c r="J6" s="176">
        <v>8.5000000000000006E-2</v>
      </c>
      <c r="K6" s="179">
        <f>SUMIF('数据-汇总表'!C$19:C$33,'数据-取费表'!A6,'数据-汇总表'!E$19:E$33)</f>
        <v>103322.66</v>
      </c>
      <c r="L6" s="3057">
        <v>1400</v>
      </c>
      <c r="M6" s="177">
        <f t="shared" ref="M6:M14" si="0">ROUND(K6*L6/10000,0)</f>
        <v>14465</v>
      </c>
      <c r="N6" s="3058">
        <v>0</v>
      </c>
      <c r="O6" s="177">
        <f>IF($N$5="成新度","——",ROUND(M6*N6,0))</f>
        <v>0</v>
      </c>
      <c r="P6" s="178">
        <f>IF($N$5="成新度","——",M6-O6)</f>
        <v>14465</v>
      </c>
      <c r="Q6" s="3059">
        <v>0.15</v>
      </c>
      <c r="R6" s="179">
        <f>SUMIF('数据-汇总表'!C$19:C$33,A6,'数据-汇总表'!R$19:R$33)</f>
        <v>68881.78</v>
      </c>
      <c r="S6" s="132">
        <f>IF('数据-汇总表'!$I$17="按面积比例",SUMIF('数据-汇总表'!C$19:C$33,A6,'数据-汇总表'!K$19:K$33),SUMIF('数据-汇总表'!C$19:C$33,A6,'数据-汇总表'!N$19:N$33))</f>
        <v>0</v>
      </c>
      <c r="T6" s="2236" t="str">
        <f>IF($T$4="按面积比例",IF(ISERROR(ROUND($M$14*S6/S$16,0)),"0",ROUND($M$14*S6/S$16,0)),"需自行计算录入")</f>
        <v>0</v>
      </c>
      <c r="U6" s="180"/>
      <c r="V6" s="181"/>
      <c r="W6" s="181"/>
      <c r="X6" s="2323"/>
      <c r="Y6" s="182"/>
      <c r="Z6" s="183"/>
      <c r="AA6" s="176"/>
      <c r="AB6" s="176"/>
      <c r="AC6" s="2326"/>
      <c r="AD6" s="184"/>
      <c r="AE6" s="975">
        <f ca="1">IF(AN6="",0,SUMIF(INDIRECT("'"&amp;AN6&amp;"'"&amp;"!E:E"),$AE$5,INDIRECT("'"&amp;AN6&amp;"'"&amp;"!F:F")))</f>
        <v>0</v>
      </c>
      <c r="AF6" s="141"/>
      <c r="AG6" s="1216">
        <f>IF(AF6="",0,AE6-AF6)</f>
        <v>0</v>
      </c>
      <c r="AH6" s="141"/>
      <c r="AI6" s="187"/>
      <c r="AJ6" s="188"/>
      <c r="AK6" s="189"/>
      <c r="AL6" s="190"/>
      <c r="AM6" s="3070"/>
      <c r="AN6" s="2418"/>
      <c r="AO6" s="2002"/>
      <c r="AP6" s="1207">
        <f>ROUND(1-1/(1+H6)^F6,3)</f>
        <v>0.92700000000000005</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9" customFormat="1" ht="14.25">
      <c r="A7" s="2304" t="str">
        <f>'数据-汇总表'!C20</f>
        <v>地上商业</v>
      </c>
      <c r="B7" s="2339" t="str">
        <f t="shared" ref="B7:B13" si="1">IF(A7=0,"","经营性")</f>
        <v>经营性</v>
      </c>
      <c r="C7" s="173" t="s">
        <v>2988</v>
      </c>
      <c r="D7" s="2310">
        <f>SUMIF(项目基本情况!D$15:I$15,C7,项目基本情况!D$18:I$18)</f>
        <v>40</v>
      </c>
      <c r="E7" s="2311">
        <f>IF(B7="","",SUMIF(项目基本情况!D$15:I$15,C7,项目基本情况!D$17:I$17))</f>
        <v>56457</v>
      </c>
      <c r="F7" s="174">
        <f>SUMIF(项目基本情况!D$15:I$15,C7,项目基本情况!D$19:I$19)</f>
        <v>36.81</v>
      </c>
      <c r="G7" s="175">
        <f t="shared" ref="G7:G11" si="2">IF(ISERROR(ROUND(POWER(1+H7,D7-F7)*(POWER(1+H7,F7)-1)/(POWER(1+H7,D7)-1),3)),0,ROUND(POWER(1+H7,D7-F7)*(POWER(1+H7,F7)-1)/(POWER(1+H7,D7)-1),3))</f>
        <v>0.96899999999999997</v>
      </c>
      <c r="H7" s="3056">
        <v>4.4999999999999998E-2</v>
      </c>
      <c r="I7" s="3056">
        <v>5.5E-2</v>
      </c>
      <c r="J7" s="176">
        <v>8.5000000000000006E-2</v>
      </c>
      <c r="K7" s="179">
        <f>SUMIF('数据-汇总表'!C$19:C$33,'数据-取费表'!A7,'数据-汇总表'!E$19:E$33)</f>
        <v>5438.03</v>
      </c>
      <c r="L7" s="3057">
        <v>1400</v>
      </c>
      <c r="M7" s="177">
        <f t="shared" si="0"/>
        <v>761</v>
      </c>
      <c r="N7" s="3058">
        <v>0</v>
      </c>
      <c r="O7" s="177">
        <f t="shared" ref="O7:O14" si="3">IF($N$5="成新度","——",ROUND(M7*N7,0))</f>
        <v>0</v>
      </c>
      <c r="P7" s="178">
        <f t="shared" ref="P7:P14" si="4">IF($N$5="成新度","——",M7-O7)</f>
        <v>761</v>
      </c>
      <c r="Q7" s="3059">
        <v>0.2</v>
      </c>
      <c r="R7" s="179">
        <f>SUMIF('数据-汇总表'!C$19:C$33,A7,'数据-汇总表'!R$19:R$33)</f>
        <v>3625.35</v>
      </c>
      <c r="S7" s="132">
        <f>IF('数据-汇总表'!$I$17="按面积比例",SUMIF('数据-汇总表'!C$19:C$33,A7,'数据-汇总表'!K$19:K$33),SUMIF('数据-汇总表'!C$19:C$33,A7,'数据-汇总表'!N$19:N$33))</f>
        <v>0</v>
      </c>
      <c r="T7" s="2236" t="str">
        <f t="shared" ref="T7:T13" si="5">IF($T$4="按面积比例",IF(ISERROR(ROUND($M$14*S7/S$16,0)),"0",ROUND($M$14*S7/S$16,0)),"需自行计算录入")</f>
        <v>0</v>
      </c>
      <c r="U7" s="180">
        <v>2</v>
      </c>
      <c r="V7" s="181">
        <v>2.5000000000000001E-2</v>
      </c>
      <c r="W7" s="181">
        <v>0.15</v>
      </c>
      <c r="X7" s="2323"/>
      <c r="Y7" s="3191">
        <v>1</v>
      </c>
      <c r="Z7" s="183"/>
      <c r="AA7" s="176"/>
      <c r="AB7" s="176"/>
      <c r="AC7" s="2326"/>
      <c r="AD7" s="184"/>
      <c r="AE7" s="975">
        <f t="shared" ref="AE7:AE13" ca="1" si="6">IF(AN7="",0,SUMIF(INDIRECT("'"&amp;AN7&amp;"'"&amp;"!E:E"),$AE$5,INDIRECT("'"&amp;AN7&amp;"'"&amp;"!F:F")))</f>
        <v>34.81</v>
      </c>
      <c r="AF7" s="141"/>
      <c r="AG7" s="1216">
        <f t="shared" ref="AG7:AG13" si="7">IF(AF7="",0,AE7-AF7)</f>
        <v>0</v>
      </c>
      <c r="AH7" s="141"/>
      <c r="AI7" s="187">
        <v>365</v>
      </c>
      <c r="AJ7" s="188"/>
      <c r="AK7" s="189">
        <v>0.02</v>
      </c>
      <c r="AL7" s="190">
        <v>2E-3</v>
      </c>
      <c r="AM7" s="2416">
        <v>0.02</v>
      </c>
      <c r="AN7" s="2418" t="s">
        <v>3017</v>
      </c>
      <c r="AO7" s="2002"/>
      <c r="AP7" s="1207">
        <f t="shared" ref="AP7:AP13" si="8">ROUND(1-1/(1+H7)^F7,3)</f>
        <v>0.80200000000000005</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9" customFormat="1" ht="14.25">
      <c r="A8" s="2304">
        <f>'数据-汇总表'!C21</f>
        <v>0</v>
      </c>
      <c r="B8" s="2339" t="str">
        <f t="shared" si="1"/>
        <v/>
      </c>
      <c r="C8" s="173"/>
      <c r="D8" s="2310">
        <f>SUMIF(项目基本情况!D$15:I$15,C8,项目基本情况!D$18:I$18)</f>
        <v>0</v>
      </c>
      <c r="E8" s="2311" t="str">
        <f>IF(B8="","",SUMIF(项目基本情况!D$15:I$15,C8,项目基本情况!D$17:I$17))</f>
        <v/>
      </c>
      <c r="F8" s="174">
        <f>SUMIF(项目基本情况!D$15:I$15,C8,项目基本情况!D$19:I$19)</f>
        <v>0</v>
      </c>
      <c r="G8" s="175">
        <f t="shared" si="2"/>
        <v>0</v>
      </c>
      <c r="H8" s="3056"/>
      <c r="I8" s="3056"/>
      <c r="J8" s="176"/>
      <c r="K8" s="179">
        <f>SUMIF('数据-汇总表'!C$19:C$33,'数据-取费表'!A8,'数据-汇总表'!E$19:E$33)</f>
        <v>0</v>
      </c>
      <c r="L8" s="3057"/>
      <c r="M8" s="177">
        <f>ROUND(K8*L8/10000,0)</f>
        <v>0</v>
      </c>
      <c r="N8" s="3058"/>
      <c r="O8" s="177">
        <f t="shared" si="3"/>
        <v>0</v>
      </c>
      <c r="P8" s="178">
        <f t="shared" si="4"/>
        <v>0</v>
      </c>
      <c r="Q8" s="3059"/>
      <c r="R8" s="179">
        <f>SUMIF('数据-汇总表'!C$19:C$33,A8,'数据-汇总表'!R$19:R$33)</f>
        <v>0</v>
      </c>
      <c r="S8" s="132">
        <f>IF('数据-汇总表'!$I$17="按面积比例",SUMIF('数据-汇总表'!C$19:C$33,A8,'数据-汇总表'!K$19:K$33),SUMIF('数据-汇总表'!C$19:C$33,A8,'数据-汇总表'!N$19:N$33))</f>
        <v>0</v>
      </c>
      <c r="T8" s="2236" t="str">
        <f t="shared" si="5"/>
        <v>0</v>
      </c>
      <c r="U8" s="180"/>
      <c r="V8" s="181"/>
      <c r="W8" s="181"/>
      <c r="X8" s="2323"/>
      <c r="Y8" s="182"/>
      <c r="Z8" s="183"/>
      <c r="AA8" s="176"/>
      <c r="AB8" s="176"/>
      <c r="AC8" s="2326"/>
      <c r="AD8" s="184"/>
      <c r="AE8" s="975">
        <f t="shared" ca="1" si="6"/>
        <v>0</v>
      </c>
      <c r="AF8" s="141"/>
      <c r="AG8" s="1216">
        <f t="shared" si="7"/>
        <v>0</v>
      </c>
      <c r="AH8" s="141"/>
      <c r="AI8" s="187"/>
      <c r="AJ8" s="188"/>
      <c r="AK8" s="189"/>
      <c r="AL8" s="190"/>
      <c r="AM8" s="2416"/>
      <c r="AN8" s="2418"/>
      <c r="AO8" s="2002"/>
      <c r="AP8" s="1207">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9"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t="str">
        <f t="shared" si="5"/>
        <v>0</v>
      </c>
      <c r="U9" s="180"/>
      <c r="V9" s="181"/>
      <c r="W9" s="181"/>
      <c r="X9" s="2323"/>
      <c r="Y9" s="182"/>
      <c r="Z9" s="183"/>
      <c r="AA9" s="176"/>
      <c r="AB9" s="176"/>
      <c r="AC9" s="2326"/>
      <c r="AD9" s="184"/>
      <c r="AE9" s="975">
        <f t="shared" ca="1" si="6"/>
        <v>0</v>
      </c>
      <c r="AF9" s="141"/>
      <c r="AG9" s="1216">
        <f t="shared" si="7"/>
        <v>0</v>
      </c>
      <c r="AH9" s="141"/>
      <c r="AI9" s="187"/>
      <c r="AJ9" s="188"/>
      <c r="AK9" s="189"/>
      <c r="AL9" s="190"/>
      <c r="AM9" s="2416"/>
      <c r="AN9" s="2418"/>
      <c r="AO9" s="2002"/>
      <c r="AP9" s="1207">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9"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t="str">
        <f t="shared" si="5"/>
        <v>0</v>
      </c>
      <c r="U10" s="180"/>
      <c r="V10" s="181"/>
      <c r="W10" s="181"/>
      <c r="X10" s="2323"/>
      <c r="Y10" s="182"/>
      <c r="Z10" s="183"/>
      <c r="AA10" s="176"/>
      <c r="AB10" s="176"/>
      <c r="AC10" s="2326"/>
      <c r="AD10" s="184"/>
      <c r="AE10" s="975">
        <f t="shared" ca="1" si="6"/>
        <v>0</v>
      </c>
      <c r="AF10" s="141"/>
      <c r="AG10" s="1216">
        <f t="shared" si="7"/>
        <v>0</v>
      </c>
      <c r="AH10" s="141"/>
      <c r="AI10" s="187"/>
      <c r="AJ10" s="188"/>
      <c r="AK10" s="189"/>
      <c r="AL10" s="190"/>
      <c r="AM10" s="2416"/>
      <c r="AN10" s="2418"/>
      <c r="AO10" s="2002"/>
      <c r="AP10" s="1207">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9"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t="str">
        <f t="shared" si="5"/>
        <v>0</v>
      </c>
      <c r="U11" s="185"/>
      <c r="V11" s="176"/>
      <c r="W11" s="176"/>
      <c r="X11" s="2326"/>
      <c r="Y11" s="182"/>
      <c r="Z11" s="195"/>
      <c r="AA11" s="176"/>
      <c r="AB11" s="176"/>
      <c r="AC11" s="2326"/>
      <c r="AD11" s="184"/>
      <c r="AE11" s="975">
        <f t="shared" ca="1" si="6"/>
        <v>0</v>
      </c>
      <c r="AF11" s="141"/>
      <c r="AG11" s="1216">
        <f t="shared" si="7"/>
        <v>0</v>
      </c>
      <c r="AH11" s="141"/>
      <c r="AI11" s="187"/>
      <c r="AJ11" s="188"/>
      <c r="AK11" s="196"/>
      <c r="AL11" s="197"/>
      <c r="AM11" s="1819"/>
      <c r="AN11" s="2418"/>
      <c r="AO11" s="2002"/>
      <c r="AP11" s="1207">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9"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t="str">
        <f t="shared" si="5"/>
        <v>0</v>
      </c>
      <c r="U12" s="185"/>
      <c r="V12" s="176"/>
      <c r="W12" s="176"/>
      <c r="X12" s="2326"/>
      <c r="Y12" s="182"/>
      <c r="Z12" s="195"/>
      <c r="AA12" s="176"/>
      <c r="AB12" s="176"/>
      <c r="AC12" s="2326"/>
      <c r="AD12" s="184"/>
      <c r="AE12" s="975">
        <f t="shared" ca="1" si="6"/>
        <v>0</v>
      </c>
      <c r="AF12" s="141"/>
      <c r="AG12" s="1216">
        <f t="shared" si="7"/>
        <v>0</v>
      </c>
      <c r="AH12" s="141"/>
      <c r="AI12" s="187"/>
      <c r="AJ12" s="188"/>
      <c r="AK12" s="196"/>
      <c r="AL12" s="197"/>
      <c r="AM12" s="1819"/>
      <c r="AN12" s="2418"/>
      <c r="AO12" s="2002"/>
      <c r="AP12" s="1207">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9"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t="str">
        <f t="shared" si="5"/>
        <v>0</v>
      </c>
      <c r="U13" s="180"/>
      <c r="V13" s="181"/>
      <c r="W13" s="181"/>
      <c r="X13" s="2323"/>
      <c r="Y13" s="182"/>
      <c r="Z13" s="183"/>
      <c r="AA13" s="176"/>
      <c r="AB13" s="176"/>
      <c r="AC13" s="2326"/>
      <c r="AD13" s="184"/>
      <c r="AE13" s="975">
        <f t="shared" ca="1" si="6"/>
        <v>0</v>
      </c>
      <c r="AF13" s="141"/>
      <c r="AG13" s="1216">
        <f t="shared" si="7"/>
        <v>0</v>
      </c>
      <c r="AH13" s="141"/>
      <c r="AI13" s="187"/>
      <c r="AJ13" s="188"/>
      <c r="AK13" s="189"/>
      <c r="AL13" s="190"/>
      <c r="AM13" s="2416"/>
      <c r="AN13" s="2418"/>
      <c r="AO13" s="2002"/>
      <c r="AP13" s="1207">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9" customFormat="1" ht="14.25">
      <c r="A14" s="2305" t="s">
        <v>2316</v>
      </c>
      <c r="B14" s="2308" t="s">
        <v>1681</v>
      </c>
      <c r="C14" s="2309" t="s">
        <v>2316</v>
      </c>
      <c r="D14" s="2310"/>
      <c r="E14" s="2311"/>
      <c r="F14" s="174"/>
      <c r="G14" s="175"/>
      <c r="H14" s="2312"/>
      <c r="I14" s="2312"/>
      <c r="J14" s="2312"/>
      <c r="K14" s="179">
        <f>SUMIF('数据-汇总表'!C$19:C$33,'数据-取费表'!A14,'数据-汇总表'!E$19:E$33)</f>
        <v>0</v>
      </c>
      <c r="L14" s="193"/>
      <c r="M14" s="177">
        <f t="shared" si="0"/>
        <v>0</v>
      </c>
      <c r="N14" s="194"/>
      <c r="O14" s="177">
        <f t="shared" si="3"/>
        <v>0</v>
      </c>
      <c r="P14" s="178">
        <f t="shared" si="4"/>
        <v>0</v>
      </c>
      <c r="Q14" s="2320"/>
      <c r="R14" s="179"/>
      <c r="S14" s="132"/>
      <c r="T14" s="2319"/>
      <c r="U14" s="977"/>
      <c r="V14" s="2322"/>
      <c r="W14" s="2322"/>
      <c r="X14" s="2323"/>
      <c r="Y14" s="2324"/>
      <c r="Z14" s="136"/>
      <c r="AA14" s="2325"/>
      <c r="AB14" s="2325"/>
      <c r="AC14" s="2326"/>
      <c r="AD14" s="2323"/>
      <c r="AE14" s="975"/>
      <c r="AF14" s="2298"/>
      <c r="AG14" s="1216"/>
      <c r="AH14" s="2298"/>
      <c r="AI14" s="1575"/>
      <c r="AJ14" s="1575"/>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9" customFormat="1" ht="27">
      <c r="A15" s="2314" t="s">
        <v>2318</v>
      </c>
      <c r="B15" s="2308" t="s">
        <v>1681</v>
      </c>
      <c r="C15" s="2309" t="s">
        <v>2317</v>
      </c>
      <c r="D15" s="2310"/>
      <c r="E15" s="2311"/>
      <c r="F15" s="174"/>
      <c r="G15" s="175"/>
      <c r="H15" s="2312"/>
      <c r="I15" s="2312"/>
      <c r="J15" s="2312"/>
      <c r="K15" s="179">
        <f>SUMIF('数据-汇总表'!C$19:C$33,'数据-取费表'!A15,'数据-汇总表'!E$19:E$33)</f>
        <v>0</v>
      </c>
      <c r="L15" s="2318"/>
      <c r="M15" s="177"/>
      <c r="N15" s="2321"/>
      <c r="O15" s="177"/>
      <c r="P15" s="178"/>
      <c r="Q15" s="2320"/>
      <c r="R15" s="179"/>
      <c r="S15" s="132"/>
      <c r="T15" s="2319"/>
      <c r="U15" s="977"/>
      <c r="V15" s="2322"/>
      <c r="W15" s="2322"/>
      <c r="X15" s="2323"/>
      <c r="Y15" s="2324"/>
      <c r="Z15" s="136"/>
      <c r="AA15" s="2325"/>
      <c r="AB15" s="2325"/>
      <c r="AC15" s="2326"/>
      <c r="AD15" s="2323"/>
      <c r="AE15" s="975"/>
      <c r="AF15" s="2298"/>
      <c r="AG15" s="1216"/>
      <c r="AH15" s="2298"/>
      <c r="AI15" s="1575"/>
      <c r="AJ15" s="1575"/>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9" customFormat="1" ht="15.75" thickBot="1">
      <c r="A16" s="198" t="s">
        <v>262</v>
      </c>
      <c r="B16" s="199"/>
      <c r="C16" s="200"/>
      <c r="D16" s="201"/>
      <c r="E16" s="199"/>
      <c r="F16" s="199"/>
      <c r="G16" s="202">
        <f>ROUND(SUMPRODUCT(G6:G13,K6:K13)/SUMPRODUCT((G6:G13&gt;0)*(K6:K13)),3)</f>
        <v>0.99</v>
      </c>
      <c r="H16" s="203">
        <f>ROUND(SUMPRODUCT(H6:H13,K6:K13)/SUMPRODUCT((H6:H13&gt;0)*(K6:K13)),3)</f>
        <v>0.04</v>
      </c>
      <c r="I16" s="204"/>
      <c r="J16" s="204"/>
      <c r="K16" s="205">
        <f>SUM(K6:K15)</f>
        <v>108760.69</v>
      </c>
      <c r="L16" s="206">
        <f>ROUND(M16*10000/SUM(K6:K14),0)</f>
        <v>1400</v>
      </c>
      <c r="M16" s="206">
        <f>SUM(M6:M14)</f>
        <v>15226</v>
      </c>
      <c r="N16" s="207">
        <f>ROUND(SUMPRODUCT(M6:M14,N6:N14)/M16,3)</f>
        <v>0</v>
      </c>
      <c r="O16" s="206">
        <f>SUM(O6:O14)</f>
        <v>0</v>
      </c>
      <c r="P16" s="206">
        <f>SUM(P6:P14)</f>
        <v>15226</v>
      </c>
      <c r="Q16" s="208">
        <f>ROUND(SUMPRODUCT(Q6:Q13,K6:K13)/SUMPRODUCT((Q6:Q13&gt;0)*(K6:K13)),2)</f>
        <v>0.15</v>
      </c>
      <c r="R16" s="2313">
        <f>SUM(R6:R13)</f>
        <v>72507.13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7">
        <f>ROUND(SUMPRODUCT(AP6:AP13,K6:K13)/SUMPRODUCT((AP6:AP13&gt;0)*(K6:K13)),3)</f>
        <v>0.92100000000000004</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7"/>
      <c r="B17" s="1205"/>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7"/>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66" t="s">
        <v>2337</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2</v>
      </c>
      <c r="C20" s="2366" t="s">
        <v>2336</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10"/>
      <c r="B25" s="1207"/>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8" customFormat="1" ht="27.75">
      <c r="A27" s="226" t="s">
        <v>2339</v>
      </c>
      <c r="B27" s="227">
        <v>134</v>
      </c>
      <c r="C27" s="2369" t="s">
        <v>2343</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8" customFormat="1" ht="27.75">
      <c r="A28" s="228" t="s">
        <v>2340</v>
      </c>
      <c r="B28" s="229">
        <v>99</v>
      </c>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8" customFormat="1" ht="28.5" thickBot="1">
      <c r="A29" s="231" t="s">
        <v>2338</v>
      </c>
      <c r="B29" s="232"/>
      <c r="C29" s="1556" t="s">
        <v>2341</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8" customFormat="1" ht="27">
      <c r="A30" s="235" t="s">
        <v>273</v>
      </c>
      <c r="B30" s="981">
        <v>200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8" customFormat="1" ht="27">
      <c r="A31" s="228" t="s">
        <v>274</v>
      </c>
      <c r="B31" s="230">
        <f>B30-B32</f>
        <v>200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8" customFormat="1" ht="27.75" thickBot="1">
      <c r="A32" s="237" t="s">
        <v>275</v>
      </c>
      <c r="B32" s="1381">
        <v>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8" customFormat="1" ht="14.25">
      <c r="A33" s="226" t="s">
        <v>278</v>
      </c>
      <c r="B33" s="1382">
        <v>0.05</v>
      </c>
      <c r="C33" s="2367" t="s">
        <v>2896</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0.05</v>
      </c>
      <c r="C34" s="2367" t="s">
        <v>2897</v>
      </c>
      <c r="D34" s="1995" t="s">
        <v>872</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200</v>
      </c>
      <c r="C35" s="2367" t="s">
        <v>2898</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67" t="s">
        <v>2899</v>
      </c>
      <c r="D36" s="1992"/>
      <c r="E36" s="1205"/>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0.02</v>
      </c>
      <c r="C37" s="2367" t="s">
        <v>2900</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0.02</v>
      </c>
      <c r="C38" s="2367" t="s">
        <v>2900</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2459</v>
      </c>
      <c r="B39" s="803">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2460</v>
      </c>
      <c r="B40" s="2507">
        <f ca="1">存贷款利率!E2</f>
        <v>4.7500000000000001E-2</v>
      </c>
      <c r="C40" s="2367" t="s">
        <v>2342</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6.2719999999999998E-2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2" t="s">
        <v>283</v>
      </c>
      <c r="B42" s="240">
        <v>5.6000000000000001E-2</v>
      </c>
      <c r="C42" s="3131">
        <f>IF(B2&lt;DATE(2016,5,1),0,B42)</f>
        <v>5.6000000000000001E-2</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2" t="s">
        <v>284</v>
      </c>
      <c r="B43" s="241">
        <f>B42*(B44+B45+B46)+B47</f>
        <v>6.7200000000000003E-3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7.0000000000000007E-2</v>
      </c>
      <c r="C44" s="2367" t="s">
        <v>2901</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69" t="s">
        <v>2902</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69" t="s">
        <v>2903</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c r="C47" s="3105" t="s">
        <v>2904</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0.04</v>
      </c>
      <c r="C48" s="3106" t="s">
        <v>2905</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6" t="s">
        <v>2906</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10.5</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1411</v>
      </c>
      <c r="C53" s="3107" t="s">
        <v>2907</v>
      </c>
      <c r="D53" s="3108" t="s">
        <v>2908</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0" t="s">
        <v>2909</v>
      </c>
      <c r="B54" s="186"/>
      <c r="C54" s="1996">
        <v>30</v>
      </c>
      <c r="D54" s="3109"/>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0" t="s">
        <v>2910</v>
      </c>
      <c r="B55" s="186"/>
      <c r="C55" s="1996">
        <v>24</v>
      </c>
      <c r="D55" s="3109"/>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0" t="s">
        <v>2911</v>
      </c>
      <c r="B56" s="186"/>
      <c r="C56" s="1996">
        <v>18</v>
      </c>
      <c r="D56" s="3109"/>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0" t="s">
        <v>2912</v>
      </c>
      <c r="B57" s="186"/>
      <c r="C57" s="1996">
        <v>12</v>
      </c>
      <c r="D57" s="3109"/>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0" t="s">
        <v>2913</v>
      </c>
      <c r="B58" s="186"/>
      <c r="C58" s="1996">
        <v>3</v>
      </c>
      <c r="D58" s="3109"/>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0" t="s">
        <v>2914</v>
      </c>
      <c r="B59" s="186">
        <v>10.5</v>
      </c>
      <c r="C59" s="1996">
        <v>1.5</v>
      </c>
      <c r="D59" s="3109"/>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0" t="s">
        <v>2915</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0" t="s">
        <v>2916</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0" t="s">
        <v>2917</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1" t="s">
        <v>2918</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78" t="s">
        <v>1665</v>
      </c>
      <c r="B1" s="3279"/>
      <c r="C1" s="3279"/>
      <c r="D1" s="3279"/>
      <c r="E1" s="3279"/>
      <c r="F1" s="3279"/>
      <c r="G1" s="3279"/>
      <c r="H1" s="2004"/>
      <c r="I1" s="2005"/>
      <c r="J1" s="2006"/>
      <c r="K1" s="2004"/>
      <c r="L1" s="2005"/>
      <c r="M1" s="2006"/>
      <c r="N1" s="2004"/>
      <c r="O1" s="2005"/>
      <c r="P1" s="2006"/>
      <c r="Q1" s="2007"/>
      <c r="R1" s="2008"/>
    </row>
    <row r="2" spans="1:18" ht="14.25" thickBot="1">
      <c r="A2" s="1224"/>
      <c r="B2" s="1225"/>
      <c r="C2" s="1226" t="s">
        <v>1666</v>
      </c>
      <c r="D2" s="1227"/>
      <c r="E2" s="1228"/>
      <c r="F2" s="1229"/>
      <c r="G2" s="1226" t="s">
        <v>1667</v>
      </c>
      <c r="H2" s="2010"/>
      <c r="I2" s="2010"/>
      <c r="J2" s="2010"/>
      <c r="K2" s="2010"/>
      <c r="L2" s="2010"/>
      <c r="M2" s="2010"/>
      <c r="N2" s="2010"/>
      <c r="O2" s="2010"/>
      <c r="P2" s="2010"/>
      <c r="Q2" s="2010"/>
      <c r="R2" s="2010"/>
    </row>
    <row r="3" spans="1:18" ht="54">
      <c r="A3" s="1230" t="s">
        <v>1668</v>
      </c>
      <c r="B3" s="1231" t="s">
        <v>1655</v>
      </c>
      <c r="C3" s="3112" t="s">
        <v>2925</v>
      </c>
      <c r="D3" s="2011"/>
      <c r="E3" s="1232" t="s">
        <v>1668</v>
      </c>
      <c r="F3" s="1233" t="s">
        <v>1656</v>
      </c>
      <c r="G3" s="3116" t="s">
        <v>2924</v>
      </c>
      <c r="H3" s="2010"/>
      <c r="I3" s="2010"/>
      <c r="J3" s="2010"/>
      <c r="K3" s="2010"/>
      <c r="L3" s="2010"/>
      <c r="M3" s="2010"/>
      <c r="N3" s="2010"/>
      <c r="O3" s="2010"/>
      <c r="P3" s="2010"/>
      <c r="Q3" s="2010"/>
      <c r="R3" s="2010"/>
    </row>
    <row r="4" spans="1:18" ht="41.25">
      <c r="A4" s="1232"/>
      <c r="B4" s="1234" t="s">
        <v>1669</v>
      </c>
      <c r="C4" s="3113" t="s">
        <v>2926</v>
      </c>
      <c r="D4" s="2011"/>
      <c r="E4" s="1235"/>
      <c r="F4" s="1236" t="s">
        <v>1670</v>
      </c>
      <c r="G4" s="3114" t="s">
        <v>2921</v>
      </c>
      <c r="H4" s="2010"/>
      <c r="I4" s="2010"/>
      <c r="J4" s="2010"/>
      <c r="K4" s="2010"/>
      <c r="L4" s="2010"/>
      <c r="M4" s="2010"/>
      <c r="N4" s="2010"/>
      <c r="O4" s="2010"/>
      <c r="P4" s="2010"/>
      <c r="Q4" s="2010"/>
      <c r="R4" s="2010"/>
    </row>
    <row r="5" spans="1:18" ht="41.25">
      <c r="A5" s="1232"/>
      <c r="B5" s="1234" t="s">
        <v>1671</v>
      </c>
      <c r="C5" s="3113" t="s">
        <v>2927</v>
      </c>
      <c r="D5" s="2011"/>
      <c r="E5" s="1235"/>
      <c r="F5" s="1234" t="s">
        <v>2550</v>
      </c>
      <c r="G5" s="3114" t="s">
        <v>2922</v>
      </c>
      <c r="H5" s="2010"/>
      <c r="I5" s="2010"/>
      <c r="J5" s="2010"/>
      <c r="K5" s="2010"/>
      <c r="L5" s="2010"/>
      <c r="M5" s="2010"/>
      <c r="N5" s="2010"/>
      <c r="O5" s="2010"/>
      <c r="P5" s="2010"/>
      <c r="Q5" s="2010"/>
      <c r="R5" s="2010"/>
    </row>
    <row r="6" spans="1:18" ht="54">
      <c r="A6" s="1232"/>
      <c r="B6" s="1234" t="s">
        <v>1657</v>
      </c>
      <c r="C6" s="3114" t="s">
        <v>2921</v>
      </c>
      <c r="D6" s="2011"/>
      <c r="E6" s="1235"/>
      <c r="F6" s="1234" t="s">
        <v>2551</v>
      </c>
      <c r="G6" s="3114" t="s">
        <v>2919</v>
      </c>
      <c r="H6" s="2010"/>
      <c r="I6" s="2010"/>
      <c r="J6" s="2010"/>
      <c r="K6" s="2010"/>
      <c r="L6" s="2010"/>
      <c r="M6" s="2010"/>
      <c r="N6" s="2010"/>
      <c r="O6" s="2010"/>
      <c r="P6" s="2010"/>
      <c r="Q6" s="2010"/>
      <c r="R6" s="2010"/>
    </row>
    <row r="7" spans="1:18" ht="41.25" thickBot="1">
      <c r="A7" s="1232"/>
      <c r="B7" s="1234" t="s">
        <v>2550</v>
      </c>
      <c r="C7" s="3114" t="s">
        <v>2922</v>
      </c>
      <c r="D7" s="2012"/>
      <c r="E7" s="1237"/>
      <c r="F7" s="1238" t="s">
        <v>1672</v>
      </c>
      <c r="G7" s="3117" t="s">
        <v>2923</v>
      </c>
      <c r="H7" s="2010"/>
      <c r="I7" s="2010"/>
      <c r="J7" s="2010"/>
      <c r="K7" s="2010"/>
      <c r="L7" s="2010"/>
      <c r="M7" s="2010"/>
      <c r="N7" s="2010"/>
      <c r="O7" s="2010"/>
      <c r="P7" s="2010"/>
      <c r="Q7" s="2010"/>
      <c r="R7" s="2010"/>
    </row>
    <row r="8" spans="1:18" ht="27">
      <c r="A8" s="1232"/>
      <c r="B8" s="1234" t="s">
        <v>2551</v>
      </c>
      <c r="C8" s="3114" t="s">
        <v>2919</v>
      </c>
      <c r="D8" s="2012"/>
      <c r="E8" s="2012"/>
      <c r="F8" s="1557"/>
      <c r="G8" s="1557"/>
      <c r="H8" s="2010"/>
      <c r="I8" s="2010"/>
      <c r="J8" s="2010"/>
      <c r="K8" s="2010"/>
      <c r="L8" s="2010"/>
      <c r="M8" s="2010"/>
      <c r="N8" s="2010"/>
      <c r="O8" s="2010"/>
      <c r="P8" s="2010"/>
      <c r="Q8" s="2010"/>
      <c r="R8" s="2010"/>
    </row>
    <row r="9" spans="1:18" ht="40.5">
      <c r="A9" s="1232"/>
      <c r="B9" s="1234" t="s">
        <v>1658</v>
      </c>
      <c r="C9" s="3113" t="s">
        <v>2920</v>
      </c>
      <c r="D9" s="2011"/>
      <c r="E9" s="2012"/>
      <c r="F9" s="1557"/>
      <c r="G9" s="1557"/>
      <c r="H9" s="2010"/>
      <c r="I9" s="2010"/>
      <c r="J9" s="2010"/>
      <c r="K9" s="2010"/>
      <c r="L9" s="2010"/>
      <c r="M9" s="2010"/>
      <c r="N9" s="2010"/>
      <c r="O9" s="2010"/>
      <c r="P9" s="2010"/>
      <c r="Q9" s="2010"/>
      <c r="R9" s="2010"/>
    </row>
    <row r="10" spans="1:18" s="2018" customFormat="1" ht="15" thickBot="1">
      <c r="A10" s="1239"/>
      <c r="B10" s="1240" t="s">
        <v>1673</v>
      </c>
      <c r="C10" s="3115"/>
      <c r="D10" s="2011"/>
      <c r="E10" s="2011"/>
      <c r="F10" s="1557"/>
      <c r="G10" s="1557"/>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1674</v>
      </c>
      <c r="B13" s="2604"/>
      <c r="C13" s="2604"/>
      <c r="D13" s="1227"/>
      <c r="E13" s="2604"/>
      <c r="F13" s="2604"/>
      <c r="G13" s="2604"/>
    </row>
    <row r="14" spans="1:18" ht="14.25" thickBot="1">
      <c r="A14" s="1241"/>
      <c r="B14" s="1242"/>
      <c r="C14" s="1243" t="s">
        <v>1666</v>
      </c>
      <c r="D14" s="2011"/>
      <c r="E14" s="1244"/>
      <c r="F14" s="1244"/>
      <c r="G14" s="1226" t="s">
        <v>1667</v>
      </c>
    </row>
    <row r="15" spans="1:18" ht="54">
      <c r="A15" s="2614" t="s">
        <v>1659</v>
      </c>
      <c r="B15" s="1245" t="s">
        <v>1655</v>
      </c>
      <c r="C15" s="1246" t="str">
        <f>C3</f>
        <v>估价对象周边居住用地比例、居住小区规模和社区发展完善程度，综合评价居住社区成熟度一般</v>
      </c>
      <c r="D15" s="2011"/>
      <c r="E15" s="2611" t="s">
        <v>1660</v>
      </c>
      <c r="F15" s="1245" t="s">
        <v>1675</v>
      </c>
      <c r="G15" s="1247" t="str">
        <f>G3</f>
        <v>估价对象位于XX开发区，园区建设成熟度XX，产业集聚程度XX</v>
      </c>
    </row>
    <row r="16" spans="1:18" ht="40.5">
      <c r="A16" s="2615"/>
      <c r="B16" s="1248" t="s">
        <v>1669</v>
      </c>
      <c r="C16" s="1249" t="str">
        <f>C4</f>
        <v>估价对象位于XX商圈，周边商业氛围成熟，人流量大，商业繁华度好</v>
      </c>
      <c r="D16" s="2011"/>
      <c r="E16" s="2612"/>
      <c r="F16" s="1250" t="s">
        <v>1670</v>
      </c>
      <c r="G16" s="1008" t="str">
        <f>G4</f>
        <v>估价对象周边道路状况、公共交通通达情况、停车便捷程度，综合评价交通便捷度较好</v>
      </c>
    </row>
    <row r="17" spans="1:7" ht="40.5">
      <c r="A17" s="2615"/>
      <c r="B17" s="1248" t="s">
        <v>1671</v>
      </c>
      <c r="C17" s="1249" t="str">
        <f>C5</f>
        <v>估价对象位于XX商圈，周边办公楼项目较多，入驻率高，办公集聚程度较好</v>
      </c>
      <c r="D17" s="2012"/>
      <c r="E17" s="2612"/>
      <c r="F17" s="1250" t="s">
        <v>1676</v>
      </c>
      <c r="G17" s="2824"/>
    </row>
    <row r="18" spans="1:7" ht="54">
      <c r="A18" s="2615"/>
      <c r="B18" s="1250" t="s">
        <v>1657</v>
      </c>
      <c r="C18" s="1008" t="str">
        <f>C6</f>
        <v>估价对象周边道路状况、公共交通通达情况、停车便捷程度，综合评价交通便捷度较好</v>
      </c>
      <c r="D18" s="2012"/>
      <c r="E18" s="2612"/>
      <c r="F18" s="1250" t="s">
        <v>1672</v>
      </c>
      <c r="G18" s="1008" t="str">
        <f>G7</f>
        <v>该园区内是否有污染型企业，绿化情况，卫生条件，整体环境状况判断</v>
      </c>
    </row>
    <row r="19" spans="1:7" ht="27">
      <c r="A19" s="2615"/>
      <c r="B19" s="1250" t="s">
        <v>1661</v>
      </c>
      <c r="C19" s="2824"/>
      <c r="D19" s="2011"/>
      <c r="E19" s="2612"/>
      <c r="F19" s="1234" t="s">
        <v>2550</v>
      </c>
      <c r="G19" s="1008" t="str">
        <f>G5</f>
        <v>估价对象所在区域公共配套设施齐备情况</v>
      </c>
    </row>
    <row r="20" spans="1:7" ht="40.5">
      <c r="A20" s="2615"/>
      <c r="B20" s="1250" t="s">
        <v>1662</v>
      </c>
      <c r="C20" s="1249" t="str">
        <f>C9</f>
        <v>区域自然环境：；人文环境；综合评价环境状况一般</v>
      </c>
      <c r="D20" s="2012"/>
      <c r="E20" s="2612"/>
      <c r="F20" s="1234" t="s">
        <v>2551</v>
      </c>
      <c r="G20" s="1008" t="str">
        <f>G6</f>
        <v>估价对象所在区域基础设施水平</v>
      </c>
    </row>
    <row r="21" spans="1:7" ht="27">
      <c r="A21" s="2615"/>
      <c r="B21" s="1234" t="s">
        <v>2550</v>
      </c>
      <c r="C21" s="1008" t="str">
        <f>C7</f>
        <v>估价对象所在区域公共配套设施齐备情况</v>
      </c>
      <c r="D21" s="2011"/>
      <c r="E21" s="2612"/>
      <c r="F21" s="1250" t="s">
        <v>1663</v>
      </c>
      <c r="G21" s="3118"/>
    </row>
    <row r="22" spans="1:7" ht="27">
      <c r="A22" s="2615"/>
      <c r="B22" s="1234" t="s">
        <v>2551</v>
      </c>
      <c r="C22" s="1008" t="str">
        <f>C8</f>
        <v>估价对象所在区域基础设施水平</v>
      </c>
      <c r="D22" s="2011"/>
      <c r="E22" s="2612"/>
      <c r="F22" s="1250" t="s">
        <v>1673</v>
      </c>
      <c r="G22" s="2824"/>
    </row>
    <row r="23" spans="1:7" ht="15" thickBot="1">
      <c r="A23" s="2615"/>
      <c r="B23" s="1250" t="s">
        <v>1663</v>
      </c>
      <c r="C23" s="3118"/>
      <c r="E23" s="2613"/>
      <c r="F23" s="1251" t="s">
        <v>1677</v>
      </c>
      <c r="G23" s="3119"/>
    </row>
    <row r="24" spans="1:7" ht="14.25" thickBot="1">
      <c r="A24" s="2616"/>
      <c r="B24" s="1251" t="s">
        <v>1664</v>
      </c>
      <c r="C24" s="1252">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6" t="s">
        <v>2850</v>
      </c>
      <c r="B1" s="3076">
        <f>SUM(B14:B23)</f>
        <v>108760.69</v>
      </c>
      <c r="C1" s="3077"/>
      <c r="D1" s="3077"/>
      <c r="E1" s="3077"/>
      <c r="F1" s="3077"/>
    </row>
    <row r="2" spans="1:9" ht="16.5">
      <c r="A2" s="3076" t="s">
        <v>2851</v>
      </c>
      <c r="B2" s="3076">
        <f>SUM(C14:C23)</f>
        <v>72507.13</v>
      </c>
      <c r="C2" s="3077"/>
      <c r="D2" s="3077"/>
      <c r="E2" s="3077"/>
      <c r="F2" s="3077"/>
    </row>
    <row r="3" spans="1:9" ht="16.5">
      <c r="A3" s="3076" t="s">
        <v>2852</v>
      </c>
      <c r="B3" s="3078">
        <f>项目基本情况!D3</f>
        <v>43018</v>
      </c>
      <c r="C3" s="3077"/>
      <c r="D3" s="3077"/>
      <c r="E3" s="3077"/>
      <c r="F3" s="3077"/>
    </row>
    <row r="4" spans="1:9" ht="33">
      <c r="A4" s="3076" t="s">
        <v>2853</v>
      </c>
      <c r="B4" s="3076" t="s">
        <v>2854</v>
      </c>
      <c r="C4" s="3076" t="s">
        <v>2855</v>
      </c>
      <c r="D4" s="3076" t="s">
        <v>2856</v>
      </c>
      <c r="E4" s="3077"/>
      <c r="F4" s="3077"/>
    </row>
    <row r="5" spans="1:9" ht="16.5">
      <c r="A5" s="3076" t="s">
        <v>2857</v>
      </c>
      <c r="B5" s="3076">
        <f ca="1">SUM(D14:D23)</f>
        <v>28456</v>
      </c>
      <c r="C5" s="3076">
        <f ca="1">ROUND(B5*10000/$B$1,0)</f>
        <v>2616</v>
      </c>
      <c r="D5" s="3076">
        <f ca="1">ROUND(B5*10000/$B$2,0)</f>
        <v>3925</v>
      </c>
      <c r="E5" s="3077"/>
      <c r="F5" s="3077"/>
    </row>
    <row r="6" spans="1:9" ht="16.5">
      <c r="A6" s="3076" t="s">
        <v>2858</v>
      </c>
      <c r="B6" s="3076">
        <f ca="1">SUM(G14:G23)</f>
        <v>28456</v>
      </c>
      <c r="C6" s="3076">
        <f t="shared" ref="C6:C8" ca="1" si="0">ROUND(B6*10000/$B$1,0)</f>
        <v>2616</v>
      </c>
      <c r="D6" s="3076">
        <f t="shared" ref="D6:D8" ca="1" si="1">ROUND(B6*10000/$B$2,0)</f>
        <v>3925</v>
      </c>
      <c r="E6" s="3077"/>
      <c r="F6" s="3077"/>
    </row>
    <row r="7" spans="1:9" ht="16.5">
      <c r="A7" s="3076" t="s">
        <v>2859</v>
      </c>
      <c r="B7" s="3076">
        <f>SUM(H14:H23)</f>
        <v>0</v>
      </c>
      <c r="C7" s="3076">
        <f t="shared" si="0"/>
        <v>0</v>
      </c>
      <c r="D7" s="3076">
        <f t="shared" si="1"/>
        <v>0</v>
      </c>
      <c r="E7" s="3077"/>
      <c r="F7" s="3077"/>
    </row>
    <row r="8" spans="1:9" ht="16.5">
      <c r="A8" s="3076" t="s">
        <v>2860</v>
      </c>
      <c r="B8" s="3076">
        <f>SUM(I14:I23)</f>
        <v>0</v>
      </c>
      <c r="C8" s="3076">
        <f t="shared" si="0"/>
        <v>0</v>
      </c>
      <c r="D8" s="3076">
        <f t="shared" si="1"/>
        <v>0</v>
      </c>
      <c r="E8" s="3077"/>
      <c r="F8" s="3077"/>
    </row>
    <row r="9" spans="1:9" ht="16.5">
      <c r="A9" s="3076" t="s">
        <v>2861</v>
      </c>
      <c r="B9" s="3079"/>
      <c r="C9" s="3077"/>
      <c r="D9" s="3077"/>
      <c r="E9" s="3077"/>
      <c r="F9" s="3077"/>
    </row>
    <row r="10" spans="1:9" ht="16.5">
      <c r="A10" s="3076" t="s">
        <v>2862</v>
      </c>
      <c r="B10" s="3079"/>
      <c r="C10" s="3077"/>
      <c r="D10" s="3077"/>
      <c r="E10" s="3077"/>
      <c r="F10" s="3077"/>
    </row>
    <row r="11" spans="1:9" ht="16.5">
      <c r="A11" s="3076" t="s">
        <v>2879</v>
      </c>
      <c r="B11" s="3079"/>
      <c r="C11" s="3077"/>
      <c r="D11" s="3077"/>
      <c r="E11" s="3077"/>
      <c r="F11" s="3077"/>
    </row>
    <row r="12" spans="1:9" ht="16.5">
      <c r="A12" s="3077"/>
      <c r="B12" s="3077"/>
      <c r="C12" s="3077"/>
      <c r="D12" s="3077"/>
      <c r="E12" s="3077"/>
      <c r="F12" s="3077"/>
    </row>
    <row r="13" spans="1:9" ht="33">
      <c r="A13" s="3082" t="s">
        <v>2878</v>
      </c>
      <c r="B13" s="3080" t="s">
        <v>2850</v>
      </c>
      <c r="C13" s="3080" t="s">
        <v>2851</v>
      </c>
      <c r="D13" s="3080" t="s">
        <v>2863</v>
      </c>
      <c r="E13" s="3076" t="s">
        <v>2877</v>
      </c>
      <c r="F13" s="3076" t="s">
        <v>2856</v>
      </c>
      <c r="G13" s="3080" t="s">
        <v>2864</v>
      </c>
      <c r="H13" s="3080" t="s">
        <v>2865</v>
      </c>
      <c r="I13" s="3080" t="s">
        <v>2866</v>
      </c>
    </row>
    <row r="14" spans="1:9" ht="16.5">
      <c r="A14" s="3083" t="s">
        <v>2876</v>
      </c>
      <c r="B14" s="3080">
        <f>'数据-汇总表'!E3</f>
        <v>108760.69</v>
      </c>
      <c r="C14" s="3080">
        <f>'数据-汇总表'!D3</f>
        <v>72507.13</v>
      </c>
      <c r="D14" s="3080">
        <f ca="1">结果表!C42</f>
        <v>28456</v>
      </c>
      <c r="E14" s="3080">
        <f ca="1">ROUND(D14*10000/B14,0)</f>
        <v>2616</v>
      </c>
      <c r="F14" s="3080">
        <f ca="1">ROUND(D14*10000/C14,0)</f>
        <v>3925</v>
      </c>
      <c r="G14" s="3080">
        <f ca="1">结果表!C44</f>
        <v>28456</v>
      </c>
      <c r="H14" s="3080" t="str">
        <f>结果表!C45</f>
        <v>——</v>
      </c>
      <c r="I14" s="3080" t="str">
        <f>结果表!C46</f>
        <v>——</v>
      </c>
    </row>
    <row r="15" spans="1:9" ht="16.5">
      <c r="A15" s="3083" t="s">
        <v>2867</v>
      </c>
      <c r="B15" s="3084"/>
      <c r="C15" s="3084"/>
      <c r="D15" s="3084"/>
      <c r="E15" s="3080" t="e">
        <f t="shared" ref="E15:E23" si="2">ROUND(D15*10000/B15,0)</f>
        <v>#DIV/0!</v>
      </c>
      <c r="F15" s="3080" t="e">
        <f t="shared" ref="F15:F23" si="3">ROUND(D15*10000/C15,0)</f>
        <v>#DIV/0!</v>
      </c>
      <c r="G15" s="3081"/>
      <c r="H15" s="3081"/>
      <c r="I15" s="3084"/>
    </row>
    <row r="16" spans="1:9" ht="16.5">
      <c r="A16" s="3083" t="s">
        <v>2868</v>
      </c>
      <c r="B16" s="3084"/>
      <c r="C16" s="3084"/>
      <c r="D16" s="3084"/>
      <c r="E16" s="3080" t="e">
        <f t="shared" si="2"/>
        <v>#DIV/0!</v>
      </c>
      <c r="F16" s="3080" t="e">
        <f t="shared" si="3"/>
        <v>#DIV/0!</v>
      </c>
      <c r="G16" s="3081"/>
      <c r="H16" s="3081"/>
      <c r="I16" s="3084"/>
    </row>
    <row r="17" spans="1:9" ht="16.5">
      <c r="A17" s="3083" t="s">
        <v>2869</v>
      </c>
      <c r="B17" s="3084"/>
      <c r="C17" s="3084"/>
      <c r="D17" s="3084"/>
      <c r="E17" s="3080" t="e">
        <f t="shared" si="2"/>
        <v>#DIV/0!</v>
      </c>
      <c r="F17" s="3080" t="e">
        <f t="shared" si="3"/>
        <v>#DIV/0!</v>
      </c>
      <c r="G17" s="3081"/>
      <c r="H17" s="3081"/>
      <c r="I17" s="3084"/>
    </row>
    <row r="18" spans="1:9" ht="16.5">
      <c r="A18" s="3083" t="s">
        <v>2870</v>
      </c>
      <c r="B18" s="3084"/>
      <c r="C18" s="3084"/>
      <c r="D18" s="3084"/>
      <c r="E18" s="3080" t="e">
        <f t="shared" si="2"/>
        <v>#DIV/0!</v>
      </c>
      <c r="F18" s="3080" t="e">
        <f t="shared" si="3"/>
        <v>#DIV/0!</v>
      </c>
      <c r="G18" s="3084"/>
      <c r="H18" s="3084"/>
      <c r="I18" s="3084"/>
    </row>
    <row r="19" spans="1:9" ht="16.5">
      <c r="A19" s="3083" t="s">
        <v>2871</v>
      </c>
      <c r="B19" s="3084"/>
      <c r="C19" s="3084"/>
      <c r="D19" s="3084"/>
      <c r="E19" s="3080" t="e">
        <f t="shared" si="2"/>
        <v>#DIV/0!</v>
      </c>
      <c r="F19" s="3080" t="e">
        <f t="shared" si="3"/>
        <v>#DIV/0!</v>
      </c>
      <c r="G19" s="3084"/>
      <c r="H19" s="3084"/>
      <c r="I19" s="3084"/>
    </row>
    <row r="20" spans="1:9" ht="16.5">
      <c r="A20" s="3083" t="s">
        <v>2872</v>
      </c>
      <c r="B20" s="3084"/>
      <c r="C20" s="3084"/>
      <c r="D20" s="3084"/>
      <c r="E20" s="3080" t="e">
        <f t="shared" si="2"/>
        <v>#DIV/0!</v>
      </c>
      <c r="F20" s="3080" t="e">
        <f t="shared" si="3"/>
        <v>#DIV/0!</v>
      </c>
      <c r="G20" s="3084"/>
      <c r="H20" s="3084"/>
      <c r="I20" s="3084"/>
    </row>
    <row r="21" spans="1:9" ht="16.5">
      <c r="A21" s="3083" t="s">
        <v>2873</v>
      </c>
      <c r="B21" s="3084"/>
      <c r="C21" s="3084"/>
      <c r="D21" s="3084"/>
      <c r="E21" s="3080" t="e">
        <f t="shared" si="2"/>
        <v>#DIV/0!</v>
      </c>
      <c r="F21" s="3080" t="e">
        <f t="shared" si="3"/>
        <v>#DIV/0!</v>
      </c>
      <c r="G21" s="3084"/>
      <c r="H21" s="3084"/>
      <c r="I21" s="3084"/>
    </row>
    <row r="22" spans="1:9" ht="16.5">
      <c r="A22" s="3083" t="s">
        <v>2874</v>
      </c>
      <c r="B22" s="3084"/>
      <c r="C22" s="3084"/>
      <c r="D22" s="3084"/>
      <c r="E22" s="3080" t="e">
        <f t="shared" si="2"/>
        <v>#DIV/0!</v>
      </c>
      <c r="F22" s="3080" t="e">
        <f t="shared" si="3"/>
        <v>#DIV/0!</v>
      </c>
      <c r="G22" s="3084"/>
      <c r="H22" s="3084"/>
      <c r="I22" s="3084"/>
    </row>
    <row r="23" spans="1:9" ht="16.5">
      <c r="A23" s="3083" t="s">
        <v>2875</v>
      </c>
      <c r="B23" s="3084"/>
      <c r="C23" s="3084"/>
      <c r="D23" s="3084"/>
      <c r="E23" s="3076" t="e">
        <f t="shared" si="2"/>
        <v>#DIV/0!</v>
      </c>
      <c r="F23" s="3076" t="e">
        <f t="shared" si="3"/>
        <v>#DIV/0!</v>
      </c>
      <c r="G23" s="3084"/>
      <c r="H23" s="3084"/>
      <c r="I23" s="308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C16" zoomScaleSheetLayoutView="100" zoomScalePageLayoutView="80" workbookViewId="0">
      <selection activeCell="G19" sqref="G19"/>
    </sheetView>
  </sheetViews>
  <sheetFormatPr defaultColWidth="12.625" defaultRowHeight="21.75" customHeight="1"/>
  <cols>
    <col min="1" max="2" width="12.75" style="1253" bestFit="1" customWidth="1"/>
    <col min="3" max="3" width="12.875" style="1253" customWidth="1"/>
    <col min="4"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8" t="s">
        <v>2057</v>
      </c>
      <c r="B1" s="1779"/>
      <c r="C1" s="1807" t="s">
        <v>2058</v>
      </c>
      <c r="D1" s="1808" t="s">
        <v>3104</v>
      </c>
      <c r="E1" s="1807" t="s">
        <v>2059</v>
      </c>
      <c r="F1" s="1809" t="s">
        <v>3105</v>
      </c>
      <c r="G1" s="314"/>
      <c r="H1" s="314"/>
      <c r="I1" s="314"/>
      <c r="J1" s="2031"/>
      <c r="K1" s="2031"/>
      <c r="L1" s="2031"/>
      <c r="M1" s="2031"/>
      <c r="N1" s="2031"/>
      <c r="O1" s="2031"/>
      <c r="P1" s="2031"/>
      <c r="Q1" s="2031"/>
      <c r="R1" s="2031"/>
      <c r="S1" s="2031"/>
      <c r="T1" s="2031"/>
      <c r="U1" s="2031"/>
      <c r="V1" s="2031"/>
    </row>
    <row r="2" spans="1:22" ht="21.75" customHeight="1" thickBot="1">
      <c r="A2" s="3316" t="str">
        <f>项目基本情况!K2</f>
        <v>沈阳市沈阳市浑南区香堤路197号出让国有建设用地使用权</v>
      </c>
      <c r="B2" s="3317"/>
      <c r="C2" s="3318"/>
      <c r="D2" s="3318"/>
      <c r="E2" s="3318"/>
      <c r="F2" s="3318"/>
      <c r="G2" s="3317"/>
      <c r="H2" s="3317"/>
      <c r="I2" s="3319"/>
      <c r="J2" s="2032"/>
      <c r="K2" s="2031"/>
      <c r="L2" s="2031"/>
      <c r="M2" s="2031"/>
      <c r="N2" s="2031"/>
      <c r="O2" s="2031"/>
      <c r="P2" s="2031"/>
      <c r="Q2" s="2031"/>
      <c r="R2" s="2031"/>
      <c r="S2" s="2031"/>
      <c r="T2" s="2031"/>
      <c r="U2" s="2031"/>
      <c r="V2" s="2031"/>
    </row>
    <row r="3" spans="1:22" ht="14.25">
      <c r="A3" s="3309" t="s">
        <v>298</v>
      </c>
      <c r="B3" s="3310"/>
      <c r="C3" s="3310"/>
      <c r="D3" s="3310"/>
      <c r="E3" s="3310"/>
      <c r="F3" s="3310"/>
      <c r="G3" s="3310"/>
      <c r="H3" s="3310"/>
      <c r="I3" s="3310"/>
      <c r="J3" s="2032"/>
      <c r="K3" s="2031"/>
      <c r="L3" s="2031"/>
      <c r="M3" s="2031"/>
      <c r="N3" s="2031"/>
      <c r="O3" s="2031"/>
      <c r="P3" s="2031"/>
      <c r="Q3" s="2031"/>
      <c r="R3" s="2031"/>
      <c r="S3" s="2031"/>
      <c r="T3" s="2031"/>
      <c r="U3" s="2031"/>
      <c r="V3" s="2031"/>
    </row>
    <row r="4" spans="1:22" ht="14.25">
      <c r="A4" s="258" t="s">
        <v>299</v>
      </c>
      <c r="B4" s="259" t="s">
        <v>300</v>
      </c>
      <c r="C4" s="260" t="s">
        <v>3011</v>
      </c>
      <c r="D4" s="260" t="s">
        <v>3012</v>
      </c>
      <c r="E4" s="3281" t="s">
        <v>301</v>
      </c>
      <c r="F4" s="3282"/>
      <c r="G4" s="3282"/>
      <c r="H4" s="3282"/>
      <c r="I4" s="3311"/>
      <c r="J4" s="2032"/>
      <c r="K4" s="2031"/>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80" t="s">
        <v>302</v>
      </c>
      <c r="B5" s="3306">
        <v>25</v>
      </c>
      <c r="C5" s="3304"/>
      <c r="D5" s="3308"/>
      <c r="E5" s="261" t="s">
        <v>303</v>
      </c>
      <c r="F5" s="262"/>
      <c r="G5" s="262"/>
      <c r="H5" s="262"/>
      <c r="I5" s="263"/>
      <c r="J5" s="2032"/>
      <c r="K5" s="2031"/>
      <c r="L5" s="2031"/>
      <c r="M5" s="2031"/>
      <c r="N5" s="2031"/>
      <c r="O5" s="2031"/>
      <c r="P5" s="2031"/>
      <c r="Q5" s="2031"/>
      <c r="R5" s="2031"/>
      <c r="S5" s="2031"/>
      <c r="T5" s="2031"/>
      <c r="U5" s="2031"/>
      <c r="V5" s="2031"/>
    </row>
    <row r="6" spans="1:22" ht="14.25">
      <c r="A6" s="3280"/>
      <c r="B6" s="3306"/>
      <c r="C6" s="3307"/>
      <c r="D6" s="3308"/>
      <c r="E6" s="261" t="s">
        <v>304</v>
      </c>
      <c r="F6" s="262"/>
      <c r="G6" s="262"/>
      <c r="H6" s="262"/>
      <c r="I6" s="263"/>
      <c r="J6" s="2032"/>
      <c r="K6" s="2031"/>
      <c r="L6" s="2031"/>
      <c r="M6" s="2031"/>
      <c r="N6" s="2031"/>
      <c r="O6" s="2031"/>
      <c r="P6" s="2031"/>
      <c r="Q6" s="2031"/>
      <c r="R6" s="2031"/>
      <c r="S6" s="2031"/>
      <c r="T6" s="2031"/>
      <c r="U6" s="2031"/>
      <c r="V6" s="2031"/>
    </row>
    <row r="7" spans="1:22" ht="14.25">
      <c r="A7" s="3280"/>
      <c r="B7" s="3306"/>
      <c r="C7" s="3305"/>
      <c r="D7" s="3308"/>
      <c r="E7" s="261" t="s">
        <v>305</v>
      </c>
      <c r="F7" s="262"/>
      <c r="G7" s="262"/>
      <c r="H7" s="262"/>
      <c r="I7" s="263"/>
      <c r="J7" s="2032"/>
      <c r="K7" s="2031"/>
      <c r="L7" s="2031"/>
      <c r="M7" s="2031"/>
      <c r="N7" s="2031"/>
      <c r="O7" s="2031"/>
      <c r="P7" s="2031"/>
      <c r="Q7" s="2031"/>
      <c r="R7" s="2031"/>
      <c r="S7" s="2031"/>
      <c r="T7" s="2031"/>
      <c r="U7" s="2031"/>
      <c r="V7" s="2031"/>
    </row>
    <row r="8" spans="1:22" ht="14.25">
      <c r="A8" s="3280" t="s">
        <v>306</v>
      </c>
      <c r="B8" s="3306">
        <v>15</v>
      </c>
      <c r="C8" s="3304"/>
      <c r="D8" s="3308"/>
      <c r="E8" s="261" t="s">
        <v>307</v>
      </c>
      <c r="F8" s="262"/>
      <c r="G8" s="262"/>
      <c r="H8" s="262"/>
      <c r="I8" s="263"/>
      <c r="J8" s="2032"/>
      <c r="K8" s="2031"/>
      <c r="L8" s="2031"/>
      <c r="M8" s="2031"/>
      <c r="N8" s="2031"/>
      <c r="O8" s="2031"/>
      <c r="P8" s="2031"/>
      <c r="Q8" s="2031"/>
      <c r="R8" s="2031"/>
      <c r="S8" s="2031"/>
      <c r="T8" s="2031"/>
      <c r="U8" s="2031"/>
      <c r="V8" s="2031"/>
    </row>
    <row r="9" spans="1:22" ht="14.25">
      <c r="A9" s="3280"/>
      <c r="B9" s="3306"/>
      <c r="C9" s="3305"/>
      <c r="D9" s="3308"/>
      <c r="E9" s="261" t="s">
        <v>308</v>
      </c>
      <c r="F9" s="262"/>
      <c r="G9" s="262"/>
      <c r="H9" s="262"/>
      <c r="I9" s="263"/>
      <c r="J9" s="2032"/>
      <c r="K9" s="2031"/>
      <c r="L9" s="2031"/>
      <c r="M9" s="2031"/>
      <c r="N9" s="2031"/>
      <c r="O9" s="2031"/>
      <c r="P9" s="2031"/>
      <c r="Q9" s="2031"/>
      <c r="R9" s="2031"/>
      <c r="S9" s="2031"/>
      <c r="T9" s="2031"/>
      <c r="U9" s="2031"/>
      <c r="V9" s="2031"/>
    </row>
    <row r="10" spans="1:22" ht="14.25">
      <c r="A10" s="3280" t="s">
        <v>309</v>
      </c>
      <c r="B10" s="3306">
        <v>15</v>
      </c>
      <c r="C10" s="3304"/>
      <c r="D10" s="3308"/>
      <c r="E10" s="261" t="s">
        <v>310</v>
      </c>
      <c r="F10" s="262"/>
      <c r="G10" s="262"/>
      <c r="H10" s="262"/>
      <c r="I10" s="263"/>
      <c r="J10" s="2032"/>
      <c r="K10" s="2031"/>
      <c r="L10" s="2031"/>
      <c r="M10" s="2031"/>
      <c r="N10" s="2031"/>
      <c r="O10" s="2031"/>
      <c r="P10" s="2031"/>
      <c r="Q10" s="2031"/>
      <c r="R10" s="2031"/>
      <c r="S10" s="2031"/>
      <c r="T10" s="2031"/>
      <c r="U10" s="2031"/>
      <c r="V10" s="2031"/>
    </row>
    <row r="11" spans="1:22" ht="14.25">
      <c r="A11" s="3280"/>
      <c r="B11" s="3306"/>
      <c r="C11" s="3305"/>
      <c r="D11" s="3308"/>
      <c r="E11" s="261" t="s">
        <v>311</v>
      </c>
      <c r="F11" s="262"/>
      <c r="G11" s="262"/>
      <c r="H11" s="262"/>
      <c r="I11" s="263"/>
      <c r="J11" s="2032"/>
      <c r="K11" s="2031"/>
      <c r="L11" s="2031"/>
      <c r="M11" s="2031"/>
      <c r="N11" s="2031"/>
      <c r="O11" s="2031"/>
      <c r="P11" s="2031"/>
      <c r="Q11" s="2031"/>
      <c r="R11" s="2031"/>
      <c r="S11" s="2031"/>
      <c r="T11" s="2031"/>
      <c r="U11" s="2031"/>
      <c r="V11" s="2031"/>
    </row>
    <row r="12" spans="1:22" ht="14.25">
      <c r="A12" s="3280" t="s">
        <v>312</v>
      </c>
      <c r="B12" s="3306">
        <v>15</v>
      </c>
      <c r="C12" s="3304"/>
      <c r="D12" s="3308"/>
      <c r="E12" s="261" t="s">
        <v>313</v>
      </c>
      <c r="F12" s="262"/>
      <c r="G12" s="262"/>
      <c r="H12" s="262"/>
      <c r="I12" s="263"/>
      <c r="J12" s="2032"/>
      <c r="K12" s="2031"/>
      <c r="L12" s="2031"/>
      <c r="M12" s="2031"/>
      <c r="N12" s="2031"/>
      <c r="O12" s="2031"/>
      <c r="P12" s="2031"/>
      <c r="Q12" s="2031"/>
      <c r="R12" s="2031"/>
      <c r="S12" s="2031"/>
      <c r="T12" s="2031"/>
      <c r="U12" s="2031"/>
      <c r="V12" s="2031"/>
    </row>
    <row r="13" spans="1:22" ht="14.25">
      <c r="A13" s="3280"/>
      <c r="B13" s="3306"/>
      <c r="C13" s="3305"/>
      <c r="D13" s="3308"/>
      <c r="E13" s="261" t="s">
        <v>314</v>
      </c>
      <c r="F13" s="262"/>
      <c r="G13" s="262"/>
      <c r="H13" s="262"/>
      <c r="I13" s="263"/>
      <c r="J13" s="2032"/>
      <c r="K13" s="2031"/>
      <c r="L13" s="2031"/>
      <c r="M13" s="2031"/>
      <c r="N13" s="2031"/>
      <c r="O13" s="2031"/>
      <c r="P13" s="2031"/>
      <c r="Q13" s="2031"/>
      <c r="R13" s="2031"/>
      <c r="S13" s="2031"/>
      <c r="T13" s="2031"/>
      <c r="U13" s="2031"/>
      <c r="V13" s="2031"/>
    </row>
    <row r="14" spans="1:22" ht="14.25">
      <c r="A14" s="3280" t="s">
        <v>315</v>
      </c>
      <c r="B14" s="3306">
        <v>30</v>
      </c>
      <c r="C14" s="3304">
        <v>5</v>
      </c>
      <c r="D14" s="3308">
        <v>5</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280"/>
      <c r="B15" s="3306"/>
      <c r="C15" s="3307"/>
      <c r="D15" s="3308"/>
      <c r="E15" s="261" t="s">
        <v>317</v>
      </c>
      <c r="F15" s="262"/>
      <c r="G15" s="262"/>
      <c r="H15" s="262"/>
      <c r="I15" s="263"/>
      <c r="J15" s="2032"/>
      <c r="K15" s="2031"/>
      <c r="L15" s="2031"/>
      <c r="M15" s="2031"/>
      <c r="N15" s="2031"/>
      <c r="O15" s="2031"/>
      <c r="P15" s="2031"/>
      <c r="Q15" s="2031"/>
      <c r="R15" s="2031"/>
      <c r="S15" s="2031"/>
      <c r="T15" s="2031"/>
      <c r="U15" s="2031"/>
      <c r="V15" s="2031"/>
    </row>
    <row r="16" spans="1:22" ht="14.25">
      <c r="A16" s="3280"/>
      <c r="B16" s="3306"/>
      <c r="C16" s="3305"/>
      <c r="D16" s="3308"/>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5</v>
      </c>
      <c r="D17" s="265">
        <f>SUM(D5:D16)</f>
        <v>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26744</v>
      </c>
      <c r="D19" s="271">
        <f ca="1">SUMIF(INDIRECT("'"&amp;D4&amp;"'"&amp;"!A:A"),结果表!B19,INDIRECT("'"&amp;D4&amp;"'"&amp;"!B:B"))</f>
        <v>30168</v>
      </c>
      <c r="E19" s="268" t="s">
        <v>323</v>
      </c>
      <c r="F19" s="269" t="s">
        <v>322</v>
      </c>
      <c r="G19" s="272">
        <f ca="1">ROUND(C19*$C$18+D19*$D$18,0)</f>
        <v>28456</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2459</v>
      </c>
      <c r="D20" s="277">
        <f ca="1">SUMIF(INDIRECT("'"&amp;D4&amp;"'"&amp;"!A:A"),结果表!B20,INDIRECT("'"&amp;D4&amp;"'"&amp;"!B:B"))</f>
        <v>2774</v>
      </c>
      <c r="E20" s="274"/>
      <c r="F20" s="275" t="s">
        <v>325</v>
      </c>
      <c r="G20" s="278">
        <f ca="1">ROUND(C20*$C$18+D20*$D$18,0)</f>
        <v>2617</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3688</v>
      </c>
      <c r="D21" s="151">
        <f ca="1">SUMIF(INDIRECT("'"&amp;D4&amp;"'"&amp;"!A:A"),结果表!B21,INDIRECT("'"&amp;D4&amp;"'"&amp;"!B:B"))</f>
        <v>4161</v>
      </c>
      <c r="E21" s="274"/>
      <c r="F21" s="280" t="s">
        <v>327</v>
      </c>
      <c r="G21" s="282">
        <f ca="1">ROUND(C21*$C$18+D21*$D$18,0)</f>
        <v>3925</v>
      </c>
      <c r="H21" s="1254" t="s">
        <v>326</v>
      </c>
      <c r="I21" s="314"/>
      <c r="J21" s="2031"/>
      <c r="K21" s="2031"/>
      <c r="L21" s="2031"/>
      <c r="M21" s="2031"/>
      <c r="N21" s="2031"/>
      <c r="O21" s="2031"/>
      <c r="P21" s="2031"/>
      <c r="Q21" s="2031"/>
      <c r="R21" s="2031"/>
      <c r="S21" s="2031"/>
      <c r="T21" s="2031"/>
      <c r="U21" s="2031"/>
      <c r="V21" s="2031"/>
    </row>
    <row r="22" spans="1:26" ht="15.75" thickBot="1">
      <c r="A22" s="126" t="s">
        <v>328</v>
      </c>
      <c r="B22" s="1255"/>
      <c r="C22" s="1256"/>
      <c r="D22" s="283">
        <f ca="1">IF(C19&lt;D19,D19/C19-1,C19/D19-1)</f>
        <v>0.12802871672150773</v>
      </c>
      <c r="E22" s="284"/>
      <c r="F22" s="285"/>
      <c r="G22" s="286">
        <f ca="1">ROUND(G19/('数据-汇总表'!D3/666.67),0)</f>
        <v>262</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286" t="s">
        <v>330</v>
      </c>
      <c r="B24" s="269" t="s">
        <v>322</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287"/>
      <c r="B25" s="1324" t="s">
        <v>331</v>
      </c>
      <c r="C25" s="290">
        <f>IF(B30=0,0,C30)</f>
        <v>0</v>
      </c>
      <c r="D25" s="291"/>
      <c r="E25" s="314"/>
      <c r="F25" s="314"/>
      <c r="G25" s="314"/>
      <c r="H25" s="314"/>
      <c r="I25" s="314"/>
      <c r="J25" s="2031"/>
      <c r="K25" s="1258" t="str">
        <f ca="1">项目基本情况!B16&amp;"国有建设用地使用权价格："&amp;O38&amp;"万元"</f>
        <v>出让国有建设用地使用权价格：28456万元</v>
      </c>
      <c r="L25" s="1259"/>
      <c r="M25" s="1259"/>
      <c r="N25" s="1259"/>
      <c r="O25" s="1260"/>
      <c r="P25" s="2031"/>
      <c r="Q25" s="2031"/>
      <c r="R25" s="2031"/>
      <c r="S25" s="2031"/>
      <c r="T25" s="2031"/>
      <c r="U25" s="2031"/>
      <c r="V25" s="2031"/>
    </row>
    <row r="26" spans="1:26" s="1257" customFormat="1" ht="18">
      <c r="A26" s="293" t="s">
        <v>332</v>
      </c>
      <c r="B26" s="294" t="s">
        <v>333</v>
      </c>
      <c r="C26" s="294" t="s">
        <v>334</v>
      </c>
      <c r="D26" s="295" t="s">
        <v>335</v>
      </c>
      <c r="E26" s="314"/>
      <c r="F26" s="314"/>
      <c r="G26" s="314"/>
      <c r="H26" s="314"/>
      <c r="I26" s="314"/>
      <c r="J26" s="2031"/>
      <c r="K26" s="1261" t="str">
        <f ca="1">"大写金额：人民币"&amp;NUMBERSTRING(INT(O38*10000),2)&amp;"元整"</f>
        <v>大写金额：人民币贰亿捌仟肆佰伍拾陆万元整</v>
      </c>
      <c r="L26" s="1255"/>
      <c r="M26" s="1255"/>
      <c r="N26" s="1255"/>
      <c r="O26" s="1254"/>
      <c r="P26" s="2031"/>
      <c r="Q26" s="2031"/>
      <c r="R26" s="2031"/>
      <c r="S26" s="2031"/>
      <c r="T26" s="2031"/>
      <c r="U26" s="2031"/>
      <c r="V26" s="2031"/>
      <c r="W26" s="292"/>
      <c r="X26" s="292"/>
      <c r="Y26" s="292"/>
      <c r="Z26" s="292"/>
    </row>
    <row r="27" spans="1:26" ht="18">
      <c r="A27" s="293"/>
      <c r="B27" s="294"/>
      <c r="C27" s="294"/>
      <c r="D27" s="295"/>
      <c r="E27" s="314"/>
      <c r="F27" s="314"/>
      <c r="G27" s="314"/>
      <c r="H27" s="314"/>
      <c r="I27" s="314"/>
      <c r="J27" s="2031"/>
      <c r="K27" s="1261" t="str">
        <f ca="1">"单位面积地价："&amp;M38&amp;"元/平方米"</f>
        <v>单位面积地价：3925元/平方米</v>
      </c>
      <c r="L27" s="1255"/>
      <c r="M27" s="1255"/>
      <c r="N27" s="1255"/>
      <c r="O27" s="1254"/>
      <c r="P27" s="2031"/>
      <c r="Q27" s="2031"/>
      <c r="R27" s="2031"/>
      <c r="S27" s="2031"/>
      <c r="T27" s="2031"/>
      <c r="U27" s="2031"/>
      <c r="V27" s="2031"/>
    </row>
    <row r="28" spans="1:26" ht="18.75" customHeight="1">
      <c r="A28" s="293"/>
      <c r="B28" s="294"/>
      <c r="C28" s="294"/>
      <c r="D28" s="295"/>
      <c r="E28" s="314"/>
      <c r="F28" s="314"/>
      <c r="G28" s="314"/>
      <c r="H28" s="314"/>
      <c r="I28" s="314"/>
      <c r="J28" s="2031"/>
      <c r="K28" s="1261" t="str">
        <f ca="1">"楼面地价："&amp;N38&amp;"元/平方米"</f>
        <v>楼面地价：2616元/平方米</v>
      </c>
      <c r="L28" s="1255"/>
      <c r="M28" s="1255"/>
      <c r="N28" s="1255"/>
      <c r="O28" s="1254"/>
      <c r="P28" s="2031"/>
      <c r="V28" s="2031"/>
    </row>
    <row r="29" spans="1:26" ht="18">
      <c r="A29" s="293"/>
      <c r="B29" s="294"/>
      <c r="C29" s="294"/>
      <c r="D29" s="295"/>
      <c r="E29" s="314"/>
      <c r="F29" s="314"/>
      <c r="G29" s="314"/>
      <c r="H29" s="314"/>
      <c r="I29" s="314"/>
      <c r="J29" s="2031"/>
      <c r="K29" s="1261" t="str">
        <f ca="1">IF(OR(项目基本情况!E8="抵押价格",项目基本情况!E8="已注销及未注销"),"抵押价格："&amp;O39&amp;"万元","——")</f>
        <v>抵押价格：28456万元</v>
      </c>
      <c r="L29" s="1255"/>
      <c r="M29" s="1255"/>
      <c r="N29" s="1255"/>
      <c r="O29" s="1254"/>
      <c r="P29" s="2031"/>
      <c r="V29" s="2031"/>
    </row>
    <row r="30" spans="1:26" ht="18.75" thickBot="1">
      <c r="A30" s="296" t="s">
        <v>336</v>
      </c>
      <c r="B30" s="297">
        <f>SUM(B27:B29)</f>
        <v>0</v>
      </c>
      <c r="C30" s="297" t="e">
        <f>ROUND(D30*10000/B30,0)</f>
        <v>#DIV/0!</v>
      </c>
      <c r="D30" s="298">
        <f>SUM(D27:D29)</f>
        <v>0</v>
      </c>
      <c r="E30" s="314"/>
      <c r="F30" s="314"/>
      <c r="G30" s="314"/>
      <c r="H30" s="314"/>
      <c r="I30" s="314"/>
      <c r="J30" s="2031"/>
      <c r="K30" s="1261" t="str">
        <f ca="1">IF(K29="——","——","大写金额：人民币"&amp;NUMBERSTRING(INT(O39*10000),2)&amp;"元整")</f>
        <v>大写金额：人民币贰亿捌仟肆佰伍拾陆万元整</v>
      </c>
      <c r="L30" s="1255"/>
      <c r="M30" s="1255"/>
      <c r="N30" s="1255"/>
      <c r="O30" s="1254"/>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337</v>
      </c>
      <c r="B32" s="1385" t="s">
        <v>1690</v>
      </c>
      <c r="C32" s="1386">
        <f ca="1">G19-C24</f>
        <v>28456</v>
      </c>
      <c r="D32" s="1387" t="s">
        <v>1691</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340</v>
      </c>
      <c r="B33" s="1388" t="s">
        <v>1692</v>
      </c>
      <c r="C33" s="264">
        <f ca="1">ROUND(C32*10000/'数据-汇总表'!E3,0)</f>
        <v>2616</v>
      </c>
      <c r="D33" s="1389" t="s">
        <v>1693</v>
      </c>
      <c r="E33" s="3286" t="s">
        <v>338</v>
      </c>
      <c r="F33" s="299" t="s">
        <v>339</v>
      </c>
      <c r="G33" s="300"/>
      <c r="H33" s="983"/>
      <c r="I33" s="1262"/>
      <c r="J33" s="2031"/>
      <c r="K33" s="1261" t="str">
        <f>IF(项目基本情况!E9="——","——","抵押净值："&amp;C46&amp;"万元")</f>
        <v>抵押净值：——万元</v>
      </c>
      <c r="L33" s="1255"/>
      <c r="M33" s="1255"/>
      <c r="N33" s="1255"/>
      <c r="O33" s="1254"/>
      <c r="P33" s="2031"/>
      <c r="V33" s="2031"/>
    </row>
    <row r="34" spans="1:26" s="1257" customFormat="1" ht="18.75" thickBot="1">
      <c r="A34" s="303"/>
      <c r="B34" s="1390" t="s">
        <v>1694</v>
      </c>
      <c r="C34" s="264">
        <f ca="1">ROUND(C32*10000/'数据-汇总表'!D3,0)</f>
        <v>3925</v>
      </c>
      <c r="D34" s="1391" t="s">
        <v>1693</v>
      </c>
      <c r="E34" s="3327"/>
      <c r="F34" s="127" t="s">
        <v>341</v>
      </c>
      <c r="G34" s="302"/>
      <c r="H34" s="105"/>
      <c r="I34" s="314"/>
      <c r="J34" s="2031"/>
      <c r="K34" s="1264" t="e">
        <f>IF(K33="——","——","大写金额：人民币"&amp;NUMBERSTRING(INT(O41*10000),2)&amp;"元整")</f>
        <v>#VALUE!</v>
      </c>
      <c r="L34" s="1265"/>
      <c r="M34" s="1265"/>
      <c r="N34" s="1265"/>
      <c r="O34" s="1266"/>
      <c r="P34" s="2031"/>
      <c r="Q34" s="292"/>
      <c r="R34" s="292"/>
      <c r="S34" s="292"/>
      <c r="T34" s="292"/>
      <c r="U34" s="292"/>
      <c r="V34" s="2031"/>
      <c r="W34" s="292"/>
      <c r="X34" s="292"/>
      <c r="Y34" s="292"/>
      <c r="Z34" s="292"/>
    </row>
    <row r="35" spans="1:26" ht="15.75" thickBot="1">
      <c r="A35" s="284"/>
      <c r="B35" s="1392"/>
      <c r="C35" s="1393">
        <f ca="1">ROUND(C32/('数据-汇总表'!D3/666.67),0)</f>
        <v>262</v>
      </c>
      <c r="D35" s="1394" t="s">
        <v>1695</v>
      </c>
      <c r="E35" s="3328"/>
      <c r="F35" s="304" t="s">
        <v>342</v>
      </c>
      <c r="G35" s="985"/>
      <c r="H35" s="984" t="s">
        <v>343</v>
      </c>
      <c r="I35" s="314"/>
      <c r="J35" s="2031"/>
      <c r="K35" s="3301" t="s">
        <v>350</v>
      </c>
      <c r="L35" s="3301" t="s">
        <v>351</v>
      </c>
      <c r="M35" s="1267" t="s">
        <v>352</v>
      </c>
      <c r="N35" s="3301" t="s">
        <v>353</v>
      </c>
      <c r="O35" s="3301" t="s">
        <v>354</v>
      </c>
      <c r="P35" s="2031"/>
      <c r="V35" s="2031"/>
    </row>
    <row r="36" spans="1:26" ht="16.5" customHeight="1">
      <c r="A36" s="306" t="s">
        <v>344</v>
      </c>
      <c r="B36" s="307" t="s">
        <v>333</v>
      </c>
      <c r="C36" s="308" t="s">
        <v>345</v>
      </c>
      <c r="D36" s="308" t="s">
        <v>346</v>
      </c>
      <c r="E36" s="309" t="s">
        <v>347</v>
      </c>
      <c r="F36" s="314"/>
      <c r="G36" s="314"/>
      <c r="H36" s="314"/>
      <c r="I36" s="314"/>
      <c r="J36" s="2033"/>
      <c r="K36" s="3302"/>
      <c r="L36" s="3302"/>
      <c r="M36" s="1269" t="s">
        <v>355</v>
      </c>
      <c r="N36" s="3302"/>
      <c r="O36" s="3302"/>
      <c r="P36" s="2031"/>
      <c r="V36" s="2031"/>
    </row>
    <row r="37" spans="1:26" ht="16.5" customHeight="1" thickBot="1">
      <c r="A37" s="1263" t="s">
        <v>348</v>
      </c>
      <c r="B37" s="310"/>
      <c r="C37" s="294"/>
      <c r="D37" s="294"/>
      <c r="E37" s="295"/>
      <c r="F37" s="314"/>
      <c r="G37" s="314"/>
      <c r="H37" s="314"/>
      <c r="I37" s="314"/>
      <c r="J37" s="2033"/>
      <c r="K37" s="3303"/>
      <c r="L37" s="3303"/>
      <c r="M37" s="1270"/>
      <c r="N37" s="3303"/>
      <c r="O37" s="3303"/>
      <c r="P37" s="2031"/>
      <c r="V37" s="2031"/>
    </row>
    <row r="38" spans="1:26" ht="16.5" customHeight="1" thickBot="1">
      <c r="A38" s="1263" t="s">
        <v>349</v>
      </c>
      <c r="B38" s="310"/>
      <c r="C38" s="294"/>
      <c r="D38" s="294"/>
      <c r="E38" s="295"/>
      <c r="F38" s="314"/>
      <c r="G38" s="314"/>
      <c r="H38" s="314"/>
      <c r="I38" s="314"/>
      <c r="J38" s="2033"/>
      <c r="K38" s="1271">
        <f>'数据-汇总表'!D3</f>
        <v>72507.13</v>
      </c>
      <c r="L38" s="1272">
        <f>'数据-汇总表'!E3</f>
        <v>108760.69</v>
      </c>
      <c r="M38" s="1272">
        <f ca="1">C34</f>
        <v>3925</v>
      </c>
      <c r="N38" s="1272">
        <f ca="1">C33</f>
        <v>2616</v>
      </c>
      <c r="O38" s="1273">
        <f ca="1">C32</f>
        <v>28456</v>
      </c>
      <c r="P38" s="2031"/>
      <c r="V38" s="2031"/>
    </row>
    <row r="39" spans="1:26" ht="16.5" customHeight="1" thickBot="1">
      <c r="A39" s="1268"/>
      <c r="B39" s="311"/>
      <c r="C39" s="312"/>
      <c r="D39" s="312"/>
      <c r="E39" s="313"/>
      <c r="F39" s="314"/>
      <c r="G39" s="314"/>
      <c r="H39" s="314"/>
      <c r="I39" s="314"/>
      <c r="J39" s="2033"/>
      <c r="K39" s="3346" t="str">
        <f>MID(A44,3,LEN(A44)-2)</f>
        <v>抵押价格</v>
      </c>
      <c r="L39" s="3347"/>
      <c r="M39" s="3347"/>
      <c r="N39" s="3348"/>
      <c r="O39" s="1396">
        <f ca="1">C44</f>
        <v>28456</v>
      </c>
      <c r="P39" s="2031"/>
      <c r="V39" s="2031"/>
    </row>
    <row r="40" spans="1:26" ht="19.5" thickBot="1">
      <c r="A40" s="104" t="s">
        <v>874</v>
      </c>
      <c r="B40" s="314"/>
      <c r="C40" s="314"/>
      <c r="D40" s="314"/>
      <c r="E40" s="314"/>
      <c r="F40" s="314"/>
      <c r="G40" s="314"/>
      <c r="H40" s="314"/>
      <c r="I40" s="314"/>
      <c r="J40" s="2033"/>
      <c r="K40" s="3346" t="str">
        <f t="shared" ref="K40:K41" si="0">MID(A45,3,LEN(A45)-2)</f>
        <v/>
      </c>
      <c r="L40" s="3347"/>
      <c r="M40" s="3347"/>
      <c r="N40" s="3348"/>
      <c r="O40" s="1396" t="str">
        <f>C45</f>
        <v>——</v>
      </c>
      <c r="P40" s="2031"/>
      <c r="V40" s="2031"/>
    </row>
    <row r="41" spans="1:26" ht="16.5" thickBot="1">
      <c r="A41" s="315" t="s">
        <v>356</v>
      </c>
      <c r="B41" s="316"/>
      <c r="C41" s="317" t="s">
        <v>357</v>
      </c>
      <c r="D41" s="318" t="s">
        <v>358</v>
      </c>
      <c r="E41" s="318" t="s">
        <v>359</v>
      </c>
      <c r="F41" s="319" t="s">
        <v>360</v>
      </c>
      <c r="G41" s="314"/>
      <c r="H41" s="314"/>
      <c r="I41" s="314"/>
      <c r="J41" s="2033"/>
      <c r="K41" s="3346" t="str">
        <f t="shared" si="0"/>
        <v/>
      </c>
      <c r="L41" s="3347"/>
      <c r="M41" s="3347"/>
      <c r="N41" s="3348"/>
      <c r="O41" s="1396" t="str">
        <f>C46</f>
        <v>——</v>
      </c>
      <c r="P41" s="2031"/>
      <c r="V41" s="2031"/>
    </row>
    <row r="42" spans="1:26" ht="29.25">
      <c r="A42" s="3288" t="s">
        <v>2069</v>
      </c>
      <c r="B42" s="3289"/>
      <c r="C42" s="264">
        <f ca="1">C32</f>
        <v>28456</v>
      </c>
      <c r="D42" s="320">
        <f ca="1">C33</f>
        <v>2616</v>
      </c>
      <c r="E42" s="320">
        <f ca="1">C34</f>
        <v>3925</v>
      </c>
      <c r="F42" s="321">
        <f ca="1">C35</f>
        <v>262</v>
      </c>
      <c r="G42" s="314"/>
      <c r="H42" s="314"/>
      <c r="I42" s="322"/>
      <c r="J42" s="2033"/>
      <c r="K42" s="1274" t="s">
        <v>361</v>
      </c>
      <c r="L42" s="2050" t="s">
        <v>362</v>
      </c>
      <c r="M42" s="1275" t="s">
        <v>363</v>
      </c>
      <c r="N42" s="2051" t="s">
        <v>364</v>
      </c>
      <c r="O42" s="2052" t="s">
        <v>365</v>
      </c>
      <c r="P42" s="2031"/>
      <c r="V42" s="2031"/>
    </row>
    <row r="43" spans="1:26" ht="30">
      <c r="A43" s="3299" t="s">
        <v>2736</v>
      </c>
      <c r="B43" s="3300"/>
      <c r="C43" s="264">
        <f>IF(H33="正常操作",G33+G34+G35,G34+G35)</f>
        <v>0</v>
      </c>
      <c r="D43" s="320" t="s">
        <v>43</v>
      </c>
      <c r="E43" s="320" t="s">
        <v>44</v>
      </c>
      <c r="F43" s="321" t="s">
        <v>44</v>
      </c>
      <c r="G43" s="2897" t="s">
        <v>953</v>
      </c>
      <c r="H43" s="314"/>
      <c r="I43" s="322"/>
      <c r="J43" s="2033"/>
      <c r="K43" s="1276" t="str">
        <f>C4</f>
        <v>比较法-住宅、综合</v>
      </c>
      <c r="L43" s="1277">
        <f ca="1">IF(L42="估价结果/万元",C19,C20)</f>
        <v>26744</v>
      </c>
      <c r="M43" s="1278">
        <f>C18</f>
        <v>0.5</v>
      </c>
      <c r="N43" s="1279">
        <f ca="1">IF(N42="测算结果/万元",G19,G20)</f>
        <v>28456</v>
      </c>
      <c r="O43" s="1280">
        <f ca="1">IF(O42="最终结果/万元",C32,C33)</f>
        <v>28456</v>
      </c>
      <c r="P43" s="2031"/>
      <c r="V43" s="2031"/>
    </row>
    <row r="44" spans="1:26" ht="30.75" thickBot="1">
      <c r="A44" s="3288" t="str">
        <f>IF(OR(项目基本情况!E8="抵押价格",项目基本情况!E8="已注销及未注销"),"3.抵押价格","——")</f>
        <v>3.抵押价格</v>
      </c>
      <c r="B44" s="3289"/>
      <c r="C44" s="264">
        <f ca="1">IF(A44="——","——",C42-C43)</f>
        <v>28456</v>
      </c>
      <c r="D44" s="320">
        <f ca="1">ROUND(C44*10000/'数据-汇总表'!E3,0)</f>
        <v>2616</v>
      </c>
      <c r="E44" s="320">
        <f ca="1">ROUND(C44*10000/'数据-汇总表'!D3,0)</f>
        <v>3925</v>
      </c>
      <c r="F44" s="321">
        <f ca="1">ROUND(C44/('数据-汇总表'!D3/666.67),0)</f>
        <v>262</v>
      </c>
      <c r="G44" s="314"/>
      <c r="H44" s="314"/>
      <c r="I44" s="322"/>
      <c r="J44" s="2033"/>
      <c r="K44" s="1281" t="str">
        <f>D4</f>
        <v>剩余法-待开发</v>
      </c>
      <c r="L44" s="1282">
        <f ca="1">IF(L42="估价结果/万元",D19,D20)</f>
        <v>30168</v>
      </c>
      <c r="M44" s="1283">
        <f>D18</f>
        <v>0.5</v>
      </c>
      <c r="N44" s="1284"/>
      <c r="O44" s="1285"/>
      <c r="P44" s="2031"/>
      <c r="V44" s="2031"/>
    </row>
    <row r="45" spans="1:26" ht="15">
      <c r="A45" s="3294" t="str">
        <f>IF(项目基本情况!E8="已注销及未注销","4.抵押担保权已注销时的抵押价格",IF(项目基本情况!E8="已注销","3.抵押担保权已注销时的抵押价格","——"))</f>
        <v>——</v>
      </c>
      <c r="B45" s="3295"/>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290" t="str">
        <f>IF(项目基本情况!E9="抵押净值",IF(A45="——","4.抵押净值","5.抵押净值"),"——")</f>
        <v>——</v>
      </c>
      <c r="B46" s="3291"/>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366</v>
      </c>
      <c r="B47" s="1286"/>
      <c r="C47" s="325" t="s">
        <v>367</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368</v>
      </c>
      <c r="G53" s="340"/>
      <c r="H53" s="340"/>
      <c r="I53" s="341" t="s">
        <v>369</v>
      </c>
      <c r="J53" s="2034"/>
      <c r="K53" s="2031"/>
      <c r="L53" s="2031"/>
      <c r="M53" s="2031"/>
      <c r="N53" s="2031"/>
      <c r="O53" s="2031"/>
      <c r="P53" s="2031"/>
      <c r="Q53" s="2031"/>
      <c r="R53" s="2031"/>
      <c r="S53" s="2031"/>
      <c r="T53" s="2031"/>
      <c r="U53" s="2031"/>
      <c r="V53" s="2031"/>
    </row>
    <row r="54" spans="1:22" ht="12.75">
      <c r="A54" s="257"/>
      <c r="B54" s="342" t="s">
        <v>370</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t="s">
        <v>3110</v>
      </c>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t="s">
        <v>3111</v>
      </c>
      <c r="C56" s="340"/>
      <c r="D56" s="340"/>
      <c r="E56" s="340"/>
      <c r="F56" s="340"/>
      <c r="G56" s="340"/>
      <c r="H56" s="340"/>
      <c r="I56" s="341" t="s">
        <v>371</v>
      </c>
      <c r="J56" s="2034"/>
      <c r="K56" s="2031"/>
      <c r="L56" s="2031"/>
      <c r="M56" s="2031"/>
      <c r="N56" s="2031"/>
      <c r="O56" s="2031"/>
      <c r="P56" s="2031"/>
      <c r="Q56" s="2031"/>
      <c r="R56" s="2031"/>
      <c r="S56" s="2031"/>
      <c r="T56" s="2031"/>
      <c r="U56" s="2031"/>
      <c r="V56" s="2031"/>
    </row>
    <row r="57" spans="1:22" ht="12.75">
      <c r="A57" s="257"/>
      <c r="B57" s="342" t="s">
        <v>372</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371</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7" t="s">
        <v>373</v>
      </c>
      <c r="B62" s="1288"/>
      <c r="C62" s="1288"/>
      <c r="D62" s="1289"/>
      <c r="E62" s="1289"/>
      <c r="F62" s="1290"/>
      <c r="G62" s="1290"/>
      <c r="H62" s="1290"/>
      <c r="I62" s="1290"/>
      <c r="J62" s="2035"/>
      <c r="K62" s="2031"/>
      <c r="L62" s="2031"/>
      <c r="M62" s="2031"/>
      <c r="N62" s="2031"/>
      <c r="O62" s="2031"/>
      <c r="P62" s="2031"/>
      <c r="Q62" s="2031"/>
      <c r="R62" s="2031"/>
      <c r="S62" s="2031"/>
      <c r="T62" s="2031"/>
      <c r="U62" s="2031"/>
      <c r="V62" s="2031"/>
    </row>
    <row r="63" spans="1:22" ht="14.25" customHeight="1" thickBot="1">
      <c r="A63" s="3335" t="s">
        <v>374</v>
      </c>
      <c r="B63" s="3336"/>
      <c r="C63" s="3337"/>
      <c r="D63" s="344">
        <f ca="1">ROUND(C42*F63,0)</f>
        <v>17074</v>
      </c>
      <c r="E63" s="305" t="s">
        <v>375</v>
      </c>
      <c r="F63" s="345">
        <v>0.6</v>
      </c>
      <c r="G63" s="346" t="s">
        <v>376</v>
      </c>
      <c r="H63" s="314"/>
      <c r="I63" s="314"/>
      <c r="J63" s="2031"/>
      <c r="K63" s="2031"/>
      <c r="L63" s="2031"/>
      <c r="M63" s="2031"/>
      <c r="N63" s="2031"/>
      <c r="O63" s="2031"/>
      <c r="P63" s="314"/>
      <c r="Q63" s="2031"/>
      <c r="R63" s="2031"/>
      <c r="S63" s="2031"/>
      <c r="T63" s="2031"/>
      <c r="U63" s="2031"/>
      <c r="V63" s="2031"/>
    </row>
    <row r="64" spans="1:22" ht="14.25" customHeight="1">
      <c r="A64" s="3296" t="s">
        <v>378</v>
      </c>
      <c r="B64" s="3297"/>
      <c r="C64" s="3297"/>
      <c r="D64" s="3297"/>
      <c r="E64" s="3297"/>
      <c r="F64" s="3297"/>
      <c r="G64" s="3298"/>
      <c r="H64" s="1291"/>
      <c r="I64" s="951"/>
      <c r="J64" s="1993"/>
      <c r="K64" s="1565" t="s">
        <v>377</v>
      </c>
      <c r="L64" s="11"/>
      <c r="M64" s="11"/>
      <c r="N64" s="11"/>
      <c r="O64" s="11"/>
      <c r="P64" s="314"/>
      <c r="Q64" s="2031"/>
      <c r="R64" s="2031"/>
      <c r="S64" s="2031"/>
      <c r="T64" s="2031"/>
      <c r="U64" s="2031"/>
      <c r="V64" s="2031"/>
    </row>
    <row r="65" spans="1:22" ht="12" customHeight="1">
      <c r="A65" s="347" t="s">
        <v>380</v>
      </c>
      <c r="B65" s="348"/>
      <c r="C65" s="349"/>
      <c r="D65" s="350" t="s">
        <v>381</v>
      </c>
      <c r="E65" s="53" t="s">
        <v>382</v>
      </c>
      <c r="F65" s="351" t="s">
        <v>383</v>
      </c>
      <c r="G65" s="352" t="s">
        <v>384</v>
      </c>
      <c r="H65" s="1291"/>
      <c r="I65" s="951"/>
      <c r="J65" s="1993"/>
      <c r="K65" s="1292"/>
      <c r="L65" s="1293"/>
      <c r="M65" s="1293"/>
      <c r="N65" s="1325" t="s">
        <v>379</v>
      </c>
      <c r="O65" s="1326"/>
      <c r="P65" s="1327"/>
      <c r="Q65" s="2031"/>
      <c r="R65" s="2031"/>
      <c r="S65" s="2031"/>
      <c r="T65" s="2031"/>
      <c r="U65" s="2031"/>
      <c r="V65" s="2031"/>
    </row>
    <row r="66" spans="1:22" ht="25.5">
      <c r="A66" s="3292" t="s">
        <v>386</v>
      </c>
      <c r="B66" s="3293"/>
      <c r="C66" s="3293"/>
      <c r="D66" s="261">
        <f ca="1">IF(H66="情况1",0,IF(H66="情况2",D70,IF(H66="情况3",D71,IF(H66="情况4",D72))))</f>
        <v>1014</v>
      </c>
      <c r="E66" s="996" t="str">
        <f>IF(H66="情况4","(销售额-原购置价)×税（费）率","销售额×税（费）率")</f>
        <v>销售额×税（费）率</v>
      </c>
      <c r="F66" s="353">
        <f>IF(H66="情况1","免征",'数据-取费表'!B41)</f>
        <v>6.2719999999999998E-2</v>
      </c>
      <c r="G66" s="354" t="s">
        <v>387</v>
      </c>
      <c r="H66" s="191" t="s">
        <v>388</v>
      </c>
      <c r="I66" s="1291"/>
      <c r="J66" s="2037"/>
      <c r="K66" s="1294">
        <v>1</v>
      </c>
      <c r="L66" s="3350" t="s">
        <v>385</v>
      </c>
      <c r="M66" s="3351"/>
      <c r="N66" s="2485"/>
      <c r="O66" s="2486"/>
      <c r="P66" s="2487"/>
      <c r="Q66" s="2031"/>
      <c r="R66" s="2031"/>
      <c r="S66" s="2031"/>
      <c r="T66" s="2031"/>
      <c r="U66" s="2031"/>
      <c r="V66" s="2031"/>
    </row>
    <row r="67" spans="1:22" ht="25.5" customHeight="1">
      <c r="A67" s="355" t="s">
        <v>390</v>
      </c>
      <c r="B67" s="3283" t="s">
        <v>391</v>
      </c>
      <c r="C67" s="3283"/>
      <c r="D67" s="356">
        <v>0</v>
      </c>
      <c r="E67" s="41" t="s">
        <v>392</v>
      </c>
      <c r="F67" s="62" t="s">
        <v>21</v>
      </c>
      <c r="G67" s="3338"/>
      <c r="H67" s="314"/>
      <c r="I67" s="1295"/>
      <c r="J67" s="2038"/>
      <c r="K67" s="1979">
        <v>2</v>
      </c>
      <c r="L67" s="3349" t="s">
        <v>389</v>
      </c>
      <c r="M67" s="3349"/>
      <c r="N67" s="1328">
        <f>'数据-取费表'!B2</f>
        <v>43018</v>
      </c>
      <c r="O67" s="1328"/>
      <c r="P67" s="1328"/>
      <c r="Q67" s="2031"/>
      <c r="R67" s="2031"/>
      <c r="S67" s="2031"/>
      <c r="T67" s="2031"/>
      <c r="U67" s="2031"/>
      <c r="V67" s="2031"/>
    </row>
    <row r="68" spans="1:22" ht="25.5" customHeight="1">
      <c r="A68" s="357"/>
      <c r="B68" s="3283" t="s">
        <v>394</v>
      </c>
      <c r="C68" s="3283"/>
      <c r="D68" s="358"/>
      <c r="E68" s="77"/>
      <c r="F68" s="359"/>
      <c r="G68" s="3339"/>
      <c r="H68" s="314"/>
      <c r="I68" s="1295"/>
      <c r="J68" s="2038"/>
      <c r="K68" s="1979">
        <v>3</v>
      </c>
      <c r="L68" s="3349" t="s">
        <v>393</v>
      </c>
      <c r="M68" s="3349"/>
      <c r="N68" s="1296">
        <f ca="1">C42</f>
        <v>28456</v>
      </c>
      <c r="O68" s="1296"/>
      <c r="P68" s="1296"/>
      <c r="Q68" s="2031"/>
      <c r="R68" s="2031"/>
      <c r="S68" s="2031"/>
      <c r="T68" s="2031"/>
      <c r="U68" s="2031"/>
      <c r="V68" s="2031"/>
    </row>
    <row r="69" spans="1:22" ht="12" customHeight="1">
      <c r="A69" s="360"/>
      <c r="B69" s="3283" t="s">
        <v>395</v>
      </c>
      <c r="C69" s="3283"/>
      <c r="D69" s="361"/>
      <c r="E69" s="73"/>
      <c r="F69" s="359"/>
      <c r="G69" s="3340"/>
      <c r="H69" s="314"/>
      <c r="I69" s="1295"/>
      <c r="J69" s="2038"/>
      <c r="K69" s="1297">
        <v>4</v>
      </c>
      <c r="L69" s="3354" t="s">
        <v>2889</v>
      </c>
      <c r="M69" s="3355"/>
      <c r="N69" s="1298">
        <f ca="1">C44</f>
        <v>28456</v>
      </c>
      <c r="O69" s="1298"/>
      <c r="P69" s="1298"/>
      <c r="Q69" s="2031"/>
      <c r="R69" s="2031"/>
      <c r="S69" s="2031"/>
      <c r="T69" s="2031"/>
      <c r="U69" s="2031"/>
      <c r="V69" s="2031"/>
    </row>
    <row r="70" spans="1:22" ht="24" customHeight="1">
      <c r="A70" s="362" t="s">
        <v>396</v>
      </c>
      <c r="B70" s="3283" t="s">
        <v>397</v>
      </c>
      <c r="C70" s="3283"/>
      <c r="D70" s="361">
        <f ca="1">ROUND(D63*'数据-取费表'!B41/(1+'数据-取费表'!C42),0)</f>
        <v>1014</v>
      </c>
      <c r="E70" s="17" t="s">
        <v>398</v>
      </c>
      <c r="F70" s="363">
        <f>'数据-取费表'!B41</f>
        <v>6.2719999999999998E-2</v>
      </c>
      <c r="G70" s="364"/>
      <c r="H70" s="314"/>
      <c r="I70" s="1295"/>
      <c r="J70" s="2038"/>
      <c r="K70" s="3093"/>
      <c r="L70" s="3094"/>
      <c r="M70" s="3094"/>
      <c r="N70" s="3095" t="s">
        <v>2894</v>
      </c>
      <c r="O70" s="3094"/>
      <c r="P70" s="3096"/>
      <c r="Q70" s="2031"/>
      <c r="R70" s="2031"/>
      <c r="S70" s="2031"/>
      <c r="T70" s="2031"/>
      <c r="U70" s="2031"/>
      <c r="V70" s="2031"/>
    </row>
    <row r="71" spans="1:22" ht="12" customHeight="1">
      <c r="A71" s="362" t="s">
        <v>404</v>
      </c>
      <c r="B71" s="3284" t="s">
        <v>405</v>
      </c>
      <c r="C71" s="3285"/>
      <c r="D71" s="361">
        <f ca="1">ROUND(D63*'数据-取费表'!B41/(1+'数据-取费表'!C42),0)</f>
        <v>1014</v>
      </c>
      <c r="E71" s="17" t="s">
        <v>398</v>
      </c>
      <c r="F71" s="363">
        <f>'数据-取费表'!B41</f>
        <v>6.2719999999999998E-2</v>
      </c>
      <c r="G71" s="364"/>
      <c r="H71" s="314"/>
      <c r="I71" s="1295"/>
      <c r="J71" s="2038"/>
      <c r="K71" s="3092" t="s">
        <v>399</v>
      </c>
      <c r="L71" s="3356" t="s">
        <v>400</v>
      </c>
      <c r="M71" s="3356"/>
      <c r="N71" s="3092" t="s">
        <v>401</v>
      </c>
      <c r="O71" s="3092" t="s">
        <v>402</v>
      </c>
      <c r="P71" s="3092" t="s">
        <v>403</v>
      </c>
      <c r="Q71" s="2031"/>
      <c r="R71" s="2031"/>
      <c r="S71" s="2031"/>
      <c r="T71" s="2031"/>
      <c r="U71" s="2031"/>
      <c r="V71" s="2031"/>
    </row>
    <row r="72" spans="1:22" ht="12" customHeight="1">
      <c r="A72" s="362" t="s">
        <v>407</v>
      </c>
      <c r="B72" s="3284" t="s">
        <v>408</v>
      </c>
      <c r="C72" s="3285"/>
      <c r="D72" s="361">
        <f ca="1">C86</f>
        <v>889</v>
      </c>
      <c r="E72" s="73" t="s">
        <v>409</v>
      </c>
      <c r="F72" s="363">
        <f>'数据-取费表'!B41</f>
        <v>6.2719999999999998E-2</v>
      </c>
      <c r="G72" s="364"/>
      <c r="H72" s="1301"/>
      <c r="I72" s="1295"/>
      <c r="J72" s="2038"/>
      <c r="K72" s="1979">
        <v>1</v>
      </c>
      <c r="L72" s="3331" t="s">
        <v>406</v>
      </c>
      <c r="M72" s="3331"/>
      <c r="N72" s="1299">
        <f ca="1">D66</f>
        <v>1014</v>
      </c>
      <c r="O72" s="1862" t="str">
        <f>E66</f>
        <v>销售额×税（费）率</v>
      </c>
      <c r="P72" s="1300">
        <f>F66</f>
        <v>6.2719999999999998E-2</v>
      </c>
      <c r="Q72" s="2031"/>
      <c r="R72" s="2031"/>
      <c r="S72" s="2031"/>
      <c r="T72" s="2031"/>
      <c r="U72" s="2031"/>
      <c r="V72" s="2031"/>
    </row>
    <row r="73" spans="1:22" ht="24" customHeight="1">
      <c r="A73" s="3325" t="s">
        <v>411</v>
      </c>
      <c r="B73" s="3293"/>
      <c r="C73" s="3293"/>
      <c r="D73" s="365">
        <f>IF(H73="个人住宅",0,ROUND(D63*I73,0))</f>
        <v>0</v>
      </c>
      <c r="E73" s="17" t="s">
        <v>412</v>
      </c>
      <c r="F73" s="363" t="str">
        <f>IF(H73="正常",I73,"免征")</f>
        <v>免征</v>
      </c>
      <c r="G73" s="364"/>
      <c r="H73" s="191" t="s">
        <v>2458</v>
      </c>
      <c r="I73" s="363">
        <f>'数据-取费表'!B49</f>
        <v>5.0000000000000001E-4</v>
      </c>
      <c r="J73" s="2038"/>
      <c r="K73" s="1979">
        <v>2</v>
      </c>
      <c r="L73" s="3331" t="s">
        <v>410</v>
      </c>
      <c r="M73" s="3331"/>
      <c r="N73" s="1299">
        <f t="shared" ref="N73:P74" si="1">D73</f>
        <v>0</v>
      </c>
      <c r="O73" s="1862" t="str">
        <f t="shared" si="1"/>
        <v>销售额×税（费）率</v>
      </c>
      <c r="P73" s="1300" t="str">
        <f t="shared" si="1"/>
        <v>免征</v>
      </c>
      <c r="Q73" s="2031"/>
      <c r="R73" s="2031"/>
      <c r="S73" s="2031"/>
      <c r="T73" s="2031"/>
      <c r="U73" s="2031"/>
      <c r="V73" s="2031"/>
    </row>
    <row r="74" spans="1:22" ht="24.75">
      <c r="A74" s="3325" t="s">
        <v>415</v>
      </c>
      <c r="B74" s="3293"/>
      <c r="C74" s="3293"/>
      <c r="D74" s="365">
        <f ca="1">IF(H74="个人住宅",D75,D76)</f>
        <v>8938</v>
      </c>
      <c r="E74" s="17" t="s">
        <v>416</v>
      </c>
      <c r="F74" s="363" t="str">
        <f>IF(H74="正常",F76,"免征")</f>
        <v>——</v>
      </c>
      <c r="G74" s="986" t="s">
        <v>417</v>
      </c>
      <c r="H74" s="366" t="s">
        <v>413</v>
      </c>
      <c r="I74" s="42"/>
      <c r="J74" s="2038"/>
      <c r="K74" s="1979">
        <v>3</v>
      </c>
      <c r="L74" s="3331" t="s">
        <v>414</v>
      </c>
      <c r="M74" s="3331"/>
      <c r="N74" s="1299">
        <f t="shared" ca="1" si="1"/>
        <v>8938</v>
      </c>
      <c r="O74" s="1862" t="str">
        <f t="shared" si="1"/>
        <v>增值额×税（费）率</v>
      </c>
      <c r="P74" s="1302" t="str">
        <f t="shared" si="1"/>
        <v>——</v>
      </c>
      <c r="Q74" s="2031"/>
      <c r="R74" s="2031"/>
      <c r="S74" s="2031"/>
      <c r="T74" s="2031"/>
      <c r="U74" s="2031"/>
      <c r="V74" s="2031"/>
    </row>
    <row r="75" spans="1:22" ht="24">
      <c r="A75" s="362" t="s">
        <v>418</v>
      </c>
      <c r="B75" s="3281" t="s">
        <v>419</v>
      </c>
      <c r="C75" s="3311"/>
      <c r="D75" s="367">
        <v>0</v>
      </c>
      <c r="E75" s="41" t="s">
        <v>420</v>
      </c>
      <c r="F75" s="368"/>
      <c r="G75" s="364"/>
      <c r="H75" s="42"/>
      <c r="I75" s="42"/>
      <c r="J75" s="2038"/>
      <c r="K75" s="3085">
        <f>IF(H77="非个人房产","",4)</f>
        <v>4</v>
      </c>
      <c r="L75" s="3331" t="str">
        <f>IF(H77="非个人房产","——","个人所得税")</f>
        <v>个人所得税</v>
      </c>
      <c r="M75" s="3331"/>
      <c r="N75" s="1303">
        <f ca="1">D77</f>
        <v>171</v>
      </c>
      <c r="O75" s="1875" t="str">
        <f>E77</f>
        <v>销售额×税（费）率</v>
      </c>
      <c r="P75" s="1304">
        <f>F77</f>
        <v>0.01</v>
      </c>
      <c r="Q75" s="2031"/>
      <c r="R75" s="2031"/>
      <c r="S75" s="2031"/>
      <c r="T75" s="2031"/>
      <c r="U75" s="2031"/>
      <c r="V75" s="2031"/>
    </row>
    <row r="76" spans="1:22" ht="24.75">
      <c r="A76" s="362" t="s">
        <v>396</v>
      </c>
      <c r="B76" s="3281" t="s">
        <v>422</v>
      </c>
      <c r="C76" s="3282"/>
      <c r="D76" s="365">
        <f ca="1">IF(H76="转让取得",C99,C115)</f>
        <v>8938</v>
      </c>
      <c r="E76" s="17" t="s">
        <v>423</v>
      </c>
      <c r="F76" s="53" t="s">
        <v>21</v>
      </c>
      <c r="G76" s="364"/>
      <c r="H76" s="366" t="s">
        <v>424</v>
      </c>
      <c r="I76" s="42"/>
      <c r="J76" s="2038"/>
      <c r="K76" s="3085" t="str">
        <f>IF(项目基本情况!K6="上海银行",IF(K75="",4,K75+1),"")</f>
        <v/>
      </c>
      <c r="L76" s="3342" t="str">
        <f>IF(项目基本情况!K6="上海银行","其他处置费用","")</f>
        <v/>
      </c>
      <c r="M76" s="3343"/>
      <c r="N76" s="1299" t="str">
        <f>IF(项目基本情况!K6="上海银行",N89,"")</f>
        <v/>
      </c>
      <c r="O76" s="3344" t="str">
        <f>IF(项目基本情况!K6="上海银行","包含处置中涉及的律师、诉讼、拍卖、评估等费用","")</f>
        <v/>
      </c>
      <c r="P76" s="3345"/>
      <c r="Q76" s="2031"/>
      <c r="R76" s="2031"/>
      <c r="S76" s="2031"/>
      <c r="T76" s="2031"/>
      <c r="U76" s="2031"/>
      <c r="V76" s="2031"/>
    </row>
    <row r="77" spans="1:22" ht="26.25" thickBot="1">
      <c r="A77" s="3333" t="s">
        <v>426</v>
      </c>
      <c r="B77" s="3334"/>
      <c r="C77" s="3334"/>
      <c r="D77" s="369">
        <f ca="1">IF(H77="非个人房产","——",IF(H77="个人住宅",0,ROUND(D63*I77,0)))</f>
        <v>171</v>
      </c>
      <c r="E77" s="370" t="str">
        <f>IF(H77="非个人房产","——","销售额×税（费）率")</f>
        <v>销售额×税（费）率</v>
      </c>
      <c r="F77" s="371">
        <f>IF(H77="非个人房产","——",IF(H77="个人住宅","免征",I77))</f>
        <v>0.01</v>
      </c>
      <c r="G77" s="987" t="s">
        <v>417</v>
      </c>
      <c r="H77" s="366" t="s">
        <v>2890</v>
      </c>
      <c r="I77" s="372">
        <v>0.01</v>
      </c>
      <c r="J77" s="2038"/>
      <c r="K77" s="3332">
        <f>IF(AND(K75="",K76=""),4,IF(项目基本情况!K6="上海银行",K76+1,K75+1))</f>
        <v>5</v>
      </c>
      <c r="L77" s="3331" t="s">
        <v>2891</v>
      </c>
      <c r="M77" s="3091" t="s">
        <v>421</v>
      </c>
      <c r="N77" s="1305"/>
      <c r="O77" s="1306">
        <f ca="1">SUMIF(N72:N76,"&lt;9e307")</f>
        <v>10123</v>
      </c>
      <c r="P77" s="1307"/>
      <c r="Q77" s="3089">
        <f ca="1">O77/N69</f>
        <v>0.35574219848186672</v>
      </c>
      <c r="R77" s="2031"/>
      <c r="S77" s="2031"/>
      <c r="T77" s="2031"/>
      <c r="U77" s="2031"/>
      <c r="V77" s="2031"/>
    </row>
    <row r="78" spans="1:22" ht="12" customHeight="1">
      <c r="A78" s="1308"/>
      <c r="B78" s="314"/>
      <c r="C78" s="314"/>
      <c r="D78" s="314"/>
      <c r="E78" s="42"/>
      <c r="F78" s="42"/>
      <c r="G78" s="42"/>
      <c r="H78" s="1006"/>
      <c r="I78" s="314"/>
      <c r="J78" s="2038"/>
      <c r="K78" s="3332"/>
      <c r="L78" s="3331"/>
      <c r="M78" s="3091" t="s">
        <v>425</v>
      </c>
      <c r="N78" s="1305"/>
      <c r="O78" s="1306" t="str">
        <f ca="1">NUMBERSTRING(INT(O77*10000),2)&amp;"元整"</f>
        <v>壹亿零壹佰贰拾叁万元整</v>
      </c>
      <c r="P78" s="1307"/>
      <c r="Q78" s="2031"/>
      <c r="R78" s="2031"/>
      <c r="S78" s="2031"/>
      <c r="T78" s="2031"/>
      <c r="U78" s="2031"/>
      <c r="V78" s="2031"/>
    </row>
    <row r="79" spans="1:22" ht="13.5" thickBot="1">
      <c r="A79" s="3326" t="s">
        <v>427</v>
      </c>
      <c r="B79" s="3326"/>
      <c r="C79" s="3326"/>
      <c r="D79" s="3326"/>
      <c r="E79" s="3326"/>
      <c r="F79" s="42"/>
      <c r="G79" s="42"/>
      <c r="H79" s="1006"/>
      <c r="I79" s="314"/>
      <c r="J79" s="2038"/>
      <c r="K79" s="3352">
        <f>K77+1</f>
        <v>6</v>
      </c>
      <c r="L79" s="3331" t="s">
        <v>2892</v>
      </c>
      <c r="M79" s="3091" t="s">
        <v>421</v>
      </c>
      <c r="N79" s="1305"/>
      <c r="O79" s="1306">
        <f ca="1">N69-O77</f>
        <v>18333</v>
      </c>
      <c r="P79" s="1307"/>
      <c r="Q79" s="2031"/>
      <c r="R79" s="2031"/>
      <c r="S79" s="2031"/>
      <c r="T79" s="2031"/>
      <c r="U79" s="2031"/>
      <c r="V79" s="2031"/>
    </row>
    <row r="80" spans="1:22" ht="25.5">
      <c r="A80" s="3321" t="s">
        <v>428</v>
      </c>
      <c r="B80" s="3322"/>
      <c r="C80" s="997"/>
      <c r="D80" s="997" t="s">
        <v>429</v>
      </c>
      <c r="E80" s="373" t="s">
        <v>430</v>
      </c>
      <c r="F80" s="42"/>
      <c r="G80" s="42"/>
      <c r="H80" s="1006"/>
      <c r="I80" s="314"/>
      <c r="J80" s="2031"/>
      <c r="K80" s="3353"/>
      <c r="L80" s="3331"/>
      <c r="M80" s="3091" t="s">
        <v>425</v>
      </c>
      <c r="N80" s="1305"/>
      <c r="O80" s="1306" t="str">
        <f ca="1">NUMBERSTRING(INT(O79*10000),2)&amp;"元整"</f>
        <v>壹亿捌仟叁佰叁拾叁万元整</v>
      </c>
      <c r="P80" s="1307"/>
      <c r="Q80" s="2031"/>
      <c r="R80" s="2031"/>
      <c r="S80" s="2031"/>
      <c r="T80" s="2031"/>
      <c r="U80" s="2031"/>
      <c r="V80" s="2031"/>
    </row>
    <row r="81" spans="1:26" ht="13.5" thickBot="1">
      <c r="A81" s="384" t="s">
        <v>1825</v>
      </c>
      <c r="B81" s="374" t="s">
        <v>431</v>
      </c>
      <c r="C81" s="375">
        <f ca="1">ROUND((C82+C83)/(1+'数据-取费表'!C42),0)</f>
        <v>16169</v>
      </c>
      <c r="D81" s="376"/>
      <c r="E81" s="377"/>
      <c r="F81" s="42"/>
      <c r="G81" s="42"/>
      <c r="H81" s="1006"/>
      <c r="I81" s="314"/>
      <c r="J81" s="2031"/>
      <c r="K81" s="3085">
        <f>K79+1</f>
        <v>7</v>
      </c>
      <c r="L81" s="3329" t="s">
        <v>2893</v>
      </c>
      <c r="M81" s="3330"/>
      <c r="N81" s="1309"/>
      <c r="O81" s="1310">
        <f ca="1">ROUND(O79*10000/'数据-汇总表'!E3,0)</f>
        <v>1686</v>
      </c>
      <c r="P81" s="1311"/>
      <c r="Q81" s="2031"/>
      <c r="R81" s="2031"/>
      <c r="S81" s="2031"/>
      <c r="T81" s="2031"/>
      <c r="U81" s="2031"/>
      <c r="V81" s="2031"/>
    </row>
    <row r="82" spans="1:26" ht="13.5" thickTop="1">
      <c r="A82" s="378" t="s">
        <v>1826</v>
      </c>
      <c r="B82" s="379" t="s">
        <v>432</v>
      </c>
      <c r="C82" s="380">
        <f ca="1">D63</f>
        <v>17074</v>
      </c>
      <c r="D82" s="381" t="s">
        <v>19</v>
      </c>
      <c r="E82" s="382"/>
      <c r="F82" s="42"/>
      <c r="G82" s="42"/>
      <c r="H82" s="1006"/>
      <c r="I82" s="314"/>
      <c r="J82" s="2031"/>
      <c r="K82" s="2031"/>
      <c r="L82" s="2031"/>
      <c r="M82" s="2031"/>
      <c r="N82" s="2031"/>
      <c r="O82" s="2031"/>
      <c r="P82" s="2031"/>
      <c r="Q82" s="2031"/>
      <c r="R82" s="2031"/>
      <c r="S82" s="2031"/>
      <c r="T82" s="2031"/>
      <c r="U82" s="2031"/>
      <c r="V82" s="2031"/>
    </row>
    <row r="83" spans="1:26" ht="12.75">
      <c r="A83" s="378" t="s">
        <v>1827</v>
      </c>
      <c r="B83" s="379" t="s">
        <v>433</v>
      </c>
      <c r="C83" s="383">
        <v>0</v>
      </c>
      <c r="D83" s="381"/>
      <c r="E83" s="382"/>
      <c r="F83" s="42"/>
      <c r="G83" s="42"/>
      <c r="H83" s="1006"/>
      <c r="I83" s="314"/>
      <c r="J83" s="2031"/>
      <c r="K83" s="3341" t="s">
        <v>2880</v>
      </c>
      <c r="L83" s="3097" t="s">
        <v>2881</v>
      </c>
      <c r="M83" s="3087">
        <f ca="1">IF(N69&gt;10000,N69*0.5%,IF(AND(N69&gt;1000,N69&lt;=10000),N69*1%,IF(AND(N69&gt;100,N69&lt;=1000),N69*3%,IF(AND(N69&gt;10,N69&lt;=100),N69*5%,N69*8%))))</f>
        <v>142.28</v>
      </c>
      <c r="N83" s="53">
        <f ca="1">ROUND(M83,1)</f>
        <v>142.30000000000001</v>
      </c>
      <c r="O83" s="3090"/>
      <c r="P83" s="2031"/>
      <c r="Q83" s="2031"/>
      <c r="R83" s="2031"/>
      <c r="S83" s="2031"/>
      <c r="T83" s="2031"/>
      <c r="U83" s="2031"/>
      <c r="V83" s="2031"/>
    </row>
    <row r="84" spans="1:26" ht="12.75">
      <c r="A84" s="384" t="s">
        <v>1828</v>
      </c>
      <c r="B84" s="385" t="s">
        <v>434</v>
      </c>
      <c r="C84" s="386">
        <v>2000</v>
      </c>
      <c r="D84" s="387" t="s">
        <v>19</v>
      </c>
      <c r="E84" s="3132" t="s">
        <v>2946</v>
      </c>
      <c r="F84" s="42"/>
      <c r="G84" s="42"/>
      <c r="H84" s="1006"/>
      <c r="I84" s="314"/>
      <c r="J84" s="2031"/>
      <c r="K84" s="3341"/>
      <c r="L84" s="3097" t="s">
        <v>2882</v>
      </c>
      <c r="M84" s="3087">
        <f ca="1">IF(N69&gt;2000,N69*0.5%,IF(AND(N69&gt;1000,N69&lt;=2000),N69*0.6%,IF(AND(N69&gt;500,N69&lt;=1000),N69*0.7%,IF(AND(N69&gt;200,N69&lt;=500),N69*0.8%,IF(AND(N69&gt;100,N69&lt;=200),N69*0.9%,IF(AND(N69&gt;50,N69&lt;=100),N69*1%,IF(AND(N69&gt;20,N69&lt;=50),N69*1.5%,IF(AND(N69&gt;10,N69&lt;=20),N69*2%,IF(AND(N69&gt;1,N69&lt;=10),N69*2.5%)))))))))</f>
        <v>142.28</v>
      </c>
      <c r="N84" s="53">
        <f t="shared" ref="N84:N85" ca="1" si="2">ROUND(M84,1)</f>
        <v>142.30000000000001</v>
      </c>
      <c r="O84" s="2031" t="s">
        <v>2883</v>
      </c>
      <c r="P84" s="2031"/>
      <c r="Q84" s="2031"/>
      <c r="R84" s="2031"/>
      <c r="S84" s="2031"/>
      <c r="T84" s="2031"/>
      <c r="U84" s="2031"/>
      <c r="V84" s="2031"/>
    </row>
    <row r="85" spans="1:26" ht="12.75">
      <c r="A85" s="384" t="s">
        <v>1829</v>
      </c>
      <c r="B85" s="385" t="s">
        <v>435</v>
      </c>
      <c r="C85" s="388">
        <f ca="1">C81-C84</f>
        <v>14169</v>
      </c>
      <c r="D85" s="381" t="s">
        <v>19</v>
      </c>
      <c r="E85" s="382"/>
      <c r="F85" s="42"/>
      <c r="G85" s="42"/>
      <c r="H85" s="1006"/>
      <c r="I85" s="314"/>
      <c r="J85" s="2031"/>
      <c r="K85" s="3341"/>
      <c r="L85" s="3097" t="s">
        <v>2884</v>
      </c>
      <c r="M85" s="3087">
        <f ca="1">IF(N69&gt;1000,N69*0.1%,IF(AND(N69&gt;500,N69&lt;=1000),N69*0.5%,IF(AND(N69&gt;50,N69&lt;=500),N69*1%,IF(AND(N69&gt;1,N69&lt;=50),N69*1.5%))))</f>
        <v>28.456</v>
      </c>
      <c r="N85" s="53">
        <f t="shared" ca="1" si="2"/>
        <v>28.5</v>
      </c>
      <c r="O85" s="2031" t="s">
        <v>2883</v>
      </c>
      <c r="P85" s="2031"/>
      <c r="Q85" s="2031"/>
      <c r="R85" s="2031"/>
      <c r="S85" s="2031"/>
      <c r="T85" s="2031"/>
      <c r="U85" s="2031"/>
      <c r="V85" s="2031"/>
    </row>
    <row r="86" spans="1:26" ht="13.5" thickBot="1">
      <c r="A86" s="389" t="s">
        <v>1830</v>
      </c>
      <c r="B86" s="390" t="s">
        <v>436</v>
      </c>
      <c r="C86" s="391">
        <f ca="1">IF(C85&lt;=0,0,ROUND(C85*D86,0))</f>
        <v>889</v>
      </c>
      <c r="D86" s="392">
        <f>'数据-取费表'!B41</f>
        <v>6.2719999999999998E-2</v>
      </c>
      <c r="E86" s="393"/>
      <c r="F86" s="42"/>
      <c r="G86" s="42"/>
      <c r="H86" s="1006"/>
      <c r="I86" s="314"/>
      <c r="J86" s="2031"/>
      <c r="K86" s="3341"/>
      <c r="L86" s="3097" t="s">
        <v>2885</v>
      </c>
      <c r="M86" s="3087">
        <f ca="1">N69*0.5%</f>
        <v>142.28</v>
      </c>
      <c r="N86" s="53">
        <f ca="1">IF(M86&gt;0.5,0.5,ROUND(M86,0))</f>
        <v>0.5</v>
      </c>
      <c r="O86" s="2031" t="s">
        <v>2886</v>
      </c>
      <c r="P86" s="2031"/>
      <c r="Q86" s="2031"/>
      <c r="R86" s="2031"/>
      <c r="S86" s="2031"/>
      <c r="T86" s="2031"/>
      <c r="U86" s="2031"/>
      <c r="V86" s="2031"/>
    </row>
    <row r="87" spans="1:26" s="1257" customFormat="1" ht="14.25" customHeight="1">
      <c r="A87" s="1312"/>
      <c r="B87" s="1313"/>
      <c r="C87" s="1314"/>
      <c r="D87" s="1315"/>
      <c r="E87" s="1316"/>
      <c r="F87" s="42"/>
      <c r="G87" s="42"/>
      <c r="H87" s="1006"/>
      <c r="I87" s="314"/>
      <c r="J87" s="2031"/>
      <c r="K87" s="3341"/>
      <c r="L87" s="3097" t="s">
        <v>2887</v>
      </c>
      <c r="M87" s="3087">
        <f ca="1">IF(N69&gt;=10000,(8.25+(N69-10000)*0.01%),IF(AND(N69&gt;=8000,N69&lt;10000),(7.85+(N69-8000)*0.02%),IF(AND(N69&gt;=5000,N69&lt;8000),(6.65+(N69-5000)*0.04%),IF(AND(N69&gt;=2000,N69&lt;5000),(4.25+(PN69-2000)*0.08%),IF(AND(N69&gt;=1000,N69&lt;2000),(2.75+(N69-1000)*0.15%),IF(AND(N69&gt;=100,N69&lt;1000),(0.5+(N69-100)*0.25%),IF(AND(N69&gt;0,N69&lt;100),N69*0.5%)))))))</f>
        <v>10.095600000000001</v>
      </c>
      <c r="N87" s="53">
        <f ca="1">ROUND(M87*0.9,1)</f>
        <v>9.1</v>
      </c>
      <c r="O87" s="3090"/>
      <c r="P87" s="314"/>
      <c r="Q87" s="2031"/>
      <c r="R87" s="2031"/>
      <c r="S87" s="2031"/>
      <c r="T87" s="2031"/>
      <c r="U87" s="2031"/>
      <c r="V87" s="2031"/>
      <c r="W87" s="292"/>
      <c r="X87" s="292"/>
      <c r="Y87" s="292"/>
      <c r="Z87" s="292"/>
    </row>
    <row r="88" spans="1:26" s="1317" customFormat="1" ht="15" thickBot="1">
      <c r="A88" s="3323" t="s">
        <v>437</v>
      </c>
      <c r="B88" s="3324"/>
      <c r="C88" s="3324"/>
      <c r="D88" s="3324"/>
      <c r="E88" s="3324"/>
      <c r="F88" s="3324"/>
      <c r="G88" s="3324"/>
      <c r="H88" s="3324"/>
      <c r="I88" s="1318"/>
      <c r="J88" s="2039"/>
      <c r="K88" s="3341"/>
      <c r="L88" s="3097" t="s">
        <v>2888</v>
      </c>
      <c r="M88" s="3087">
        <f ca="1">IF(N69&gt;10000,N69*0.5%,IF(AND(N69&gt;5000,N69&lt;=10000),N69*1%,IF(AND(N69&gt;1000,N69&lt;=5000),N69*2%,IF(AND(N69&gt;200,N69&lt;=1000),N69*3%,N69*5%))))</f>
        <v>142.28</v>
      </c>
      <c r="N88" s="53">
        <f ca="1">ROUND(M88,1)</f>
        <v>142.30000000000001</v>
      </c>
      <c r="O88" s="3090"/>
      <c r="P88" s="11"/>
      <c r="Q88" s="2036"/>
      <c r="R88" s="2036"/>
      <c r="S88" s="2036"/>
      <c r="T88" s="2036"/>
      <c r="U88" s="2036"/>
      <c r="V88" s="2036"/>
      <c r="W88" s="2040"/>
      <c r="X88" s="2040"/>
      <c r="Y88" s="2040"/>
      <c r="Z88" s="2040"/>
    </row>
    <row r="89" spans="1:26" s="1317" customFormat="1" ht="14.25">
      <c r="A89" s="3321" t="s">
        <v>428</v>
      </c>
      <c r="B89" s="3322"/>
      <c r="C89" s="997"/>
      <c r="D89" s="997" t="s">
        <v>429</v>
      </c>
      <c r="E89" s="394" t="s">
        <v>438</v>
      </c>
      <c r="F89" s="395"/>
      <c r="G89" s="395"/>
      <c r="H89" s="396"/>
      <c r="I89" s="1319"/>
      <c r="J89" s="2041"/>
      <c r="K89" s="3341"/>
      <c r="L89" s="3097" t="s">
        <v>27</v>
      </c>
      <c r="M89" s="3088"/>
      <c r="N89" s="53">
        <f ca="1">ROUND(SUM(N83:N88),0)</f>
        <v>465</v>
      </c>
      <c r="O89" s="3098">
        <f ca="1">N89/N69</f>
        <v>1.6341017711554683E-2</v>
      </c>
      <c r="P89" s="2036"/>
      <c r="Q89" s="2036"/>
      <c r="R89" s="2036"/>
      <c r="S89" s="2036"/>
      <c r="T89" s="2036"/>
      <c r="U89" s="2036"/>
      <c r="V89" s="2036"/>
      <c r="W89" s="2040"/>
      <c r="X89" s="2040"/>
      <c r="Y89" s="2040"/>
      <c r="Z89" s="2040"/>
    </row>
    <row r="90" spans="1:26" s="1317" customFormat="1" ht="14.25">
      <c r="A90" s="384" t="s">
        <v>1825</v>
      </c>
      <c r="B90" s="385" t="s">
        <v>439</v>
      </c>
      <c r="C90" s="388">
        <f ca="1">ROUND(D63/(1+'数据-取费表'!C42),0)</f>
        <v>16169</v>
      </c>
      <c r="D90" s="381" t="s">
        <v>19</v>
      </c>
      <c r="E90" s="994"/>
      <c r="F90" s="993"/>
      <c r="G90" s="993"/>
      <c r="H90" s="397"/>
      <c r="I90" s="1319"/>
      <c r="J90" s="2041"/>
      <c r="K90" s="2036"/>
      <c r="L90" s="2036"/>
      <c r="M90" s="2036"/>
      <c r="N90" s="2036"/>
      <c r="O90" s="2036"/>
      <c r="P90" s="2036"/>
      <c r="Q90" s="2036"/>
      <c r="R90" s="2036"/>
      <c r="S90" s="2036"/>
      <c r="T90" s="2036"/>
      <c r="U90" s="2036"/>
      <c r="V90" s="2036"/>
      <c r="W90" s="2040"/>
      <c r="X90" s="2040"/>
      <c r="Y90" s="2040"/>
      <c r="Z90" s="2040"/>
    </row>
    <row r="91" spans="1:26" s="1317" customFormat="1" ht="14.25">
      <c r="A91" s="384" t="s">
        <v>1831</v>
      </c>
      <c r="B91" s="351" t="s">
        <v>440</v>
      </c>
      <c r="C91" s="388">
        <f ca="1">C92+C96</f>
        <v>2690</v>
      </c>
      <c r="D91" s="381" t="s">
        <v>19</v>
      </c>
      <c r="E91" s="994"/>
      <c r="F91" s="993"/>
      <c r="G91" s="993"/>
      <c r="H91" s="397"/>
      <c r="I91" s="1319"/>
      <c r="J91" s="2041"/>
      <c r="K91" s="2036"/>
      <c r="L91" s="2036"/>
      <c r="M91" s="2036"/>
      <c r="N91" s="2036"/>
      <c r="O91" s="2036"/>
      <c r="P91" s="2036"/>
      <c r="Q91" s="2036"/>
      <c r="R91" s="2036"/>
      <c r="S91" s="2036"/>
      <c r="T91" s="2036"/>
      <c r="U91" s="2036"/>
      <c r="V91" s="2036"/>
      <c r="W91" s="2040"/>
      <c r="X91" s="2040"/>
      <c r="Y91" s="2040"/>
      <c r="Z91" s="2040"/>
    </row>
    <row r="92" spans="1:26" s="1317" customFormat="1" ht="24">
      <c r="A92" s="398" t="s">
        <v>1832</v>
      </c>
      <c r="B92" s="379" t="s">
        <v>441</v>
      </c>
      <c r="C92" s="381">
        <f>ROUND(IF(G95="2016年5月1日后购买",C93/(1+'数据-取费表'!C30)+C94+C95,C93+C94+C95),0)</f>
        <v>2581</v>
      </c>
      <c r="D92" s="381" t="s">
        <v>19</v>
      </c>
      <c r="E92" s="994"/>
      <c r="F92" s="993"/>
      <c r="G92" s="993"/>
      <c r="H92" s="397"/>
      <c r="I92" s="1319"/>
      <c r="J92" s="2041"/>
      <c r="K92" s="2036"/>
      <c r="L92" s="2036"/>
      <c r="M92" s="2036"/>
      <c r="N92" s="2036"/>
      <c r="O92" s="2036"/>
      <c r="P92" s="2036"/>
      <c r="Q92" s="2036"/>
      <c r="R92" s="2036"/>
      <c r="S92" s="2036"/>
      <c r="T92" s="2036"/>
      <c r="U92" s="2036"/>
      <c r="V92" s="2036"/>
      <c r="W92" s="2040"/>
      <c r="X92" s="2040"/>
      <c r="Y92" s="2040"/>
      <c r="Z92" s="2040"/>
    </row>
    <row r="93" spans="1:26" s="1317" customFormat="1" ht="14.25">
      <c r="A93" s="398" t="s">
        <v>1833</v>
      </c>
      <c r="B93" s="379" t="s">
        <v>442</v>
      </c>
      <c r="C93" s="399">
        <v>2000</v>
      </c>
      <c r="D93" s="381" t="s">
        <v>19</v>
      </c>
      <c r="E93" s="400" t="s">
        <v>443</v>
      </c>
      <c r="F93" s="401" t="s">
        <v>444</v>
      </c>
      <c r="G93" s="400" t="s">
        <v>445</v>
      </c>
      <c r="H93" s="402">
        <v>5</v>
      </c>
      <c r="I93" s="11"/>
      <c r="J93" s="2036"/>
      <c r="K93" s="2036"/>
      <c r="L93" s="2036"/>
      <c r="M93" s="2036"/>
      <c r="N93" s="2036"/>
      <c r="O93" s="2036"/>
      <c r="P93" s="2036"/>
      <c r="Q93" s="2036"/>
      <c r="R93" s="2036"/>
      <c r="S93" s="2036"/>
      <c r="T93" s="2036"/>
      <c r="U93" s="2036"/>
      <c r="V93" s="2036"/>
      <c r="W93" s="2040"/>
      <c r="X93" s="2040"/>
      <c r="Y93" s="2040"/>
      <c r="Z93" s="2040"/>
    </row>
    <row r="94" spans="1:26" s="1317" customFormat="1" ht="24.75" customHeight="1">
      <c r="A94" s="398" t="s">
        <v>1834</v>
      </c>
      <c r="B94" s="403" t="s">
        <v>446</v>
      </c>
      <c r="C94" s="381">
        <f>IF(F93="购房发票",ROUND(C93*H93*5%,0),0)</f>
        <v>500</v>
      </c>
      <c r="D94" s="404">
        <v>0.05</v>
      </c>
      <c r="E94" s="3284" t="s">
        <v>447</v>
      </c>
      <c r="F94" s="3283"/>
      <c r="G94" s="3283"/>
      <c r="H94" s="3320"/>
      <c r="I94" s="1319"/>
      <c r="J94" s="2041"/>
      <c r="K94" s="2036"/>
      <c r="L94" s="2036"/>
      <c r="M94" s="2036"/>
      <c r="N94" s="2036"/>
      <c r="O94" s="2036"/>
      <c r="P94" s="2036"/>
      <c r="Q94" s="2036"/>
      <c r="R94" s="2036"/>
      <c r="S94" s="2036"/>
      <c r="T94" s="2036"/>
      <c r="U94" s="2036"/>
      <c r="V94" s="2036"/>
      <c r="W94" s="2040"/>
      <c r="X94" s="2040"/>
      <c r="Y94" s="2040"/>
      <c r="Z94" s="2040"/>
    </row>
    <row r="95" spans="1:26" s="1317" customFormat="1" ht="24.75" customHeight="1">
      <c r="A95" s="398" t="s">
        <v>1835</v>
      </c>
      <c r="B95" s="379" t="s">
        <v>448</v>
      </c>
      <c r="C95" s="381">
        <f>ROUND(IF(G95="个人买卖住房",0,IF(G95="2016年5月1日前购买",C93*D95,C93*D95/(1+'数据-取费表'!C42))),0)</f>
        <v>81</v>
      </c>
      <c r="D95" s="405">
        <f>'数据-取费表'!B48+'数据-取费表'!B49</f>
        <v>4.0500000000000001E-2</v>
      </c>
      <c r="E95" s="26" t="s">
        <v>449</v>
      </c>
      <c r="F95" s="406"/>
      <c r="G95" s="407" t="s">
        <v>2431</v>
      </c>
      <c r="H95" s="1002" t="str">
        <f>IF(G95="个人买卖住房","免征印花税"," ")</f>
        <v/>
      </c>
      <c r="I95" s="1319"/>
      <c r="J95" s="2041"/>
      <c r="K95" s="2036"/>
      <c r="L95" s="2036"/>
      <c r="M95" s="2036"/>
      <c r="N95" s="2036"/>
      <c r="O95" s="2036"/>
      <c r="P95" s="2036"/>
      <c r="Q95" s="2036"/>
      <c r="R95" s="2036"/>
      <c r="S95" s="2036"/>
      <c r="T95" s="2036"/>
      <c r="U95" s="2036"/>
      <c r="V95" s="2036"/>
      <c r="W95" s="2040"/>
      <c r="X95" s="2040"/>
      <c r="Y95" s="2040"/>
      <c r="Z95" s="2040"/>
    </row>
    <row r="96" spans="1:26" s="1317" customFormat="1" ht="24.75" customHeight="1">
      <c r="A96" s="398" t="s">
        <v>1836</v>
      </c>
      <c r="B96" s="379" t="s">
        <v>450</v>
      </c>
      <c r="C96" s="408">
        <f ca="1">ROUND(D63*D96/(1+'数据-取费表'!C42),0)</f>
        <v>109</v>
      </c>
      <c r="D96" s="409">
        <f>'数据-取费表'!B43</f>
        <v>6.7200000000000003E-3</v>
      </c>
      <c r="E96" s="3312" t="s">
        <v>2430</v>
      </c>
      <c r="F96" s="3313"/>
      <c r="G96" s="3313"/>
      <c r="H96" s="3314"/>
      <c r="I96" s="1320"/>
      <c r="J96" s="2042"/>
      <c r="K96" s="2036"/>
      <c r="L96" s="2036"/>
      <c r="M96" s="2036"/>
      <c r="N96" s="2036"/>
      <c r="O96" s="2036"/>
      <c r="P96" s="2036"/>
      <c r="Q96" s="2036"/>
      <c r="R96" s="2036"/>
      <c r="S96" s="2036"/>
      <c r="T96" s="2036"/>
      <c r="U96" s="2036"/>
      <c r="V96" s="2036"/>
      <c r="W96" s="2040"/>
      <c r="X96" s="2040"/>
      <c r="Y96" s="2040"/>
      <c r="Z96" s="2040"/>
    </row>
    <row r="97" spans="1:26" s="1317" customFormat="1" ht="14.25">
      <c r="A97" s="1621" t="s">
        <v>1837</v>
      </c>
      <c r="B97" s="385" t="s">
        <v>451</v>
      </c>
      <c r="C97" s="388">
        <f ca="1">C90-C91</f>
        <v>13479</v>
      </c>
      <c r="D97" s="381" t="s">
        <v>19</v>
      </c>
      <c r="E97" s="994"/>
      <c r="F97" s="993"/>
      <c r="G97" s="993"/>
      <c r="H97" s="397"/>
      <c r="I97" s="1319"/>
      <c r="J97" s="2041"/>
      <c r="K97" s="2036"/>
      <c r="L97" s="2036"/>
      <c r="M97" s="2036"/>
      <c r="N97" s="2036"/>
      <c r="O97" s="2036"/>
      <c r="P97" s="2036"/>
      <c r="Q97" s="2036"/>
      <c r="R97" s="2036"/>
      <c r="S97" s="2036"/>
      <c r="T97" s="2036"/>
      <c r="U97" s="2036"/>
      <c r="V97" s="2036"/>
      <c r="W97" s="2040"/>
      <c r="X97" s="2040"/>
      <c r="Y97" s="2040"/>
      <c r="Z97" s="2040"/>
    </row>
    <row r="98" spans="1:26" s="1317" customFormat="1" ht="24">
      <c r="A98" s="1621" t="s">
        <v>1838</v>
      </c>
      <c r="B98" s="385" t="s">
        <v>452</v>
      </c>
      <c r="C98" s="410">
        <f ca="1">IF(C97&lt;=0,0,C97/C91)</f>
        <v>5.0107806691449817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1"/>
      <c r="K98" s="2036"/>
      <c r="L98" s="2036"/>
      <c r="M98" s="2036"/>
      <c r="N98" s="2036"/>
      <c r="O98" s="2036"/>
      <c r="P98" s="2036"/>
      <c r="Q98" s="2036"/>
      <c r="R98" s="2036"/>
      <c r="S98" s="2036"/>
      <c r="T98" s="2036"/>
      <c r="U98" s="2036"/>
      <c r="V98" s="2036"/>
      <c r="W98" s="2040"/>
      <c r="X98" s="2040"/>
      <c r="Y98" s="2040"/>
      <c r="Z98" s="2040"/>
    </row>
    <row r="99" spans="1:26" s="1317" customFormat="1" ht="24.75" thickBot="1">
      <c r="A99" s="1622" t="s">
        <v>1839</v>
      </c>
      <c r="B99" s="390" t="s">
        <v>453</v>
      </c>
      <c r="C99" s="411">
        <f ca="1">ROUND(IF(C97&lt;=0,0,IF(C98&gt;=200%,C97*60%-C91*35%,IF(C98&gt;=100%,C97*50%-C91*15%,IF(C98&gt;=50%,C97*40%-C91*5%,IF(C98&lt;50%,C97*30%,0))))),0)</f>
        <v>7146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1"/>
      <c r="K99" s="2036"/>
      <c r="L99" s="2036"/>
      <c r="M99" s="2036"/>
      <c r="N99" s="2036"/>
      <c r="O99" s="2036"/>
      <c r="P99" s="2036"/>
      <c r="Q99" s="2036"/>
      <c r="R99" s="2036"/>
      <c r="S99" s="2036"/>
      <c r="T99" s="2036"/>
      <c r="U99" s="2036"/>
      <c r="V99" s="2036"/>
      <c r="W99" s="2040"/>
      <c r="X99" s="2040"/>
      <c r="Y99" s="2040"/>
      <c r="Z99" s="2040"/>
    </row>
    <row r="100" spans="1:26" s="1317" customFormat="1" ht="7.5" customHeight="1">
      <c r="A100" s="1321"/>
      <c r="B100" s="1322"/>
      <c r="C100" s="11"/>
      <c r="D100" s="11"/>
      <c r="E100" s="1322"/>
      <c r="F100" s="1322"/>
      <c r="G100" s="1322"/>
      <c r="H100" s="1323"/>
      <c r="I100" s="1320"/>
      <c r="J100" s="2042"/>
      <c r="K100" s="2036"/>
      <c r="L100" s="2036"/>
      <c r="M100" s="2036"/>
      <c r="N100" s="2036"/>
      <c r="O100" s="2036"/>
      <c r="P100" s="2036"/>
      <c r="Q100" s="2036"/>
      <c r="R100" s="2036"/>
      <c r="S100" s="2036"/>
      <c r="T100" s="2036"/>
      <c r="U100" s="2036"/>
      <c r="V100" s="2036"/>
      <c r="W100" s="2040"/>
      <c r="X100" s="2040"/>
      <c r="Y100" s="2040"/>
      <c r="Z100" s="2040"/>
    </row>
    <row r="101" spans="1:26" s="1317" customFormat="1" ht="15" thickBot="1">
      <c r="A101" s="3323" t="s">
        <v>454</v>
      </c>
      <c r="B101" s="3324"/>
      <c r="C101" s="3324"/>
      <c r="D101" s="3324"/>
      <c r="E101" s="3324"/>
      <c r="F101" s="3324"/>
      <c r="G101" s="3324"/>
      <c r="H101" s="3324"/>
      <c r="I101" s="11"/>
      <c r="J101" s="2036"/>
      <c r="K101" s="2036"/>
      <c r="L101" s="2036"/>
      <c r="M101" s="2036"/>
      <c r="N101" s="2036"/>
      <c r="O101" s="2036"/>
      <c r="P101" s="2036"/>
      <c r="Q101" s="2036"/>
      <c r="R101" s="2036"/>
      <c r="S101" s="2036"/>
      <c r="T101" s="2036"/>
      <c r="U101" s="2036"/>
      <c r="V101" s="2036"/>
      <c r="W101" s="2040"/>
      <c r="X101" s="2040"/>
      <c r="Y101" s="2040"/>
      <c r="Z101" s="2040"/>
    </row>
    <row r="102" spans="1:26" s="1317" customFormat="1" ht="14.25">
      <c r="A102" s="3321" t="s">
        <v>428</v>
      </c>
      <c r="B102" s="3322"/>
      <c r="C102" s="997"/>
      <c r="D102" s="997" t="s">
        <v>429</v>
      </c>
      <c r="E102" s="394" t="s">
        <v>438</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7" customFormat="1" ht="14.25">
      <c r="A103" s="384" t="s">
        <v>1825</v>
      </c>
      <c r="B103" s="385" t="s">
        <v>439</v>
      </c>
      <c r="C103" s="388">
        <f ca="1">ROUND(D63/(1+'数据-取费表'!C42),0)</f>
        <v>16169</v>
      </c>
      <c r="D103" s="381" t="s">
        <v>19</v>
      </c>
      <c r="E103" s="994"/>
      <c r="F103" s="993"/>
      <c r="G103" s="993"/>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7" customFormat="1" ht="14.25">
      <c r="A104" s="384" t="s">
        <v>1831</v>
      </c>
      <c r="B104" s="351" t="s">
        <v>440</v>
      </c>
      <c r="C104" s="388">
        <f ca="1">IF(H106="仅含出让金",C105+C108+C109+C110+C111+C112,C105+C109+C110+C111+C112)</f>
        <v>804</v>
      </c>
      <c r="D104" s="418"/>
      <c r="E104" s="994"/>
      <c r="F104" s="993"/>
      <c r="G104" s="993"/>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7" customFormat="1" ht="14.25">
      <c r="A105" s="398" t="s">
        <v>1832</v>
      </c>
      <c r="B105" s="379" t="s">
        <v>455</v>
      </c>
      <c r="C105" s="408">
        <f>C106+C107</f>
        <v>577</v>
      </c>
      <c r="D105" s="409"/>
      <c r="E105" s="988"/>
      <c r="F105" s="989"/>
      <c r="G105" s="989"/>
      <c r="H105" s="990"/>
      <c r="I105" s="11"/>
      <c r="J105" s="2036"/>
      <c r="K105" s="2036"/>
      <c r="L105" s="2036"/>
      <c r="M105" s="2036"/>
      <c r="N105" s="2036"/>
      <c r="O105" s="2036"/>
      <c r="P105" s="2036"/>
      <c r="Q105" s="2036"/>
      <c r="R105" s="2036"/>
      <c r="S105" s="2036"/>
      <c r="T105" s="2036"/>
      <c r="U105" s="2036"/>
      <c r="V105" s="2036"/>
      <c r="W105" s="2040"/>
      <c r="X105" s="2040"/>
      <c r="Y105" s="2040"/>
      <c r="Z105" s="2040"/>
    </row>
    <row r="106" spans="1:26" s="1317" customFormat="1" ht="14.25">
      <c r="A106" s="398" t="s">
        <v>1833</v>
      </c>
      <c r="B106" s="379" t="s">
        <v>456</v>
      </c>
      <c r="C106" s="419">
        <v>555</v>
      </c>
      <c r="D106" s="409"/>
      <c r="E106" s="420" t="s">
        <v>457</v>
      </c>
      <c r="F106" s="989"/>
      <c r="G106" s="421" t="s">
        <v>458</v>
      </c>
      <c r="H106" s="422" t="s">
        <v>2441</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7" customFormat="1" ht="14.25">
      <c r="A107" s="398" t="s">
        <v>1834</v>
      </c>
      <c r="B107" s="379" t="s">
        <v>448</v>
      </c>
      <c r="C107" s="408">
        <f>ROUND(C106*D107,0)</f>
        <v>22</v>
      </c>
      <c r="D107" s="409">
        <f>'数据-取费表'!B48+'数据-取费表'!B49</f>
        <v>4.0500000000000001E-2</v>
      </c>
      <c r="E107" s="420" t="s">
        <v>459</v>
      </c>
      <c r="F107" s="989"/>
      <c r="G107" s="989"/>
      <c r="H107" s="990"/>
      <c r="I107" s="11"/>
      <c r="J107" s="2036"/>
      <c r="K107" s="2036"/>
      <c r="L107" s="2036"/>
      <c r="M107" s="2036"/>
      <c r="N107" s="2036"/>
      <c r="O107" s="2036"/>
      <c r="P107" s="2036"/>
      <c r="Q107" s="2036"/>
      <c r="R107" s="2036"/>
      <c r="S107" s="2036"/>
      <c r="T107" s="2036"/>
      <c r="U107" s="2036"/>
      <c r="V107" s="2036"/>
      <c r="W107" s="2040"/>
      <c r="X107" s="2040"/>
      <c r="Y107" s="2040"/>
      <c r="Z107" s="2040"/>
    </row>
    <row r="108" spans="1:26" s="1317" customFormat="1" ht="14.25">
      <c r="A108" s="398" t="s">
        <v>1836</v>
      </c>
      <c r="B108" s="379" t="s">
        <v>460</v>
      </c>
      <c r="C108" s="419"/>
      <c r="D108" s="409"/>
      <c r="E108" s="420" t="str">
        <f>IF(H106="-","土地取得成本中已包含该笔费用"," ")</f>
        <v/>
      </c>
      <c r="F108" s="989"/>
      <c r="G108" s="989"/>
      <c r="H108" s="990"/>
      <c r="I108" s="11"/>
      <c r="J108" s="2036"/>
      <c r="K108" s="2036"/>
      <c r="L108" s="2036"/>
      <c r="M108" s="2036"/>
      <c r="N108" s="2036"/>
      <c r="O108" s="2036"/>
      <c r="P108" s="2036"/>
      <c r="Q108" s="2036"/>
      <c r="R108" s="2036"/>
      <c r="S108" s="2036"/>
      <c r="T108" s="2036"/>
      <c r="U108" s="2036"/>
      <c r="V108" s="2036"/>
      <c r="W108" s="2040"/>
      <c r="X108" s="2040"/>
      <c r="Y108" s="2040"/>
      <c r="Z108" s="2040"/>
    </row>
    <row r="109" spans="1:26" s="1317" customFormat="1" ht="24" customHeight="1">
      <c r="A109" s="1623" t="s">
        <v>1840</v>
      </c>
      <c r="B109" s="379" t="s">
        <v>461</v>
      </c>
      <c r="C109" s="408">
        <f>IF(H109="——",IF(F1="现房",'剩余法-现房'!C18,'剩余法-待开发'!C18),I109)</f>
        <v>55</v>
      </c>
      <c r="D109" s="409"/>
      <c r="E109" s="3315" t="s">
        <v>462</v>
      </c>
      <c r="F109" s="3313"/>
      <c r="G109" s="3313"/>
      <c r="H109" s="1944" t="s">
        <v>2281</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7" customFormat="1" ht="25.5" customHeight="1">
      <c r="A110" s="1623" t="s">
        <v>1841</v>
      </c>
      <c r="B110" s="379" t="s">
        <v>463</v>
      </c>
      <c r="C110" s="408">
        <f>ROUND((C105+C108+C109)*D110,0)</f>
        <v>63</v>
      </c>
      <c r="D110" s="409">
        <v>0.1</v>
      </c>
      <c r="E110" s="3315" t="s">
        <v>464</v>
      </c>
      <c r="F110" s="3313"/>
      <c r="G110" s="3313"/>
      <c r="H110" s="3314"/>
      <c r="I110" s="11"/>
      <c r="J110" s="2036"/>
      <c r="K110" s="2036"/>
      <c r="L110" s="2036"/>
      <c r="M110" s="2036"/>
      <c r="N110" s="2036"/>
      <c r="O110" s="2036"/>
      <c r="P110" s="2036"/>
      <c r="Q110" s="2036"/>
      <c r="R110" s="2036"/>
      <c r="S110" s="2036"/>
      <c r="T110" s="2036"/>
      <c r="U110" s="2036"/>
      <c r="V110" s="2036"/>
      <c r="W110" s="2040"/>
      <c r="X110" s="2040"/>
      <c r="Y110" s="2040"/>
      <c r="Z110" s="2040"/>
    </row>
    <row r="111" spans="1:26" s="1317" customFormat="1" ht="25.5" customHeight="1">
      <c r="A111" s="1623" t="s">
        <v>1842</v>
      </c>
      <c r="B111" s="379" t="s">
        <v>450</v>
      </c>
      <c r="C111" s="408">
        <f ca="1">ROUND(D63*D111/(1+'数据-取费表'!C42),0)</f>
        <v>109</v>
      </c>
      <c r="D111" s="409">
        <f>'数据-取费表'!B43</f>
        <v>6.7200000000000003E-3</v>
      </c>
      <c r="E111" s="3312" t="s">
        <v>2430</v>
      </c>
      <c r="F111" s="3313"/>
      <c r="G111" s="3313"/>
      <c r="H111" s="3314"/>
      <c r="I111" s="11"/>
      <c r="J111" s="2036"/>
      <c r="K111" s="2036"/>
      <c r="L111" s="2036"/>
      <c r="M111" s="2036"/>
      <c r="N111" s="2036"/>
      <c r="O111" s="2036"/>
      <c r="P111" s="2036"/>
      <c r="Q111" s="2036"/>
      <c r="R111" s="2036"/>
      <c r="S111" s="2036"/>
      <c r="T111" s="2036"/>
      <c r="U111" s="2036"/>
      <c r="V111" s="2036"/>
      <c r="W111" s="2040"/>
      <c r="X111" s="2040"/>
      <c r="Y111" s="2040"/>
      <c r="Z111" s="2040"/>
    </row>
    <row r="112" spans="1:26" s="1317" customFormat="1" ht="25.5" customHeight="1">
      <c r="A112" s="1623" t="s">
        <v>1843</v>
      </c>
      <c r="B112" s="379" t="s">
        <v>465</v>
      </c>
      <c r="C112" s="408">
        <f>ROUND(C108*D112,0)</f>
        <v>0</v>
      </c>
      <c r="D112" s="409">
        <v>0.2</v>
      </c>
      <c r="E112" s="3315" t="s">
        <v>2455</v>
      </c>
      <c r="F112" s="3313"/>
      <c r="G112" s="3313"/>
      <c r="H112" s="3314"/>
      <c r="I112" s="11"/>
      <c r="J112" s="2036"/>
      <c r="K112" s="2036"/>
      <c r="L112" s="2036"/>
      <c r="M112" s="2036"/>
      <c r="N112" s="2036"/>
      <c r="O112" s="2036"/>
      <c r="P112" s="2036"/>
      <c r="Q112" s="2036"/>
      <c r="R112" s="2036"/>
      <c r="S112" s="2036"/>
      <c r="T112" s="2036"/>
      <c r="U112" s="2036"/>
      <c r="V112" s="2036"/>
      <c r="W112" s="2040"/>
      <c r="X112" s="2040"/>
      <c r="Y112" s="2040"/>
      <c r="Z112" s="2040"/>
    </row>
    <row r="113" spans="1:26" s="1317" customFormat="1" ht="14.25">
      <c r="A113" s="1621" t="s">
        <v>1837</v>
      </c>
      <c r="B113" s="385" t="s">
        <v>451</v>
      </c>
      <c r="C113" s="388">
        <f ca="1">ROUND(C103-C104,0)</f>
        <v>15365</v>
      </c>
      <c r="D113" s="381" t="s">
        <v>19</v>
      </c>
      <c r="E113" s="994"/>
      <c r="F113" s="993"/>
      <c r="G113" s="993"/>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7" customFormat="1" ht="24">
      <c r="A114" s="1621" t="s">
        <v>1838</v>
      </c>
      <c r="B114" s="385" t="s">
        <v>452</v>
      </c>
      <c r="C114" s="410">
        <f ca="1">IF(C113&lt;=0,0,C113/C104)</f>
        <v>19.110696517412936</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7" customFormat="1" ht="24.75" thickBot="1">
      <c r="A115" s="1622" t="s">
        <v>1839</v>
      </c>
      <c r="B115" s="390" t="s">
        <v>453</v>
      </c>
      <c r="C115" s="411">
        <f ca="1">ROUND(IF(C113&lt;=0,0,IF(C114&gt;=200%,C113*60%-C104*35%,IF(C114&gt;=100%,C113*50%-C104*15%,IF(C114&gt;=50%,C113*40%-C104*5%,IF(C114&lt;50%,C113*30%,0))))),0)</f>
        <v>8938</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59" max="16383"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466</v>
      </c>
      <c r="B1" s="2840"/>
      <c r="C1" s="2107"/>
      <c r="D1" s="2107"/>
      <c r="E1" s="2107"/>
      <c r="F1" s="2107"/>
      <c r="G1" s="2107"/>
      <c r="H1" s="2107"/>
      <c r="I1" s="2107"/>
      <c r="J1" s="2107"/>
      <c r="K1" s="425">
        <f>MATCH(B1,'数据-取费表'!A6:A16,0)+5</f>
        <v>8</v>
      </c>
    </row>
    <row r="2" spans="1:41" s="2044" customFormat="1" ht="18" customHeight="1">
      <c r="A2" s="426" t="s">
        <v>467</v>
      </c>
      <c r="B2" s="427">
        <f ca="1">C32</f>
        <v>0</v>
      </c>
      <c r="C2" s="2107"/>
      <c r="D2" s="2107"/>
      <c r="E2" s="2107"/>
      <c r="F2" s="2107"/>
      <c r="G2" s="2107"/>
      <c r="H2" s="2107"/>
      <c r="I2" s="2107"/>
      <c r="J2" s="2107"/>
      <c r="K2" s="2107"/>
    </row>
    <row r="3" spans="1:41" s="2044" customFormat="1" ht="18" customHeight="1">
      <c r="A3" s="1383" t="s">
        <v>1686</v>
      </c>
      <c r="B3" s="428">
        <f ca="1">ROUND(B2*10000/IF(B1="",'数据-汇总表'!E3,INDIRECT("'数据-取费表'!K"&amp;$K$1)),0)</f>
        <v>0</v>
      </c>
      <c r="C3" s="2107"/>
      <c r="D3" s="2107"/>
      <c r="E3" s="2107"/>
      <c r="F3" s="2107"/>
      <c r="G3" s="2107"/>
      <c r="H3" s="2107"/>
      <c r="I3" s="2107"/>
      <c r="J3" s="2107"/>
      <c r="K3" s="2107"/>
    </row>
    <row r="4" spans="1:41" s="2044" customFormat="1" ht="18" customHeight="1">
      <c r="A4" s="429" t="s">
        <v>468</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469</v>
      </c>
      <c r="D5" s="2107"/>
      <c r="E5" s="2107"/>
      <c r="F5" s="2107"/>
      <c r="G5" s="2107"/>
      <c r="H5" s="2107"/>
      <c r="I5" s="2107"/>
      <c r="J5" s="2107"/>
      <c r="K5" s="2107"/>
    </row>
    <row r="6" spans="1:41" s="2114" customFormat="1" ht="16.5" customHeight="1">
      <c r="A6" s="435" t="s">
        <v>2658</v>
      </c>
      <c r="B6" s="436"/>
      <c r="C6" s="1627">
        <f>SUM(C10:K10)</f>
        <v>0</v>
      </c>
      <c r="D6" s="2112"/>
      <c r="E6" s="2112"/>
      <c r="F6" s="2112"/>
      <c r="G6" s="2112"/>
      <c r="H6" s="2112"/>
      <c r="I6" s="2112"/>
      <c r="J6" s="2112"/>
      <c r="K6" s="2113"/>
    </row>
    <row r="7" spans="1:41" s="2116" customFormat="1" ht="15">
      <c r="A7" s="437" t="s">
        <v>470</v>
      </c>
      <c r="B7" s="438" t="s">
        <v>471</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5" t="s">
        <v>1847</v>
      </c>
      <c r="B8" s="441" t="s">
        <v>472</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6" t="s">
        <v>1849</v>
      </c>
      <c r="B10" s="1628" t="s">
        <v>474</v>
      </c>
      <c r="C10" s="1629"/>
      <c r="D10" s="1629"/>
      <c r="E10" s="1629"/>
      <c r="F10" s="1630"/>
      <c r="G10" s="1630"/>
      <c r="H10" s="1630"/>
      <c r="I10" s="1630"/>
      <c r="J10" s="1630"/>
      <c r="K10" s="1631"/>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4" t="s">
        <v>1866</v>
      </c>
      <c r="B11" s="1625"/>
      <c r="C11" s="1625"/>
      <c r="D11" s="1625"/>
      <c r="E11" s="1625"/>
      <c r="F11" s="1625"/>
      <c r="G11" s="1625"/>
      <c r="H11" s="1625"/>
      <c r="I11" s="1625"/>
      <c r="J11" s="1625"/>
      <c r="K11" s="1626"/>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19" customFormat="1" ht="13.5" customHeight="1">
      <c r="A13" s="1637" t="s">
        <v>1850</v>
      </c>
      <c r="B13" s="452" t="s">
        <v>479</v>
      </c>
      <c r="C13" s="453">
        <f ca="1">IF(B1="",'数据-取费表'!M16,INDIRECT("'数据-取费表'!M"&amp;$K$1)+INDIRECT("'数据-取费表'!t"&amp;$K$1))</f>
        <v>15226</v>
      </c>
      <c r="D13" s="454"/>
      <c r="E13" s="368"/>
      <c r="F13" s="455"/>
      <c r="G13" s="447"/>
      <c r="H13" s="450"/>
      <c r="I13" s="450"/>
      <c r="J13" s="450"/>
      <c r="K13" s="451"/>
    </row>
    <row r="14" spans="1:41" s="2119" customFormat="1" ht="13.5" customHeight="1">
      <c r="A14" s="1637" t="s">
        <v>1851</v>
      </c>
      <c r="B14" s="452" t="s">
        <v>480</v>
      </c>
      <c r="C14" s="53">
        <f ca="1">ROUND(C13*F14,0)</f>
        <v>761</v>
      </c>
      <c r="D14" s="454"/>
      <c r="E14" s="368"/>
      <c r="F14" s="456">
        <f>'数据-取费表'!B33</f>
        <v>0.05</v>
      </c>
      <c r="G14" s="447" t="s">
        <v>503</v>
      </c>
      <c r="H14" s="450"/>
      <c r="I14" s="450"/>
      <c r="J14" s="450"/>
      <c r="K14" s="451"/>
    </row>
    <row r="15" spans="1:41" s="2119" customFormat="1" ht="13.5" customHeight="1">
      <c r="A15" s="1637" t="s">
        <v>1852</v>
      </c>
      <c r="B15" s="452" t="s">
        <v>482</v>
      </c>
      <c r="C15" s="53">
        <f ca="1">ROUND(IF(B1="",SUMIF('数据-取费表'!C:C,"住宅",'数据-取费表'!M:M)*F15,IF(INDIRECT("'数据-取费表'!c"&amp;$K$1)="住宅",INDIRECT("'数据-取费表'!M"&amp;$K$1)*F15,0)),0)</f>
        <v>723</v>
      </c>
      <c r="D15" s="454"/>
      <c r="E15" s="368"/>
      <c r="F15" s="456">
        <f>'数据-取费表'!B34</f>
        <v>0.05</v>
      </c>
      <c r="G15" s="447" t="s">
        <v>503</v>
      </c>
      <c r="H15" s="450"/>
      <c r="I15" s="450"/>
      <c r="J15" s="450"/>
      <c r="K15" s="451"/>
    </row>
    <row r="16" spans="1:41" s="2120" customFormat="1" ht="13.5" customHeight="1">
      <c r="A16" s="1637" t="s">
        <v>1853</v>
      </c>
      <c r="B16" s="452" t="s">
        <v>484</v>
      </c>
      <c r="C16" s="53">
        <f ca="1">ROUND(D16*E16/10000,0)</f>
        <v>2175</v>
      </c>
      <c r="D16" s="454">
        <f ca="1">IF(B1="",'数据-汇总表'!E3,INDIRECT("'数据-取费表'!K"&amp;$K$1)+INDIRECT("'数据-取费表'!S"&amp;$K$1))</f>
        <v>108760.69</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7" t="s">
        <v>1854</v>
      </c>
      <c r="B17" s="452" t="s">
        <v>485</v>
      </c>
      <c r="C17" s="457">
        <f ca="1">ROUND(C13*F17,0)</f>
        <v>228</v>
      </c>
      <c r="D17" s="458"/>
      <c r="E17" s="457"/>
      <c r="F17" s="459">
        <f>'数据-取费表'!B36</f>
        <v>1.4999999999999999E-2</v>
      </c>
      <c r="G17" s="447" t="s">
        <v>503</v>
      </c>
      <c r="H17" s="460"/>
      <c r="I17" s="460"/>
      <c r="J17" s="460"/>
      <c r="K17" s="461"/>
    </row>
    <row r="18" spans="1:14" s="2122" customFormat="1" ht="13.5" customHeight="1">
      <c r="A18" s="1638" t="s">
        <v>1855</v>
      </c>
      <c r="B18" s="462" t="s">
        <v>487</v>
      </c>
      <c r="C18" s="463">
        <f ca="1">SUM(C13:C17)</f>
        <v>19113</v>
      </c>
      <c r="D18" s="464"/>
      <c r="E18" s="465"/>
      <c r="F18" s="465"/>
      <c r="G18" s="1330" t="s">
        <v>2434</v>
      </c>
      <c r="H18" s="450"/>
      <c r="I18" s="450"/>
      <c r="J18" s="450"/>
      <c r="K18" s="451"/>
    </row>
    <row r="19" spans="1:14" s="2122" customFormat="1" ht="13.5" customHeight="1">
      <c r="A19" s="1638" t="s">
        <v>1856</v>
      </c>
      <c r="B19" s="462" t="s">
        <v>493</v>
      </c>
      <c r="C19" s="463">
        <f ca="1">ROUND(C18*F19,0)</f>
        <v>382</v>
      </c>
      <c r="D19" s="465"/>
      <c r="E19" s="465"/>
      <c r="F19" s="469">
        <f>'数据-取费表'!B37</f>
        <v>0.02</v>
      </c>
      <c r="G19" s="447" t="s">
        <v>504</v>
      </c>
      <c r="H19" s="450"/>
      <c r="I19" s="450"/>
      <c r="J19" s="450"/>
      <c r="K19" s="451"/>
      <c r="L19" s="2124"/>
      <c r="M19" s="2124"/>
      <c r="N19" s="2124"/>
    </row>
    <row r="20" spans="1:14" s="2122" customFormat="1" ht="13.5" customHeight="1">
      <c r="A20" s="1638" t="s">
        <v>1857</v>
      </c>
      <c r="B20" s="462" t="s">
        <v>505</v>
      </c>
      <c r="C20" s="3061">
        <f>F20</f>
        <v>0.02</v>
      </c>
      <c r="D20" s="472" t="s">
        <v>506</v>
      </c>
      <c r="E20" s="472"/>
      <c r="F20" s="489">
        <f>'数据-取费表'!B38</f>
        <v>0.02</v>
      </c>
      <c r="G20" s="1330" t="s">
        <v>507</v>
      </c>
      <c r="H20" s="450"/>
      <c r="I20" s="450"/>
      <c r="J20" s="450"/>
      <c r="K20" s="451"/>
      <c r="L20" s="2124"/>
      <c r="M20" s="2124"/>
      <c r="N20" s="2124"/>
    </row>
    <row r="21" spans="1:14" s="2124" customFormat="1" ht="13.5" customHeight="1">
      <c r="A21" s="1638" t="s">
        <v>1860</v>
      </c>
      <c r="B21" s="464" t="s">
        <v>494</v>
      </c>
      <c r="C21" s="473">
        <f ca="1">C22</f>
        <v>926</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1" t="s">
        <v>2456</v>
      </c>
    </row>
    <row r="22" spans="1:14" s="2123" customFormat="1" ht="13.5" customHeight="1">
      <c r="A22" s="1637" t="s">
        <v>1850</v>
      </c>
      <c r="B22" s="1331" t="s">
        <v>2437</v>
      </c>
      <c r="C22" s="490">
        <f ca="1">ROUND(IF('数据-取费表'!B22&lt;=1,(C18+C19)*F21*'数据-取费表'!B20/2,(C18+C19)*(POWER((1+F21),'数据-取费表'!B20/2)-1)),0)</f>
        <v>926</v>
      </c>
      <c r="D22" s="475"/>
      <c r="E22" s="476"/>
      <c r="F22" s="477"/>
      <c r="G22" s="2594" t="str">
        <f>IF('数据-取费表'!B22&lt;=1,"((1)+(2))×年利率×建设期÷2","((1)+(2))×((1+年利率)^(建设期÷2)-1)")</f>
        <v>((1)+(2))×((1+年利率)^(建设期÷2)-1)</v>
      </c>
      <c r="H22" s="460"/>
      <c r="I22" s="460"/>
      <c r="J22" s="460"/>
      <c r="K22" s="461"/>
    </row>
    <row r="23" spans="1:14" s="2123" customFormat="1" ht="13.5" customHeight="1">
      <c r="A23" s="1637" t="s">
        <v>1851</v>
      </c>
      <c r="B23" s="1331" t="s">
        <v>509</v>
      </c>
      <c r="C23" s="491">
        <f ca="1">ROUND(IF('数据-取费表'!B22&lt;=1,F20*F21*'数据-取费表'!B20/2,F20*(POWER((1+F21),'数据-取费表'!B20/2)-1)),4)</f>
        <v>1E-3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8" t="s">
        <v>1861</v>
      </c>
      <c r="B24" s="3063" t="s">
        <v>2838</v>
      </c>
      <c r="C24" s="481">
        <f ca="1">C25</f>
        <v>2924</v>
      </c>
      <c r="D24" s="492">
        <f ca="1">C26</f>
        <v>3.0000000000000001E-3</v>
      </c>
      <c r="E24" s="472" t="s">
        <v>508</v>
      </c>
      <c r="F24" s="482">
        <f ca="1">IF(B1="",'数据-取费表'!Q16,INDIRECT("'数据-取费表'!q"&amp;$K$1))</f>
        <v>0.15</v>
      </c>
      <c r="G24" s="447"/>
      <c r="H24" s="450"/>
      <c r="I24" s="450"/>
      <c r="J24" s="450"/>
      <c r="K24" s="451"/>
    </row>
    <row r="25" spans="1:14" s="2123" customFormat="1" ht="13.5" customHeight="1">
      <c r="A25" s="1637" t="s">
        <v>1850</v>
      </c>
      <c r="B25" s="1331" t="s">
        <v>2438</v>
      </c>
      <c r="C25" s="493">
        <f ca="1">ROUND((C18+C19)*F24,0)</f>
        <v>2924</v>
      </c>
      <c r="D25" s="475"/>
      <c r="E25" s="476"/>
      <c r="F25" s="483"/>
      <c r="G25" s="1329" t="s">
        <v>2435</v>
      </c>
      <c r="H25" s="460"/>
      <c r="I25" s="460"/>
      <c r="J25" s="460"/>
      <c r="K25" s="461"/>
    </row>
    <row r="26" spans="1:14" s="2123" customFormat="1" ht="13.5" customHeight="1">
      <c r="A26" s="1637" t="s">
        <v>1851</v>
      </c>
      <c r="B26" s="1331" t="s">
        <v>510</v>
      </c>
      <c r="C26" s="494">
        <f ca="1">ROUND(F20*F24,4)</f>
        <v>3.0000000000000001E-3</v>
      </c>
      <c r="D26" s="475"/>
      <c r="E26" s="484"/>
      <c r="F26" s="483"/>
      <c r="G26" s="1329" t="s">
        <v>511</v>
      </c>
      <c r="H26" s="460"/>
      <c r="I26" s="460"/>
      <c r="J26" s="460"/>
      <c r="K26" s="461"/>
    </row>
    <row r="27" spans="1:14" s="2123" customFormat="1" ht="13.5" customHeight="1">
      <c r="A27" s="1641" t="s">
        <v>1869</v>
      </c>
      <c r="B27" s="462" t="s">
        <v>512</v>
      </c>
      <c r="C27" s="3062">
        <f>ROUND(F27/(1+'数据-取费表'!C42),4)</f>
        <v>5.9400000000000001E-2</v>
      </c>
      <c r="D27" s="465" t="s">
        <v>2836</v>
      </c>
      <c r="E27" s="465"/>
      <c r="F27" s="469">
        <f>'数据-取费表'!B41</f>
        <v>6.2719999999999998E-2</v>
      </c>
      <c r="G27" s="1963" t="s">
        <v>2293</v>
      </c>
      <c r="H27" s="450"/>
      <c r="I27" s="450"/>
      <c r="J27" s="450"/>
      <c r="K27" s="451"/>
    </row>
    <row r="28" spans="1:14" s="2124" customFormat="1" ht="13.5" customHeight="1">
      <c r="A28" s="1641" t="s">
        <v>1870</v>
      </c>
      <c r="B28" s="479" t="s">
        <v>513</v>
      </c>
      <c r="C28" s="473">
        <f ca="1">ROUND((C18+C19+C21+C24)/(1-C20-D21-D24-C27),0)</f>
        <v>25469</v>
      </c>
      <c r="D28" s="480"/>
      <c r="E28" s="472"/>
      <c r="F28" s="474"/>
      <c r="G28" s="1330" t="s">
        <v>2436</v>
      </c>
      <c r="H28" s="450"/>
      <c r="I28" s="450"/>
      <c r="J28" s="450"/>
      <c r="K28" s="451"/>
    </row>
    <row r="29" spans="1:14" s="2124"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4" customFormat="1" ht="13.5" customHeight="1">
      <c r="A30" s="446">
        <v>2</v>
      </c>
      <c r="B30" s="479" t="s">
        <v>515</v>
      </c>
      <c r="C30" s="500">
        <f ca="1">ROUND(C28*C29,0)</f>
        <v>0</v>
      </c>
      <c r="D30" s="496"/>
      <c r="E30" s="501"/>
      <c r="F30" s="502"/>
      <c r="G30" s="1332" t="s">
        <v>516</v>
      </c>
      <c r="H30" s="499"/>
      <c r="I30" s="499"/>
      <c r="J30" s="450"/>
      <c r="K30" s="451"/>
    </row>
    <row r="31" spans="1:14" s="2129" customFormat="1" ht="13.5" customHeight="1">
      <c r="A31" s="2509" t="s">
        <v>1867</v>
      </c>
      <c r="B31" s="1333"/>
      <c r="C31" s="503">
        <f>ROUND(C6*F31/(1+'数据-取费表'!C42),0)</f>
        <v>0</v>
      </c>
      <c r="D31" s="1334"/>
      <c r="E31" s="1334"/>
      <c r="F31" s="504">
        <f>'数据-取费表'!B41</f>
        <v>6.2719999999999998E-2</v>
      </c>
      <c r="G31" s="1335"/>
      <c r="H31" s="1335"/>
      <c r="I31" s="1335"/>
      <c r="J31" s="1336"/>
      <c r="K31" s="1337"/>
    </row>
    <row r="32" spans="1:14" s="2088"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0" t="s">
        <v>2457</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48" zoomScale="80" zoomScaleNormal="95" zoomScaleSheetLayoutView="80" workbookViewId="0">
      <selection activeCell="M51" sqref="M51"/>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26744</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2459</v>
      </c>
      <c r="C3" s="2064"/>
      <c r="D3" s="2597"/>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3688</v>
      </c>
      <c r="C4" s="2064"/>
      <c r="D4" s="2597"/>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246</v>
      </c>
      <c r="C5" s="434" t="s">
        <v>469</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68"/>
      <c r="AC5" s="431"/>
    </row>
    <row r="6" spans="1:30" ht="20.25">
      <c r="A6" s="515" t="s">
        <v>522</v>
      </c>
      <c r="B6" s="516"/>
      <c r="C6" s="3366" t="s">
        <v>523</v>
      </c>
      <c r="D6" s="3367"/>
      <c r="E6" s="3366" t="s">
        <v>524</v>
      </c>
      <c r="F6" s="3367"/>
      <c r="G6" s="3366" t="s">
        <v>525</v>
      </c>
      <c r="H6" s="3367"/>
      <c r="I6" s="3366" t="s">
        <v>526</v>
      </c>
      <c r="J6" s="3367"/>
      <c r="K6" s="517" t="s">
        <v>527</v>
      </c>
      <c r="L6" s="2136"/>
      <c r="M6" s="2135"/>
      <c r="N6" s="2135"/>
      <c r="O6" s="2137"/>
      <c r="P6" s="3368" t="s">
        <v>528</v>
      </c>
      <c r="Q6" s="3369"/>
      <c r="R6" s="3374" t="s">
        <v>524</v>
      </c>
      <c r="S6" s="3375"/>
      <c r="T6" s="3374" t="s">
        <v>525</v>
      </c>
      <c r="U6" s="3375"/>
      <c r="V6" s="3361" t="s">
        <v>526</v>
      </c>
      <c r="W6" s="3361"/>
      <c r="X6" s="1571"/>
      <c r="Y6" s="3374" t="s">
        <v>528</v>
      </c>
      <c r="Z6" s="3375"/>
      <c r="AA6" s="3363" t="s">
        <v>524</v>
      </c>
      <c r="AB6" s="3364" t="s">
        <v>525</v>
      </c>
      <c r="AC6" s="3363" t="s">
        <v>526</v>
      </c>
    </row>
    <row r="7" spans="1:30" ht="20.25">
      <c r="A7" s="518"/>
      <c r="B7" s="519"/>
      <c r="C7" s="3384" t="s">
        <v>2933</v>
      </c>
      <c r="D7" s="3383"/>
      <c r="E7" s="3382" t="s">
        <v>3106</v>
      </c>
      <c r="F7" s="3383"/>
      <c r="G7" s="3382" t="s">
        <v>3072</v>
      </c>
      <c r="H7" s="3383"/>
      <c r="I7" s="3382" t="s">
        <v>3074</v>
      </c>
      <c r="J7" s="3383"/>
      <c r="K7" s="517"/>
      <c r="L7" s="2136"/>
      <c r="M7" s="2135"/>
      <c r="N7" s="2135"/>
      <c r="O7" s="2137"/>
      <c r="P7" s="3370"/>
      <c r="Q7" s="3371"/>
      <c r="R7" s="3376"/>
      <c r="S7" s="3377"/>
      <c r="T7" s="3376"/>
      <c r="U7" s="3377"/>
      <c r="V7" s="3361"/>
      <c r="W7" s="3361"/>
      <c r="X7" s="1571"/>
      <c r="Y7" s="3376"/>
      <c r="Z7" s="3377"/>
      <c r="AA7" s="3364"/>
      <c r="AB7" s="3364"/>
      <c r="AC7" s="3364"/>
    </row>
    <row r="8" spans="1:30" ht="21" thickBot="1">
      <c r="A8" s="518"/>
      <c r="B8" s="519"/>
      <c r="C8" s="3385" t="s">
        <v>2937</v>
      </c>
      <c r="D8" s="3386"/>
      <c r="E8" s="3387" t="s">
        <v>3071</v>
      </c>
      <c r="F8" s="3386"/>
      <c r="G8" s="3380" t="s">
        <v>3073</v>
      </c>
      <c r="H8" s="3381"/>
      <c r="I8" s="3380" t="s">
        <v>3075</v>
      </c>
      <c r="J8" s="3381"/>
      <c r="K8" s="517" t="s">
        <v>529</v>
      </c>
      <c r="L8" s="2136"/>
      <c r="M8" s="2135"/>
      <c r="N8" s="2135"/>
      <c r="O8" s="2137"/>
      <c r="P8" s="3372"/>
      <c r="Q8" s="3373"/>
      <c r="R8" s="3376"/>
      <c r="S8" s="3377"/>
      <c r="T8" s="3378"/>
      <c r="U8" s="3379"/>
      <c r="V8" s="3361"/>
      <c r="W8" s="3361"/>
      <c r="X8" s="1571"/>
      <c r="Y8" s="3378"/>
      <c r="Z8" s="3379"/>
      <c r="AA8" s="3365"/>
      <c r="AB8" s="3365"/>
      <c r="AC8" s="3365"/>
    </row>
    <row r="9" spans="1:30" s="1223" customFormat="1" ht="21" thickBot="1">
      <c r="A9" s="2943"/>
      <c r="B9" s="2950" t="s">
        <v>530</v>
      </c>
      <c r="C9" s="2942">
        <f>'数据-取费表'!B2</f>
        <v>43018</v>
      </c>
      <c r="D9" s="523">
        <v>100</v>
      </c>
      <c r="E9" s="524">
        <v>42746</v>
      </c>
      <c r="F9" s="525">
        <f>SUMIF(72:72,YEAR(E9)&amp;"-"&amp;INT((MONTH(E9)+2)/3),73:73)</f>
        <v>94</v>
      </c>
      <c r="G9" s="526">
        <v>42572</v>
      </c>
      <c r="H9" s="523">
        <f>SUMIF(72:72,YEAR(G9)&amp;"-"&amp;INT((MONTH(G9)+2)/3),73:73)</f>
        <v>90</v>
      </c>
      <c r="I9" s="526">
        <v>42572</v>
      </c>
      <c r="J9" s="523">
        <f>SUMIF(72:72,YEAR(I9)&amp;"-"&amp;INT((MONTH(I9)+2)/3),73:73)</f>
        <v>90</v>
      </c>
      <c r="K9" s="527"/>
      <c r="L9" s="2138"/>
      <c r="M9" s="2135"/>
      <c r="N9" s="2135"/>
      <c r="O9" s="2139"/>
      <c r="P9" s="3393" t="s">
        <v>531</v>
      </c>
      <c r="Q9" s="3395"/>
      <c r="R9" s="1572" t="s">
        <v>8</v>
      </c>
      <c r="S9" s="1573">
        <f t="shared" ref="S9:S17" si="0">F9</f>
        <v>94</v>
      </c>
      <c r="T9" s="1572" t="s">
        <v>8</v>
      </c>
      <c r="U9" s="1573">
        <f t="shared" ref="U9:U17" si="1">H9</f>
        <v>90</v>
      </c>
      <c r="V9" s="1572" t="s">
        <v>8</v>
      </c>
      <c r="W9" s="1573">
        <f t="shared" ref="W9:W17" si="2">J9</f>
        <v>90</v>
      </c>
      <c r="X9" s="1574"/>
      <c r="Y9" s="3393" t="s">
        <v>531</v>
      </c>
      <c r="Z9" s="3394"/>
      <c r="AA9" s="1575">
        <f>D9/F9</f>
        <v>1.0638297872340425</v>
      </c>
      <c r="AB9" s="1575">
        <f>D9/H9</f>
        <v>1.1111111111111112</v>
      </c>
      <c r="AC9" s="1575">
        <f>D9/J9</f>
        <v>1.1111111111111112</v>
      </c>
    </row>
    <row r="10" spans="1:30" s="1223" customFormat="1" ht="21" thickBot="1">
      <c r="A10" s="2944"/>
      <c r="B10" s="2951" t="s">
        <v>532</v>
      </c>
      <c r="C10" s="859" t="s">
        <v>533</v>
      </c>
      <c r="D10" s="523">
        <v>100</v>
      </c>
      <c r="E10" s="528" t="s">
        <v>3014</v>
      </c>
      <c r="F10" s="525">
        <f>SUMIF(75:75,E10,76:76)-SUMIF(75:75,C10,76:76)+100</f>
        <v>100</v>
      </c>
      <c r="G10" s="528" t="s">
        <v>3014</v>
      </c>
      <c r="H10" s="523">
        <f>SUMIF(75:75,G10,76:76)-SUMIF(75:75,C10,76:76)+100</f>
        <v>100</v>
      </c>
      <c r="I10" s="528" t="s">
        <v>3014</v>
      </c>
      <c r="J10" s="523">
        <f>SUMIF(75:75,I10,76:76)-SUMIF(75:75,C10,76:76)+100</f>
        <v>100</v>
      </c>
      <c r="K10" s="527"/>
      <c r="L10" s="2138"/>
      <c r="M10" s="2135"/>
      <c r="N10" s="2135"/>
      <c r="O10" s="2139"/>
      <c r="P10" s="3393" t="s">
        <v>534</v>
      </c>
      <c r="Q10" s="3394"/>
      <c r="R10" s="1572" t="s">
        <v>8</v>
      </c>
      <c r="S10" s="1573">
        <f t="shared" si="0"/>
        <v>100</v>
      </c>
      <c r="T10" s="1572" t="s">
        <v>8</v>
      </c>
      <c r="U10" s="1573">
        <f t="shared" si="1"/>
        <v>100</v>
      </c>
      <c r="V10" s="1572" t="s">
        <v>8</v>
      </c>
      <c r="W10" s="1573">
        <f t="shared" si="2"/>
        <v>100</v>
      </c>
      <c r="X10" s="1574"/>
      <c r="Y10" s="3393" t="s">
        <v>534</v>
      </c>
      <c r="Z10" s="3394"/>
      <c r="AA10" s="1575">
        <f t="shared" ref="AA10:AA47" si="3">D10/F10</f>
        <v>1</v>
      </c>
      <c r="AB10" s="1575">
        <f t="shared" ref="AB10:AB47" si="4">D10/H10</f>
        <v>1</v>
      </c>
      <c r="AC10" s="1575">
        <f t="shared" ref="AC10:AC47" si="5">D10/J10</f>
        <v>1</v>
      </c>
    </row>
    <row r="11" spans="1:30" s="1223" customFormat="1" ht="20.25">
      <c r="A11" s="2945"/>
      <c r="B11" s="2952" t="s">
        <v>2762</v>
      </c>
      <c r="C11" s="2939" t="s">
        <v>924</v>
      </c>
      <c r="D11" s="254">
        <v>100</v>
      </c>
      <c r="E11" s="529" t="s">
        <v>3021</v>
      </c>
      <c r="F11" s="254">
        <f>SUMIF(77:77,E11,78:78)-SUMIF(77:77,C11,78:78)+100</f>
        <v>100</v>
      </c>
      <c r="G11" s="529" t="s">
        <v>3057</v>
      </c>
      <c r="H11" s="254">
        <f>SUMIF(77:77,G11,78:78)-SUMIF(77:77,C11,78:78)+100</f>
        <v>100</v>
      </c>
      <c r="I11" s="529" t="s">
        <v>3021</v>
      </c>
      <c r="J11" s="254">
        <f>SUMIF(77:77,I11,78:78)-SUMIF(77:77,C11,78:78)+100</f>
        <v>100</v>
      </c>
      <c r="K11" s="527"/>
      <c r="L11" s="2138"/>
      <c r="M11" s="2135"/>
      <c r="N11" s="2135"/>
      <c r="O11" s="2140"/>
      <c r="P11" s="3360" t="s">
        <v>536</v>
      </c>
      <c r="Q11" s="1154" t="str">
        <f t="shared" ref="Q11:Q17" si="6">B11</f>
        <v>用途</v>
      </c>
      <c r="R11" s="1572" t="s">
        <v>8</v>
      </c>
      <c r="S11" s="1573">
        <f t="shared" si="0"/>
        <v>100</v>
      </c>
      <c r="T11" s="1572" t="s">
        <v>8</v>
      </c>
      <c r="U11" s="1573">
        <f t="shared" si="1"/>
        <v>100</v>
      </c>
      <c r="V11" s="1572" t="s">
        <v>8</v>
      </c>
      <c r="W11" s="1573">
        <f t="shared" si="2"/>
        <v>100</v>
      </c>
      <c r="X11" s="1574"/>
      <c r="Y11" s="3306" t="s">
        <v>537</v>
      </c>
      <c r="Z11" s="1153" t="str">
        <f t="shared" ref="Z11:Z17" si="7">Q11</f>
        <v>用途</v>
      </c>
      <c r="AA11" s="1575">
        <f t="shared" si="3"/>
        <v>1</v>
      </c>
      <c r="AB11" s="1575">
        <f t="shared" si="4"/>
        <v>1</v>
      </c>
      <c r="AC11" s="1575">
        <f t="shared" si="5"/>
        <v>1</v>
      </c>
    </row>
    <row r="12" spans="1:30" s="1341" customFormat="1" ht="27">
      <c r="A12" s="2946"/>
      <c r="B12" s="2951" t="s">
        <v>2763</v>
      </c>
      <c r="C12" s="913" t="s">
        <v>3023</v>
      </c>
      <c r="D12" s="255">
        <v>100</v>
      </c>
      <c r="E12" s="532" t="s">
        <v>3023</v>
      </c>
      <c r="F12" s="255">
        <f>ROUND(100/'数据-取费表'!G16,0)</f>
        <v>101</v>
      </c>
      <c r="G12" s="533" t="s">
        <v>3023</v>
      </c>
      <c r="H12" s="255">
        <f>ROUND(100/'数据-取费表'!G16,0)</f>
        <v>101</v>
      </c>
      <c r="I12" s="533" t="s">
        <v>3023</v>
      </c>
      <c r="J12" s="255">
        <f>ROUND(100/'数据-取费表'!G16,0)</f>
        <v>101</v>
      </c>
      <c r="K12" s="534"/>
      <c r="L12" s="2141"/>
      <c r="M12" s="2135"/>
      <c r="N12" s="2135"/>
      <c r="O12" s="2142"/>
      <c r="P12" s="3360"/>
      <c r="Q12" s="1154" t="str">
        <f t="shared" si="6"/>
        <v>土地使用年限（年）</v>
      </c>
      <c r="R12" s="1572" t="s">
        <v>8</v>
      </c>
      <c r="S12" s="1573">
        <f t="shared" si="0"/>
        <v>101</v>
      </c>
      <c r="T12" s="1572" t="s">
        <v>8</v>
      </c>
      <c r="U12" s="1573">
        <f t="shared" si="1"/>
        <v>101</v>
      </c>
      <c r="V12" s="1572" t="s">
        <v>8</v>
      </c>
      <c r="W12" s="1573">
        <f t="shared" si="2"/>
        <v>101</v>
      </c>
      <c r="X12" s="1574"/>
      <c r="Y12" s="3306"/>
      <c r="Z12" s="1153" t="str">
        <f t="shared" si="7"/>
        <v>土地使用年限（年）</v>
      </c>
      <c r="AA12" s="1575">
        <f t="shared" si="3"/>
        <v>0.99009900990099009</v>
      </c>
      <c r="AB12" s="1575">
        <f t="shared" si="4"/>
        <v>0.99009900990099009</v>
      </c>
      <c r="AC12" s="1575">
        <f t="shared" si="5"/>
        <v>0.99009900990099009</v>
      </c>
    </row>
    <row r="13" spans="1:30" ht="21" thickBot="1">
      <c r="A13" s="2947"/>
      <c r="B13" s="2951" t="s">
        <v>2764</v>
      </c>
      <c r="C13" s="537">
        <v>1.5</v>
      </c>
      <c r="D13" s="255">
        <v>100</v>
      </c>
      <c r="E13" s="536">
        <v>1.7</v>
      </c>
      <c r="F13" s="255">
        <f>LOOKUP(E13,82:82,83:83)-LOOKUP(C13,82:82,83:83)+100</f>
        <v>100</v>
      </c>
      <c r="G13" s="537">
        <v>2.2000000000000002</v>
      </c>
      <c r="H13" s="255">
        <f>LOOKUP(G13,82:82,83:83)-LOOKUP(C13,82:82,83:83)+100</f>
        <v>95</v>
      </c>
      <c r="I13" s="536">
        <v>2.2000000000000002</v>
      </c>
      <c r="J13" s="255">
        <f>LOOKUP(I13,82:82,83:83)-LOOKUP(C13,82:82,83:83)+100</f>
        <v>95</v>
      </c>
      <c r="K13" s="3189">
        <v>5</v>
      </c>
      <c r="L13" s="2143"/>
      <c r="M13" s="2135"/>
      <c r="N13" s="2135"/>
      <c r="O13" s="2144"/>
      <c r="P13" s="3360"/>
      <c r="Q13" s="1154" t="str">
        <f t="shared" si="6"/>
        <v>容积率</v>
      </c>
      <c r="R13" s="1572" t="s">
        <v>8</v>
      </c>
      <c r="S13" s="1573">
        <f t="shared" si="0"/>
        <v>100</v>
      </c>
      <c r="T13" s="1572" t="s">
        <v>8</v>
      </c>
      <c r="U13" s="1573">
        <f t="shared" si="1"/>
        <v>95</v>
      </c>
      <c r="V13" s="1572" t="s">
        <v>8</v>
      </c>
      <c r="W13" s="1573">
        <f t="shared" si="2"/>
        <v>95</v>
      </c>
      <c r="X13" s="1574"/>
      <c r="Y13" s="3306"/>
      <c r="Z13" s="1153" t="str">
        <f t="shared" si="7"/>
        <v>容积率</v>
      </c>
      <c r="AA13" s="1575">
        <f t="shared" si="3"/>
        <v>1</v>
      </c>
      <c r="AB13" s="1575">
        <f t="shared" si="4"/>
        <v>1.0526315789473684</v>
      </c>
      <c r="AC13" s="1575">
        <f t="shared" si="5"/>
        <v>1.0526315789473684</v>
      </c>
    </row>
    <row r="14" spans="1:30" s="1223" customFormat="1" ht="20.25" hidden="1">
      <c r="A14" s="2944"/>
      <c r="B14" s="2953" t="s">
        <v>2765</v>
      </c>
      <c r="C14" s="2940"/>
      <c r="D14" s="541">
        <v>100</v>
      </c>
      <c r="E14" s="1378"/>
      <c r="F14" s="255">
        <f>SUMIF(84:84,E14,85:85)-SUMIF(84:84,C14,85:85)+100</f>
        <v>100</v>
      </c>
      <c r="G14" s="533"/>
      <c r="H14" s="255">
        <f>SUMIF(84:84,G14,85:85)-SUMIF(84:84,C14,85:85)+100</f>
        <v>100</v>
      </c>
      <c r="I14" s="532"/>
      <c r="J14" s="255">
        <f>SUMIF(84:84,I14,85:85)-SUMIF(84:84,C14,85:85)+100</f>
        <v>100</v>
      </c>
      <c r="K14" s="534"/>
      <c r="L14" s="2138"/>
      <c r="M14" s="2135"/>
      <c r="N14" s="2135"/>
      <c r="O14" s="2140"/>
      <c r="P14" s="3360"/>
      <c r="Q14" s="1154" t="str">
        <f t="shared" si="6"/>
        <v>配建</v>
      </c>
      <c r="R14" s="1572" t="s">
        <v>8</v>
      </c>
      <c r="S14" s="1573">
        <f t="shared" si="0"/>
        <v>100</v>
      </c>
      <c r="T14" s="1572" t="s">
        <v>8</v>
      </c>
      <c r="U14" s="1573">
        <f t="shared" si="1"/>
        <v>100</v>
      </c>
      <c r="V14" s="1572" t="s">
        <v>8</v>
      </c>
      <c r="W14" s="1573">
        <f t="shared" si="2"/>
        <v>100</v>
      </c>
      <c r="X14" s="1574"/>
      <c r="Y14" s="3306"/>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60"/>
      <c r="Q15" s="1154">
        <f t="shared" si="6"/>
        <v>111</v>
      </c>
      <c r="R15" s="1572" t="s">
        <v>8</v>
      </c>
      <c r="S15" s="1573">
        <f t="shared" si="0"/>
        <v>100</v>
      </c>
      <c r="T15" s="1572" t="s">
        <v>8</v>
      </c>
      <c r="U15" s="1573">
        <f t="shared" si="1"/>
        <v>100</v>
      </c>
      <c r="V15" s="1572" t="s">
        <v>8</v>
      </c>
      <c r="W15" s="1573">
        <f t="shared" si="2"/>
        <v>100</v>
      </c>
      <c r="X15" s="1574"/>
      <c r="Y15" s="3306"/>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60"/>
      <c r="Q16" s="1154">
        <f t="shared" si="6"/>
        <v>111</v>
      </c>
      <c r="R16" s="1572" t="s">
        <v>8</v>
      </c>
      <c r="S16" s="1573">
        <f t="shared" si="0"/>
        <v>100</v>
      </c>
      <c r="T16" s="1572" t="s">
        <v>8</v>
      </c>
      <c r="U16" s="1573">
        <f t="shared" si="1"/>
        <v>100</v>
      </c>
      <c r="V16" s="1572" t="s">
        <v>8</v>
      </c>
      <c r="W16" s="1573">
        <f t="shared" si="2"/>
        <v>100</v>
      </c>
      <c r="X16" s="1574"/>
      <c r="Y16" s="3306"/>
      <c r="Z16" s="1153">
        <f t="shared" si="7"/>
        <v>111</v>
      </c>
      <c r="AA16" s="1575">
        <f>D16/F16</f>
        <v>1</v>
      </c>
      <c r="AB16" s="1575">
        <f>D16/H16</f>
        <v>1</v>
      </c>
      <c r="AC16" s="1575">
        <f>D16/J16</f>
        <v>1</v>
      </c>
    </row>
    <row r="17" spans="1:29" ht="99.75">
      <c r="A17" s="2941" t="s">
        <v>2760</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104</v>
      </c>
      <c r="G17" s="553"/>
      <c r="H17" s="552">
        <f>SUMIF(90:90,G18,91:91)-SUMIF(90:90,C18,91:91)+100</f>
        <v>104</v>
      </c>
      <c r="I17" s="555"/>
      <c r="J17" s="552">
        <f>SUMIF(90:90,I18,91:91)-SUMIF(90:90,C18,91:91)+100</f>
        <v>104</v>
      </c>
      <c r="K17" s="538">
        <v>2</v>
      </c>
      <c r="L17" s="2145"/>
      <c r="M17" s="2135"/>
      <c r="N17" s="2135"/>
      <c r="O17" s="2144"/>
      <c r="P17" s="3396" t="s">
        <v>541</v>
      </c>
      <c r="Q17" s="1576" t="str">
        <f t="shared" si="6"/>
        <v>居住社区成熟度</v>
      </c>
      <c r="R17" s="1577" t="s">
        <v>8</v>
      </c>
      <c r="S17" s="1578">
        <f t="shared" si="0"/>
        <v>104</v>
      </c>
      <c r="T17" s="1577" t="s">
        <v>8</v>
      </c>
      <c r="U17" s="1578">
        <f t="shared" si="1"/>
        <v>104</v>
      </c>
      <c r="V17" s="1577" t="s">
        <v>8</v>
      </c>
      <c r="W17" s="1578">
        <f t="shared" si="2"/>
        <v>104</v>
      </c>
      <c r="X17" s="1571"/>
      <c r="Y17" s="3396" t="s">
        <v>541</v>
      </c>
      <c r="Z17" s="1579" t="str">
        <f t="shared" si="7"/>
        <v>居住社区成熟度</v>
      </c>
      <c r="AA17" s="1580">
        <f t="shared" si="3"/>
        <v>0.96153846153846156</v>
      </c>
      <c r="AB17" s="1580">
        <f t="shared" si="4"/>
        <v>0.96153846153846156</v>
      </c>
      <c r="AC17" s="1580">
        <f t="shared" si="5"/>
        <v>0.96153846153846156</v>
      </c>
    </row>
    <row r="18" spans="1:29" ht="20.25">
      <c r="A18" s="535"/>
      <c r="B18" s="556"/>
      <c r="C18" s="557" t="s">
        <v>3024</v>
      </c>
      <c r="D18" s="560"/>
      <c r="E18" s="561" t="s">
        <v>3044</v>
      </c>
      <c r="F18" s="558"/>
      <c r="G18" s="559" t="s">
        <v>3044</v>
      </c>
      <c r="H18" s="562"/>
      <c r="I18" s="561" t="s">
        <v>3044</v>
      </c>
      <c r="J18" s="558"/>
      <c r="K18" s="534"/>
      <c r="L18" s="2145"/>
      <c r="M18" s="2135"/>
      <c r="N18" s="2135"/>
      <c r="O18" s="2144"/>
      <c r="P18" s="3397"/>
      <c r="Q18" s="1576"/>
      <c r="R18" s="1577"/>
      <c r="S18" s="1578"/>
      <c r="T18" s="1577"/>
      <c r="U18" s="1578"/>
      <c r="V18" s="1577"/>
      <c r="W18" s="1578"/>
      <c r="X18" s="1571"/>
      <c r="Y18" s="3397"/>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104</v>
      </c>
      <c r="G19" s="565"/>
      <c r="H19" s="568">
        <f>SUMIF(92:92,G20,93:93)-SUMIF(92:92,C20,93:93)+100</f>
        <v>104</v>
      </c>
      <c r="I19" s="567"/>
      <c r="J19" s="568">
        <f>SUMIF(92:92,I20,93:93)-SUMIF(92:92,C20,93:93)+100</f>
        <v>104</v>
      </c>
      <c r="K19" s="538">
        <v>2</v>
      </c>
      <c r="L19" s="2145"/>
      <c r="M19" s="2135"/>
      <c r="N19" s="2135"/>
      <c r="O19" s="2144"/>
      <c r="P19" s="3397"/>
      <c r="Q19" s="1576" t="str">
        <f>B19</f>
        <v>商业繁华度</v>
      </c>
      <c r="R19" s="1577" t="s">
        <v>8</v>
      </c>
      <c r="S19" s="1578">
        <f>F19</f>
        <v>104</v>
      </c>
      <c r="T19" s="1577" t="s">
        <v>8</v>
      </c>
      <c r="U19" s="1578">
        <f>H19</f>
        <v>104</v>
      </c>
      <c r="V19" s="1577" t="s">
        <v>8</v>
      </c>
      <c r="W19" s="1578">
        <f>J19</f>
        <v>104</v>
      </c>
      <c r="X19" s="1571"/>
      <c r="Y19" s="3397"/>
      <c r="Z19" s="1579" t="str">
        <f>Q19</f>
        <v>商业繁华度</v>
      </c>
      <c r="AA19" s="1580">
        <f t="shared" si="3"/>
        <v>0.96153846153846156</v>
      </c>
      <c r="AB19" s="1580">
        <f t="shared" si="4"/>
        <v>0.96153846153846156</v>
      </c>
      <c r="AC19" s="1580">
        <f t="shared" si="5"/>
        <v>0.96153846153846156</v>
      </c>
    </row>
    <row r="20" spans="1:29" ht="20.25">
      <c r="A20" s="535"/>
      <c r="B20" s="569"/>
      <c r="C20" s="570" t="s">
        <v>3025</v>
      </c>
      <c r="D20" s="566"/>
      <c r="E20" s="572" t="s">
        <v>3026</v>
      </c>
      <c r="F20" s="562"/>
      <c r="G20" s="571" t="s">
        <v>3026</v>
      </c>
      <c r="H20" s="558"/>
      <c r="I20" s="572" t="s">
        <v>3026</v>
      </c>
      <c r="J20" s="558"/>
      <c r="K20" s="534"/>
      <c r="L20" s="2145"/>
      <c r="M20" s="2135"/>
      <c r="N20" s="2135"/>
      <c r="O20" s="2144"/>
      <c r="P20" s="3397"/>
      <c r="Q20" s="1576"/>
      <c r="R20" s="1577"/>
      <c r="S20" s="1578"/>
      <c r="T20" s="1577"/>
      <c r="U20" s="1578"/>
      <c r="V20" s="1577"/>
      <c r="W20" s="1578"/>
      <c r="X20" s="1571"/>
      <c r="Y20" s="3397"/>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5"/>
      <c r="M21" s="2135"/>
      <c r="N21" s="2135"/>
      <c r="O21" s="2144"/>
      <c r="P21" s="3397"/>
      <c r="Q21" s="1576" t="str">
        <f>B21</f>
        <v>办公集聚程度</v>
      </c>
      <c r="R21" s="1577" t="s">
        <v>8</v>
      </c>
      <c r="S21" s="1578">
        <f>F21</f>
        <v>100</v>
      </c>
      <c r="T21" s="1577" t="s">
        <v>8</v>
      </c>
      <c r="U21" s="1578">
        <f>H21</f>
        <v>100</v>
      </c>
      <c r="V21" s="1577" t="s">
        <v>8</v>
      </c>
      <c r="W21" s="1578">
        <f>J21</f>
        <v>100</v>
      </c>
      <c r="X21" s="1571"/>
      <c r="Y21" s="3397"/>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5"/>
      <c r="M22" s="2135"/>
      <c r="N22" s="2135"/>
      <c r="O22" s="2144"/>
      <c r="P22" s="3397"/>
      <c r="Q22" s="1576"/>
      <c r="R22" s="1577"/>
      <c r="S22" s="1578"/>
      <c r="T22" s="1577"/>
      <c r="U22" s="1578"/>
      <c r="V22" s="1577"/>
      <c r="W22" s="1578"/>
      <c r="X22" s="1571"/>
      <c r="Y22" s="3397"/>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3</v>
      </c>
      <c r="L23" s="2145"/>
      <c r="M23" s="2135"/>
      <c r="N23" s="2135"/>
      <c r="O23" s="2144"/>
      <c r="P23" s="3397"/>
      <c r="Q23" s="1576" t="str">
        <f>B23</f>
        <v>交通便捷度</v>
      </c>
      <c r="R23" s="1577" t="s">
        <v>8</v>
      </c>
      <c r="S23" s="1578">
        <f>F23</f>
        <v>100</v>
      </c>
      <c r="T23" s="1577" t="s">
        <v>8</v>
      </c>
      <c r="U23" s="1578">
        <f>H23</f>
        <v>100</v>
      </c>
      <c r="V23" s="1577" t="s">
        <v>8</v>
      </c>
      <c r="W23" s="1578">
        <f>J23</f>
        <v>100</v>
      </c>
      <c r="X23" s="1571"/>
      <c r="Y23" s="3397"/>
      <c r="Z23" s="1579" t="str">
        <f>Q23</f>
        <v>交通便捷度</v>
      </c>
      <c r="AA23" s="1580">
        <f t="shared" si="3"/>
        <v>1</v>
      </c>
      <c r="AB23" s="1580">
        <f t="shared" si="4"/>
        <v>1</v>
      </c>
      <c r="AC23" s="1580">
        <f t="shared" si="5"/>
        <v>1</v>
      </c>
    </row>
    <row r="24" spans="1:29" ht="20.25">
      <c r="A24" s="535"/>
      <c r="B24" s="581"/>
      <c r="C24" s="557" t="s">
        <v>3024</v>
      </c>
      <c r="D24" s="560"/>
      <c r="E24" s="561" t="s">
        <v>3024</v>
      </c>
      <c r="F24" s="558"/>
      <c r="G24" s="559" t="s">
        <v>3024</v>
      </c>
      <c r="H24" s="558"/>
      <c r="I24" s="561" t="s">
        <v>3024</v>
      </c>
      <c r="J24" s="558"/>
      <c r="K24" s="534"/>
      <c r="L24" s="2145"/>
      <c r="M24" s="2135"/>
      <c r="N24" s="2135"/>
      <c r="O24" s="2144"/>
      <c r="P24" s="3397"/>
      <c r="Q24" s="1576"/>
      <c r="R24" s="1577"/>
      <c r="S24" s="1578"/>
      <c r="T24" s="1577"/>
      <c r="U24" s="1578"/>
      <c r="V24" s="1577"/>
      <c r="W24" s="1578"/>
      <c r="X24" s="1571"/>
      <c r="Y24" s="3397"/>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45"/>
      <c r="M25" s="2135"/>
      <c r="N25" s="2135"/>
      <c r="O25" s="2144"/>
      <c r="P25" s="3397"/>
      <c r="Q25" s="1576" t="str">
        <f t="shared" ref="Q25:Q39" si="8">B25</f>
        <v>区域土地利用方向</v>
      </c>
      <c r="R25" s="1577" t="s">
        <v>8</v>
      </c>
      <c r="S25" s="1578">
        <f>F25</f>
        <v>100</v>
      </c>
      <c r="T25" s="1577" t="s">
        <v>8</v>
      </c>
      <c r="U25" s="1578">
        <f>H25</f>
        <v>100</v>
      </c>
      <c r="V25" s="1577" t="s">
        <v>8</v>
      </c>
      <c r="W25" s="1578">
        <f>J25</f>
        <v>100</v>
      </c>
      <c r="X25" s="1571"/>
      <c r="Y25" s="3397"/>
      <c r="Z25" s="1579" t="str">
        <f>Q25</f>
        <v>区域土地利用方向</v>
      </c>
      <c r="AA25" s="1580">
        <f t="shared" si="3"/>
        <v>1</v>
      </c>
      <c r="AB25" s="1580">
        <f t="shared" si="4"/>
        <v>1</v>
      </c>
      <c r="AC25" s="1580">
        <f t="shared" si="5"/>
        <v>1</v>
      </c>
    </row>
    <row r="26" spans="1:29" ht="20.25">
      <c r="A26" s="518"/>
      <c r="B26" s="1010"/>
      <c r="C26" s="557" t="s">
        <v>3026</v>
      </c>
      <c r="D26" s="560"/>
      <c r="E26" s="561" t="s">
        <v>3026</v>
      </c>
      <c r="F26" s="558"/>
      <c r="G26" s="559" t="s">
        <v>3026</v>
      </c>
      <c r="H26" s="558"/>
      <c r="I26" s="561" t="s">
        <v>3026</v>
      </c>
      <c r="J26" s="558"/>
      <c r="K26" s="534"/>
      <c r="L26" s="2145"/>
      <c r="M26" s="2135"/>
      <c r="N26" s="2135"/>
      <c r="O26" s="2144"/>
      <c r="P26" s="3397"/>
      <c r="Q26" s="1576"/>
      <c r="R26" s="1577"/>
      <c r="S26" s="1578"/>
      <c r="T26" s="1577"/>
      <c r="U26" s="1578"/>
      <c r="V26" s="1577"/>
      <c r="W26" s="1578"/>
      <c r="X26" s="1571"/>
      <c r="Y26" s="3397"/>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45"/>
      <c r="M27" s="2135"/>
      <c r="N27" s="2135"/>
      <c r="O27" s="2144"/>
      <c r="P27" s="3397"/>
      <c r="Q27" s="1576" t="str">
        <f t="shared" si="8"/>
        <v>自然及人文环境状况</v>
      </c>
      <c r="R27" s="1577" t="s">
        <v>8</v>
      </c>
      <c r="S27" s="1578">
        <f>F27</f>
        <v>100</v>
      </c>
      <c r="T27" s="1577" t="s">
        <v>8</v>
      </c>
      <c r="U27" s="1578">
        <f>H27</f>
        <v>100</v>
      </c>
      <c r="V27" s="1577" t="s">
        <v>8</v>
      </c>
      <c r="W27" s="1578">
        <f>J27</f>
        <v>100</v>
      </c>
      <c r="X27" s="1571"/>
      <c r="Y27" s="3397"/>
      <c r="Z27" s="1579" t="str">
        <f>Q27</f>
        <v>自然及人文环境状况</v>
      </c>
      <c r="AA27" s="1580">
        <f t="shared" si="3"/>
        <v>1</v>
      </c>
      <c r="AB27" s="1580">
        <f t="shared" si="4"/>
        <v>1</v>
      </c>
      <c r="AC27" s="1580">
        <f t="shared" si="5"/>
        <v>1</v>
      </c>
    </row>
    <row r="28" spans="1:29" ht="20.25">
      <c r="A28" s="518"/>
      <c r="B28" s="569"/>
      <c r="C28" s="557" t="s">
        <v>3026</v>
      </c>
      <c r="D28" s="560"/>
      <c r="E28" s="579" t="s">
        <v>3026</v>
      </c>
      <c r="F28" s="558"/>
      <c r="G28" s="557" t="s">
        <v>3026</v>
      </c>
      <c r="H28" s="558"/>
      <c r="I28" s="579" t="s">
        <v>3026</v>
      </c>
      <c r="J28" s="558"/>
      <c r="K28" s="534"/>
      <c r="L28" s="2145"/>
      <c r="M28" s="2135"/>
      <c r="N28" s="2135"/>
      <c r="O28" s="2144"/>
      <c r="P28" s="3397"/>
      <c r="Q28" s="1576"/>
      <c r="R28" s="1577"/>
      <c r="S28" s="1578"/>
      <c r="T28" s="1577"/>
      <c r="U28" s="1578"/>
      <c r="V28" s="1577"/>
      <c r="W28" s="1578"/>
      <c r="X28" s="1571"/>
      <c r="Y28" s="3397"/>
      <c r="Z28" s="1579"/>
      <c r="AA28" s="1580">
        <v>1</v>
      </c>
      <c r="AB28" s="1580">
        <v>1</v>
      </c>
      <c r="AC28" s="1580">
        <v>1</v>
      </c>
    </row>
    <row r="29" spans="1:29" s="1223" customFormat="1" ht="42.75">
      <c r="A29" s="580"/>
      <c r="B29" s="2618" t="s">
        <v>2552</v>
      </c>
      <c r="C29" s="576" t="str">
        <f>估价对象房地状况!C21</f>
        <v>估价对象所在区域公共配套设施齐备情况</v>
      </c>
      <c r="D29" s="566">
        <v>100</v>
      </c>
      <c r="E29" s="567"/>
      <c r="F29" s="562">
        <f>SUMIF(102:102,E30,103:103)-SUMIF(102:102,C30,103:103)+100</f>
        <v>105</v>
      </c>
      <c r="G29" s="565"/>
      <c r="H29" s="562">
        <f>SUMIF(102:102,G30,103:103)-SUMIF(102:102,C30,103:103)+100</f>
        <v>100</v>
      </c>
      <c r="I29" s="567"/>
      <c r="J29" s="562">
        <f>SUMIF(102:102,I30,103:103)-SUMIF(102:102,C30,103:103)+100</f>
        <v>100</v>
      </c>
      <c r="K29" s="3189">
        <v>5</v>
      </c>
      <c r="L29" s="2138"/>
      <c r="M29" s="2135"/>
      <c r="N29" s="2135"/>
      <c r="O29" s="2140"/>
      <c r="P29" s="3397"/>
      <c r="Q29" s="1154" t="str">
        <f t="shared" si="8"/>
        <v>公共配套设施</v>
      </c>
      <c r="R29" s="1572" t="s">
        <v>8</v>
      </c>
      <c r="S29" s="1573">
        <f>F29</f>
        <v>105</v>
      </c>
      <c r="T29" s="1572" t="s">
        <v>8</v>
      </c>
      <c r="U29" s="1573">
        <f>H29</f>
        <v>100</v>
      </c>
      <c r="V29" s="1572" t="s">
        <v>8</v>
      </c>
      <c r="W29" s="1573">
        <f>J29</f>
        <v>100</v>
      </c>
      <c r="X29" s="1574"/>
      <c r="Y29" s="3397"/>
      <c r="Z29" s="1153" t="str">
        <f>Q29</f>
        <v>公共配套设施</v>
      </c>
      <c r="AA29" s="1580">
        <f>D29/F29</f>
        <v>0.95238095238095233</v>
      </c>
      <c r="AB29" s="1580">
        <f>D29/H29</f>
        <v>1</v>
      </c>
      <c r="AC29" s="1580">
        <f>D29/J29</f>
        <v>1</v>
      </c>
    </row>
    <row r="30" spans="1:29" s="1223" customFormat="1" ht="20.25">
      <c r="A30" s="580"/>
      <c r="B30" s="569"/>
      <c r="C30" s="582" t="s">
        <v>3024</v>
      </c>
      <c r="D30" s="560"/>
      <c r="E30" s="579" t="s">
        <v>3026</v>
      </c>
      <c r="F30" s="558"/>
      <c r="G30" s="557" t="s">
        <v>3024</v>
      </c>
      <c r="H30" s="558"/>
      <c r="I30" s="579" t="s">
        <v>3024</v>
      </c>
      <c r="J30" s="558"/>
      <c r="K30" s="534"/>
      <c r="L30" s="2138"/>
      <c r="M30" s="2135"/>
      <c r="N30" s="2135"/>
      <c r="O30" s="2140"/>
      <c r="P30" s="3397"/>
      <c r="Q30" s="1154"/>
      <c r="R30" s="1572"/>
      <c r="S30" s="1573"/>
      <c r="T30" s="1572"/>
      <c r="U30" s="1573"/>
      <c r="V30" s="1572"/>
      <c r="W30" s="1573"/>
      <c r="X30" s="1574"/>
      <c r="Y30" s="3397"/>
      <c r="Z30" s="1153"/>
      <c r="AA30" s="1580">
        <v>1</v>
      </c>
      <c r="AB30" s="1580">
        <v>1</v>
      </c>
      <c r="AC30" s="1580">
        <v>1</v>
      </c>
    </row>
    <row r="31" spans="1:29" s="1223" customFormat="1" ht="28.5">
      <c r="A31" s="580"/>
      <c r="B31" s="2618" t="s">
        <v>2553</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38"/>
      <c r="M31" s="2135"/>
      <c r="N31" s="2135"/>
      <c r="O31" s="2140"/>
      <c r="P31" s="3397"/>
      <c r="Q31" s="2605" t="str">
        <f t="shared" ref="Q31" si="9">B31</f>
        <v>基础设施水平</v>
      </c>
      <c r="R31" s="1572" t="s">
        <v>8</v>
      </c>
      <c r="S31" s="1573">
        <f>F31</f>
        <v>100</v>
      </c>
      <c r="T31" s="1572" t="s">
        <v>8</v>
      </c>
      <c r="U31" s="1573">
        <f>H31</f>
        <v>100</v>
      </c>
      <c r="V31" s="1572" t="s">
        <v>8</v>
      </c>
      <c r="W31" s="1573">
        <f>J31</f>
        <v>100</v>
      </c>
      <c r="X31" s="1574"/>
      <c r="Y31" s="3397"/>
      <c r="Z31" s="2602" t="str">
        <f>Q31</f>
        <v>基础设施水平</v>
      </c>
      <c r="AA31" s="1580">
        <f>D31/F31</f>
        <v>1</v>
      </c>
      <c r="AB31" s="1580">
        <f>D31/H31</f>
        <v>1</v>
      </c>
      <c r="AC31" s="1580">
        <f>D31/J31</f>
        <v>1</v>
      </c>
    </row>
    <row r="32" spans="1:29" s="1223" customFormat="1" ht="20.25">
      <c r="A32" s="580"/>
      <c r="B32" s="569"/>
      <c r="C32" s="582" t="s">
        <v>3027</v>
      </c>
      <c r="D32" s="560"/>
      <c r="E32" s="2619" t="s">
        <v>3027</v>
      </c>
      <c r="F32" s="558"/>
      <c r="G32" s="582" t="s">
        <v>3027</v>
      </c>
      <c r="H32" s="558"/>
      <c r="I32" s="582" t="s">
        <v>3027</v>
      </c>
      <c r="J32" s="558"/>
      <c r="K32" s="534"/>
      <c r="L32" s="2138"/>
      <c r="M32" s="2135"/>
      <c r="N32" s="2135"/>
      <c r="O32" s="2140"/>
      <c r="P32" s="3397"/>
      <c r="Q32" s="2605"/>
      <c r="R32" s="1572"/>
      <c r="S32" s="1573"/>
      <c r="T32" s="1572"/>
      <c r="U32" s="1573"/>
      <c r="V32" s="1572"/>
      <c r="W32" s="1573"/>
      <c r="X32" s="1574"/>
      <c r="Y32" s="3397"/>
      <c r="Z32" s="2602"/>
      <c r="AA32" s="1580">
        <v>1</v>
      </c>
      <c r="AB32" s="1580">
        <v>1</v>
      </c>
      <c r="AC32" s="1580">
        <v>1</v>
      </c>
    </row>
    <row r="33" spans="1:29" ht="20.25">
      <c r="A33" s="535"/>
      <c r="B33" s="569" t="s">
        <v>548</v>
      </c>
      <c r="C33" s="583" t="s">
        <v>3056</v>
      </c>
      <c r="D33" s="578">
        <v>100</v>
      </c>
      <c r="E33" s="586" t="s">
        <v>3055</v>
      </c>
      <c r="F33" s="543">
        <f>SUMIF(106:106,E33,107:107)-SUMIF(106:106,C33,107:107)+100</f>
        <v>102</v>
      </c>
      <c r="G33" s="583" t="s">
        <v>3028</v>
      </c>
      <c r="H33" s="543">
        <f>SUMIF(106:106,G33,107:107)-SUMIF(106:106,C33,107:107)+100</f>
        <v>101</v>
      </c>
      <c r="I33" s="583" t="s">
        <v>3055</v>
      </c>
      <c r="J33" s="543">
        <f>SUMIF(106:106,I33,107:107)-SUMIF(106:106,C33,107:107)+100</f>
        <v>102</v>
      </c>
      <c r="K33" s="538">
        <v>1</v>
      </c>
      <c r="L33" s="2145"/>
      <c r="M33" s="2135"/>
      <c r="N33" s="2135"/>
      <c r="O33" s="2144"/>
      <c r="P33" s="3397"/>
      <c r="Q33" s="1576" t="str">
        <f t="shared" si="8"/>
        <v>临街状况</v>
      </c>
      <c r="R33" s="1577" t="s">
        <v>8</v>
      </c>
      <c r="S33" s="1578">
        <f t="shared" ref="S33:S47" si="10">F33</f>
        <v>102</v>
      </c>
      <c r="T33" s="1577" t="s">
        <v>8</v>
      </c>
      <c r="U33" s="1578">
        <f t="shared" ref="U33:U47" si="11">H33</f>
        <v>101</v>
      </c>
      <c r="V33" s="1577" t="s">
        <v>8</v>
      </c>
      <c r="W33" s="1578">
        <f t="shared" ref="W33:W47" si="12">J33</f>
        <v>102</v>
      </c>
      <c r="X33" s="1571"/>
      <c r="Y33" s="3397"/>
      <c r="Z33" s="1579" t="str">
        <f t="shared" ref="Z33:Z47" si="13">Q33</f>
        <v>临街状况</v>
      </c>
      <c r="AA33" s="1580">
        <f t="shared" si="3"/>
        <v>0.98039215686274506</v>
      </c>
      <c r="AB33" s="1580">
        <f t="shared" si="4"/>
        <v>0.99009900990099009</v>
      </c>
      <c r="AC33" s="1580">
        <f t="shared" si="5"/>
        <v>0.98039215686274506</v>
      </c>
    </row>
    <row r="34" spans="1:29" ht="27">
      <c r="A34" s="535"/>
      <c r="B34" s="581" t="s">
        <v>549</v>
      </c>
      <c r="C34" s="565"/>
      <c r="D34" s="566">
        <v>100</v>
      </c>
      <c r="E34" s="567"/>
      <c r="F34" s="562">
        <f>SUMIF(108:108,E35,109:109)-SUMIF(108:108,C35,109:109)+100</f>
        <v>102</v>
      </c>
      <c r="G34" s="565"/>
      <c r="H34" s="562">
        <f>SUMIF(108:108,G35,109:109)-SUMIF(108:108,C35,109:109)+100</f>
        <v>98</v>
      </c>
      <c r="I34" s="567"/>
      <c r="J34" s="562">
        <f>SUMIF(108:108,I35,109:109)-SUMIF(108:108,C35,109:109)+100</f>
        <v>100</v>
      </c>
      <c r="K34" s="538">
        <v>2</v>
      </c>
      <c r="L34" s="2145"/>
      <c r="M34" s="2135"/>
      <c r="N34" s="2135"/>
      <c r="O34" s="2144"/>
      <c r="P34" s="3397"/>
      <c r="Q34" s="1576" t="str">
        <f t="shared" si="8"/>
        <v>毗邻道路的类型与等级</v>
      </c>
      <c r="R34" s="1577" t="s">
        <v>8</v>
      </c>
      <c r="S34" s="1578">
        <f t="shared" si="10"/>
        <v>102</v>
      </c>
      <c r="T34" s="1577" t="s">
        <v>8</v>
      </c>
      <c r="U34" s="1578">
        <f t="shared" si="11"/>
        <v>98</v>
      </c>
      <c r="V34" s="1577" t="s">
        <v>8</v>
      </c>
      <c r="W34" s="1578">
        <f t="shared" si="12"/>
        <v>100</v>
      </c>
      <c r="X34" s="1571"/>
      <c r="Y34" s="3397"/>
      <c r="Z34" s="1579" t="str">
        <f t="shared" si="13"/>
        <v>毗邻道路的类型与等级</v>
      </c>
      <c r="AA34" s="1580">
        <f t="shared" si="3"/>
        <v>0.98039215686274506</v>
      </c>
      <c r="AB34" s="1580">
        <f t="shared" si="4"/>
        <v>1.0204081632653061</v>
      </c>
      <c r="AC34" s="1580">
        <f t="shared" si="5"/>
        <v>1</v>
      </c>
    </row>
    <row r="35" spans="1:29" ht="20.25">
      <c r="A35" s="535"/>
      <c r="B35" s="569"/>
      <c r="C35" s="557" t="s">
        <v>3033</v>
      </c>
      <c r="D35" s="560"/>
      <c r="E35" s="579" t="s">
        <v>3031</v>
      </c>
      <c r="F35" s="558"/>
      <c r="G35" s="557" t="s">
        <v>3035</v>
      </c>
      <c r="H35" s="558"/>
      <c r="I35" s="579" t="s">
        <v>3033</v>
      </c>
      <c r="J35" s="558"/>
      <c r="K35" s="584"/>
      <c r="L35" s="2145"/>
      <c r="M35" s="2135"/>
      <c r="N35" s="2135"/>
      <c r="O35" s="2144"/>
      <c r="P35" s="3397"/>
      <c r="Q35" s="1576"/>
      <c r="R35" s="1577"/>
      <c r="S35" s="1578"/>
      <c r="T35" s="1577"/>
      <c r="U35" s="1578"/>
      <c r="V35" s="1577"/>
      <c r="W35" s="1578"/>
      <c r="X35" s="1571"/>
      <c r="Y35" s="3397"/>
      <c r="Z35" s="1579"/>
      <c r="AA35" s="1580">
        <v>1</v>
      </c>
      <c r="AB35" s="1580">
        <v>1</v>
      </c>
      <c r="AC35" s="1580">
        <v>1</v>
      </c>
    </row>
    <row r="36" spans="1:29" ht="21" thickBot="1">
      <c r="A36" s="535"/>
      <c r="B36" s="585" t="s">
        <v>550</v>
      </c>
      <c r="C36" s="583" t="s">
        <v>1411</v>
      </c>
      <c r="D36" s="578">
        <v>100</v>
      </c>
      <c r="E36" s="586" t="s">
        <v>1411</v>
      </c>
      <c r="F36" s="543">
        <f>SUMIF(110:110,E36,111:111)-SUMIF(110:110,C36,111:111)+100</f>
        <v>100</v>
      </c>
      <c r="G36" s="583" t="s">
        <v>1411</v>
      </c>
      <c r="H36" s="543">
        <f>SUMIF(110:110,G36,111:111)-SUMIF(110:110,C36,111:111)+100</f>
        <v>100</v>
      </c>
      <c r="I36" s="586" t="s">
        <v>1411</v>
      </c>
      <c r="J36" s="543">
        <f>SUMIF(110:110,I36,111:111)-SUMIF(110:110,C36,111:111)+100</f>
        <v>100</v>
      </c>
      <c r="K36" s="587">
        <v>1</v>
      </c>
      <c r="L36" s="2145"/>
      <c r="M36" s="2135"/>
      <c r="N36" s="2135"/>
      <c r="O36" s="2144"/>
      <c r="P36" s="3397"/>
      <c r="Q36" s="1576" t="str">
        <f t="shared" si="8"/>
        <v>土地级别</v>
      </c>
      <c r="R36" s="1577" t="s">
        <v>8</v>
      </c>
      <c r="S36" s="1578">
        <f t="shared" si="10"/>
        <v>100</v>
      </c>
      <c r="T36" s="1577" t="s">
        <v>8</v>
      </c>
      <c r="U36" s="1578">
        <f t="shared" si="11"/>
        <v>100</v>
      </c>
      <c r="V36" s="1577" t="s">
        <v>8</v>
      </c>
      <c r="W36" s="1578">
        <f t="shared" si="12"/>
        <v>100</v>
      </c>
      <c r="X36" s="1571"/>
      <c r="Y36" s="3397"/>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97"/>
      <c r="Q37" s="1576">
        <f t="shared" si="8"/>
        <v>111</v>
      </c>
      <c r="R37" s="1577" t="s">
        <v>8</v>
      </c>
      <c r="S37" s="1578">
        <f t="shared" si="10"/>
        <v>100</v>
      </c>
      <c r="T37" s="1577" t="s">
        <v>8</v>
      </c>
      <c r="U37" s="1578">
        <f t="shared" si="11"/>
        <v>100</v>
      </c>
      <c r="V37" s="1577" t="s">
        <v>8</v>
      </c>
      <c r="W37" s="1578">
        <f t="shared" si="12"/>
        <v>100</v>
      </c>
      <c r="X37" s="1571"/>
      <c r="Y37" s="3397"/>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98" t="s">
        <v>551</v>
      </c>
      <c r="Q38" s="1576">
        <f t="shared" si="8"/>
        <v>111</v>
      </c>
      <c r="R38" s="1577" t="s">
        <v>8</v>
      </c>
      <c r="S38" s="1578">
        <f t="shared" si="10"/>
        <v>100</v>
      </c>
      <c r="T38" s="1577" t="s">
        <v>8</v>
      </c>
      <c r="U38" s="1578">
        <f t="shared" si="11"/>
        <v>100</v>
      </c>
      <c r="V38" s="1577" t="s">
        <v>8</v>
      </c>
      <c r="W38" s="1578">
        <f t="shared" si="12"/>
        <v>100</v>
      </c>
      <c r="X38" s="1571"/>
      <c r="Y38" s="3399"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99"/>
      <c r="Q39" s="1576">
        <f t="shared" si="8"/>
        <v>111</v>
      </c>
      <c r="R39" s="1581" t="s">
        <v>8</v>
      </c>
      <c r="S39" s="1582">
        <f t="shared" si="10"/>
        <v>100</v>
      </c>
      <c r="T39" s="1581" t="s">
        <v>8</v>
      </c>
      <c r="U39" s="1582">
        <f t="shared" si="11"/>
        <v>100</v>
      </c>
      <c r="V39" s="1581" t="s">
        <v>8</v>
      </c>
      <c r="W39" s="1582">
        <f t="shared" si="12"/>
        <v>100</v>
      </c>
      <c r="X39" s="1583"/>
      <c r="Y39" s="3399"/>
      <c r="Z39" s="1584">
        <f t="shared" si="13"/>
        <v>111</v>
      </c>
      <c r="AA39" s="1580">
        <f t="shared" si="3"/>
        <v>1</v>
      </c>
      <c r="AB39" s="1580">
        <f t="shared" si="4"/>
        <v>1</v>
      </c>
      <c r="AC39" s="1580">
        <f t="shared" si="5"/>
        <v>1</v>
      </c>
    </row>
    <row r="40" spans="1:29" ht="20.25">
      <c r="A40" s="2938" t="s">
        <v>2761</v>
      </c>
      <c r="B40" s="598" t="s">
        <v>553</v>
      </c>
      <c r="C40" s="599">
        <f>'数据-基础表'!A3</f>
        <v>72507.13</v>
      </c>
      <c r="D40" s="600">
        <v>100</v>
      </c>
      <c r="E40" s="599">
        <v>56789.79</v>
      </c>
      <c r="F40" s="600">
        <f>LOOKUP(E40,119:119,120:120)-LOOKUP(C40,119:119,120:120)+100</f>
        <v>100</v>
      </c>
      <c r="G40" s="599">
        <v>138196.70000000001</v>
      </c>
      <c r="H40" s="600">
        <f>LOOKUP(G40,119:119,120:120)-LOOKUP(C40,119:119,120:120)+100</f>
        <v>101</v>
      </c>
      <c r="I40" s="601">
        <v>88885.42</v>
      </c>
      <c r="J40" s="600">
        <f>LOOKUP(I40,119:119,120:120)-LOOKUP(C40,119:119,120:120)+100</f>
        <v>100</v>
      </c>
      <c r="K40" s="584"/>
      <c r="L40" s="2145"/>
      <c r="M40" s="2135"/>
      <c r="N40" s="2135"/>
      <c r="O40" s="2144"/>
      <c r="P40" s="3399"/>
      <c r="Q40" s="1576" t="str">
        <f>B40</f>
        <v>宗地面积</v>
      </c>
      <c r="R40" s="1577" t="s">
        <v>8</v>
      </c>
      <c r="S40" s="1578">
        <f t="shared" si="10"/>
        <v>100</v>
      </c>
      <c r="T40" s="1577" t="s">
        <v>8</v>
      </c>
      <c r="U40" s="1578">
        <f t="shared" si="11"/>
        <v>101</v>
      </c>
      <c r="V40" s="1577" t="s">
        <v>8</v>
      </c>
      <c r="W40" s="1578">
        <f t="shared" si="12"/>
        <v>100</v>
      </c>
      <c r="X40" s="1571"/>
      <c r="Y40" s="3399"/>
      <c r="Z40" s="1579" t="str">
        <f t="shared" si="13"/>
        <v>宗地面积</v>
      </c>
      <c r="AA40" s="1580">
        <f t="shared" si="3"/>
        <v>1</v>
      </c>
      <c r="AB40" s="1580">
        <f t="shared" si="4"/>
        <v>0.99009900990099009</v>
      </c>
      <c r="AC40" s="1580">
        <f t="shared" si="5"/>
        <v>1</v>
      </c>
    </row>
    <row r="41" spans="1:29" ht="20.25">
      <c r="A41" s="597"/>
      <c r="B41" s="530" t="s">
        <v>554</v>
      </c>
      <c r="C41" s="602" t="s">
        <v>3040</v>
      </c>
      <c r="D41" s="543">
        <v>100</v>
      </c>
      <c r="E41" s="602" t="s">
        <v>3040</v>
      </c>
      <c r="F41" s="543">
        <f>SUMIF(121:121,E41,122:122)-SUMIF(121:121,C41,122:122)+100</f>
        <v>100</v>
      </c>
      <c r="G41" s="602" t="s">
        <v>3040</v>
      </c>
      <c r="H41" s="543">
        <f>SUMIF(121:121,G41,122:122)-SUMIF(121:121,C41,122:122)+100</f>
        <v>100</v>
      </c>
      <c r="I41" s="602" t="s">
        <v>3040</v>
      </c>
      <c r="J41" s="543">
        <f>SUMIF(121:121,I41,122:122)-SUMIF(121:121,C41,122:122)+100</f>
        <v>100</v>
      </c>
      <c r="K41" s="587">
        <v>3</v>
      </c>
      <c r="L41" s="2145"/>
      <c r="M41" s="2135"/>
      <c r="N41" s="2135"/>
      <c r="O41" s="2144"/>
      <c r="P41" s="3399"/>
      <c r="Q41" s="1576" t="str">
        <f t="shared" ref="Q41:Q47" si="14">B41</f>
        <v>宗地形状</v>
      </c>
      <c r="R41" s="1577" t="s">
        <v>8</v>
      </c>
      <c r="S41" s="1578">
        <f t="shared" si="10"/>
        <v>100</v>
      </c>
      <c r="T41" s="1577" t="s">
        <v>8</v>
      </c>
      <c r="U41" s="1578">
        <f t="shared" si="11"/>
        <v>100</v>
      </c>
      <c r="V41" s="1577" t="s">
        <v>8</v>
      </c>
      <c r="W41" s="1578">
        <f t="shared" si="12"/>
        <v>100</v>
      </c>
      <c r="X41" s="1571"/>
      <c r="Y41" s="3399"/>
      <c r="Z41" s="1579" t="str">
        <f t="shared" si="13"/>
        <v>宗地形状</v>
      </c>
      <c r="AA41" s="1580">
        <f t="shared" si="3"/>
        <v>1</v>
      </c>
      <c r="AB41" s="1580">
        <f t="shared" si="4"/>
        <v>1</v>
      </c>
      <c r="AC41" s="1580">
        <f t="shared" si="5"/>
        <v>1</v>
      </c>
    </row>
    <row r="42" spans="1:29" ht="20.25">
      <c r="A42" s="597"/>
      <c r="B42" s="530" t="s">
        <v>555</v>
      </c>
      <c r="C42" s="602" t="s">
        <v>3026</v>
      </c>
      <c r="D42" s="543">
        <v>100</v>
      </c>
      <c r="E42" s="602" t="s">
        <v>3026</v>
      </c>
      <c r="F42" s="543">
        <f>SUMIF(123:123,E42,124:124)-SUMIF(123:123,C42,124:124)+100</f>
        <v>100</v>
      </c>
      <c r="G42" s="602" t="s">
        <v>3026</v>
      </c>
      <c r="H42" s="543">
        <f>SUMIF(123:123,G42,124:124)-SUMIF(123:123,C42,124:124)+100</f>
        <v>100</v>
      </c>
      <c r="I42" s="602" t="s">
        <v>3024</v>
      </c>
      <c r="J42" s="543">
        <f>SUMIF(123:123,I42,124:124)-SUMIF(123:123,C42,124:124)+100</f>
        <v>97</v>
      </c>
      <c r="K42" s="587">
        <v>3</v>
      </c>
      <c r="L42" s="2145"/>
      <c r="M42" s="2135"/>
      <c r="N42" s="2135"/>
      <c r="O42" s="2144"/>
      <c r="P42" s="3399"/>
      <c r="Q42" s="1576" t="str">
        <f t="shared" si="14"/>
        <v>临街宽度及深度</v>
      </c>
      <c r="R42" s="1577" t="s">
        <v>8</v>
      </c>
      <c r="S42" s="1578">
        <f t="shared" si="10"/>
        <v>100</v>
      </c>
      <c r="T42" s="1577" t="s">
        <v>8</v>
      </c>
      <c r="U42" s="1578">
        <f t="shared" si="11"/>
        <v>100</v>
      </c>
      <c r="V42" s="1577" t="s">
        <v>8</v>
      </c>
      <c r="W42" s="1578">
        <f t="shared" si="12"/>
        <v>97</v>
      </c>
      <c r="X42" s="1571"/>
      <c r="Y42" s="3399"/>
      <c r="Z42" s="1579" t="str">
        <f t="shared" si="13"/>
        <v>临街宽度及深度</v>
      </c>
      <c r="AA42" s="1580">
        <f t="shared" si="3"/>
        <v>1</v>
      </c>
      <c r="AB42" s="1580">
        <f t="shared" si="4"/>
        <v>1</v>
      </c>
      <c r="AC42" s="1580">
        <f t="shared" si="5"/>
        <v>1.0309278350515463</v>
      </c>
    </row>
    <row r="43" spans="1:29" s="1223" customFormat="1" ht="20.25">
      <c r="A43" s="603"/>
      <c r="B43" s="1898" t="s">
        <v>2426</v>
      </c>
      <c r="C43" s="604" t="s">
        <v>3027</v>
      </c>
      <c r="D43" s="255">
        <v>100</v>
      </c>
      <c r="E43" s="604" t="s">
        <v>3027</v>
      </c>
      <c r="F43" s="543">
        <f>SUMIF(125:125,E43,126:126)-SUMIF(125:125,C43,126:126)+100</f>
        <v>100</v>
      </c>
      <c r="G43" s="604" t="s">
        <v>3027</v>
      </c>
      <c r="H43" s="543">
        <f>SUMIF(125:125,G43,126:126)-SUMIF(125:125,C43,126:126)+100</f>
        <v>100</v>
      </c>
      <c r="I43" s="604" t="s">
        <v>3027</v>
      </c>
      <c r="J43" s="543">
        <f>SUMIF(125:125,I43,126:126)-SUMIF(125:125,C43,126:126)+100</f>
        <v>100</v>
      </c>
      <c r="K43" s="587"/>
      <c r="L43" s="2138"/>
      <c r="M43" s="2135"/>
      <c r="N43" s="2135"/>
      <c r="O43" s="2140"/>
      <c r="P43" s="3399"/>
      <c r="Q43" s="1576" t="str">
        <f t="shared" si="14"/>
        <v>宗地开发程度</v>
      </c>
      <c r="R43" s="1572" t="s">
        <v>8</v>
      </c>
      <c r="S43" s="1573">
        <f t="shared" si="10"/>
        <v>100</v>
      </c>
      <c r="T43" s="1572" t="s">
        <v>8</v>
      </c>
      <c r="U43" s="1573">
        <f t="shared" si="11"/>
        <v>100</v>
      </c>
      <c r="V43" s="1572" t="s">
        <v>8</v>
      </c>
      <c r="W43" s="1573">
        <f t="shared" si="12"/>
        <v>100</v>
      </c>
      <c r="X43" s="1574"/>
      <c r="Y43" s="3399"/>
      <c r="Z43" s="1153" t="str">
        <f t="shared" si="13"/>
        <v>宗地开发程度</v>
      </c>
      <c r="AA43" s="1575">
        <f t="shared" si="3"/>
        <v>1</v>
      </c>
      <c r="AB43" s="1575">
        <f t="shared" si="4"/>
        <v>1</v>
      </c>
      <c r="AC43" s="1575">
        <f t="shared" si="5"/>
        <v>1</v>
      </c>
    </row>
    <row r="44" spans="1:29" ht="21" thickBot="1">
      <c r="A44" s="597"/>
      <c r="B44" s="530" t="s">
        <v>556</v>
      </c>
      <c r="C44" s="602" t="s">
        <v>3026</v>
      </c>
      <c r="D44" s="543">
        <v>100</v>
      </c>
      <c r="E44" s="602" t="s">
        <v>3026</v>
      </c>
      <c r="F44" s="543">
        <f>SUMIF(127:127,E44,128:128)-SUMIF(127:127,C44,128:128)+100</f>
        <v>100</v>
      </c>
      <c r="G44" s="602" t="s">
        <v>3026</v>
      </c>
      <c r="H44" s="543">
        <f>SUMIF(127:127,G44,128:128)-SUMIF(127:127,C44,128:128)+100</f>
        <v>100</v>
      </c>
      <c r="I44" s="602" t="s">
        <v>3026</v>
      </c>
      <c r="J44" s="543">
        <f>SUMIF(127:127,I44,128:128)-SUMIF(127:127,C44,128:128)+100</f>
        <v>100</v>
      </c>
      <c r="K44" s="587"/>
      <c r="L44" s="2145"/>
      <c r="M44" s="2135"/>
      <c r="N44" s="2135"/>
      <c r="O44" s="2144"/>
      <c r="P44" s="3399" t="s">
        <v>551</v>
      </c>
      <c r="Q44" s="1576" t="str">
        <f t="shared" si="14"/>
        <v>工程地质条件</v>
      </c>
      <c r="R44" s="1577" t="s">
        <v>8</v>
      </c>
      <c r="S44" s="1578">
        <f t="shared" si="10"/>
        <v>100</v>
      </c>
      <c r="T44" s="1577" t="s">
        <v>8</v>
      </c>
      <c r="U44" s="1578">
        <f t="shared" si="11"/>
        <v>100</v>
      </c>
      <c r="V44" s="1577" t="s">
        <v>8</v>
      </c>
      <c r="W44" s="1578">
        <f t="shared" si="12"/>
        <v>100</v>
      </c>
      <c r="X44" s="1571"/>
      <c r="Y44" s="3399"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99"/>
      <c r="Q45" s="1576">
        <f t="shared" si="14"/>
        <v>111</v>
      </c>
      <c r="R45" s="1577" t="s">
        <v>8</v>
      </c>
      <c r="S45" s="1578">
        <f t="shared" si="10"/>
        <v>100</v>
      </c>
      <c r="T45" s="1577" t="s">
        <v>8</v>
      </c>
      <c r="U45" s="1578">
        <f t="shared" si="11"/>
        <v>100</v>
      </c>
      <c r="V45" s="1577" t="s">
        <v>8</v>
      </c>
      <c r="W45" s="1578">
        <f t="shared" si="12"/>
        <v>100</v>
      </c>
      <c r="X45" s="1571"/>
      <c r="Y45" s="3399"/>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99"/>
      <c r="Q46" s="1576">
        <f t="shared" si="14"/>
        <v>111</v>
      </c>
      <c r="R46" s="1577" t="s">
        <v>8</v>
      </c>
      <c r="S46" s="1578">
        <f t="shared" si="10"/>
        <v>100</v>
      </c>
      <c r="T46" s="1577" t="s">
        <v>8</v>
      </c>
      <c r="U46" s="1578">
        <f t="shared" si="11"/>
        <v>100</v>
      </c>
      <c r="V46" s="1577" t="s">
        <v>8</v>
      </c>
      <c r="W46" s="1578">
        <f t="shared" si="12"/>
        <v>100</v>
      </c>
      <c r="X46" s="1571"/>
      <c r="Y46" s="3399"/>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99"/>
      <c r="Q47" s="1576">
        <f t="shared" si="14"/>
        <v>111</v>
      </c>
      <c r="R47" s="1581" t="s">
        <v>8</v>
      </c>
      <c r="S47" s="1582">
        <f t="shared" si="10"/>
        <v>100</v>
      </c>
      <c r="T47" s="1581" t="s">
        <v>8</v>
      </c>
      <c r="U47" s="1582">
        <f t="shared" si="11"/>
        <v>100</v>
      </c>
      <c r="V47" s="1581" t="s">
        <v>8</v>
      </c>
      <c r="W47" s="1582">
        <f t="shared" si="12"/>
        <v>100</v>
      </c>
      <c r="X47" s="1583"/>
      <c r="Y47" s="3399"/>
      <c r="Z47" s="1584">
        <f t="shared" si="13"/>
        <v>111</v>
      </c>
      <c r="AA47" s="1580">
        <f t="shared" si="3"/>
        <v>1</v>
      </c>
      <c r="AB47" s="1580">
        <f t="shared" si="4"/>
        <v>1</v>
      </c>
      <c r="AC47" s="1580">
        <f t="shared" si="5"/>
        <v>1</v>
      </c>
    </row>
    <row r="48" spans="1:29" ht="20.25">
      <c r="A48" s="610" t="s">
        <v>557</v>
      </c>
      <c r="B48" s="611" t="s">
        <v>3013</v>
      </c>
      <c r="C48" s="612" t="s">
        <v>1</v>
      </c>
      <c r="D48" s="613"/>
      <c r="E48" s="614">
        <v>2940</v>
      </c>
      <c r="F48" s="615"/>
      <c r="G48" s="616">
        <v>2320</v>
      </c>
      <c r="H48" s="617"/>
      <c r="I48" s="614">
        <v>2100</v>
      </c>
      <c r="J48" s="617"/>
      <c r="K48" s="1343"/>
      <c r="L48" s="2147"/>
      <c r="M48" s="2135"/>
      <c r="N48" s="2135"/>
      <c r="O48" s="2148"/>
      <c r="P48" s="3360" t="str">
        <f>A48</f>
        <v>成交单价</v>
      </c>
      <c r="Q48" s="3360"/>
      <c r="R48" s="3361">
        <f>E48</f>
        <v>2940</v>
      </c>
      <c r="S48" s="3361"/>
      <c r="T48" s="3361">
        <f>G48</f>
        <v>2320</v>
      </c>
      <c r="U48" s="3361"/>
      <c r="V48" s="3361">
        <f>I48</f>
        <v>2100</v>
      </c>
      <c r="W48" s="3361"/>
      <c r="X48" s="1563"/>
      <c r="Y48" s="1585"/>
      <c r="Z48" s="1563"/>
      <c r="AA48" s="1563"/>
      <c r="AB48" s="1563"/>
      <c r="AC48" s="1563"/>
    </row>
    <row r="49" spans="1:29" ht="21" thickBot="1">
      <c r="A49" s="618" t="s">
        <v>2699</v>
      </c>
      <c r="B49" s="619"/>
      <c r="C49" s="620">
        <f>R50</f>
        <v>2459</v>
      </c>
      <c r="D49" s="621"/>
      <c r="E49" s="620">
        <f>R49</f>
        <v>2621</v>
      </c>
      <c r="F49" s="622"/>
      <c r="G49" s="623">
        <f>T49</f>
        <v>2485</v>
      </c>
      <c r="H49" s="621"/>
      <c r="I49" s="620">
        <f>V49</f>
        <v>2272</v>
      </c>
      <c r="J49" s="621"/>
      <c r="K49" s="1344"/>
      <c r="L49" s="2147"/>
      <c r="M49" s="2135"/>
      <c r="N49" s="2135"/>
      <c r="O49" s="2148"/>
      <c r="P49" s="3360" t="str">
        <f>A49</f>
        <v>比较价格（元/平方米）</v>
      </c>
      <c r="Q49" s="3360"/>
      <c r="R49" s="3362">
        <f>ROUND(PRODUCT(R48,AA9:AA47),0)</f>
        <v>2621</v>
      </c>
      <c r="S49" s="3362"/>
      <c r="T49" s="3362">
        <f>ROUND(PRODUCT(T48,AB9:AB47),0)</f>
        <v>2485</v>
      </c>
      <c r="U49" s="3362"/>
      <c r="V49" s="3362">
        <f>ROUND(PRODUCT(V48,AC9:AC47),0)</f>
        <v>2272</v>
      </c>
      <c r="W49" s="3362"/>
      <c r="X49" s="1563"/>
      <c r="Y49" s="1563"/>
      <c r="Z49" s="1563"/>
      <c r="AA49" s="1563"/>
      <c r="AB49" s="1563"/>
      <c r="AC49" s="1563"/>
    </row>
    <row r="50" spans="1:29" ht="21" thickBot="1">
      <c r="A50" s="624" t="s">
        <v>2939</v>
      </c>
      <c r="B50" s="625"/>
      <c r="C50" s="626">
        <f>R50</f>
        <v>2459</v>
      </c>
      <c r="D50" s="626"/>
      <c r="E50" s="626"/>
      <c r="F50" s="626"/>
      <c r="G50" s="626"/>
      <c r="H50" s="626"/>
      <c r="I50" s="626"/>
      <c r="J50" s="626"/>
      <c r="K50" s="1345"/>
      <c r="L50" s="2147"/>
      <c r="M50" s="2135"/>
      <c r="N50" s="2135"/>
      <c r="O50" s="2148"/>
      <c r="P50" s="3357" t="str">
        <f>A50</f>
        <v>估价对象XX用房的比较价格（楼面单价，元/平方米）</v>
      </c>
      <c r="Q50" s="3358"/>
      <c r="R50" s="3359">
        <f>ROUND(AVERAGE(R49:V49),0)</f>
        <v>2459</v>
      </c>
      <c r="S50" s="3359"/>
      <c r="T50" s="3359"/>
      <c r="U50" s="3359"/>
      <c r="V50" s="3359"/>
      <c r="W50" s="3359"/>
      <c r="X50" s="1563"/>
      <c r="Y50" s="1563"/>
      <c r="Z50" s="1563"/>
      <c r="AA50" s="1563"/>
      <c r="AB50" s="1563"/>
      <c r="AC50" s="1563"/>
    </row>
    <row r="51" spans="1:29" ht="20.25">
      <c r="A51" s="2148"/>
      <c r="B51" s="2148"/>
      <c r="C51" s="2148"/>
      <c r="D51" s="2148"/>
      <c r="E51" s="2148"/>
      <c r="F51" s="2148"/>
      <c r="G51" s="2151"/>
      <c r="H51" s="2148"/>
      <c r="I51" s="2148"/>
      <c r="J51" s="2148"/>
      <c r="K51" s="2152"/>
      <c r="L51" s="2153"/>
      <c r="M51" s="2135"/>
      <c r="N51" s="2135"/>
      <c r="O51" s="2148"/>
      <c r="P51" s="1563"/>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3"/>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f>IF(E48&lt;E49,E49/E48-1,E48/E49-1)</f>
        <v>0.12170927127050746</v>
      </c>
      <c r="F53" s="630" t="str">
        <f>IF(OR(E53&gt;=0.3,E53&lt;=-0.3),"超过30%","")</f>
        <v/>
      </c>
      <c r="G53" s="629">
        <f>IF(G48&lt;G49,G49/G48-1,G48/G49-1)</f>
        <v>7.1120689655172376E-2</v>
      </c>
      <c r="H53" s="630" t="str">
        <f>IF(OR(G53&gt;=0.3,G53&lt;=-0.3),"超过30%","")</f>
        <v/>
      </c>
      <c r="I53" s="629">
        <f>IF(I48&lt;I49,I49/I48-1,I48/I49-1)</f>
        <v>8.1904761904761925E-2</v>
      </c>
      <c r="J53" s="630" t="str">
        <f>IF(OR(I53&gt;=0.3,I53&lt;=-0.3),"超过30%","")</f>
        <v/>
      </c>
      <c r="K53" s="2152"/>
      <c r="L53" s="2153"/>
      <c r="M53" s="2135"/>
      <c r="N53" s="2135"/>
      <c r="O53" s="2148"/>
      <c r="P53" s="1563"/>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f>IF(E49&lt;G49,G49/E49-1,E49/G49-1)</f>
        <v>5.4728370221327927E-2</v>
      </c>
      <c r="F54" s="630" t="str">
        <f>IF(OR(E54&gt;=0.2,E54&lt;=-0.2),"超过20%","")</f>
        <v/>
      </c>
      <c r="G54" s="629">
        <f>IF(G49&lt;I49,I49/G49-1,G49/I49-1)</f>
        <v>9.375E-2</v>
      </c>
      <c r="H54" s="630" t="str">
        <f>IF(OR(G54&gt;=0.2,G54&lt;=-0.2),"超过20%","")</f>
        <v/>
      </c>
      <c r="I54" s="629">
        <f>IF(I49&lt;E49,E49/I49-1,I49/E49-1)</f>
        <v>0.1536091549295775</v>
      </c>
      <c r="J54" s="630" t="str">
        <f>IF(OR(I54&gt;=0.2,I54&lt;=-0.2),"超过20%","")</f>
        <v/>
      </c>
      <c r="K54" s="2152"/>
      <c r="L54" s="2153"/>
      <c r="M54" s="2135"/>
      <c r="N54" s="2135"/>
      <c r="O54" s="2148"/>
      <c r="P54" s="1563"/>
      <c r="Q54" s="2148"/>
      <c r="R54" s="2148"/>
      <c r="S54" s="2148"/>
      <c r="T54" s="2148"/>
      <c r="U54" s="2148"/>
      <c r="V54" s="2148"/>
      <c r="W54" s="2148"/>
      <c r="X54" s="2148"/>
      <c r="Y54" s="2148"/>
      <c r="Z54" s="2148"/>
      <c r="AA54" s="2148"/>
      <c r="AB54" s="2148"/>
      <c r="AC54" s="2148"/>
    </row>
    <row r="55" spans="1:29" s="1348" customFormat="1" ht="13.5" customHeight="1">
      <c r="A55" s="2149"/>
      <c r="B55" s="2149"/>
      <c r="C55" s="627" t="s">
        <v>560</v>
      </c>
      <c r="D55" s="631"/>
      <c r="E55" s="629">
        <f>IF(E48&lt;G48,G48/E48-1,E48/G48-1)</f>
        <v>0.26724137931034475</v>
      </c>
      <c r="F55" s="630" t="str">
        <f>IF(OR(E55&gt;=0.3,E55&lt;=-0.3),"超过30%","")</f>
        <v/>
      </c>
      <c r="G55" s="629">
        <f>IF(G48&lt;I48,I48/G48-1,G48/I48-1)</f>
        <v>0.10476190476190483</v>
      </c>
      <c r="H55" s="630" t="str">
        <f>IF(OR(G55&gt;=0.3,G55&lt;=-0.3),"超过30%","")</f>
        <v/>
      </c>
      <c r="I55" s="629">
        <f>IF(I48&lt;E48,E48/I48-1,I48/E48-1)</f>
        <v>0.39999999999999991</v>
      </c>
      <c r="J55" s="630" t="str">
        <f>IF(OR(I55&gt;=0.3,I55&lt;=-0.3),"超过30%","")</f>
        <v>超过30%</v>
      </c>
      <c r="K55" s="2155"/>
      <c r="L55" s="2156"/>
      <c r="M55" s="2135"/>
      <c r="N55" s="2135"/>
      <c r="O55" s="2149"/>
      <c r="P55" s="1561"/>
      <c r="Q55" s="2149"/>
      <c r="R55" s="2149"/>
      <c r="S55" s="2149"/>
      <c r="T55" s="2149"/>
      <c r="U55" s="2149"/>
      <c r="V55" s="2149"/>
      <c r="W55" s="2149"/>
      <c r="X55" s="2149"/>
      <c r="Y55" s="2149"/>
      <c r="Z55" s="2149"/>
      <c r="AA55" s="2149"/>
      <c r="AB55" s="2149"/>
      <c r="AC55" s="2149"/>
    </row>
    <row r="56" spans="1:29" s="1348" customFormat="1" ht="21" thickBot="1">
      <c r="A56" s="2149"/>
      <c r="B56" s="2150"/>
      <c r="C56" s="2154"/>
      <c r="D56" s="2149"/>
      <c r="E56" s="2149"/>
      <c r="F56" s="2149"/>
      <c r="G56" s="2149"/>
      <c r="H56" s="2149"/>
      <c r="I56" s="2149"/>
      <c r="J56" s="2149"/>
      <c r="K56" s="2155"/>
      <c r="L56" s="2156"/>
      <c r="M56" s="2135"/>
      <c r="N56" s="2135"/>
      <c r="O56" s="2149"/>
      <c r="P56" s="1561"/>
      <c r="Q56" s="2149"/>
      <c r="R56" s="2149"/>
      <c r="S56" s="2149"/>
      <c r="T56" s="2149"/>
      <c r="U56" s="2149"/>
      <c r="V56" s="2149"/>
      <c r="W56" s="2149"/>
      <c r="X56" s="2149"/>
      <c r="Y56" s="2149"/>
      <c r="Z56" s="2149"/>
      <c r="AA56" s="2149"/>
      <c r="AB56" s="2149"/>
      <c r="AC56" s="2149"/>
    </row>
    <row r="57" spans="1:29" ht="26.25" customHeight="1">
      <c r="A57" s="632" t="s">
        <v>561</v>
      </c>
      <c r="B57" s="633" t="s">
        <v>562</v>
      </c>
      <c r="C57" s="1564" t="s">
        <v>1726</v>
      </c>
      <c r="D57" s="2230" t="s">
        <v>2295</v>
      </c>
      <c r="E57" s="634" t="s">
        <v>563</v>
      </c>
      <c r="F57" s="635" t="s">
        <v>564</v>
      </c>
      <c r="G57" s="3388" t="s">
        <v>2283</v>
      </c>
      <c r="H57" s="3389"/>
      <c r="I57" s="1559" t="s">
        <v>1724</v>
      </c>
      <c r="J57" s="1559" t="str">
        <f>项目基本情况!F41</f>
        <v>沈阳市</v>
      </c>
      <c r="K57" s="2157" t="s">
        <v>1725</v>
      </c>
      <c r="L57" s="2153"/>
      <c r="M57" s="2148"/>
      <c r="N57" s="2148"/>
      <c r="O57" s="2148"/>
      <c r="P57" s="2148"/>
      <c r="Q57" s="2148"/>
      <c r="R57" s="2148"/>
      <c r="S57" s="2148"/>
      <c r="T57" s="2148"/>
      <c r="U57" s="2148"/>
      <c r="V57" s="2148"/>
      <c r="W57" s="2148"/>
      <c r="X57" s="2148"/>
      <c r="Y57" s="2148"/>
      <c r="Z57" s="2148"/>
      <c r="AA57" s="2148"/>
      <c r="AB57" s="2148"/>
      <c r="AC57" s="2148"/>
    </row>
    <row r="58" spans="1:29" s="1349" customFormat="1" ht="12.75">
      <c r="A58" s="636" t="s">
        <v>565</v>
      </c>
      <c r="B58" s="637">
        <f>C50</f>
        <v>2459</v>
      </c>
      <c r="C58" s="638">
        <v>1</v>
      </c>
      <c r="D58" s="2231">
        <v>1</v>
      </c>
      <c r="E58" s="638">
        <f>'数据-汇总表'!E8+'数据-汇总表'!E9</f>
        <v>108760.69</v>
      </c>
      <c r="F58" s="639">
        <f t="shared" ref="F58:F67" si="15">ROUND(B58*E58/10000,0)</f>
        <v>26744</v>
      </c>
      <c r="G58" s="3390"/>
      <c r="H58" s="3391"/>
      <c r="I58" s="1560">
        <v>1</v>
      </c>
      <c r="J58" s="1560">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566</v>
      </c>
      <c r="B59" s="641">
        <f>ROUND($C$50*C59*D59,0)</f>
        <v>0</v>
      </c>
      <c r="C59" s="381">
        <f t="shared" ref="C59:C67" si="16">IF($C$57="北京市系数",I59,J59)</f>
        <v>0</v>
      </c>
      <c r="D59" s="2232">
        <v>0.25</v>
      </c>
      <c r="E59" s="642">
        <v>0</v>
      </c>
      <c r="F59" s="639">
        <f t="shared" si="15"/>
        <v>0</v>
      </c>
      <c r="G59" s="3392" t="s">
        <v>2284</v>
      </c>
      <c r="H59" s="1951">
        <f>项目基本情况!B43</f>
        <v>0</v>
      </c>
      <c r="I59" s="1560">
        <f>SUMIF(修正!$A$45:$A$56,H59,修正!B45:B56)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567</v>
      </c>
      <c r="B60" s="641">
        <f t="shared" ref="B60:B67" si="17">ROUND($C$50*C60*D60,0)</f>
        <v>0</v>
      </c>
      <c r="C60" s="381">
        <f t="shared" si="16"/>
        <v>0</v>
      </c>
      <c r="D60" s="2232">
        <v>0.25</v>
      </c>
      <c r="E60" s="642">
        <v>0</v>
      </c>
      <c r="F60" s="639">
        <f t="shared" si="15"/>
        <v>0</v>
      </c>
      <c r="G60" s="3392"/>
      <c r="H60" s="1951">
        <f>项目基本情况!B43</f>
        <v>0</v>
      </c>
      <c r="I60" s="1560">
        <f>SUMIF(修正!$A$45:$A$56,H60,修正!C45:C56)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568</v>
      </c>
      <c r="B61" s="641">
        <f t="shared" si="17"/>
        <v>0</v>
      </c>
      <c r="C61" s="381">
        <f t="shared" si="16"/>
        <v>0</v>
      </c>
      <c r="D61" s="2232">
        <v>0.25</v>
      </c>
      <c r="E61" s="642">
        <v>0</v>
      </c>
      <c r="F61" s="639">
        <f t="shared" si="15"/>
        <v>0</v>
      </c>
      <c r="G61" s="3392"/>
      <c r="H61" s="1951">
        <f>项目基本情况!B43</f>
        <v>0</v>
      </c>
      <c r="I61" s="1560">
        <f>SUMIF(修正!$A$45:$A$56,H61,修正!D45:D56)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2.75">
      <c r="A62" s="640" t="s">
        <v>569</v>
      </c>
      <c r="B62" s="641">
        <f t="shared" si="17"/>
        <v>0</v>
      </c>
      <c r="C62" s="381">
        <f t="shared" si="16"/>
        <v>0</v>
      </c>
      <c r="D62" s="2232">
        <v>0.25</v>
      </c>
      <c r="E62" s="642">
        <v>0</v>
      </c>
      <c r="F62" s="639">
        <f t="shared" si="15"/>
        <v>0</v>
      </c>
      <c r="G62" s="3392"/>
      <c r="H62" s="1951">
        <f>项目基本情况!B43</f>
        <v>0</v>
      </c>
      <c r="I62" s="1560">
        <f>SUMIF(修正!$A$45:$A$56,H62,修正!E45:E56)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2.75">
      <c r="A63" s="2334" t="s">
        <v>2329</v>
      </c>
      <c r="B63" s="641">
        <f t="shared" si="17"/>
        <v>0</v>
      </c>
      <c r="C63" s="381">
        <f t="shared" si="16"/>
        <v>0</v>
      </c>
      <c r="D63" s="2232">
        <v>0.25</v>
      </c>
      <c r="E63" s="644">
        <f>'数据-汇总表'!E11</f>
        <v>0</v>
      </c>
      <c r="F63" s="639">
        <f t="shared" si="15"/>
        <v>0</v>
      </c>
      <c r="G63" s="1948" t="s">
        <v>2285</v>
      </c>
      <c r="H63" s="1951">
        <f>项目基本情况!C43</f>
        <v>0</v>
      </c>
      <c r="I63" s="1560">
        <f>SUMIF(修正!$A$45:$A$56,H63,修正!F45:F56)</f>
        <v>0</v>
      </c>
      <c r="J63" s="1562"/>
      <c r="K63" s="2158"/>
      <c r="L63" s="2158"/>
      <c r="M63" s="2158"/>
      <c r="N63" s="2158"/>
      <c r="O63" s="2158"/>
      <c r="P63" s="2158"/>
      <c r="Q63" s="2158"/>
      <c r="R63" s="2158"/>
      <c r="S63" s="2158"/>
      <c r="T63" s="2158"/>
      <c r="U63" s="2158"/>
      <c r="V63" s="2158"/>
      <c r="W63" s="2158"/>
      <c r="X63" s="2158"/>
      <c r="Y63" s="2158"/>
      <c r="Z63" s="2158"/>
      <c r="AA63" s="2158"/>
      <c r="AB63" s="2158"/>
      <c r="AC63" s="2158"/>
    </row>
    <row r="64" spans="1:29" s="1349" customFormat="1" ht="12.75">
      <c r="A64" s="640" t="s">
        <v>570</v>
      </c>
      <c r="B64" s="641">
        <f t="shared" si="17"/>
        <v>0</v>
      </c>
      <c r="C64" s="381">
        <f t="shared" si="16"/>
        <v>0</v>
      </c>
      <c r="D64" s="2232">
        <v>0.25</v>
      </c>
      <c r="E64" s="644">
        <f>'数据-汇总表'!E12</f>
        <v>0</v>
      </c>
      <c r="F64" s="639">
        <f t="shared" si="15"/>
        <v>0</v>
      </c>
      <c r="G64" s="1949" t="s">
        <v>1679</v>
      </c>
      <c r="H64" s="1947">
        <f>IF(G64="商业",项目基本情况!B43,IF(G64="办公",项目基本情况!C43,IF(G64="住宅",项目基本情况!D43,项目基本情况!E43)))</f>
        <v>0</v>
      </c>
      <c r="I64" s="1560">
        <f>SUMIF(修正!$A$45:$A$56,H64,修正!G45:G56)</f>
        <v>0</v>
      </c>
      <c r="J64" s="1562"/>
      <c r="K64" s="2158"/>
      <c r="L64" s="2158"/>
      <c r="M64" s="2158"/>
      <c r="N64" s="2158"/>
      <c r="O64" s="2158"/>
      <c r="P64" s="2158"/>
      <c r="Q64" s="2158"/>
      <c r="R64" s="2158"/>
      <c r="S64" s="2158"/>
      <c r="T64" s="2158"/>
      <c r="U64" s="2158"/>
      <c r="V64" s="2158"/>
      <c r="W64" s="2158"/>
      <c r="X64" s="2158"/>
      <c r="Y64" s="2158"/>
      <c r="Z64" s="2158"/>
      <c r="AA64" s="2158"/>
      <c r="AB64" s="2158"/>
      <c r="AC64" s="2158"/>
    </row>
    <row r="65" spans="1:29" s="1349" customFormat="1" ht="12.75">
      <c r="A65" s="640" t="s">
        <v>571</v>
      </c>
      <c r="B65" s="641">
        <f t="shared" si="17"/>
        <v>0</v>
      </c>
      <c r="C65" s="381">
        <f t="shared" si="16"/>
        <v>0</v>
      </c>
      <c r="D65" s="2232">
        <v>0.25</v>
      </c>
      <c r="E65" s="644">
        <f>'数据-汇总表'!E13</f>
        <v>0</v>
      </c>
      <c r="F65" s="639">
        <f t="shared" si="15"/>
        <v>0</v>
      </c>
      <c r="G65" s="1949" t="s">
        <v>924</v>
      </c>
      <c r="H65" s="1947">
        <f>IF(G65="商业",项目基本情况!B43,IF(G65="办公",项目基本情况!C43,IF(G65="住宅",项目基本情况!D43,项目基本情况!E43)))</f>
        <v>0</v>
      </c>
      <c r="I65" s="1560">
        <f>SUMIF(修正!$A$45:$A$56,H65,修正!H45:H56)</f>
        <v>0</v>
      </c>
      <c r="J65" s="1562"/>
      <c r="K65" s="2158"/>
      <c r="L65" s="2158"/>
      <c r="M65" s="2158"/>
      <c r="N65" s="2158"/>
      <c r="O65" s="2158"/>
      <c r="P65" s="2158"/>
      <c r="Q65" s="2158"/>
      <c r="R65" s="2158"/>
      <c r="S65" s="2158"/>
      <c r="T65" s="2158"/>
      <c r="U65" s="2158"/>
      <c r="V65" s="2158"/>
      <c r="W65" s="2158"/>
      <c r="X65" s="2158"/>
      <c r="Y65" s="2158"/>
      <c r="Z65" s="2158"/>
      <c r="AA65" s="2158"/>
      <c r="AB65" s="2158"/>
      <c r="AC65" s="2158"/>
    </row>
    <row r="66" spans="1:29" s="1349" customFormat="1" ht="12.75">
      <c r="A66" s="640" t="s">
        <v>572</v>
      </c>
      <c r="B66" s="641">
        <f t="shared" si="17"/>
        <v>0</v>
      </c>
      <c r="C66" s="381">
        <f t="shared" si="16"/>
        <v>0</v>
      </c>
      <c r="D66" s="2232">
        <v>0.25</v>
      </c>
      <c r="E66" s="644">
        <f>'数据-汇总表'!E14</f>
        <v>0</v>
      </c>
      <c r="F66" s="639">
        <f t="shared" si="15"/>
        <v>0</v>
      </c>
      <c r="G66" s="1948" t="s">
        <v>2284</v>
      </c>
      <c r="H66" s="1951">
        <f>项目基本情况!B43</f>
        <v>0</v>
      </c>
      <c r="I66" s="1560">
        <f>SUMIF(修正!$A$45:$A$56,H66,修正!H45:H56)</f>
        <v>0</v>
      </c>
      <c r="J66" s="1562"/>
      <c r="K66" s="2158"/>
      <c r="L66" s="2158"/>
      <c r="M66" s="2158"/>
      <c r="N66" s="2158"/>
      <c r="O66" s="2158"/>
      <c r="P66" s="2158"/>
      <c r="Q66" s="2158"/>
      <c r="R66" s="2158"/>
      <c r="S66" s="2158"/>
      <c r="T66" s="2158"/>
      <c r="U66" s="2158"/>
      <c r="V66" s="2158"/>
      <c r="W66" s="2158"/>
      <c r="X66" s="2158"/>
      <c r="Y66" s="2158"/>
      <c r="Z66" s="2158"/>
      <c r="AA66" s="2158"/>
      <c r="AB66" s="2158"/>
      <c r="AC66" s="2158"/>
    </row>
    <row r="67" spans="1:29" s="1349" customFormat="1" ht="13.5" thickBot="1">
      <c r="A67" s="640" t="s">
        <v>573</v>
      </c>
      <c r="B67" s="641">
        <f t="shared" si="17"/>
        <v>0</v>
      </c>
      <c r="C67" s="381">
        <f t="shared" si="16"/>
        <v>0</v>
      </c>
      <c r="D67" s="2232">
        <v>0.25</v>
      </c>
      <c r="E67" s="644">
        <f>'数据-汇总表'!E15</f>
        <v>0</v>
      </c>
      <c r="F67" s="639">
        <f t="shared" si="15"/>
        <v>0</v>
      </c>
      <c r="G67" s="1950" t="s">
        <v>2285</v>
      </c>
      <c r="H67" s="1952">
        <f>项目基本情况!C43</f>
        <v>0</v>
      </c>
      <c r="I67" s="1560">
        <f>SUMIF(修正!$A$45:$A$56,H67,修正!H45:H56)</f>
        <v>0</v>
      </c>
      <c r="J67" s="1562"/>
      <c r="K67" s="2158"/>
      <c r="L67" s="2158"/>
      <c r="M67" s="2158"/>
      <c r="N67" s="2158"/>
      <c r="O67" s="2158"/>
      <c r="P67" s="2158"/>
      <c r="Q67" s="2158"/>
      <c r="R67" s="2158"/>
      <c r="S67" s="2158"/>
      <c r="T67" s="2158"/>
      <c r="U67" s="2158"/>
      <c r="V67" s="2158"/>
      <c r="W67" s="2158"/>
      <c r="X67" s="2158"/>
      <c r="Y67" s="2158"/>
      <c r="Z67" s="2158"/>
      <c r="AA67" s="2158"/>
      <c r="AB67" s="2158"/>
      <c r="AC67" s="2158"/>
    </row>
    <row r="68" spans="1:29" s="1349" customFormat="1" ht="13.5" thickBot="1">
      <c r="A68" s="645" t="s">
        <v>574</v>
      </c>
      <c r="B68" s="646" t="s">
        <v>17</v>
      </c>
      <c r="C68" s="646" t="s">
        <v>18</v>
      </c>
      <c r="D68" s="646" t="s">
        <v>2296</v>
      </c>
      <c r="E68" s="646">
        <f>IF(B48="楼面地价",SUM(E58:E67),'数据-汇总表'!D3)</f>
        <v>108760.69</v>
      </c>
      <c r="F68" s="647">
        <f>IF(B48="楼面地价",SUM(F58:F67),ROUND(C50*E68/10000,0))</f>
        <v>26744</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30" t="str">
        <f>YEAR(C9)&amp;"-"&amp;MONTH(C9)&amp;"-1"</f>
        <v>2017-10-1</v>
      </c>
      <c r="D70" s="2830">
        <f>EDATE(C70,-3)</f>
        <v>42917</v>
      </c>
      <c r="E70" s="2830">
        <f t="shared" ref="E70:N70" si="18">EDATE(D70,-3)</f>
        <v>42826</v>
      </c>
      <c r="F70" s="2830">
        <f t="shared" si="18"/>
        <v>42736</v>
      </c>
      <c r="G70" s="2830">
        <f t="shared" si="18"/>
        <v>42644</v>
      </c>
      <c r="H70" s="2830">
        <f t="shared" si="18"/>
        <v>42552</v>
      </c>
      <c r="I70" s="2830">
        <f t="shared" si="18"/>
        <v>42461</v>
      </c>
      <c r="J70" s="2830">
        <f t="shared" si="18"/>
        <v>42370</v>
      </c>
      <c r="K70" s="2830">
        <f t="shared" si="18"/>
        <v>42278</v>
      </c>
      <c r="L70" s="2830">
        <f t="shared" si="18"/>
        <v>42186</v>
      </c>
      <c r="M70" s="2830">
        <f t="shared" si="18"/>
        <v>42095</v>
      </c>
      <c r="N70" s="2830">
        <f t="shared" si="18"/>
        <v>42005</v>
      </c>
      <c r="O70" s="2148"/>
      <c r="P70" s="2148"/>
      <c r="Q70" s="2148"/>
      <c r="R70" s="2148"/>
      <c r="S70" s="2148"/>
      <c r="T70" s="2148"/>
      <c r="U70" s="2148"/>
      <c r="V70" s="2148"/>
      <c r="W70" s="2148"/>
      <c r="X70" s="2148"/>
      <c r="Y70" s="2148"/>
      <c r="Z70" s="2148"/>
      <c r="AA70" s="2148"/>
      <c r="AB70" s="2148"/>
      <c r="AC70" s="2148"/>
    </row>
    <row r="71" spans="1:29" ht="21.75" thickBot="1">
      <c r="A71" s="1588" t="s">
        <v>575</v>
      </c>
      <c r="B71" s="1563"/>
      <c r="C71" s="1587"/>
      <c r="D71" s="1587"/>
      <c r="E71" s="1587"/>
      <c r="F71" s="1589"/>
      <c r="G71" s="1589"/>
      <c r="H71" s="1587"/>
      <c r="I71" s="1587"/>
      <c r="J71" s="1587"/>
      <c r="K71" s="1590"/>
      <c r="L71" s="1586"/>
      <c r="M71" s="1587"/>
      <c r="N71" s="1587"/>
      <c r="O71" s="2160"/>
      <c r="P71" s="2160"/>
      <c r="Q71" s="2161"/>
      <c r="R71" s="2148"/>
      <c r="S71" s="2148"/>
      <c r="T71" s="2148"/>
      <c r="U71" s="2148"/>
      <c r="V71" s="2148"/>
      <c r="W71" s="2148"/>
      <c r="X71" s="2148"/>
      <c r="Y71" s="2148"/>
      <c r="Z71" s="2148"/>
      <c r="AA71" s="2148"/>
      <c r="AB71" s="2148"/>
      <c r="AC71" s="2148"/>
    </row>
    <row r="72" spans="1:29" s="1350" customFormat="1" ht="15">
      <c r="A72" s="2595" t="s">
        <v>2536</v>
      </c>
      <c r="B72" s="2596"/>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2"/>
      <c r="P72" s="2163"/>
      <c r="Q72" s="2164"/>
      <c r="R72" s="2164"/>
      <c r="S72" s="2164"/>
      <c r="T72" s="2164"/>
      <c r="U72" s="2164"/>
      <c r="V72" s="2164"/>
      <c r="W72" s="2164"/>
      <c r="X72" s="2164"/>
      <c r="Y72" s="2164"/>
      <c r="Z72" s="2164"/>
      <c r="AA72" s="2164"/>
      <c r="AB72" s="2164"/>
      <c r="AC72" s="2164"/>
    </row>
    <row r="73" spans="1:29" s="1223" customFormat="1" ht="27" customHeight="1">
      <c r="A73" s="2837" t="s">
        <v>924</v>
      </c>
      <c r="B73" s="482" t="str">
        <f>"北京市平均增长率"&amp;TEXT(SUMIF(基准地价!N21:N25,A73,基准地价!P21:P25),"0.00%")</f>
        <v>北京市平均增长率2.75%</v>
      </c>
      <c r="C73" s="897">
        <v>100</v>
      </c>
      <c r="D73" s="733">
        <v>98</v>
      </c>
      <c r="E73" s="733">
        <v>96</v>
      </c>
      <c r="F73" s="733">
        <v>94</v>
      </c>
      <c r="G73" s="733">
        <v>92</v>
      </c>
      <c r="H73" s="733">
        <v>90</v>
      </c>
      <c r="I73" s="733">
        <v>88</v>
      </c>
      <c r="J73" s="733">
        <v>86</v>
      </c>
      <c r="K73" s="733"/>
      <c r="L73" s="733"/>
      <c r="M73" s="2823"/>
      <c r="N73" s="2824"/>
      <c r="O73" s="2165"/>
      <c r="P73" s="2161"/>
      <c r="Q73" s="1996"/>
      <c r="R73" s="1996"/>
      <c r="S73" s="1996"/>
      <c r="T73" s="1996"/>
      <c r="U73" s="1996"/>
      <c r="V73" s="1996"/>
      <c r="W73" s="1996"/>
      <c r="X73" s="1996"/>
      <c r="Y73" s="1996"/>
      <c r="Z73" s="1996"/>
      <c r="AA73" s="1996"/>
      <c r="AB73" s="1996"/>
      <c r="AC73" s="1996"/>
    </row>
    <row r="74" spans="1:29" s="1223" customFormat="1" ht="15" customHeight="1" thickBot="1">
      <c r="A74" s="2827" t="s">
        <v>2653</v>
      </c>
      <c r="B74" s="2836"/>
      <c r="C74" s="2821"/>
      <c r="D74" s="2822"/>
      <c r="E74" s="2822"/>
      <c r="F74" s="2822"/>
      <c r="G74" s="2822"/>
      <c r="H74" s="2822"/>
      <c r="I74" s="2822"/>
      <c r="J74" s="2822"/>
      <c r="K74" s="2822"/>
      <c r="L74" s="2822"/>
      <c r="M74" s="2822"/>
      <c r="N74" s="2822"/>
      <c r="O74" s="2165"/>
      <c r="P74" s="2161"/>
      <c r="Q74" s="2161"/>
      <c r="R74" s="1996"/>
      <c r="S74" s="1996"/>
      <c r="T74" s="1996"/>
      <c r="U74" s="1996"/>
      <c r="V74" s="1996"/>
      <c r="W74" s="1996"/>
      <c r="X74" s="1996"/>
      <c r="Y74" s="1996"/>
      <c r="Z74" s="1996"/>
      <c r="AA74" s="1996"/>
      <c r="AB74" s="1996"/>
      <c r="AC74" s="1996"/>
    </row>
    <row r="75" spans="1:29" s="1223" customFormat="1" ht="15">
      <c r="A75" s="662" t="s">
        <v>532</v>
      </c>
      <c r="B75" s="651"/>
      <c r="C75" s="663" t="s">
        <v>577</v>
      </c>
      <c r="D75" s="664"/>
      <c r="E75" s="664"/>
      <c r="F75" s="664"/>
      <c r="G75" s="664"/>
      <c r="H75" s="664"/>
      <c r="I75" s="664"/>
      <c r="J75" s="664"/>
      <c r="K75" s="664"/>
      <c r="L75" s="665"/>
      <c r="M75" s="666"/>
      <c r="N75" s="2165"/>
      <c r="O75" s="2165"/>
      <c r="P75" s="2166"/>
      <c r="Q75" s="2161"/>
      <c r="R75" s="1996"/>
      <c r="S75" s="1996"/>
      <c r="T75" s="1996"/>
      <c r="U75" s="1996"/>
      <c r="V75" s="1996"/>
      <c r="W75" s="1996"/>
      <c r="X75" s="1996"/>
      <c r="Y75" s="1996"/>
      <c r="Z75" s="1996"/>
      <c r="AA75" s="1996"/>
      <c r="AB75" s="1996"/>
      <c r="AC75" s="1996"/>
    </row>
    <row r="76" spans="1:29" s="1223" customFormat="1" ht="15.75" thickBot="1">
      <c r="A76" s="662"/>
      <c r="B76" s="651"/>
      <c r="C76" s="652">
        <v>100</v>
      </c>
      <c r="D76" s="653"/>
      <c r="E76" s="653"/>
      <c r="F76" s="653"/>
      <c r="G76" s="653"/>
      <c r="H76" s="653"/>
      <c r="I76" s="653"/>
      <c r="J76" s="653"/>
      <c r="K76" s="653"/>
      <c r="L76" s="653"/>
      <c r="M76" s="655"/>
      <c r="N76" s="2165"/>
      <c r="O76" s="2165"/>
      <c r="P76" s="2161"/>
      <c r="Q76" s="2161"/>
      <c r="R76" s="1996"/>
      <c r="S76" s="1996"/>
      <c r="T76" s="1996"/>
      <c r="U76" s="1996"/>
      <c r="V76" s="1996"/>
      <c r="W76" s="1996"/>
      <c r="X76" s="1996"/>
      <c r="Y76" s="1996"/>
      <c r="Z76" s="1996"/>
      <c r="AA76" s="1996"/>
      <c r="AB76" s="1996"/>
      <c r="AC76" s="1996"/>
    </row>
    <row r="77" spans="1:29">
      <c r="A77" s="667" t="s">
        <v>578</v>
      </c>
      <c r="B77" s="668" t="s">
        <v>535</v>
      </c>
      <c r="C77" s="3166" t="s">
        <v>3020</v>
      </c>
      <c r="D77" s="3166" t="s">
        <v>3022</v>
      </c>
      <c r="E77" s="3166" t="s">
        <v>3058</v>
      </c>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100</v>
      </c>
      <c r="D78" s="674">
        <v>100</v>
      </c>
      <c r="E78" s="674">
        <v>100</v>
      </c>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538</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539</v>
      </c>
      <c r="C81" s="685" t="str">
        <f>C82&amp;"（含）"&amp;"-"&amp;D82</f>
        <v>0（含）-2</v>
      </c>
      <c r="D81" s="685" t="str">
        <f t="shared" ref="D81:L81" si="20">D82&amp;"（含）"&amp;"-"&amp;E82</f>
        <v>2（含）-4</v>
      </c>
      <c r="E81" s="685" t="str">
        <f t="shared" si="20"/>
        <v>4（含）-6</v>
      </c>
      <c r="F81" s="685" t="str">
        <f t="shared" si="20"/>
        <v>6（含）-8</v>
      </c>
      <c r="G81" s="685" t="str">
        <f t="shared" si="20"/>
        <v>8（含）-</v>
      </c>
      <c r="H81" s="685" t="str">
        <f t="shared" si="20"/>
        <v>（含）-</v>
      </c>
      <c r="I81" s="685" t="str">
        <f t="shared" si="20"/>
        <v>（含）-</v>
      </c>
      <c r="J81" s="685" t="str">
        <f t="shared" si="20"/>
        <v>（含）-</v>
      </c>
      <c r="K81" s="685" t="str">
        <f t="shared" si="20"/>
        <v>（含）-</v>
      </c>
      <c r="L81" s="685" t="str">
        <f t="shared" si="20"/>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2</v>
      </c>
      <c r="E82" s="544">
        <v>4</v>
      </c>
      <c r="F82" s="544">
        <v>6</v>
      </c>
      <c r="G82" s="544">
        <v>8</v>
      </c>
      <c r="H82" s="544"/>
      <c r="I82" s="544"/>
      <c r="J82" s="544"/>
      <c r="K82" s="687"/>
      <c r="L82" s="688"/>
      <c r="M82" s="689"/>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95</v>
      </c>
      <c r="E83" s="682">
        <f t="shared" ref="E83:M83" si="21">IF($B$48="单位面积地价",D83+$K13,D83-$K13)</f>
        <v>90</v>
      </c>
      <c r="F83" s="682">
        <f t="shared" si="21"/>
        <v>85</v>
      </c>
      <c r="G83" s="682">
        <f t="shared" si="21"/>
        <v>80</v>
      </c>
      <c r="H83" s="682">
        <f t="shared" si="21"/>
        <v>75</v>
      </c>
      <c r="I83" s="682">
        <f t="shared" si="21"/>
        <v>70</v>
      </c>
      <c r="J83" s="682">
        <f t="shared" si="21"/>
        <v>65</v>
      </c>
      <c r="K83" s="682">
        <f t="shared" si="21"/>
        <v>60</v>
      </c>
      <c r="L83" s="682">
        <f t="shared" si="21"/>
        <v>55</v>
      </c>
      <c r="M83" s="682">
        <f t="shared" si="21"/>
        <v>50</v>
      </c>
      <c r="N83" s="2169"/>
      <c r="O83" s="2169"/>
      <c r="P83" s="2168"/>
      <c r="Q83" s="2161"/>
      <c r="R83" s="2148"/>
      <c r="S83" s="2148"/>
      <c r="T83" s="2148"/>
      <c r="U83" s="2148"/>
      <c r="V83" s="2148"/>
      <c r="W83" s="2148"/>
      <c r="X83" s="2148"/>
      <c r="Y83" s="2148"/>
      <c r="Z83" s="2148"/>
      <c r="AA83" s="2148"/>
      <c r="AB83" s="2148"/>
      <c r="AC83" s="2148"/>
    </row>
    <row r="84" spans="1:29" s="1342" customFormat="1" ht="15.75" hidden="1" thickTop="1">
      <c r="A84" s="690"/>
      <c r="B84" s="676" t="str">
        <f>B14</f>
        <v>配建</v>
      </c>
      <c r="C84" s="691"/>
      <c r="D84" s="1379"/>
      <c r="E84" s="1380"/>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2" customFormat="1" ht="15.75" hidden="1"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2" customFormat="1" ht="15.75" hidden="1" thickTop="1">
      <c r="A86" s="690"/>
      <c r="B86" s="676">
        <f>B15</f>
        <v>111</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2" customFormat="1" ht="15.75" hidden="1"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2" customFormat="1" ht="15.75" hidden="1" thickTop="1">
      <c r="A88" s="690"/>
      <c r="B88" s="684">
        <f>B16</f>
        <v>111</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2" customFormat="1" ht="15.75" hidden="1"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98</v>
      </c>
      <c r="E91" s="682">
        <f>D91-$K17</f>
        <v>96</v>
      </c>
      <c r="F91" s="682">
        <f>E91-$K17</f>
        <v>94</v>
      </c>
      <c r="G91" s="682">
        <f>F91-$K17</f>
        <v>92</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585</v>
      </c>
      <c r="C92" s="711" t="s">
        <v>580</v>
      </c>
      <c r="D92" s="711" t="s">
        <v>581</v>
      </c>
      <c r="E92" s="711" t="s">
        <v>582</v>
      </c>
      <c r="F92" s="711" t="s">
        <v>583</v>
      </c>
      <c r="G92" s="711" t="s">
        <v>584</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98</v>
      </c>
      <c r="E93" s="682">
        <f>D93-$K19</f>
        <v>96</v>
      </c>
      <c r="F93" s="682">
        <f>E93-$K19</f>
        <v>94</v>
      </c>
      <c r="G93" s="682">
        <f>F93-$K19</f>
        <v>92</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586</v>
      </c>
      <c r="C94" s="711" t="s">
        <v>580</v>
      </c>
      <c r="D94" s="711" t="s">
        <v>581</v>
      </c>
      <c r="E94" s="711" t="s">
        <v>582</v>
      </c>
      <c r="F94" s="711" t="s">
        <v>583</v>
      </c>
      <c r="G94" s="711" t="s">
        <v>584</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587</v>
      </c>
      <c r="C96" s="711" t="s">
        <v>580</v>
      </c>
      <c r="D96" s="711" t="s">
        <v>581</v>
      </c>
      <c r="E96" s="711" t="s">
        <v>582</v>
      </c>
      <c r="F96" s="711" t="s">
        <v>583</v>
      </c>
      <c r="G96" s="711" t="s">
        <v>584</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97</v>
      </c>
      <c r="E97" s="682">
        <f>D97-$K23</f>
        <v>94</v>
      </c>
      <c r="F97" s="682">
        <f>E97-$K23</f>
        <v>91</v>
      </c>
      <c r="G97" s="682">
        <f>F97-$K23</f>
        <v>88</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5"/>
      <c r="O98" s="2165"/>
      <c r="P98" s="2168"/>
      <c r="Q98" s="2161"/>
      <c r="R98" s="1996"/>
      <c r="S98" s="1996"/>
      <c r="T98" s="1996"/>
      <c r="U98" s="1996"/>
      <c r="V98" s="1996"/>
      <c r="W98" s="1996"/>
      <c r="X98" s="1996"/>
      <c r="Y98" s="1996"/>
      <c r="Z98" s="1996"/>
      <c r="AA98" s="1996"/>
      <c r="AB98" s="1996"/>
      <c r="AC98" s="1996"/>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69"/>
      <c r="O99" s="2169"/>
      <c r="P99" s="2168"/>
      <c r="Q99" s="2161"/>
      <c r="R99" s="1996"/>
      <c r="S99" s="1996"/>
      <c r="T99" s="1996"/>
      <c r="U99" s="1996"/>
      <c r="V99" s="1996"/>
      <c r="W99" s="1996"/>
      <c r="X99" s="1996"/>
      <c r="Y99" s="1996"/>
      <c r="Z99" s="1996"/>
      <c r="AA99" s="1996"/>
      <c r="AB99" s="1996"/>
      <c r="AC99" s="1996"/>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5"/>
      <c r="O100" s="2165"/>
      <c r="P100" s="2168"/>
      <c r="Q100" s="2161"/>
      <c r="R100" s="1996"/>
      <c r="S100" s="1996"/>
      <c r="T100" s="1996"/>
      <c r="U100" s="1996"/>
      <c r="V100" s="1996"/>
      <c r="W100" s="1996"/>
      <c r="X100" s="1996"/>
      <c r="Y100" s="1996"/>
      <c r="Z100" s="1996"/>
      <c r="AA100" s="1996"/>
      <c r="AB100" s="1996"/>
      <c r="AC100" s="1996"/>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69"/>
      <c r="O101" s="2169"/>
      <c r="P101" s="2168"/>
      <c r="Q101" s="2161"/>
      <c r="R101" s="1996"/>
      <c r="S101" s="1996"/>
      <c r="T101" s="1996"/>
      <c r="U101" s="1996"/>
      <c r="V101" s="1996"/>
      <c r="W101" s="1996"/>
      <c r="X101" s="1996"/>
      <c r="Y101" s="1996"/>
      <c r="Z101" s="1996"/>
      <c r="AA101" s="1996"/>
      <c r="AB101" s="1996"/>
      <c r="AC101" s="1996"/>
    </row>
    <row r="102" spans="1:29" s="1342" customFormat="1" ht="15.75" thickTop="1">
      <c r="A102" s="690"/>
      <c r="B102" s="1899" t="s">
        <v>2552</v>
      </c>
      <c r="C102" s="706" t="s">
        <v>580</v>
      </c>
      <c r="D102" s="706" t="s">
        <v>581</v>
      </c>
      <c r="E102" s="706" t="s">
        <v>582</v>
      </c>
      <c r="F102" s="706" t="s">
        <v>583</v>
      </c>
      <c r="G102" s="706" t="s">
        <v>584</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2" customFormat="1" ht="15.75" thickBot="1">
      <c r="A103" s="690"/>
      <c r="B103" s="681"/>
      <c r="C103" s="682">
        <v>100</v>
      </c>
      <c r="D103" s="682">
        <f>C103-$K29</f>
        <v>95</v>
      </c>
      <c r="E103" s="682">
        <f>D103-$K29</f>
        <v>90</v>
      </c>
      <c r="F103" s="682">
        <f>E103-$K29</f>
        <v>85</v>
      </c>
      <c r="G103" s="682">
        <f>F103-$K29</f>
        <v>80</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Top="1">
      <c r="A104" s="690"/>
      <c r="B104" s="2624" t="s">
        <v>2554</v>
      </c>
      <c r="C104" s="2625" t="s">
        <v>2555</v>
      </c>
      <c r="D104" s="2625" t="s">
        <v>2556</v>
      </c>
      <c r="E104" s="2625" t="s">
        <v>2557</v>
      </c>
      <c r="F104" s="2625" t="s">
        <v>2558</v>
      </c>
      <c r="G104" s="2625" t="s">
        <v>2559</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549</v>
      </c>
      <c r="C108" s="3167" t="s">
        <v>3029</v>
      </c>
      <c r="D108" s="3167" t="s">
        <v>3030</v>
      </c>
      <c r="E108" s="3167" t="s">
        <v>3032</v>
      </c>
      <c r="F108" s="3167" t="s">
        <v>3034</v>
      </c>
      <c r="G108" s="3167" t="s">
        <v>3036</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550</v>
      </c>
      <c r="C110" s="3168" t="s">
        <v>3038</v>
      </c>
      <c r="D110" s="3168" t="s">
        <v>3037</v>
      </c>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69"/>
      <c r="O111" s="2169"/>
      <c r="P111" s="2168"/>
      <c r="Q111" s="2161"/>
      <c r="R111" s="2148"/>
      <c r="S111" s="2148"/>
      <c r="T111" s="2148"/>
      <c r="U111" s="2148"/>
      <c r="V111" s="2148"/>
      <c r="W111" s="2148"/>
      <c r="X111" s="2148"/>
      <c r="Y111" s="2148"/>
      <c r="Z111" s="2148"/>
      <c r="AA111" s="2148"/>
      <c r="AB111" s="2148"/>
      <c r="AC111" s="2148"/>
    </row>
    <row r="112" spans="1:29" ht="15.75" hidden="1" thickTop="1">
      <c r="A112" s="672"/>
      <c r="B112" s="684">
        <f>B37</f>
        <v>111</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hidden="1"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hidden="1" thickTop="1">
      <c r="A114" s="590"/>
      <c r="B114" s="676">
        <f>B38</f>
        <v>111</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hidden="1"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2" customFormat="1" ht="15" hidden="1" thickTop="1">
      <c r="A116" s="731"/>
      <c r="B116" s="732">
        <f>B39</f>
        <v>111</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2" customFormat="1" ht="15.75" hidden="1"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9.25" thickTop="1">
      <c r="A118" s="667" t="s">
        <v>552</v>
      </c>
      <c r="B118" s="668" t="s">
        <v>594</v>
      </c>
      <c r="C118" s="707" t="str">
        <f t="shared" ref="C118:L118" si="25">C119&amp;"(含)"&amp;"-"&amp;D119</f>
        <v>0(含)-100000</v>
      </c>
      <c r="D118" s="707" t="str">
        <f t="shared" si="25"/>
        <v>100000(含)-200000</v>
      </c>
      <c r="E118" s="707" t="str">
        <f t="shared" si="25"/>
        <v>200000(含)-300000</v>
      </c>
      <c r="F118" s="707" t="str">
        <f t="shared" si="25"/>
        <v>300000(含)-400000</v>
      </c>
      <c r="G118" s="707" t="str">
        <f t="shared" si="25"/>
        <v>400000(含)-500000</v>
      </c>
      <c r="H118" s="707" t="str">
        <f t="shared" si="25"/>
        <v>500000(含)-</v>
      </c>
      <c r="I118" s="707" t="str">
        <f t="shared" si="25"/>
        <v>(含)-</v>
      </c>
      <c r="J118" s="3124" t="str">
        <f t="shared" si="25"/>
        <v>(含)-</v>
      </c>
      <c r="K118" s="3124" t="str">
        <f t="shared" si="25"/>
        <v>(含)-</v>
      </c>
      <c r="L118" s="3125" t="str">
        <f t="shared" si="25"/>
        <v>(含)-</v>
      </c>
      <c r="M118" s="3126"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100000</v>
      </c>
      <c r="E119" s="733">
        <v>200000</v>
      </c>
      <c r="F119" s="733">
        <v>300000</v>
      </c>
      <c r="G119" s="733">
        <v>400000</v>
      </c>
      <c r="H119" s="733">
        <v>500000</v>
      </c>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29">
        <v>102</v>
      </c>
      <c r="F120" s="729">
        <v>103</v>
      </c>
      <c r="G120" s="729">
        <v>104</v>
      </c>
      <c r="H120" s="729">
        <v>105</v>
      </c>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595</v>
      </c>
      <c r="C121" s="3168" t="s">
        <v>3039</v>
      </c>
      <c r="D121" s="3168" t="s">
        <v>3041</v>
      </c>
      <c r="E121" s="3168" t="s">
        <v>3042</v>
      </c>
      <c r="F121" s="3168" t="s">
        <v>3043</v>
      </c>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596</v>
      </c>
      <c r="C123" s="3167" t="s">
        <v>3045</v>
      </c>
      <c r="D123" s="3167" t="s">
        <v>3046</v>
      </c>
      <c r="E123" s="3167" t="s">
        <v>3047</v>
      </c>
      <c r="F123" s="3168" t="s">
        <v>3048</v>
      </c>
      <c r="G123" s="3168" t="s">
        <v>3049</v>
      </c>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97</v>
      </c>
      <c r="E124" s="682">
        <f t="shared" si="27"/>
        <v>94</v>
      </c>
      <c r="F124" s="682">
        <f t="shared" si="27"/>
        <v>91</v>
      </c>
      <c r="G124" s="682">
        <f t="shared" si="27"/>
        <v>88</v>
      </c>
      <c r="H124" s="682">
        <f t="shared" si="27"/>
        <v>85</v>
      </c>
      <c r="I124" s="682">
        <f t="shared" si="27"/>
        <v>82</v>
      </c>
      <c r="J124" s="682">
        <f t="shared" si="27"/>
        <v>79</v>
      </c>
      <c r="K124" s="682">
        <f t="shared" si="27"/>
        <v>76</v>
      </c>
      <c r="L124" s="682">
        <f t="shared" si="27"/>
        <v>73</v>
      </c>
      <c r="M124" s="683">
        <f t="shared" si="27"/>
        <v>70</v>
      </c>
      <c r="N124" s="2169"/>
      <c r="O124" s="2169"/>
      <c r="P124" s="2168"/>
      <c r="Q124" s="2161"/>
      <c r="R124" s="2148"/>
      <c r="S124" s="2148"/>
      <c r="T124" s="2148"/>
      <c r="U124" s="2148"/>
      <c r="V124" s="2148"/>
      <c r="W124" s="2148"/>
      <c r="X124" s="2148"/>
      <c r="Y124" s="2148"/>
      <c r="Z124" s="2148"/>
      <c r="AA124" s="2148"/>
      <c r="AB124" s="2148"/>
      <c r="AC124" s="2148"/>
    </row>
    <row r="125" spans="1:29" s="1342" customFormat="1" ht="15" thickTop="1">
      <c r="A125" s="731"/>
      <c r="B125" s="1899" t="s">
        <v>2427</v>
      </c>
      <c r="C125" s="3167" t="s">
        <v>3050</v>
      </c>
      <c r="D125" s="3167" t="s">
        <v>3051</v>
      </c>
      <c r="E125" s="3167" t="s">
        <v>3052</v>
      </c>
      <c r="F125" s="3168" t="s">
        <v>3053</v>
      </c>
      <c r="G125" s="3168" t="s">
        <v>3054</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597</v>
      </c>
      <c r="C127" s="3167" t="s">
        <v>3045</v>
      </c>
      <c r="D127" s="3167" t="s">
        <v>3046</v>
      </c>
      <c r="E127" s="3167" t="s">
        <v>3047</v>
      </c>
      <c r="F127" s="3168" t="s">
        <v>3048</v>
      </c>
      <c r="G127" s="3168" t="s">
        <v>3049</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69"/>
      <c r="O128" s="2169"/>
      <c r="P128" s="2168"/>
      <c r="Q128" s="2161"/>
      <c r="R128" s="2148"/>
      <c r="S128" s="2148"/>
      <c r="T128" s="2148"/>
      <c r="U128" s="2148"/>
      <c r="V128" s="2148"/>
      <c r="W128" s="2148"/>
      <c r="X128" s="2148"/>
      <c r="Y128" s="2148"/>
      <c r="Z128" s="2148"/>
      <c r="AA128" s="2148"/>
      <c r="AB128" s="2148"/>
      <c r="AC128" s="2148"/>
    </row>
    <row r="129" spans="1:29" ht="15" hidden="1" thickTop="1">
      <c r="A129" s="738"/>
      <c r="B129" s="676">
        <f>B45</f>
        <v>111</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hidden="1"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hidden="1" thickTop="1">
      <c r="A131" s="738"/>
      <c r="B131" s="676">
        <f>B46</f>
        <v>111</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hidden="1"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2" customFormat="1" ht="15" hidden="1" thickTop="1">
      <c r="A133" s="731"/>
      <c r="B133" s="676">
        <f>B47</f>
        <v>111</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2" customFormat="1" ht="15.75" hidden="1"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1" customFormat="1" ht="15" thickTop="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1"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1"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1"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1"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1"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1"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1"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1"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1"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1"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1"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1"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1"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1"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1"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1"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1"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1"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1"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1"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1"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1"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1"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1"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1"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1"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1"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1"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1"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1"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1"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1"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1"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1"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1"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1"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1"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1"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1"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1"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1"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1"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1"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1"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1"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1"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1"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1"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1"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1"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1"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1"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1"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1"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1"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1"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1"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1"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1"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1"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1"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1"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1"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1"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1"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1"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1"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1"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1"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1"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1"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1"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1"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1"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1"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1"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1"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1"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1"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1"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1"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1"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1"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1"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1"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1"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1"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1"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1"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1"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1"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1"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1"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1"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1"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1"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1"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1"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1"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1"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1"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1"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1"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1"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1"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1"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1"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1"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1"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1"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1"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1"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1"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1"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1"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1"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1"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1"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1"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1"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92" t="str">
        <f>项目基本情况!B1</f>
        <v>沈阳市沈阳市浑南区香堤路197号出让国有建设用地使用权抵押价格预评估</v>
      </c>
      <c r="C37" s="3192"/>
      <c r="D37" s="3192"/>
      <c r="E37" s="3192"/>
      <c r="F37" s="3192"/>
      <c r="G37" s="3192"/>
      <c r="H37" s="3192"/>
      <c r="I37" s="3192"/>
    </row>
    <row r="38" spans="1:9">
      <c r="A38" s="1660"/>
      <c r="B38" s="1660"/>
    </row>
    <row r="39" spans="1:9">
      <c r="A39" s="1658" t="s">
        <v>1903</v>
      </c>
      <c r="B39" s="1658" t="s">
        <v>2048</v>
      </c>
    </row>
    <row r="40" spans="1:9">
      <c r="A40" s="1658"/>
      <c r="B40" s="1658" t="str">
        <f>项目基本情况!B5</f>
        <v>大业信托有限责任公司</v>
      </c>
    </row>
    <row r="41" spans="1:9">
      <c r="A41" s="1658"/>
      <c r="B41" s="1658"/>
    </row>
    <row r="42" spans="1:9">
      <c r="A42" s="1658" t="s">
        <v>1903</v>
      </c>
      <c r="B42" s="1658" t="s">
        <v>2049</v>
      </c>
    </row>
    <row r="43" spans="1:9">
      <c r="A43" s="1658"/>
      <c r="B43" s="1658" t="s">
        <v>1905</v>
      </c>
    </row>
    <row r="44" spans="1:9">
      <c r="A44" s="1658"/>
      <c r="B44" s="1658"/>
    </row>
    <row r="45" spans="1:9">
      <c r="A45" s="1658" t="s">
        <v>1903</v>
      </c>
      <c r="B45" s="1658" t="s">
        <v>2047</v>
      </c>
    </row>
    <row r="46" spans="1:9" s="1658" customFormat="1" ht="12.75">
      <c r="B46" s="1658" t="str">
        <f>项目基本情况!K4</f>
        <v>梁津、王鹏</v>
      </c>
    </row>
    <row r="47" spans="1:9">
      <c r="A47" s="1658"/>
      <c r="B47" s="1658"/>
    </row>
    <row r="48" spans="1:9">
      <c r="A48" s="1658" t="s">
        <v>1903</v>
      </c>
      <c r="B48" s="1658" t="s">
        <v>2050</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1"/>
      <c r="D2" s="2131"/>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4"/>
      <c r="D3" s="2064"/>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4"/>
      <c r="D4" s="2064"/>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70"/>
      <c r="AC5" s="431"/>
    </row>
    <row r="6" spans="1:29" ht="15">
      <c r="A6" s="515" t="s">
        <v>522</v>
      </c>
      <c r="B6" s="516"/>
      <c r="C6" s="3366" t="s">
        <v>523</v>
      </c>
      <c r="D6" s="3367"/>
      <c r="E6" s="3403" t="s">
        <v>524</v>
      </c>
      <c r="F6" s="3404"/>
      <c r="G6" s="3366" t="s">
        <v>525</v>
      </c>
      <c r="H6" s="3367"/>
      <c r="I6" s="3366" t="s">
        <v>526</v>
      </c>
      <c r="J6" s="3367"/>
      <c r="K6" s="517" t="s">
        <v>527</v>
      </c>
      <c r="L6" s="2136"/>
      <c r="M6" s="2137"/>
      <c r="N6" s="2137"/>
      <c r="O6" s="2137"/>
      <c r="P6" s="3368" t="s">
        <v>528</v>
      </c>
      <c r="Q6" s="3369"/>
      <c r="R6" s="3374" t="s">
        <v>524</v>
      </c>
      <c r="S6" s="3375"/>
      <c r="T6" s="3374" t="s">
        <v>525</v>
      </c>
      <c r="U6" s="3375"/>
      <c r="V6" s="3361" t="s">
        <v>526</v>
      </c>
      <c r="W6" s="3361"/>
      <c r="X6" s="1571"/>
      <c r="Y6" s="3374" t="s">
        <v>528</v>
      </c>
      <c r="Z6" s="3375"/>
      <c r="AA6" s="3363" t="s">
        <v>524</v>
      </c>
      <c r="AB6" s="3364" t="s">
        <v>525</v>
      </c>
      <c r="AC6" s="3363" t="s">
        <v>526</v>
      </c>
    </row>
    <row r="7" spans="1:29" ht="15">
      <c r="A7" s="518"/>
      <c r="B7" s="519"/>
      <c r="C7" s="3384" t="s">
        <v>2933</v>
      </c>
      <c r="D7" s="3383"/>
      <c r="E7" s="3405" t="s">
        <v>2934</v>
      </c>
      <c r="F7" s="3406"/>
      <c r="G7" s="3384" t="s">
        <v>2935</v>
      </c>
      <c r="H7" s="3383"/>
      <c r="I7" s="3384" t="s">
        <v>2936</v>
      </c>
      <c r="J7" s="3383"/>
      <c r="K7" s="517"/>
      <c r="L7" s="2136"/>
      <c r="M7" s="2137"/>
      <c r="N7" s="2137"/>
      <c r="O7" s="2137"/>
      <c r="P7" s="3370"/>
      <c r="Q7" s="3371"/>
      <c r="R7" s="3376"/>
      <c r="S7" s="3377"/>
      <c r="T7" s="3376"/>
      <c r="U7" s="3377"/>
      <c r="V7" s="3361"/>
      <c r="W7" s="3361"/>
      <c r="X7" s="1571"/>
      <c r="Y7" s="3376"/>
      <c r="Z7" s="3377"/>
      <c r="AA7" s="3364"/>
      <c r="AB7" s="3364"/>
      <c r="AC7" s="3364"/>
    </row>
    <row r="8" spans="1:29" ht="15.75" thickBot="1">
      <c r="A8" s="520"/>
      <c r="B8" s="521"/>
      <c r="C8" s="3400" t="s">
        <v>2937</v>
      </c>
      <c r="D8" s="3381"/>
      <c r="E8" s="3401" t="s">
        <v>2937</v>
      </c>
      <c r="F8" s="3402"/>
      <c r="G8" s="3400" t="s">
        <v>2937</v>
      </c>
      <c r="H8" s="3381"/>
      <c r="I8" s="3400" t="s">
        <v>2937</v>
      </c>
      <c r="J8" s="3381"/>
      <c r="K8" s="517" t="s">
        <v>529</v>
      </c>
      <c r="L8" s="2136"/>
      <c r="M8" s="2137"/>
      <c r="N8" s="2137"/>
      <c r="O8" s="2137"/>
      <c r="P8" s="3372"/>
      <c r="Q8" s="3373"/>
      <c r="R8" s="3376"/>
      <c r="S8" s="3377"/>
      <c r="T8" s="3378"/>
      <c r="U8" s="3379"/>
      <c r="V8" s="3361"/>
      <c r="W8" s="3361"/>
      <c r="X8" s="1571"/>
      <c r="Y8" s="3378"/>
      <c r="Z8" s="3379"/>
      <c r="AA8" s="3365"/>
      <c r="AB8" s="3365"/>
      <c r="AC8" s="3365"/>
    </row>
    <row r="9" spans="1:29" s="1223" customFormat="1" ht="15.75" thickBot="1">
      <c r="A9" s="2943"/>
      <c r="B9" s="2950" t="s">
        <v>530</v>
      </c>
      <c r="C9" s="522">
        <f>'数据-取费表'!B2</f>
        <v>43018</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93" t="s">
        <v>531</v>
      </c>
      <c r="Q9" s="3395"/>
      <c r="R9" s="1572" t="s">
        <v>8</v>
      </c>
      <c r="S9" s="1573">
        <f t="shared" ref="S9:S17" si="0">F9</f>
        <v>0</v>
      </c>
      <c r="T9" s="1572" t="s">
        <v>8</v>
      </c>
      <c r="U9" s="1573">
        <f t="shared" ref="U9:U17" si="1">H9</f>
        <v>0</v>
      </c>
      <c r="V9" s="1572" t="s">
        <v>8</v>
      </c>
      <c r="W9" s="1573">
        <f t="shared" ref="W9:W17" si="2">J9</f>
        <v>0</v>
      </c>
      <c r="X9" s="1574"/>
      <c r="Y9" s="3393" t="s">
        <v>531</v>
      </c>
      <c r="Z9" s="3394"/>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93" t="s">
        <v>534</v>
      </c>
      <c r="Q10" s="3394"/>
      <c r="R10" s="1572" t="s">
        <v>8</v>
      </c>
      <c r="S10" s="1573">
        <f t="shared" si="0"/>
        <v>0</v>
      </c>
      <c r="T10" s="1572" t="s">
        <v>8</v>
      </c>
      <c r="U10" s="1573">
        <f t="shared" si="1"/>
        <v>0</v>
      </c>
      <c r="V10" s="1572" t="s">
        <v>8</v>
      </c>
      <c r="W10" s="1573">
        <f t="shared" si="2"/>
        <v>0</v>
      </c>
      <c r="X10" s="1574"/>
      <c r="Y10" s="3393" t="s">
        <v>534</v>
      </c>
      <c r="Z10" s="3394"/>
      <c r="AA10" s="1575" t="e">
        <f t="shared" ref="AA10:AA42" si="3">D10/F10</f>
        <v>#DIV/0!</v>
      </c>
      <c r="AB10" s="1575" t="e">
        <f t="shared" ref="AB10:AB42" si="4">D10/H10</f>
        <v>#DIV/0!</v>
      </c>
      <c r="AC10" s="1575" t="e">
        <f t="shared" ref="AC10:AC42" si="5">D10/J10</f>
        <v>#DIV/0!</v>
      </c>
    </row>
    <row r="11" spans="1:29" s="1223" customFormat="1" ht="15">
      <c r="A11" s="2945"/>
      <c r="B11" s="2952" t="s">
        <v>2762</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60" t="s">
        <v>536</v>
      </c>
      <c r="Q11" s="1154" t="str">
        <f t="shared" ref="Q11:Q17" si="6">B11</f>
        <v>用途</v>
      </c>
      <c r="R11" s="1572" t="s">
        <v>8</v>
      </c>
      <c r="S11" s="1573">
        <f t="shared" si="0"/>
        <v>100</v>
      </c>
      <c r="T11" s="1572" t="s">
        <v>8</v>
      </c>
      <c r="U11" s="1573">
        <f t="shared" si="1"/>
        <v>100</v>
      </c>
      <c r="V11" s="1572" t="s">
        <v>8</v>
      </c>
      <c r="W11" s="1573">
        <f t="shared" si="2"/>
        <v>100</v>
      </c>
      <c r="X11" s="1574"/>
      <c r="Y11" s="3306" t="s">
        <v>537</v>
      </c>
      <c r="Z11" s="1153" t="str">
        <f t="shared" ref="Z11:Z17" si="7">Q11</f>
        <v>用途</v>
      </c>
      <c r="AA11" s="1575">
        <f t="shared" si="3"/>
        <v>1</v>
      </c>
      <c r="AB11" s="1575">
        <f t="shared" si="4"/>
        <v>1</v>
      </c>
      <c r="AC11" s="1575">
        <f t="shared" si="5"/>
        <v>1</v>
      </c>
    </row>
    <row r="12" spans="1:29" s="1341" customFormat="1" ht="27">
      <c r="A12" s="2946"/>
      <c r="B12" s="2951" t="s">
        <v>2763</v>
      </c>
      <c r="C12" s="531"/>
      <c r="D12" s="255">
        <v>100</v>
      </c>
      <c r="E12" s="531"/>
      <c r="F12" s="255">
        <f>ROUND(100/'数据-取费表'!G16,0)</f>
        <v>101</v>
      </c>
      <c r="G12" s="531"/>
      <c r="H12" s="255">
        <f>ROUND(100/'数据-取费表'!G16,0)</f>
        <v>101</v>
      </c>
      <c r="I12" s="531"/>
      <c r="J12" s="255">
        <f>ROUND(100/'数据-取费表'!G16,0)</f>
        <v>101</v>
      </c>
      <c r="K12" s="534"/>
      <c r="L12" s="2141"/>
      <c r="M12" s="2181"/>
      <c r="N12" s="2181"/>
      <c r="O12" s="2142"/>
      <c r="P12" s="3360"/>
      <c r="Q12" s="1154" t="str">
        <f t="shared" si="6"/>
        <v>土地使用年限（年）</v>
      </c>
      <c r="R12" s="1572" t="s">
        <v>8</v>
      </c>
      <c r="S12" s="1573">
        <f t="shared" si="0"/>
        <v>101</v>
      </c>
      <c r="T12" s="1572" t="s">
        <v>8</v>
      </c>
      <c r="U12" s="1573">
        <f t="shared" si="1"/>
        <v>101</v>
      </c>
      <c r="V12" s="1572" t="s">
        <v>8</v>
      </c>
      <c r="W12" s="1573">
        <f t="shared" si="2"/>
        <v>101</v>
      </c>
      <c r="X12" s="1574"/>
      <c r="Y12" s="3306"/>
      <c r="Z12" s="1153" t="str">
        <f t="shared" si="7"/>
        <v>土地使用年限（年）</v>
      </c>
      <c r="AA12" s="1575">
        <f t="shared" si="3"/>
        <v>0.99009900990099009</v>
      </c>
      <c r="AB12" s="1575">
        <f t="shared" si="4"/>
        <v>0.99009900990099009</v>
      </c>
      <c r="AC12" s="1575">
        <f t="shared" si="5"/>
        <v>0.99009900990099009</v>
      </c>
    </row>
    <row r="13" spans="1:29" ht="15">
      <c r="A13" s="2947"/>
      <c r="B13" s="2951" t="s">
        <v>2764</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60"/>
      <c r="Q13" s="1154" t="str">
        <f t="shared" si="6"/>
        <v>容积率</v>
      </c>
      <c r="R13" s="1572" t="s">
        <v>8</v>
      </c>
      <c r="S13" s="1573" t="e">
        <f t="shared" si="0"/>
        <v>#N/A</v>
      </c>
      <c r="T13" s="1572" t="s">
        <v>8</v>
      </c>
      <c r="U13" s="1573" t="e">
        <f t="shared" si="1"/>
        <v>#N/A</v>
      </c>
      <c r="V13" s="1572" t="s">
        <v>8</v>
      </c>
      <c r="W13" s="1573" t="e">
        <f t="shared" si="2"/>
        <v>#N/A</v>
      </c>
      <c r="X13" s="1574"/>
      <c r="Y13" s="3306"/>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60"/>
      <c r="Q14" s="1154">
        <f t="shared" si="6"/>
        <v>111</v>
      </c>
      <c r="R14" s="1572" t="s">
        <v>8</v>
      </c>
      <c r="S14" s="1573">
        <f t="shared" si="0"/>
        <v>100</v>
      </c>
      <c r="T14" s="1572" t="s">
        <v>8</v>
      </c>
      <c r="U14" s="1573">
        <f t="shared" si="1"/>
        <v>100</v>
      </c>
      <c r="V14" s="1572" t="s">
        <v>8</v>
      </c>
      <c r="W14" s="1573">
        <f t="shared" si="2"/>
        <v>100</v>
      </c>
      <c r="X14" s="1574"/>
      <c r="Y14" s="3306"/>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60"/>
      <c r="Q15" s="1154">
        <f t="shared" si="6"/>
        <v>111</v>
      </c>
      <c r="R15" s="1572" t="s">
        <v>8</v>
      </c>
      <c r="S15" s="1573">
        <f t="shared" si="0"/>
        <v>100</v>
      </c>
      <c r="T15" s="1572" t="s">
        <v>8</v>
      </c>
      <c r="U15" s="1573">
        <f t="shared" si="1"/>
        <v>100</v>
      </c>
      <c r="V15" s="1572" t="s">
        <v>8</v>
      </c>
      <c r="W15" s="1573">
        <f t="shared" si="2"/>
        <v>100</v>
      </c>
      <c r="X15" s="1574"/>
      <c r="Y15" s="3306"/>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60"/>
      <c r="Q16" s="1154">
        <f t="shared" si="6"/>
        <v>111</v>
      </c>
      <c r="R16" s="1572" t="s">
        <v>8</v>
      </c>
      <c r="S16" s="1573">
        <f t="shared" si="0"/>
        <v>100</v>
      </c>
      <c r="T16" s="1572" t="s">
        <v>8</v>
      </c>
      <c r="U16" s="1573">
        <f t="shared" si="1"/>
        <v>100</v>
      </c>
      <c r="V16" s="1572" t="s">
        <v>8</v>
      </c>
      <c r="W16" s="1573">
        <f t="shared" si="2"/>
        <v>100</v>
      </c>
      <c r="X16" s="1574"/>
      <c r="Y16" s="3306"/>
      <c r="Z16" s="1153">
        <f t="shared" si="7"/>
        <v>111</v>
      </c>
      <c r="AA16" s="1575">
        <f t="shared" si="3"/>
        <v>1</v>
      </c>
      <c r="AB16" s="1575">
        <f t="shared" si="4"/>
        <v>1</v>
      </c>
      <c r="AC16" s="1575">
        <f t="shared" si="5"/>
        <v>1</v>
      </c>
    </row>
    <row r="17" spans="1:29" ht="57">
      <c r="A17" s="2941" t="s">
        <v>2760</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96" t="s">
        <v>541</v>
      </c>
      <c r="Q17" s="1576" t="str">
        <f t="shared" si="6"/>
        <v>产业集聚程度</v>
      </c>
      <c r="R17" s="1577" t="s">
        <v>8</v>
      </c>
      <c r="S17" s="1578">
        <f t="shared" si="0"/>
        <v>100</v>
      </c>
      <c r="T17" s="1577" t="s">
        <v>8</v>
      </c>
      <c r="U17" s="1578">
        <f t="shared" si="1"/>
        <v>100</v>
      </c>
      <c r="V17" s="1577" t="s">
        <v>8</v>
      </c>
      <c r="W17" s="1578">
        <f t="shared" si="2"/>
        <v>100</v>
      </c>
      <c r="X17" s="1571"/>
      <c r="Y17" s="3396"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5"/>
      <c r="M18" s="2137"/>
      <c r="N18" s="2137"/>
      <c r="O18" s="2144"/>
      <c r="P18" s="3397"/>
      <c r="Q18" s="1576"/>
      <c r="R18" s="1577"/>
      <c r="S18" s="1578"/>
      <c r="T18" s="1577"/>
      <c r="U18" s="1578"/>
      <c r="V18" s="1577"/>
      <c r="W18" s="1578"/>
      <c r="X18" s="1571"/>
      <c r="Y18" s="3397"/>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97"/>
      <c r="Q19" s="1576" t="str">
        <f>B19</f>
        <v>交通便捷度</v>
      </c>
      <c r="R19" s="1577" t="s">
        <v>8</v>
      </c>
      <c r="S19" s="1578">
        <f>F19</f>
        <v>100</v>
      </c>
      <c r="T19" s="1577" t="s">
        <v>8</v>
      </c>
      <c r="U19" s="1578">
        <f>H19</f>
        <v>100</v>
      </c>
      <c r="V19" s="1577" t="s">
        <v>8</v>
      </c>
      <c r="W19" s="1578">
        <f>J19</f>
        <v>100</v>
      </c>
      <c r="X19" s="1571"/>
      <c r="Y19" s="3397"/>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5"/>
      <c r="M20" s="2137"/>
      <c r="N20" s="2137"/>
      <c r="O20" s="2144"/>
      <c r="P20" s="3397"/>
      <c r="Q20" s="1576"/>
      <c r="R20" s="1577"/>
      <c r="S20" s="1578"/>
      <c r="T20" s="1577"/>
      <c r="U20" s="1578"/>
      <c r="V20" s="1577"/>
      <c r="W20" s="1578"/>
      <c r="X20" s="1571"/>
      <c r="Y20" s="3397"/>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5"/>
      <c r="M21" s="2137"/>
      <c r="N21" s="2137"/>
      <c r="O21" s="2144"/>
      <c r="P21" s="3397"/>
      <c r="Q21" s="1576" t="str">
        <f t="shared" ref="Q21:Q35" si="8">B21</f>
        <v>区域土地利用方向</v>
      </c>
      <c r="R21" s="1577" t="s">
        <v>8</v>
      </c>
      <c r="S21" s="1578">
        <f>F21</f>
        <v>100</v>
      </c>
      <c r="T21" s="1577" t="s">
        <v>8</v>
      </c>
      <c r="U21" s="1578">
        <f>H21</f>
        <v>100</v>
      </c>
      <c r="V21" s="1577" t="s">
        <v>8</v>
      </c>
      <c r="W21" s="1578">
        <f>J21</f>
        <v>100</v>
      </c>
      <c r="X21" s="1571"/>
      <c r="Y21" s="3397"/>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5"/>
      <c r="M22" s="2137"/>
      <c r="N22" s="2137"/>
      <c r="O22" s="2144"/>
      <c r="P22" s="3397"/>
      <c r="Q22" s="1576"/>
      <c r="R22" s="1577"/>
      <c r="S22" s="1578"/>
      <c r="T22" s="1577"/>
      <c r="U22" s="1578"/>
      <c r="V22" s="1577"/>
      <c r="W22" s="1578"/>
      <c r="X22" s="1571"/>
      <c r="Y22" s="3397"/>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97"/>
      <c r="Q23" s="1576" t="str">
        <f t="shared" si="8"/>
        <v>环境状况</v>
      </c>
      <c r="R23" s="1577" t="s">
        <v>8</v>
      </c>
      <c r="S23" s="1578">
        <f>F23</f>
        <v>100</v>
      </c>
      <c r="T23" s="1577" t="s">
        <v>8</v>
      </c>
      <c r="U23" s="1578">
        <f>H23</f>
        <v>100</v>
      </c>
      <c r="V23" s="1577" t="s">
        <v>8</v>
      </c>
      <c r="W23" s="1578">
        <f>J23</f>
        <v>100</v>
      </c>
      <c r="X23" s="1571"/>
      <c r="Y23" s="3397"/>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5"/>
      <c r="M24" s="2137"/>
      <c r="N24" s="2137"/>
      <c r="O24" s="2144"/>
      <c r="P24" s="3397"/>
      <c r="Q24" s="1576"/>
      <c r="R24" s="1577"/>
      <c r="S24" s="1578"/>
      <c r="T24" s="1577"/>
      <c r="U24" s="1578"/>
      <c r="V24" s="1577"/>
      <c r="W24" s="1578"/>
      <c r="X24" s="1571"/>
      <c r="Y24" s="3397"/>
      <c r="Z24" s="1579"/>
      <c r="AA24" s="1580">
        <v>1</v>
      </c>
      <c r="AB24" s="1580">
        <v>1</v>
      </c>
      <c r="AC24" s="1580">
        <v>1</v>
      </c>
    </row>
    <row r="25" spans="1:29" s="1223" customFormat="1" ht="42.75">
      <c r="A25" s="580"/>
      <c r="B25" s="2620" t="s">
        <v>2552</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97"/>
      <c r="Q25" s="1154" t="str">
        <f t="shared" si="8"/>
        <v>公共配套设施</v>
      </c>
      <c r="R25" s="1572" t="s">
        <v>8</v>
      </c>
      <c r="S25" s="1573">
        <f>F25</f>
        <v>100</v>
      </c>
      <c r="T25" s="1572" t="s">
        <v>8</v>
      </c>
      <c r="U25" s="1573">
        <f>H25</f>
        <v>100</v>
      </c>
      <c r="V25" s="1572" t="s">
        <v>8</v>
      </c>
      <c r="W25" s="1573">
        <f>J25</f>
        <v>100</v>
      </c>
      <c r="X25" s="1574"/>
      <c r="Y25" s="3397"/>
      <c r="Z25" s="1153" t="str">
        <f>Q25</f>
        <v>公共配套设施</v>
      </c>
      <c r="AA25" s="1580">
        <f>D25/F25</f>
        <v>1</v>
      </c>
      <c r="AB25" s="1580">
        <f>D25/H25</f>
        <v>1</v>
      </c>
      <c r="AC25" s="1580">
        <f>D25/J25</f>
        <v>1</v>
      </c>
    </row>
    <row r="26" spans="1:29" s="1223" customFormat="1" ht="15">
      <c r="A26" s="580"/>
      <c r="B26" s="598"/>
      <c r="C26" s="2619"/>
      <c r="D26" s="558"/>
      <c r="E26" s="557"/>
      <c r="F26" s="558"/>
      <c r="G26" s="557"/>
      <c r="H26" s="558"/>
      <c r="I26" s="579"/>
      <c r="J26" s="558"/>
      <c r="K26" s="534"/>
      <c r="L26" s="2138"/>
      <c r="M26" s="2139"/>
      <c r="N26" s="2139"/>
      <c r="O26" s="2140"/>
      <c r="P26" s="3397"/>
      <c r="Q26" s="1154"/>
      <c r="R26" s="1572"/>
      <c r="S26" s="1573"/>
      <c r="T26" s="1572"/>
      <c r="U26" s="1573"/>
      <c r="V26" s="1572"/>
      <c r="W26" s="1573"/>
      <c r="X26" s="1574"/>
      <c r="Y26" s="3397"/>
      <c r="Z26" s="1153"/>
      <c r="AA26" s="1575">
        <v>1</v>
      </c>
      <c r="AB26" s="1575">
        <v>1</v>
      </c>
      <c r="AC26" s="1575">
        <v>1</v>
      </c>
    </row>
    <row r="27" spans="1:29" s="1223" customFormat="1" ht="28.5">
      <c r="A27" s="580"/>
      <c r="B27" s="2620" t="s">
        <v>2553</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97"/>
      <c r="Q27" s="2605" t="str">
        <f t="shared" ref="Q27" si="9">B27</f>
        <v>基础设施水平</v>
      </c>
      <c r="R27" s="1572" t="s">
        <v>8</v>
      </c>
      <c r="S27" s="1573">
        <f>F27</f>
        <v>100</v>
      </c>
      <c r="T27" s="1572" t="s">
        <v>8</v>
      </c>
      <c r="U27" s="1573">
        <f>H27</f>
        <v>100</v>
      </c>
      <c r="V27" s="1572" t="s">
        <v>8</v>
      </c>
      <c r="W27" s="1573">
        <f>J27</f>
        <v>100</v>
      </c>
      <c r="X27" s="1574"/>
      <c r="Y27" s="3397"/>
      <c r="Z27" s="2602" t="str">
        <f>Q27</f>
        <v>基础设施水平</v>
      </c>
      <c r="AA27" s="1580">
        <f>D27/F27</f>
        <v>1</v>
      </c>
      <c r="AB27" s="1580">
        <f>D27/H27</f>
        <v>1</v>
      </c>
      <c r="AC27" s="1580">
        <f>D27/J27</f>
        <v>1</v>
      </c>
    </row>
    <row r="28" spans="1:29" s="1223" customFormat="1" ht="15">
      <c r="A28" s="580"/>
      <c r="B28" s="598"/>
      <c r="C28" s="2619"/>
      <c r="D28" s="558"/>
      <c r="E28" s="582"/>
      <c r="F28" s="558"/>
      <c r="G28" s="582"/>
      <c r="H28" s="558"/>
      <c r="I28" s="582"/>
      <c r="J28" s="558"/>
      <c r="K28" s="534"/>
      <c r="L28" s="2138"/>
      <c r="M28" s="2139"/>
      <c r="N28" s="2139"/>
      <c r="O28" s="2140"/>
      <c r="P28" s="3397"/>
      <c r="Q28" s="2605"/>
      <c r="R28" s="1572"/>
      <c r="S28" s="1573"/>
      <c r="T28" s="1572"/>
      <c r="U28" s="1573"/>
      <c r="V28" s="1572"/>
      <c r="W28" s="1573"/>
      <c r="X28" s="1574"/>
      <c r="Y28" s="3397"/>
      <c r="Z28" s="2602"/>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97"/>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97"/>
      <c r="Z29" s="1579" t="str">
        <f t="shared" ref="Z29:Z42" si="13">Q29</f>
        <v>临街状况</v>
      </c>
      <c r="AA29" s="1580">
        <f t="shared" si="3"/>
        <v>1</v>
      </c>
      <c r="AB29" s="1580">
        <f t="shared" si="4"/>
        <v>1</v>
      </c>
      <c r="AC29" s="1580">
        <f t="shared" si="5"/>
        <v>1</v>
      </c>
    </row>
    <row r="30" spans="1:29" ht="27">
      <c r="A30" s="535"/>
      <c r="B30" s="925" t="s">
        <v>549</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97"/>
      <c r="Q30" s="1576" t="str">
        <f t="shared" si="8"/>
        <v>毗邻道路的类型与等级</v>
      </c>
      <c r="R30" s="1577" t="s">
        <v>8</v>
      </c>
      <c r="S30" s="1578">
        <f t="shared" si="10"/>
        <v>100</v>
      </c>
      <c r="T30" s="1577" t="s">
        <v>8</v>
      </c>
      <c r="U30" s="1578">
        <f t="shared" si="11"/>
        <v>100</v>
      </c>
      <c r="V30" s="1577" t="s">
        <v>8</v>
      </c>
      <c r="W30" s="1578">
        <f t="shared" si="12"/>
        <v>100</v>
      </c>
      <c r="X30" s="1571"/>
      <c r="Y30" s="3397"/>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5"/>
      <c r="M31" s="2137"/>
      <c r="N31" s="2137"/>
      <c r="O31" s="2144"/>
      <c r="P31" s="3397"/>
      <c r="Q31" s="1576"/>
      <c r="R31" s="1577"/>
      <c r="S31" s="1578"/>
      <c r="T31" s="1577"/>
      <c r="U31" s="1578"/>
      <c r="V31" s="1577"/>
      <c r="W31" s="1578"/>
      <c r="X31" s="1571"/>
      <c r="Y31" s="3397"/>
      <c r="Z31" s="1579"/>
      <c r="AA31" s="1580">
        <v>1</v>
      </c>
      <c r="AB31" s="1580">
        <v>1</v>
      </c>
      <c r="AC31" s="1580">
        <v>1</v>
      </c>
    </row>
    <row r="32" spans="1:29" ht="15">
      <c r="A32" s="535"/>
      <c r="B32" s="530" t="s">
        <v>550</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97"/>
      <c r="Q32" s="1576" t="str">
        <f t="shared" si="8"/>
        <v>土地级别</v>
      </c>
      <c r="R32" s="1577" t="s">
        <v>8</v>
      </c>
      <c r="S32" s="1578">
        <f t="shared" si="10"/>
        <v>100</v>
      </c>
      <c r="T32" s="1577" t="s">
        <v>8</v>
      </c>
      <c r="U32" s="1578">
        <f t="shared" si="11"/>
        <v>100</v>
      </c>
      <c r="V32" s="1577" t="s">
        <v>8</v>
      </c>
      <c r="W32" s="1578">
        <f t="shared" si="12"/>
        <v>100</v>
      </c>
      <c r="X32" s="1571"/>
      <c r="Y32" s="3397"/>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97"/>
      <c r="Q33" s="1576">
        <f t="shared" si="8"/>
        <v>111</v>
      </c>
      <c r="R33" s="1577" t="s">
        <v>8</v>
      </c>
      <c r="S33" s="1578">
        <f t="shared" si="10"/>
        <v>100</v>
      </c>
      <c r="T33" s="1577" t="s">
        <v>8</v>
      </c>
      <c r="U33" s="1578">
        <f t="shared" si="11"/>
        <v>100</v>
      </c>
      <c r="V33" s="1577" t="s">
        <v>8</v>
      </c>
      <c r="W33" s="1578">
        <f t="shared" si="12"/>
        <v>100</v>
      </c>
      <c r="X33" s="1571"/>
      <c r="Y33" s="3397"/>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98" t="s">
        <v>551</v>
      </c>
      <c r="Q34" s="1576">
        <f t="shared" si="8"/>
        <v>111</v>
      </c>
      <c r="R34" s="1577" t="s">
        <v>8</v>
      </c>
      <c r="S34" s="1578">
        <f t="shared" si="10"/>
        <v>100</v>
      </c>
      <c r="T34" s="1577" t="s">
        <v>8</v>
      </c>
      <c r="U34" s="1578">
        <f t="shared" si="11"/>
        <v>100</v>
      </c>
      <c r="V34" s="1577" t="s">
        <v>8</v>
      </c>
      <c r="W34" s="1578">
        <f t="shared" si="12"/>
        <v>100</v>
      </c>
      <c r="X34" s="1571"/>
      <c r="Y34" s="3399" t="s">
        <v>551</v>
      </c>
      <c r="Z34" s="1579">
        <f t="shared" si="13"/>
        <v>111</v>
      </c>
      <c r="AA34" s="1580">
        <f t="shared" si="3"/>
        <v>1</v>
      </c>
      <c r="AB34" s="1580">
        <f t="shared" si="4"/>
        <v>1</v>
      </c>
      <c r="AC34" s="1580">
        <f t="shared" si="5"/>
        <v>1</v>
      </c>
    </row>
    <row r="35" spans="1:29" s="1342"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99"/>
      <c r="Q35" s="1576">
        <f t="shared" si="8"/>
        <v>111</v>
      </c>
      <c r="R35" s="1581" t="s">
        <v>8</v>
      </c>
      <c r="S35" s="1582">
        <f t="shared" si="10"/>
        <v>100</v>
      </c>
      <c r="T35" s="1581" t="s">
        <v>8</v>
      </c>
      <c r="U35" s="1582">
        <f t="shared" si="11"/>
        <v>100</v>
      </c>
      <c r="V35" s="1581" t="s">
        <v>8</v>
      </c>
      <c r="W35" s="1582">
        <f t="shared" si="12"/>
        <v>100</v>
      </c>
      <c r="X35" s="1583"/>
      <c r="Y35" s="3399"/>
      <c r="Z35" s="1584">
        <f t="shared" si="13"/>
        <v>111</v>
      </c>
      <c r="AA35" s="1580">
        <f t="shared" si="3"/>
        <v>1</v>
      </c>
      <c r="AB35" s="1580">
        <f t="shared" si="4"/>
        <v>1</v>
      </c>
      <c r="AC35" s="1580">
        <f t="shared" si="5"/>
        <v>1</v>
      </c>
    </row>
    <row r="36" spans="1:29" ht="15">
      <c r="A36" s="2938" t="s">
        <v>2761</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99"/>
      <c r="Q36" s="1576" t="str">
        <f>B36</f>
        <v>宗地面积</v>
      </c>
      <c r="R36" s="1577" t="s">
        <v>8</v>
      </c>
      <c r="S36" s="1578" t="e">
        <f t="shared" si="10"/>
        <v>#N/A</v>
      </c>
      <c r="T36" s="1577" t="s">
        <v>8</v>
      </c>
      <c r="U36" s="1578" t="e">
        <f t="shared" si="11"/>
        <v>#N/A</v>
      </c>
      <c r="V36" s="1577" t="s">
        <v>8</v>
      </c>
      <c r="W36" s="1578" t="e">
        <f t="shared" si="12"/>
        <v>#N/A</v>
      </c>
      <c r="X36" s="1571"/>
      <c r="Y36" s="3399"/>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99"/>
      <c r="Q37" s="1576" t="str">
        <f t="shared" ref="Q37:Q42" si="14">B37</f>
        <v>宗地形状</v>
      </c>
      <c r="R37" s="1577" t="s">
        <v>8</v>
      </c>
      <c r="S37" s="1578">
        <f t="shared" si="10"/>
        <v>100</v>
      </c>
      <c r="T37" s="1577" t="s">
        <v>8</v>
      </c>
      <c r="U37" s="1578">
        <f t="shared" si="11"/>
        <v>100</v>
      </c>
      <c r="V37" s="1577" t="s">
        <v>8</v>
      </c>
      <c r="W37" s="1578">
        <f t="shared" si="12"/>
        <v>100</v>
      </c>
      <c r="X37" s="1571"/>
      <c r="Y37" s="3399"/>
      <c r="Z37" s="1579" t="str">
        <f t="shared" si="13"/>
        <v>宗地形状</v>
      </c>
      <c r="AA37" s="1580">
        <f t="shared" si="3"/>
        <v>1</v>
      </c>
      <c r="AB37" s="1580">
        <f t="shared" si="4"/>
        <v>1</v>
      </c>
      <c r="AC37" s="1580">
        <f t="shared" si="5"/>
        <v>1</v>
      </c>
    </row>
    <row r="38" spans="1:29" s="1223" customFormat="1" ht="15">
      <c r="A38" s="603"/>
      <c r="B38" s="1898" t="s">
        <v>2426</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99"/>
      <c r="Q38" s="1576" t="str">
        <f t="shared" si="14"/>
        <v>宗地开发程度</v>
      </c>
      <c r="R38" s="1572" t="s">
        <v>8</v>
      </c>
      <c r="S38" s="1573">
        <f t="shared" si="10"/>
        <v>100</v>
      </c>
      <c r="T38" s="1572" t="s">
        <v>8</v>
      </c>
      <c r="U38" s="1573">
        <f t="shared" si="11"/>
        <v>100</v>
      </c>
      <c r="V38" s="1572" t="s">
        <v>8</v>
      </c>
      <c r="W38" s="1573">
        <f t="shared" si="12"/>
        <v>100</v>
      </c>
      <c r="X38" s="1574"/>
      <c r="Y38" s="3399"/>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99" t="s">
        <v>602</v>
      </c>
      <c r="Q39" s="1576" t="str">
        <f t="shared" si="14"/>
        <v>工程地质条件</v>
      </c>
      <c r="R39" s="1577" t="s">
        <v>8</v>
      </c>
      <c r="S39" s="1578">
        <f t="shared" si="10"/>
        <v>100</v>
      </c>
      <c r="T39" s="1577" t="s">
        <v>8</v>
      </c>
      <c r="U39" s="1578">
        <f t="shared" si="11"/>
        <v>100</v>
      </c>
      <c r="V39" s="1577" t="s">
        <v>8</v>
      </c>
      <c r="W39" s="1578">
        <f t="shared" si="12"/>
        <v>100</v>
      </c>
      <c r="X39" s="1571"/>
      <c r="Y39" s="3399"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99"/>
      <c r="Q40" s="1576">
        <f t="shared" si="14"/>
        <v>111</v>
      </c>
      <c r="R40" s="1577" t="s">
        <v>8</v>
      </c>
      <c r="S40" s="1578">
        <f t="shared" si="10"/>
        <v>100</v>
      </c>
      <c r="T40" s="1577" t="s">
        <v>8</v>
      </c>
      <c r="U40" s="1578">
        <f t="shared" si="11"/>
        <v>100</v>
      </c>
      <c r="V40" s="1577" t="s">
        <v>8</v>
      </c>
      <c r="W40" s="1578">
        <f t="shared" si="12"/>
        <v>100</v>
      </c>
      <c r="X40" s="1571"/>
      <c r="Y40" s="3399"/>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99"/>
      <c r="Q41" s="1576">
        <f t="shared" si="14"/>
        <v>111</v>
      </c>
      <c r="R41" s="1577" t="s">
        <v>8</v>
      </c>
      <c r="S41" s="1578">
        <f t="shared" si="10"/>
        <v>100</v>
      </c>
      <c r="T41" s="1577" t="s">
        <v>8</v>
      </c>
      <c r="U41" s="1578">
        <f t="shared" si="11"/>
        <v>100</v>
      </c>
      <c r="V41" s="1577" t="s">
        <v>8</v>
      </c>
      <c r="W41" s="1578">
        <f t="shared" si="12"/>
        <v>100</v>
      </c>
      <c r="X41" s="1571"/>
      <c r="Y41" s="3399"/>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99"/>
      <c r="Q42" s="1576">
        <f t="shared" si="14"/>
        <v>111</v>
      </c>
      <c r="R42" s="1581" t="s">
        <v>8</v>
      </c>
      <c r="S42" s="1582">
        <f t="shared" si="10"/>
        <v>100</v>
      </c>
      <c r="T42" s="1581" t="s">
        <v>8</v>
      </c>
      <c r="U42" s="1582">
        <f t="shared" si="11"/>
        <v>100</v>
      </c>
      <c r="V42" s="1581" t="s">
        <v>8</v>
      </c>
      <c r="W42" s="1582">
        <f t="shared" si="12"/>
        <v>100</v>
      </c>
      <c r="X42" s="1583"/>
      <c r="Y42" s="3399"/>
      <c r="Z42" s="1584">
        <f t="shared" si="13"/>
        <v>111</v>
      </c>
      <c r="AA42" s="1580">
        <f t="shared" si="3"/>
        <v>1</v>
      </c>
      <c r="AB42" s="1580">
        <f t="shared" si="4"/>
        <v>1</v>
      </c>
      <c r="AC42" s="1580">
        <f t="shared" si="5"/>
        <v>1</v>
      </c>
    </row>
    <row r="43" spans="1:29" ht="15">
      <c r="A43" s="610" t="s">
        <v>557</v>
      </c>
      <c r="B43" s="611" t="s">
        <v>2938</v>
      </c>
      <c r="C43" s="612" t="s">
        <v>1</v>
      </c>
      <c r="D43" s="613"/>
      <c r="E43" s="614"/>
      <c r="F43" s="615"/>
      <c r="G43" s="616"/>
      <c r="H43" s="617"/>
      <c r="I43" s="614"/>
      <c r="J43" s="617"/>
      <c r="K43" s="1343"/>
      <c r="L43" s="2147"/>
      <c r="M43" s="2137"/>
      <c r="N43" s="2137"/>
      <c r="O43" s="2148"/>
      <c r="P43" s="3360" t="str">
        <f>A43</f>
        <v>成交单价</v>
      </c>
      <c r="Q43" s="3360"/>
      <c r="R43" s="3361">
        <f>E43</f>
        <v>0</v>
      </c>
      <c r="S43" s="3361"/>
      <c r="T43" s="3361">
        <f>G43</f>
        <v>0</v>
      </c>
      <c r="U43" s="3361"/>
      <c r="V43" s="3361">
        <f>I43</f>
        <v>0</v>
      </c>
      <c r="W43" s="3361"/>
      <c r="X43" s="1563"/>
      <c r="Y43" s="1585"/>
      <c r="Z43" s="1563"/>
      <c r="AA43" s="1563"/>
      <c r="AB43" s="1563"/>
      <c r="AC43" s="1563"/>
    </row>
    <row r="44" spans="1:29" ht="15.75" thickBot="1">
      <c r="A44" s="618" t="s">
        <v>2699</v>
      </c>
      <c r="B44" s="619"/>
      <c r="C44" s="620" t="e">
        <f>R45</f>
        <v>#DIV/0!</v>
      </c>
      <c r="D44" s="621"/>
      <c r="E44" s="620" t="e">
        <f>R44</f>
        <v>#DIV/0!</v>
      </c>
      <c r="F44" s="622"/>
      <c r="G44" s="623" t="e">
        <f>T44</f>
        <v>#DIV/0!</v>
      </c>
      <c r="H44" s="621"/>
      <c r="I44" s="620" t="e">
        <f>V44</f>
        <v>#DIV/0!</v>
      </c>
      <c r="J44" s="621"/>
      <c r="K44" s="1344"/>
      <c r="L44" s="2147"/>
      <c r="M44" s="2137"/>
      <c r="N44" s="2137"/>
      <c r="O44" s="2148"/>
      <c r="P44" s="3360" t="str">
        <f>A44</f>
        <v>比较价格（元/平方米）</v>
      </c>
      <c r="Q44" s="3360"/>
      <c r="R44" s="3362" t="e">
        <f>ROUND(PRODUCT(R43,AA9:AA42),0)</f>
        <v>#DIV/0!</v>
      </c>
      <c r="S44" s="3362"/>
      <c r="T44" s="3362" t="e">
        <f>ROUND(PRODUCT(T43,AB9:AB42),0)</f>
        <v>#DIV/0!</v>
      </c>
      <c r="U44" s="3362"/>
      <c r="V44" s="3362" t="e">
        <f>ROUND(PRODUCT(V43,AC9:AC42),0)</f>
        <v>#DIV/0!</v>
      </c>
      <c r="W44" s="3362"/>
      <c r="X44" s="1563"/>
      <c r="Y44" s="1563"/>
      <c r="Z44" s="1563"/>
      <c r="AA44" s="1563"/>
      <c r="AB44" s="1563"/>
      <c r="AC44" s="1563"/>
    </row>
    <row r="45" spans="1:29" ht="15.75" thickBot="1">
      <c r="A45" s="624" t="s">
        <v>2939</v>
      </c>
      <c r="B45" s="625"/>
      <c r="C45" s="626" t="e">
        <f>R45</f>
        <v>#DIV/0!</v>
      </c>
      <c r="D45" s="626"/>
      <c r="E45" s="626"/>
      <c r="F45" s="626"/>
      <c r="G45" s="626"/>
      <c r="H45" s="626"/>
      <c r="I45" s="626"/>
      <c r="J45" s="626"/>
      <c r="K45" s="1345"/>
      <c r="L45" s="2147"/>
      <c r="M45" s="2137"/>
      <c r="N45" s="2137"/>
      <c r="O45" s="2148"/>
      <c r="P45" s="3357" t="str">
        <f>A45</f>
        <v>估价对象XX用房的比较价格（楼面单价，元/平方米）</v>
      </c>
      <c r="Q45" s="3358"/>
      <c r="R45" s="3359" t="e">
        <f>ROUND(AVERAGE(R44:V44),0)</f>
        <v>#DIV/0!</v>
      </c>
      <c r="S45" s="3359"/>
      <c r="T45" s="3359"/>
      <c r="U45" s="3359"/>
      <c r="V45" s="3359"/>
      <c r="W45" s="3359"/>
      <c r="X45" s="1563"/>
      <c r="Y45" s="1563"/>
      <c r="Z45" s="1563"/>
      <c r="AA45" s="1563"/>
      <c r="AB45" s="1563"/>
      <c r="AC45" s="1563"/>
    </row>
    <row r="46" spans="1:29">
      <c r="A46" s="2148"/>
      <c r="B46" s="2148"/>
      <c r="C46" s="2148"/>
      <c r="D46" s="2148"/>
      <c r="E46" s="2148"/>
      <c r="F46" s="2148"/>
      <c r="G46" s="2151"/>
      <c r="H46" s="2148"/>
      <c r="I46" s="2148"/>
      <c r="J46" s="2148"/>
      <c r="K46" s="2152"/>
      <c r="L46" s="2153"/>
      <c r="M46" s="2137"/>
      <c r="N46" s="2137"/>
      <c r="O46" s="2148"/>
      <c r="P46" s="1563"/>
      <c r="Q46" s="1563"/>
      <c r="R46" s="1563"/>
      <c r="S46" s="1563"/>
      <c r="T46" s="1563"/>
      <c r="U46" s="1563"/>
      <c r="V46" s="1563"/>
      <c r="W46" s="1563"/>
      <c r="X46" s="1563"/>
      <c r="Y46" s="1563"/>
      <c r="Z46" s="1563"/>
      <c r="AA46" s="1563"/>
      <c r="AB46" s="1563"/>
      <c r="AC46" s="1563"/>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8" customFormat="1" ht="13.5" customHeight="1">
      <c r="A50" s="2149"/>
      <c r="B50" s="2149"/>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8"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561</v>
      </c>
      <c r="B52" s="633" t="s">
        <v>562</v>
      </c>
      <c r="C52" s="1564" t="s">
        <v>1726</v>
      </c>
      <c r="D52" s="2230" t="s">
        <v>2295</v>
      </c>
      <c r="E52" s="634" t="s">
        <v>563</v>
      </c>
      <c r="F52" s="1954" t="s">
        <v>564</v>
      </c>
      <c r="G52" s="3407" t="s">
        <v>2286</v>
      </c>
      <c r="H52" s="3408"/>
      <c r="I52" s="1955" t="s">
        <v>1949</v>
      </c>
      <c r="J52" s="1559" t="str">
        <f>项目基本情况!F41</f>
        <v>沈阳市</v>
      </c>
      <c r="K52" s="2157" t="s">
        <v>1725</v>
      </c>
      <c r="L52" s="2153"/>
      <c r="M52" s="2148"/>
      <c r="N52" s="2148"/>
      <c r="O52" s="2148"/>
      <c r="P52" s="2148"/>
      <c r="Q52" s="2148"/>
      <c r="R52" s="2148"/>
      <c r="S52" s="2148"/>
      <c r="T52" s="2148"/>
      <c r="U52" s="2148"/>
      <c r="V52" s="2148"/>
      <c r="W52" s="2148"/>
      <c r="X52" s="2148"/>
      <c r="Y52" s="2148"/>
      <c r="Z52" s="2148"/>
      <c r="AA52" s="2148"/>
      <c r="AB52" s="2148"/>
      <c r="AC52" s="2148"/>
    </row>
    <row r="53" spans="1:29" s="1349" customFormat="1" ht="12.75">
      <c r="A53" s="636" t="s">
        <v>565</v>
      </c>
      <c r="B53" s="637" t="e">
        <f>C45</f>
        <v>#DIV/0!</v>
      </c>
      <c r="C53" s="638">
        <v>1</v>
      </c>
      <c r="D53" s="2231">
        <v>1</v>
      </c>
      <c r="E53" s="638">
        <f>'数据-汇总表'!E8+'数据-汇总表'!E9</f>
        <v>108760.69</v>
      </c>
      <c r="F53" s="1953" t="e">
        <f t="shared" ref="F53:F62" si="15">ROUND(B53*E53/10000,0)</f>
        <v>#DIV/0!</v>
      </c>
      <c r="G53" s="3409"/>
      <c r="H53" s="3410"/>
      <c r="I53" s="1956">
        <v>1</v>
      </c>
      <c r="J53" s="1560">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9" customFormat="1" ht="12.75">
      <c r="A54" s="640" t="s">
        <v>566</v>
      </c>
      <c r="B54" s="641" t="e">
        <f>ROUND($C$45*C54*D54,0)</f>
        <v>#DIV/0!</v>
      </c>
      <c r="C54" s="381">
        <f t="shared" ref="C54:C62" si="16">IF($C$52="北京市系数",I54,J54)</f>
        <v>0</v>
      </c>
      <c r="D54" s="2232">
        <v>0.25</v>
      </c>
      <c r="E54" s="642"/>
      <c r="F54" s="1953" t="e">
        <f t="shared" si="15"/>
        <v>#DIV/0!</v>
      </c>
      <c r="G54" s="3411" t="s">
        <v>2287</v>
      </c>
      <c r="H54" s="1957">
        <f>项目基本情况!B43</f>
        <v>0</v>
      </c>
      <c r="I54" s="1956">
        <f>SUMIF(修正!$A$45:$A$56,H54,修正!B45:B56)</f>
        <v>0</v>
      </c>
      <c r="J54" s="1562"/>
      <c r="K54" s="2158"/>
      <c r="L54" s="2158"/>
      <c r="M54" s="2158"/>
      <c r="N54" s="2158"/>
      <c r="O54" s="2158"/>
      <c r="P54" s="2158"/>
      <c r="Q54" s="2158"/>
      <c r="R54" s="2158"/>
      <c r="S54" s="2158"/>
      <c r="T54" s="2158"/>
      <c r="U54" s="2158"/>
      <c r="V54" s="2158"/>
      <c r="W54" s="2158"/>
      <c r="X54" s="2158"/>
      <c r="Y54" s="2158"/>
      <c r="Z54" s="2158"/>
      <c r="AA54" s="2158"/>
      <c r="AB54" s="2158"/>
      <c r="AC54" s="2158"/>
    </row>
    <row r="55" spans="1:29" s="1349" customFormat="1" ht="12.75">
      <c r="A55" s="640" t="s">
        <v>567</v>
      </c>
      <c r="B55" s="641" t="e">
        <f t="shared" ref="B55:B62" si="17">ROUND($C$45*C55*D55,0)</f>
        <v>#DIV/0!</v>
      </c>
      <c r="C55" s="381">
        <f t="shared" si="16"/>
        <v>0</v>
      </c>
      <c r="D55" s="2232">
        <v>0.25</v>
      </c>
      <c r="E55" s="642"/>
      <c r="F55" s="1953" t="e">
        <f t="shared" si="15"/>
        <v>#DIV/0!</v>
      </c>
      <c r="G55" s="3411"/>
      <c r="H55" s="1958">
        <f>项目基本情况!B43</f>
        <v>0</v>
      </c>
      <c r="I55" s="1956">
        <f>SUMIF(修正!$A$45:$A$56,H55,修正!C45:C56)</f>
        <v>0</v>
      </c>
      <c r="J55" s="1562"/>
      <c r="K55" s="2158"/>
      <c r="L55" s="2158"/>
      <c r="M55" s="2158"/>
      <c r="N55" s="2158"/>
      <c r="O55" s="2158"/>
      <c r="P55" s="2158"/>
      <c r="Q55" s="2158"/>
      <c r="R55" s="2158"/>
      <c r="S55" s="2158"/>
      <c r="T55" s="2158"/>
      <c r="U55" s="2158"/>
      <c r="V55" s="2158"/>
      <c r="W55" s="2158"/>
      <c r="X55" s="2158"/>
      <c r="Y55" s="2158"/>
      <c r="Z55" s="2158"/>
      <c r="AA55" s="2158"/>
      <c r="AB55" s="2158"/>
      <c r="AC55" s="2158"/>
    </row>
    <row r="56" spans="1:29" s="1349" customFormat="1" ht="12.75">
      <c r="A56" s="640" t="s">
        <v>568</v>
      </c>
      <c r="B56" s="641" t="e">
        <f t="shared" si="17"/>
        <v>#DIV/0!</v>
      </c>
      <c r="C56" s="381">
        <f t="shared" si="16"/>
        <v>0</v>
      </c>
      <c r="D56" s="2232">
        <v>0.25</v>
      </c>
      <c r="E56" s="642"/>
      <c r="F56" s="1953" t="e">
        <f t="shared" si="15"/>
        <v>#DIV/0!</v>
      </c>
      <c r="G56" s="3411"/>
      <c r="H56" s="1958">
        <f>项目基本情况!B43</f>
        <v>0</v>
      </c>
      <c r="I56" s="1956">
        <f>SUMIF(修正!$A$45:$A$56,H56,修正!D45:D56)</f>
        <v>0</v>
      </c>
      <c r="J56" s="1562"/>
      <c r="K56" s="2158"/>
      <c r="L56" s="2158"/>
      <c r="M56" s="2158"/>
      <c r="N56" s="2158"/>
      <c r="O56" s="2158"/>
      <c r="P56" s="2158"/>
      <c r="Q56" s="2158"/>
      <c r="R56" s="2158"/>
      <c r="S56" s="2158"/>
      <c r="T56" s="2158"/>
      <c r="U56" s="2158"/>
      <c r="V56" s="2158"/>
      <c r="W56" s="2158"/>
      <c r="X56" s="2158"/>
      <c r="Y56" s="2158"/>
      <c r="Z56" s="2158"/>
      <c r="AA56" s="2158"/>
      <c r="AB56" s="2158"/>
      <c r="AC56" s="2158"/>
    </row>
    <row r="57" spans="1:29" s="1349" customFormat="1" ht="12.75">
      <c r="A57" s="640" t="s">
        <v>569</v>
      </c>
      <c r="B57" s="641" t="e">
        <f t="shared" si="17"/>
        <v>#DIV/0!</v>
      </c>
      <c r="C57" s="381">
        <f t="shared" si="16"/>
        <v>0</v>
      </c>
      <c r="D57" s="2232">
        <v>0.25</v>
      </c>
      <c r="E57" s="642"/>
      <c r="F57" s="1953" t="e">
        <f t="shared" si="15"/>
        <v>#DIV/0!</v>
      </c>
      <c r="G57" s="3411"/>
      <c r="H57" s="1958">
        <f>项目基本情况!B43</f>
        <v>0</v>
      </c>
      <c r="I57" s="1956">
        <f>SUMIF(修正!$A$45:$A$56,H57,修正!E45:E56)</f>
        <v>0</v>
      </c>
      <c r="J57" s="1562"/>
      <c r="K57" s="2158"/>
      <c r="L57" s="2158"/>
      <c r="M57" s="2158"/>
      <c r="N57" s="2158"/>
      <c r="O57" s="2158"/>
      <c r="P57" s="2158"/>
      <c r="Q57" s="2158"/>
      <c r="R57" s="2158"/>
      <c r="S57" s="2158"/>
      <c r="T57" s="2158"/>
      <c r="U57" s="2158"/>
      <c r="V57" s="2158"/>
      <c r="W57" s="2158"/>
      <c r="X57" s="2158"/>
      <c r="Y57" s="2158"/>
      <c r="Z57" s="2158"/>
      <c r="AA57" s="2158"/>
      <c r="AB57" s="2158"/>
      <c r="AC57" s="2158"/>
    </row>
    <row r="58" spans="1:29" s="1349" customFormat="1" ht="12.75">
      <c r="A58" s="2334" t="s">
        <v>2329</v>
      </c>
      <c r="B58" s="641" t="e">
        <f t="shared" si="17"/>
        <v>#DIV/0!</v>
      </c>
      <c r="C58" s="381">
        <f t="shared" si="16"/>
        <v>0</v>
      </c>
      <c r="D58" s="2232">
        <v>0.25</v>
      </c>
      <c r="E58" s="644">
        <f>'数据-汇总表'!E11</f>
        <v>0</v>
      </c>
      <c r="F58" s="1953" t="e">
        <f t="shared" si="15"/>
        <v>#DIV/0!</v>
      </c>
      <c r="G58" s="1959" t="s">
        <v>2288</v>
      </c>
      <c r="H58" s="1958">
        <f>项目基本情况!C43</f>
        <v>0</v>
      </c>
      <c r="I58" s="1956">
        <f>SUMIF(修正!$A$45:$A$56,H58,修正!F45:F56)</f>
        <v>0</v>
      </c>
      <c r="J58" s="1562"/>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570</v>
      </c>
      <c r="B59" s="641" t="e">
        <f t="shared" si="17"/>
        <v>#DIV/0!</v>
      </c>
      <c r="C59" s="381">
        <f t="shared" si="16"/>
        <v>0</v>
      </c>
      <c r="D59" s="2232">
        <v>0.25</v>
      </c>
      <c r="E59" s="644">
        <f>'数据-汇总表'!E12</f>
        <v>0</v>
      </c>
      <c r="F59" s="1953" t="e">
        <f t="shared" si="15"/>
        <v>#DIV/0!</v>
      </c>
      <c r="G59" s="1949" t="s">
        <v>1679</v>
      </c>
      <c r="H59" s="1957">
        <f>IF(G59="商业",项目基本情况!B43,IF(G59="办公",项目基本情况!C43,IF(G59="住宅",项目基本情况!D43,项目基本情况!E43)))</f>
        <v>0</v>
      </c>
      <c r="I59" s="1956">
        <f>SUMIF(修正!$A$45:$A$56,H59,修正!G45:G56)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571</v>
      </c>
      <c r="B60" s="641" t="e">
        <f t="shared" si="17"/>
        <v>#DIV/0!</v>
      </c>
      <c r="C60" s="381">
        <f t="shared" si="16"/>
        <v>0</v>
      </c>
      <c r="D60" s="2232">
        <v>0.25</v>
      </c>
      <c r="E60" s="644">
        <f>'数据-汇总表'!E13</f>
        <v>0</v>
      </c>
      <c r="F60" s="1953" t="e">
        <f t="shared" si="15"/>
        <v>#DIV/0!</v>
      </c>
      <c r="G60" s="1949" t="s">
        <v>924</v>
      </c>
      <c r="H60" s="1957">
        <f>IF(G60="商业",项目基本情况!B43,IF(G60="办公",项目基本情况!C43,IF(G60="住宅",项目基本情况!D43,项目基本情况!E43)))</f>
        <v>0</v>
      </c>
      <c r="I60" s="1956">
        <f>SUMIF(修正!$A$45:$A$56,H60,修正!H45:H56)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572</v>
      </c>
      <c r="B61" s="641" t="e">
        <f t="shared" si="17"/>
        <v>#DIV/0!</v>
      </c>
      <c r="C61" s="381">
        <f t="shared" si="16"/>
        <v>0</v>
      </c>
      <c r="D61" s="2232">
        <v>0.25</v>
      </c>
      <c r="E61" s="644">
        <f>'数据-汇总表'!E14</f>
        <v>0</v>
      </c>
      <c r="F61" s="1953" t="e">
        <f t="shared" si="15"/>
        <v>#DIV/0!</v>
      </c>
      <c r="G61" s="1959" t="s">
        <v>2287</v>
      </c>
      <c r="H61" s="1958">
        <f>项目基本情况!B43</f>
        <v>0</v>
      </c>
      <c r="I61" s="1956">
        <f>SUMIF(修正!$A$45:$A$56,H61,修正!H45:H56)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3.5" thickBot="1">
      <c r="A62" s="640" t="s">
        <v>573</v>
      </c>
      <c r="B62" s="641" t="e">
        <f t="shared" si="17"/>
        <v>#DIV/0!</v>
      </c>
      <c r="C62" s="381">
        <f t="shared" si="16"/>
        <v>0</v>
      </c>
      <c r="D62" s="2232">
        <v>0.25</v>
      </c>
      <c r="E62" s="644">
        <f>'数据-汇总表'!E15</f>
        <v>0</v>
      </c>
      <c r="F62" s="1953" t="e">
        <f t="shared" si="15"/>
        <v>#DIV/0!</v>
      </c>
      <c r="G62" s="1960" t="s">
        <v>2288</v>
      </c>
      <c r="H62" s="1961">
        <f>项目基本情况!C43</f>
        <v>0</v>
      </c>
      <c r="I62" s="1956">
        <f>SUMIF(修正!$A$45:$A$56,H62,修正!H45:H56)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3.5" thickBot="1">
      <c r="A63" s="645" t="s">
        <v>574</v>
      </c>
      <c r="B63" s="646" t="s">
        <v>17</v>
      </c>
      <c r="C63" s="646" t="s">
        <v>18</v>
      </c>
      <c r="D63" s="646" t="s">
        <v>2296</v>
      </c>
      <c r="E63" s="646">
        <f>IF(B43="楼面地价",SUM(E53:E62),'数据-汇总表'!D3)</f>
        <v>72507.13</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31" t="str">
        <f>YEAR(C9)&amp;"-"&amp;MONTH(C9)&amp;"-1"</f>
        <v>2017-10-1</v>
      </c>
      <c r="D65" s="2830">
        <f>EDATE(C65,-3)</f>
        <v>42917</v>
      </c>
      <c r="E65" s="2830">
        <f t="shared" ref="E65:N65" si="18">EDATE(D65,-3)</f>
        <v>42826</v>
      </c>
      <c r="F65" s="2830">
        <f t="shared" si="18"/>
        <v>42736</v>
      </c>
      <c r="G65" s="2830">
        <f t="shared" si="18"/>
        <v>42644</v>
      </c>
      <c r="H65" s="2830">
        <f t="shared" si="18"/>
        <v>42552</v>
      </c>
      <c r="I65" s="2830">
        <f t="shared" si="18"/>
        <v>42461</v>
      </c>
      <c r="J65" s="2830">
        <f t="shared" si="18"/>
        <v>42370</v>
      </c>
      <c r="K65" s="2830">
        <f t="shared" si="18"/>
        <v>42278</v>
      </c>
      <c r="L65" s="2830">
        <f t="shared" si="18"/>
        <v>42186</v>
      </c>
      <c r="M65" s="2830">
        <f t="shared" si="18"/>
        <v>42095</v>
      </c>
      <c r="N65" s="2830">
        <f t="shared" si="18"/>
        <v>42005</v>
      </c>
      <c r="O65" s="2148"/>
      <c r="P65" s="2148"/>
      <c r="Q65" s="2148"/>
      <c r="R65" s="2148"/>
      <c r="S65" s="2148"/>
      <c r="T65" s="2148"/>
      <c r="U65" s="2148"/>
      <c r="V65" s="2148"/>
      <c r="W65" s="2148"/>
      <c r="X65" s="2148"/>
      <c r="Y65" s="2148"/>
      <c r="Z65" s="2148"/>
      <c r="AA65" s="2148"/>
      <c r="AB65" s="2148"/>
      <c r="AC65" s="2148"/>
    </row>
    <row r="66" spans="1:29" ht="21.75" thickBot="1">
      <c r="A66" s="1588" t="s">
        <v>575</v>
      </c>
      <c r="B66" s="1563"/>
      <c r="C66" s="1587"/>
      <c r="D66" s="1587"/>
      <c r="E66" s="1587"/>
      <c r="F66" s="1589"/>
      <c r="G66" s="1589"/>
      <c r="H66" s="1587"/>
      <c r="I66" s="1587"/>
      <c r="J66" s="1587"/>
      <c r="K66" s="1590"/>
      <c r="L66" s="1586"/>
      <c r="M66" s="1587"/>
      <c r="N66" s="1587"/>
      <c r="O66" s="2160"/>
      <c r="P66" s="2160"/>
      <c r="Q66" s="2161"/>
      <c r="R66" s="2148"/>
      <c r="S66" s="2148"/>
      <c r="T66" s="2148"/>
      <c r="U66" s="2148"/>
      <c r="V66" s="2148"/>
      <c r="W66" s="2148"/>
      <c r="X66" s="2148"/>
      <c r="Y66" s="2148"/>
      <c r="Z66" s="2148"/>
      <c r="AA66" s="2148"/>
      <c r="AB66" s="2148"/>
      <c r="AC66" s="2148"/>
    </row>
    <row r="67" spans="1:29" s="1350" customFormat="1" ht="15">
      <c r="A67" s="2595" t="s">
        <v>2537</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2"/>
      <c r="P67" s="2163"/>
      <c r="Q67" s="2164"/>
      <c r="R67" s="2164"/>
      <c r="S67" s="2164"/>
      <c r="T67" s="2164"/>
      <c r="U67" s="2164"/>
      <c r="V67" s="2164"/>
      <c r="W67" s="2164"/>
      <c r="X67" s="2164"/>
      <c r="Y67" s="2164"/>
      <c r="Z67" s="2164"/>
      <c r="AA67" s="2164"/>
      <c r="AB67" s="2164"/>
      <c r="AC67" s="2164"/>
    </row>
    <row r="68" spans="1:29" s="1223" customFormat="1" ht="27.75" customHeight="1">
      <c r="A68" s="2829" t="s">
        <v>2655</v>
      </c>
      <c r="B68" s="482" t="str">
        <f>"北京市平均增长率"&amp;TEXT(基准地价!P24,"0.00%")</f>
        <v>北京市平均增长率1.37%</v>
      </c>
      <c r="C68" s="897">
        <v>100</v>
      </c>
      <c r="D68" s="733"/>
      <c r="E68" s="733"/>
      <c r="F68" s="733"/>
      <c r="G68" s="733"/>
      <c r="H68" s="733"/>
      <c r="I68" s="733"/>
      <c r="J68" s="733"/>
      <c r="K68" s="733"/>
      <c r="L68" s="733"/>
      <c r="M68" s="2823"/>
      <c r="N68" s="2824"/>
      <c r="O68" s="2165"/>
      <c r="P68" s="2161"/>
      <c r="Q68" s="1996"/>
      <c r="R68" s="1996"/>
      <c r="S68" s="1996"/>
      <c r="T68" s="1996"/>
      <c r="U68" s="1996"/>
      <c r="V68" s="1996"/>
      <c r="W68" s="1996"/>
      <c r="X68" s="1996"/>
      <c r="Y68" s="1996"/>
      <c r="Z68" s="1996"/>
      <c r="AA68" s="1996"/>
      <c r="AB68" s="1996"/>
      <c r="AC68" s="1996"/>
    </row>
    <row r="69" spans="1:29" s="1223" customFormat="1" ht="15.75" thickBot="1">
      <c r="A69" s="656" t="s">
        <v>576</v>
      </c>
      <c r="B69" s="657"/>
      <c r="C69" s="2821"/>
      <c r="D69" s="2822"/>
      <c r="E69" s="2822"/>
      <c r="F69" s="2822"/>
      <c r="G69" s="2822"/>
      <c r="H69" s="2822"/>
      <c r="I69" s="2822"/>
      <c r="J69" s="2822"/>
      <c r="K69" s="2822"/>
      <c r="L69" s="2822"/>
      <c r="M69" s="2822"/>
      <c r="N69" s="2822"/>
      <c r="O69" s="2165"/>
      <c r="P69" s="2161"/>
      <c r="Q69" s="2161"/>
      <c r="R69" s="1996"/>
      <c r="S69" s="1996"/>
      <c r="T69" s="1996"/>
      <c r="U69" s="1996"/>
      <c r="V69" s="1996"/>
      <c r="W69" s="1996"/>
      <c r="X69" s="1996"/>
      <c r="Y69" s="1996"/>
      <c r="Z69" s="1996"/>
      <c r="AA69" s="1996"/>
      <c r="AB69" s="1996"/>
      <c r="AC69" s="1996"/>
    </row>
    <row r="70" spans="1:29" s="1223" customFormat="1" ht="15">
      <c r="A70" s="662" t="s">
        <v>532</v>
      </c>
      <c r="B70" s="651"/>
      <c r="C70" s="663" t="s">
        <v>577</v>
      </c>
      <c r="D70" s="664"/>
      <c r="E70" s="664"/>
      <c r="F70" s="664"/>
      <c r="G70" s="664"/>
      <c r="H70" s="664"/>
      <c r="I70" s="664"/>
      <c r="J70" s="664"/>
      <c r="K70" s="664"/>
      <c r="L70" s="665"/>
      <c r="M70" s="666"/>
      <c r="N70" s="2165"/>
      <c r="O70" s="2165"/>
      <c r="P70" s="2166"/>
      <c r="Q70" s="2161"/>
      <c r="R70" s="1996"/>
      <c r="S70" s="1996"/>
      <c r="T70" s="1996"/>
      <c r="U70" s="1996"/>
      <c r="V70" s="1996"/>
      <c r="W70" s="1996"/>
      <c r="X70" s="1996"/>
      <c r="Y70" s="1996"/>
      <c r="Z70" s="1996"/>
      <c r="AA70" s="1996"/>
      <c r="AB70" s="1996"/>
      <c r="AC70" s="1996"/>
    </row>
    <row r="71" spans="1:29" s="1223" customFormat="1" ht="15.75" thickBot="1">
      <c r="A71" s="662"/>
      <c r="B71" s="651"/>
      <c r="C71" s="652">
        <v>100</v>
      </c>
      <c r="D71" s="653"/>
      <c r="E71" s="653"/>
      <c r="F71" s="653"/>
      <c r="G71" s="653"/>
      <c r="H71" s="653"/>
      <c r="I71" s="653"/>
      <c r="J71" s="653"/>
      <c r="K71" s="653"/>
      <c r="L71" s="653"/>
      <c r="M71" s="655"/>
      <c r="N71" s="2165"/>
      <c r="O71" s="2165"/>
      <c r="P71" s="2161"/>
      <c r="Q71" s="2161"/>
      <c r="R71" s="1996"/>
      <c r="S71" s="1996"/>
      <c r="T71" s="1996"/>
      <c r="U71" s="1996"/>
      <c r="V71" s="1996"/>
      <c r="W71" s="1996"/>
      <c r="X71" s="1996"/>
      <c r="Y71" s="1996"/>
      <c r="Z71" s="1996"/>
      <c r="AA71" s="1996"/>
      <c r="AB71" s="1996"/>
      <c r="AC71" s="1996"/>
    </row>
    <row r="72" spans="1:29">
      <c r="A72" s="667" t="s">
        <v>578</v>
      </c>
      <c r="B72" s="668" t="s">
        <v>535</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538</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2"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2"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2"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2"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2"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2"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540</v>
      </c>
      <c r="B85" s="668" t="s">
        <v>603</v>
      </c>
      <c r="C85" s="706" t="s">
        <v>580</v>
      </c>
      <c r="D85" s="706" t="s">
        <v>581</v>
      </c>
      <c r="E85" s="706" t="s">
        <v>582</v>
      </c>
      <c r="F85" s="706" t="s">
        <v>583</v>
      </c>
      <c r="G85" s="706" t="s">
        <v>584</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587</v>
      </c>
      <c r="C87" s="711" t="s">
        <v>580</v>
      </c>
      <c r="D87" s="711" t="s">
        <v>581</v>
      </c>
      <c r="E87" s="711" t="s">
        <v>582</v>
      </c>
      <c r="F87" s="711" t="s">
        <v>583</v>
      </c>
      <c r="G87" s="711" t="s">
        <v>584</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5"/>
      <c r="O89" s="2165"/>
      <c r="P89" s="2168"/>
      <c r="Q89" s="2161"/>
      <c r="R89" s="1996"/>
      <c r="S89" s="1996"/>
      <c r="T89" s="1996"/>
      <c r="U89" s="1996"/>
      <c r="V89" s="1996"/>
      <c r="W89" s="1996"/>
      <c r="X89" s="1996"/>
      <c r="Y89" s="1996"/>
      <c r="Z89" s="1996"/>
      <c r="AA89" s="1996"/>
      <c r="AB89" s="1996"/>
      <c r="AC89" s="1996"/>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6"/>
      <c r="S90" s="1996"/>
      <c r="T90" s="1996"/>
      <c r="U90" s="1996"/>
      <c r="V90" s="1996"/>
      <c r="W90" s="1996"/>
      <c r="X90" s="1996"/>
      <c r="Y90" s="1996"/>
      <c r="Z90" s="1996"/>
      <c r="AA90" s="1996"/>
      <c r="AB90" s="1996"/>
      <c r="AC90" s="1996"/>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5"/>
      <c r="O91" s="2165"/>
      <c r="P91" s="2168"/>
      <c r="Q91" s="2161"/>
      <c r="R91" s="1996"/>
      <c r="S91" s="1996"/>
      <c r="T91" s="1996"/>
      <c r="U91" s="1996"/>
      <c r="V91" s="1996"/>
      <c r="W91" s="1996"/>
      <c r="X91" s="1996"/>
      <c r="Y91" s="1996"/>
      <c r="Z91" s="1996"/>
      <c r="AA91" s="1996"/>
      <c r="AB91" s="1996"/>
      <c r="AC91" s="1996"/>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6"/>
      <c r="S92" s="1996"/>
      <c r="T92" s="1996"/>
      <c r="U92" s="1996"/>
      <c r="V92" s="1996"/>
      <c r="W92" s="1996"/>
      <c r="X92" s="1996"/>
      <c r="Y92" s="1996"/>
      <c r="Z92" s="1996"/>
      <c r="AA92" s="1996"/>
      <c r="AB92" s="1996"/>
      <c r="AC92" s="1996"/>
    </row>
    <row r="93" spans="1:29" s="1342" customFormat="1" ht="15.75" thickTop="1">
      <c r="A93" s="690"/>
      <c r="B93" s="1899" t="s">
        <v>2552</v>
      </c>
      <c r="C93" s="706" t="s">
        <v>580</v>
      </c>
      <c r="D93" s="706" t="s">
        <v>581</v>
      </c>
      <c r="E93" s="706" t="s">
        <v>582</v>
      </c>
      <c r="F93" s="706" t="s">
        <v>583</v>
      </c>
      <c r="G93" s="706" t="s">
        <v>584</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2" customFormat="1" ht="15.75" thickTop="1">
      <c r="A95" s="690"/>
      <c r="B95" s="2624" t="s">
        <v>2554</v>
      </c>
      <c r="C95" s="2625" t="s">
        <v>2555</v>
      </c>
      <c r="D95" s="2625" t="s">
        <v>2556</v>
      </c>
      <c r="E95" s="2625" t="s">
        <v>2557</v>
      </c>
      <c r="F95" s="2625" t="s">
        <v>2558</v>
      </c>
      <c r="G95" s="2625" t="s">
        <v>2559</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590</v>
      </c>
      <c r="D97" s="677" t="s">
        <v>591</v>
      </c>
      <c r="E97" s="677" t="s">
        <v>592</v>
      </c>
      <c r="F97" s="677" t="s">
        <v>593</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549</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550</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2"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2"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4" t="str">
        <f t="shared" si="25"/>
        <v>(含)-</v>
      </c>
      <c r="L109" s="3125" t="str">
        <f t="shared" si="25"/>
        <v>(含)-</v>
      </c>
      <c r="M109" s="3126"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595</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2" customFormat="1" ht="15" thickTop="1">
      <c r="A114" s="731"/>
      <c r="B114" s="1899" t="s">
        <v>2427</v>
      </c>
      <c r="C114" s="1379"/>
      <c r="D114" s="1379"/>
      <c r="E114" s="1379"/>
      <c r="F114" s="1379"/>
      <c r="G114" s="1379"/>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597</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2"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2"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2428</v>
      </c>
      <c r="D1" s="1525">
        <f>SUM(D29:D30,D33:D39)</f>
        <v>0</v>
      </c>
      <c r="E1" s="1410" t="s">
        <v>2429</v>
      </c>
      <c r="F1" s="2479"/>
      <c r="G1" s="1405"/>
      <c r="H1" s="1405"/>
      <c r="I1" s="1405"/>
      <c r="J1" s="1405"/>
      <c r="K1" s="1405"/>
      <c r="L1" s="1885" t="s">
        <v>2240</v>
      </c>
      <c r="M1" s="1886">
        <f>SUMPRODUCT((区片价!B5:B9=I2)*(区片价!C3:F3=E2)*(区片价!C5:F9))</f>
        <v>0</v>
      </c>
      <c r="N1" s="1887">
        <f>SUMPRODUCT((因素修正幅度!B5:B9=I2)*(因素修正幅度!C3:F3=E2)*(因素修正幅度!C5:F9))</f>
        <v>0</v>
      </c>
      <c r="O1" s="2192"/>
      <c r="P1" s="2192"/>
      <c r="Q1" s="2192"/>
      <c r="R1" s="2967" t="s">
        <v>2768</v>
      </c>
      <c r="S1" s="2967" t="s">
        <v>2769</v>
      </c>
      <c r="T1" s="2967" t="s">
        <v>2790</v>
      </c>
      <c r="U1" s="2967" t="s">
        <v>2791</v>
      </c>
      <c r="V1" s="2967" t="s">
        <v>2792</v>
      </c>
      <c r="W1" s="2192"/>
      <c r="X1" s="2192"/>
      <c r="Y1" s="2192"/>
      <c r="Z1" s="2192"/>
      <c r="AA1" s="2192"/>
      <c r="AB1" s="2192"/>
      <c r="AC1" s="2193"/>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88" t="s">
        <v>2241</v>
      </c>
      <c r="M2" s="1889">
        <f>SUMPRODUCT((区片价!B10:B28=I2)*(区片价!C3:F3=E2)*(区片价!C10:F28))</f>
        <v>0</v>
      </c>
      <c r="N2" s="1890">
        <f>SUMPRODUCT((因素修正幅度!B10:B28=I2)*(因素修正幅度!C3:F3=E2)*(因素修正幅度!C10:F28))</f>
        <v>0</v>
      </c>
      <c r="O2" s="2192"/>
      <c r="P2" s="2192"/>
      <c r="Q2" s="2192"/>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2"/>
      <c r="X2" s="2192"/>
      <c r="Y2" s="2192"/>
      <c r="Z2" s="2192"/>
      <c r="AA2" s="2192"/>
      <c r="AB2" s="2192"/>
      <c r="AC2" s="2193"/>
    </row>
    <row r="3" spans="1:39" ht="15.75">
      <c r="A3" s="1415" t="s">
        <v>1689</v>
      </c>
      <c r="B3" s="1041" t="e">
        <f>ROUND(B2*10000/D1,0)</f>
        <v>#DIV/0!</v>
      </c>
      <c r="C3" s="1411" t="s">
        <v>928</v>
      </c>
      <c r="D3" s="1412" t="s">
        <v>929</v>
      </c>
      <c r="E3" s="1416"/>
      <c r="F3" s="1417" t="s">
        <v>2940</v>
      </c>
      <c r="G3" s="1042">
        <f>IF(F3="宗地容积率",'数据-汇总表'!I4,IF(F3="估价对象容积率",'数据-汇总表'!I6,'数据-汇总表'!I7))</f>
        <v>1.5</v>
      </c>
      <c r="H3" s="1418" t="s">
        <v>930</v>
      </c>
      <c r="I3" s="1043">
        <v>8</v>
      </c>
      <c r="J3" s="1414" t="s">
        <v>931</v>
      </c>
      <c r="K3" s="1405"/>
      <c r="L3" s="1888" t="s">
        <v>2242</v>
      </c>
      <c r="M3" s="1889">
        <f>SUMPRODUCT((区片价!B29:B48=I2)*(区片价!C3:F3=E2)*(区片价!C29:F48))</f>
        <v>0</v>
      </c>
      <c r="N3" s="1890">
        <f>SUMPRODUCT((因素修正幅度!B29:B48=I2)*(因素修正幅度!C3:F3=E2)*(因素修正幅度!C29:F48))</f>
        <v>0</v>
      </c>
      <c r="O3" s="2192"/>
      <c r="P3" s="2192"/>
      <c r="Q3" s="2192"/>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2"/>
      <c r="X3" s="2192"/>
      <c r="Y3" s="2192"/>
      <c r="Z3" s="2192"/>
      <c r="AA3" s="2192"/>
      <c r="AB3" s="2192"/>
      <c r="AC3" s="2193"/>
    </row>
    <row r="4" spans="1:39" ht="28.5">
      <c r="A4" s="1894" t="s">
        <v>2282</v>
      </c>
      <c r="B4" s="2480" t="e">
        <f>ROUND(B2*10000/F1,0)</f>
        <v>#DIV/0!</v>
      </c>
      <c r="C4" s="1897" t="s">
        <v>2256</v>
      </c>
      <c r="D4" s="1897" t="e">
        <f>ROUND(B2/(F1/666.67),0)</f>
        <v>#DIV/0!</v>
      </c>
      <c r="E4" s="1897" t="s">
        <v>2257</v>
      </c>
      <c r="F4" s="1895"/>
      <c r="G4" s="1895"/>
      <c r="H4" s="1895"/>
      <c r="I4" s="1895"/>
      <c r="J4" s="1896"/>
      <c r="K4" s="1405"/>
      <c r="L4" s="1888" t="s">
        <v>2243</v>
      </c>
      <c r="M4" s="1889">
        <f>SUMPRODUCT((区片价!B49:B75=I2)*(区片价!C3:F3=E2)*(区片价!C49:F75))</f>
        <v>0</v>
      </c>
      <c r="N4" s="1890">
        <f>SUMPRODUCT((因素修正幅度!B49:B75=I2)*(因素修正幅度!C3:F3=E2)*(因素修正幅度!C49:F75))</f>
        <v>0</v>
      </c>
      <c r="O4" s="2192"/>
      <c r="P4" s="2192"/>
      <c r="Q4" s="2192"/>
      <c r="R4" s="2968">
        <v>3</v>
      </c>
      <c r="S4" s="2968">
        <f>ROUND(IF(G3&gt;1,IF(R4&lt;7,SUMPRODUCT((B93:B98=R4)*(C92:N92=G2)*(C93:N98)),SUMIF(C92:N92,G2,C100:N100)),IF(R4&lt;7,SUMPRODUCT((B102:B107=R4)*(C92:N92=G2)*(C102:N107)),SUMIF(C92:N92,G2,C109:N109))),4)</f>
        <v>0</v>
      </c>
      <c r="T4" s="2968" t="e">
        <f t="shared" si="0"/>
        <v>#DIV/0!</v>
      </c>
      <c r="U4" s="2957"/>
      <c r="V4" s="2968" t="e">
        <f t="shared" si="1"/>
        <v>#DIV/0!</v>
      </c>
      <c r="W4" s="2192"/>
      <c r="X4" s="2192"/>
      <c r="Y4" s="2192"/>
      <c r="Z4" s="2192"/>
      <c r="AA4" s="2192"/>
      <c r="AB4" s="2192"/>
      <c r="AC4" s="2193"/>
    </row>
    <row r="5" spans="1:39" s="1425" customFormat="1" ht="15.75" thickBot="1">
      <c r="A5" s="1642" t="s">
        <v>1825</v>
      </c>
      <c r="B5" s="1419" t="s">
        <v>932</v>
      </c>
      <c r="C5" s="1044" t="e">
        <f>ROUND(IF(E2="商业",IF(F16="增加",C6*C7+C16,C6*C7-C16),IF(E2="住宅",IF(F16="增加",C6*C12+C16,C6*C12-C16),IF(F16="增加",C6+C16,C6-C16))),0)</f>
        <v>#DIV/0!</v>
      </c>
      <c r="D5" s="3156">
        <f>ROUND(IF(E2="商业",IF(F16="增加",C6+C16,C6-C16)),0)</f>
        <v>0</v>
      </c>
      <c r="E5" s="1420"/>
      <c r="F5" s="1420"/>
      <c r="G5" s="1421"/>
      <c r="H5" s="1421"/>
      <c r="I5" s="1421"/>
      <c r="J5" s="1422"/>
      <c r="K5" s="1598"/>
      <c r="L5" s="1888" t="s">
        <v>2244</v>
      </c>
      <c r="M5" s="1889">
        <f>SUMPRODUCT((区片价!B76:B109=I2)*(区片价!C3:F3=E2)*(区片价!C76:F109))</f>
        <v>0</v>
      </c>
      <c r="N5" s="1890">
        <f>SUMPRODUCT((因素修正幅度!B76:B109=I2)*(因素修正幅度!C3:F3=E2)*(因素修正幅度!C76:F109))</f>
        <v>0</v>
      </c>
      <c r="O5" s="2192"/>
      <c r="P5" s="2192"/>
      <c r="Q5" s="2192"/>
      <c r="R5" s="2968">
        <v>4</v>
      </c>
      <c r="S5" s="2968">
        <f>ROUND(IF(G3&gt;1,IF(R5&lt;7,SUMPRODUCT((B93:B98=R5)*(C92:N92=G2)*(C93:N98)),SUMIF(C92:N92,G2,C100:N100)),IF(R5&lt;7,SUMPRODUCT((B102:B107=R5)*(C92:N92=G2)*(C102:N107)),SUMIF(C92:N92,G2,C109:N109))),4)</f>
        <v>0</v>
      </c>
      <c r="T5" s="2968" t="e">
        <f t="shared" si="0"/>
        <v>#DIV/0!</v>
      </c>
      <c r="U5" s="2957"/>
      <c r="V5" s="2968" t="e">
        <f t="shared" si="1"/>
        <v>#DIV/0!</v>
      </c>
      <c r="W5" s="2192"/>
      <c r="X5" s="2192"/>
      <c r="Y5" s="2192"/>
      <c r="Z5" s="2192"/>
      <c r="AA5" s="2192"/>
      <c r="AB5" s="2192"/>
      <c r="AC5" s="2194"/>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88" t="s">
        <v>2245</v>
      </c>
      <c r="M6" s="1889">
        <f>SUMPRODUCT((区片价!B110:B157=I2)*(区片价!C3:F3=E2)*(区片价!C110:F157))</f>
        <v>0</v>
      </c>
      <c r="N6" s="1890">
        <f>SUMPRODUCT((因素修正幅度!B110:B157=I2)*(因素修正幅度!C3:F3=E2)*(因素修正幅度!C110:F157))</f>
        <v>0</v>
      </c>
      <c r="O6" s="2192"/>
      <c r="P6" s="2192"/>
      <c r="Q6" s="2192"/>
      <c r="R6" s="2968">
        <v>5</v>
      </c>
      <c r="S6" s="2968">
        <f>ROUND(IF(G3&gt;1,IF(R6&lt;7,SUMPRODUCT((B93:B98=R6)*(C92:N92=G2)*(C93:N98)),SUMIF(C92:N92,G2,C100:N100)),IF(R6&lt;7,SUMPRODUCT((B102:B107=R6)*(C92:N92=G2)*(C102:N107)),SUMIF(C92:N92,G2,C109:N109))),4)</f>
        <v>0</v>
      </c>
      <c r="T6" s="2968" t="e">
        <f t="shared" si="0"/>
        <v>#DIV/0!</v>
      </c>
      <c r="U6" s="2957"/>
      <c r="V6" s="2968" t="e">
        <f t="shared" si="1"/>
        <v>#DIV/0!</v>
      </c>
      <c r="W6" s="2192"/>
      <c r="X6" s="2192"/>
      <c r="Y6" s="2192"/>
      <c r="Z6" s="2192"/>
      <c r="AA6" s="2192"/>
      <c r="AB6" s="2192"/>
      <c r="AC6" s="2194"/>
      <c r="AD6" s="1423"/>
      <c r="AE6" s="1423"/>
      <c r="AF6" s="1423"/>
      <c r="AG6" s="1423"/>
      <c r="AH6" s="1423"/>
      <c r="AI6" s="1423"/>
      <c r="AJ6" s="1424"/>
    </row>
    <row r="7" spans="1:39" ht="24">
      <c r="A7" s="3421" t="str">
        <f>IF(E2="商业",IF(C8="不临58条商业街","",2),"")</f>
        <v/>
      </c>
      <c r="B7" s="1431" t="s">
        <v>933</v>
      </c>
      <c r="C7" s="1046" t="e">
        <f>IF(C8="不临58条商业街",1,ROUND(1+(1.6*E8+1.2*E9+0.8*E10+0.4*E11)*C9,4))</f>
        <v>#DIV/0!</v>
      </c>
      <c r="D7" s="1432" t="s">
        <v>934</v>
      </c>
      <c r="E7" s="1047"/>
      <c r="F7" s="1433"/>
      <c r="G7" s="1434"/>
      <c r="H7" s="1434"/>
      <c r="I7" s="1434"/>
      <c r="J7" s="1435"/>
      <c r="K7" s="1599"/>
      <c r="L7" s="1888" t="s">
        <v>2246</v>
      </c>
      <c r="M7" s="1889">
        <f>SUMPRODUCT((区片价!B158:B205=I2)*(区片价!C3:F3=E2)*(区片价!C158:F205))</f>
        <v>0</v>
      </c>
      <c r="N7" s="1890">
        <f>SUMPRODUCT((因素修正幅度!B158:B205=I2)*(因素修正幅度!C3:F3=E2)*(因素修正幅度!C158:F205))</f>
        <v>0</v>
      </c>
      <c r="O7" s="2192"/>
      <c r="P7" s="2192"/>
      <c r="Q7" s="2192"/>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2771</v>
      </c>
      <c r="X7" s="2958">
        <f>G2</f>
        <v>0</v>
      </c>
      <c r="Y7" s="2958" t="s">
        <v>2772</v>
      </c>
      <c r="Z7" s="2959">
        <f>G3</f>
        <v>1.5</v>
      </c>
      <c r="AA7" s="2195"/>
      <c r="AB7" s="2195"/>
      <c r="AC7" s="2196"/>
      <c r="AD7" s="2960"/>
      <c r="AE7" s="2960"/>
      <c r="AF7" s="2960"/>
      <c r="AG7" s="2960"/>
      <c r="AH7" s="2960"/>
      <c r="AI7" s="2960"/>
      <c r="AJ7" s="2961"/>
    </row>
    <row r="8" spans="1:39" ht="15">
      <c r="A8" s="3422"/>
      <c r="B8" s="1418" t="s">
        <v>935</v>
      </c>
      <c r="C8" s="1533"/>
      <c r="D8" s="1048" t="s">
        <v>936</v>
      </c>
      <c r="E8" s="1049" t="e">
        <f>ROUND(C11/E7,4)</f>
        <v>#DIV/0!</v>
      </c>
      <c r="F8" s="1436" t="s">
        <v>937</v>
      </c>
      <c r="G8" s="1437"/>
      <c r="H8" s="1437"/>
      <c r="I8" s="1437"/>
      <c r="J8" s="1438"/>
      <c r="K8" s="1405"/>
      <c r="L8" s="1888" t="s">
        <v>2247</v>
      </c>
      <c r="M8" s="1889">
        <f>SUMPRODUCT((区片价!B206:B244=I2)*(区片价!C3:F3=E2)*(区片价!C206:F244))</f>
        <v>0</v>
      </c>
      <c r="N8" s="1890">
        <f>SUMPRODUCT((因素修正幅度!B206:B244=I2)*(因素修正幅度!C3:F3=E2)*(因素修正幅度!C206:F244))</f>
        <v>0</v>
      </c>
      <c r="O8" s="2192"/>
      <c r="P8" s="2192"/>
      <c r="Q8" s="2192"/>
      <c r="R8" s="2968">
        <v>7</v>
      </c>
      <c r="S8" s="2957"/>
      <c r="T8" s="2968" t="e">
        <f t="shared" si="0"/>
        <v>#DIV/0!</v>
      </c>
      <c r="U8" s="2957"/>
      <c r="V8" s="2968" t="e">
        <f t="shared" si="1"/>
        <v>#DIV/0!</v>
      </c>
      <c r="W8" s="3413" t="s">
        <v>2789</v>
      </c>
      <c r="X8" s="3414"/>
      <c r="Y8" s="1852" t="s">
        <v>2773</v>
      </c>
      <c r="Z8" s="1852" t="s">
        <v>2774</v>
      </c>
      <c r="AA8" s="1852" t="s">
        <v>2775</v>
      </c>
      <c r="AB8" s="1852" t="s">
        <v>2776</v>
      </c>
      <c r="AC8" s="1852" t="s">
        <v>2777</v>
      </c>
      <c r="AD8" s="1852" t="s">
        <v>2778</v>
      </c>
      <c r="AE8" s="1852" t="s">
        <v>2779</v>
      </c>
      <c r="AF8" s="1852" t="s">
        <v>2780</v>
      </c>
      <c r="AG8" s="1852" t="s">
        <v>2781</v>
      </c>
      <c r="AH8" s="1852" t="s">
        <v>2782</v>
      </c>
      <c r="AI8" s="1852" t="s">
        <v>2783</v>
      </c>
      <c r="AJ8" s="1852" t="s">
        <v>2784</v>
      </c>
    </row>
    <row r="9" spans="1:39" ht="15">
      <c r="A9" s="3422"/>
      <c r="B9" s="1418" t="s">
        <v>938</v>
      </c>
      <c r="C9" s="1050">
        <f>SUMIF(修正!C59:C119,C8,修正!E59:E119)</f>
        <v>0</v>
      </c>
      <c r="D9" s="1051" t="s">
        <v>939</v>
      </c>
      <c r="E9" s="1051" t="e">
        <f>ROUND(C11/E7,4)</f>
        <v>#DIV/0!</v>
      </c>
      <c r="F9" s="1436" t="s">
        <v>940</v>
      </c>
      <c r="G9" s="1437"/>
      <c r="H9" s="1437"/>
      <c r="I9" s="1437"/>
      <c r="J9" s="1438"/>
      <c r="K9" s="1405"/>
      <c r="L9" s="1888" t="s">
        <v>2248</v>
      </c>
      <c r="M9" s="1889">
        <f>SUMPRODUCT((区片价!B245:B289=I2)*(区片价!C3:F3=E2)*(区片价!C245:F289))</f>
        <v>0</v>
      </c>
      <c r="N9" s="1890">
        <f>SUMPRODUCT((因素修正幅度!B245:B289=I2)*(因素修正幅度!C3:F3=E2)*(因素修正幅度!C245:F289))</f>
        <v>0</v>
      </c>
      <c r="O9" s="2192"/>
      <c r="P9" s="2192"/>
      <c r="Q9" s="2192"/>
      <c r="R9" s="2968">
        <v>8</v>
      </c>
      <c r="S9" s="2957"/>
      <c r="T9" s="2968" t="e">
        <f t="shared" si="0"/>
        <v>#DIV/0!</v>
      </c>
      <c r="U9" s="2957"/>
      <c r="V9" s="2968" t="e">
        <f t="shared" si="1"/>
        <v>#DIV/0!</v>
      </c>
      <c r="W9" s="3412" t="s">
        <v>2785</v>
      </c>
      <c r="X9" s="2962" t="s">
        <v>2786</v>
      </c>
      <c r="Y9" s="3130"/>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22"/>
      <c r="B10" s="1418" t="s">
        <v>941</v>
      </c>
      <c r="C10" s="1051">
        <f>SUMIF(修正!C59:C119,C8,修正!F59:F119)</f>
        <v>0</v>
      </c>
      <c r="D10" s="1051" t="s">
        <v>942</v>
      </c>
      <c r="E10" s="1051" t="e">
        <f>ROUND(C11/E7,4)</f>
        <v>#DIV/0!</v>
      </c>
      <c r="F10" s="1436" t="s">
        <v>943</v>
      </c>
      <c r="G10" s="1437"/>
      <c r="H10" s="1437"/>
      <c r="I10" s="1437"/>
      <c r="J10" s="1438"/>
      <c r="K10" s="1405"/>
      <c r="L10" s="1888" t="s">
        <v>2249</v>
      </c>
      <c r="M10" s="1889">
        <f>SUMPRODUCT((区片价!B290:B316=I2)*(区片价!C3:F3=E2)*(区片价!C290:F316))</f>
        <v>0</v>
      </c>
      <c r="N10" s="1890">
        <f>SUMPRODUCT((因素修正幅度!B290:B316=I2)*(因素修正幅度!C3:F3=E2)*(因素修正幅度!C290:F316))</f>
        <v>0</v>
      </c>
      <c r="O10" s="2192"/>
      <c r="P10" s="2192"/>
      <c r="Q10" s="2192"/>
      <c r="R10" s="2968">
        <v>9</v>
      </c>
      <c r="S10" s="2957"/>
      <c r="T10" s="2968" t="e">
        <f t="shared" si="0"/>
        <v>#DIV/0!</v>
      </c>
      <c r="U10" s="2957"/>
      <c r="V10" s="2968" t="e">
        <f t="shared" si="1"/>
        <v>#DIV/0!</v>
      </c>
      <c r="W10" s="3412"/>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22"/>
      <c r="B11" s="1439" t="s">
        <v>944</v>
      </c>
      <c r="C11" s="1052">
        <f>C10/4</f>
        <v>0</v>
      </c>
      <c r="D11" s="1052" t="s">
        <v>945</v>
      </c>
      <c r="E11" s="1052" t="e">
        <f>ROUND(C11/E7,4)</f>
        <v>#DIV/0!</v>
      </c>
      <c r="F11" s="1440" t="s">
        <v>946</v>
      </c>
      <c r="G11" s="1441"/>
      <c r="H11" s="1441"/>
      <c r="I11" s="1441"/>
      <c r="J11" s="1442"/>
      <c r="K11" s="1405"/>
      <c r="L11" s="1888" t="s">
        <v>2250</v>
      </c>
      <c r="M11" s="1889">
        <f>SUMPRODUCT((区片价!B317:B337=I2)*(区片价!C3:F3=E2)*(区片价!C317:F337))</f>
        <v>0</v>
      </c>
      <c r="N11" s="1890">
        <f>SUMPRODUCT((因素修正幅度!B317:B337=I2)*(因素修正幅度!C3:F3=E2)*(因素修正幅度!C317:F337))</f>
        <v>0</v>
      </c>
      <c r="O11" s="2192"/>
      <c r="P11" s="2192"/>
      <c r="Q11" s="2192"/>
      <c r="R11" s="2968">
        <v>10</v>
      </c>
      <c r="S11" s="2957"/>
      <c r="T11" s="2968" t="e">
        <f t="shared" si="0"/>
        <v>#DIV/0!</v>
      </c>
      <c r="U11" s="2957"/>
      <c r="V11" s="2968" t="e">
        <f t="shared" si="1"/>
        <v>#DIV/0!</v>
      </c>
      <c r="W11" s="3412" t="s">
        <v>2787</v>
      </c>
      <c r="X11" s="1051" t="s">
        <v>2772</v>
      </c>
      <c r="Y11" s="1657">
        <f>$G$3</f>
        <v>1.5</v>
      </c>
      <c r="Z11" s="1657">
        <f t="shared" ref="Z11:AJ11" si="3">$G$3</f>
        <v>1.5</v>
      </c>
      <c r="AA11" s="1657">
        <f t="shared" si="3"/>
        <v>1.5</v>
      </c>
      <c r="AB11" s="1657">
        <f t="shared" si="3"/>
        <v>1.5</v>
      </c>
      <c r="AC11" s="1657">
        <f t="shared" si="3"/>
        <v>1.5</v>
      </c>
      <c r="AD11" s="1657">
        <f t="shared" si="3"/>
        <v>1.5</v>
      </c>
      <c r="AE11" s="1657">
        <f t="shared" si="3"/>
        <v>1.5</v>
      </c>
      <c r="AF11" s="1657">
        <f t="shared" si="3"/>
        <v>1.5</v>
      </c>
      <c r="AG11" s="1657">
        <f t="shared" si="3"/>
        <v>1.5</v>
      </c>
      <c r="AH11" s="1657">
        <f t="shared" si="3"/>
        <v>1.5</v>
      </c>
      <c r="AI11" s="1657">
        <f t="shared" si="3"/>
        <v>1.5</v>
      </c>
      <c r="AJ11" s="1657">
        <f t="shared" si="3"/>
        <v>1.5</v>
      </c>
    </row>
    <row r="12" spans="1:39" ht="25.5" thickBot="1">
      <c r="A12" s="3421" t="s">
        <v>1873</v>
      </c>
      <c r="B12" s="1443" t="s">
        <v>947</v>
      </c>
      <c r="C12" s="1046">
        <f>ROUND(C15*D15*E15*F15*G15*H15*I15*J15,4)</f>
        <v>1</v>
      </c>
      <c r="D12" s="1444" t="s">
        <v>948</v>
      </c>
      <c r="E12" s="1445"/>
      <c r="F12" s="1445"/>
      <c r="G12" s="1446"/>
      <c r="H12" s="1446"/>
      <c r="I12" s="1446"/>
      <c r="J12" s="1447"/>
      <c r="K12" s="1405"/>
      <c r="L12" s="1891" t="s">
        <v>2251</v>
      </c>
      <c r="M12" s="1892">
        <f>SUMPRODUCT((区片价!B338:B344=I2)*(区片价!C3:F3=E2)*(区片价!C338:F344))</f>
        <v>0</v>
      </c>
      <c r="N12" s="1893">
        <f>SUMPRODUCT((因素修正幅度!B338:B344=I2)*(因素修正幅度!C3:F3=E2)*(因素修正幅度!C338:F344))</f>
        <v>0</v>
      </c>
      <c r="O12" s="2192"/>
      <c r="P12" s="2192"/>
      <c r="Q12" s="2192"/>
      <c r="R12" s="2968">
        <v>11</v>
      </c>
      <c r="S12" s="2957"/>
      <c r="T12" s="2968" t="e">
        <f t="shared" si="0"/>
        <v>#DIV/0!</v>
      </c>
      <c r="U12" s="2957"/>
      <c r="V12" s="2968" t="e">
        <f t="shared" si="1"/>
        <v>#DIV/0!</v>
      </c>
      <c r="W12" s="3412"/>
      <c r="X12" s="2965" t="s">
        <v>2788</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23"/>
      <c r="B13" s="1448" t="s">
        <v>1698</v>
      </c>
      <c r="C13" s="1449" t="s">
        <v>1699</v>
      </c>
      <c r="D13" s="1092" t="s">
        <v>1700</v>
      </c>
      <c r="E13" s="1092" t="s">
        <v>1701</v>
      </c>
      <c r="F13" s="1450" t="s">
        <v>949</v>
      </c>
      <c r="G13" s="1451" t="s">
        <v>1644</v>
      </c>
      <c r="H13" s="1452" t="s">
        <v>1644</v>
      </c>
      <c r="I13" s="1453" t="s">
        <v>1644</v>
      </c>
      <c r="J13" s="1454" t="s">
        <v>1644</v>
      </c>
      <c r="K13" s="1405"/>
      <c r="L13" s="2192"/>
      <c r="M13" s="2192"/>
      <c r="N13" s="2192"/>
      <c r="O13" s="2192"/>
      <c r="P13" s="2192"/>
      <c r="Q13" s="2192"/>
      <c r="R13" s="2968">
        <v>12</v>
      </c>
      <c r="S13" s="2957"/>
      <c r="T13" s="2968" t="e">
        <f t="shared" si="0"/>
        <v>#DIV/0!</v>
      </c>
      <c r="U13" s="2957"/>
      <c r="V13" s="2968" t="e">
        <f t="shared" si="1"/>
        <v>#DIV/0!</v>
      </c>
      <c r="W13" s="3412"/>
      <c r="X13" s="2965"/>
      <c r="Y13" s="2964">
        <f>(-0.163*(Y12^2)-0.59*Y12+7617)*(10^(-4))/Y11</f>
        <v>0.50780000000000003</v>
      </c>
      <c r="Z13" s="2964">
        <f t="shared" ref="Z13:AJ13" si="5">(-0.163*(Z12^2)-0.59*Z12+7617)*(10^(-4))/Z11</f>
        <v>0.50780000000000003</v>
      </c>
      <c r="AA13" s="2964">
        <f t="shared" si="5"/>
        <v>0.50780000000000003</v>
      </c>
      <c r="AB13" s="2964">
        <f t="shared" si="5"/>
        <v>0.50780000000000003</v>
      </c>
      <c r="AC13" s="2964">
        <f t="shared" si="5"/>
        <v>0.50780000000000003</v>
      </c>
      <c r="AD13" s="2964">
        <f t="shared" si="5"/>
        <v>0.50780000000000003</v>
      </c>
      <c r="AE13" s="2964">
        <f t="shared" si="5"/>
        <v>0.50780000000000003</v>
      </c>
      <c r="AF13" s="2964">
        <f t="shared" si="5"/>
        <v>0.50780000000000003</v>
      </c>
      <c r="AG13" s="2964">
        <f t="shared" si="5"/>
        <v>0.50780000000000003</v>
      </c>
      <c r="AH13" s="2964">
        <f t="shared" si="5"/>
        <v>0.50780000000000003</v>
      </c>
      <c r="AI13" s="2964">
        <f t="shared" si="5"/>
        <v>0.50780000000000003</v>
      </c>
      <c r="AJ13" s="2964">
        <f t="shared" si="5"/>
        <v>0.50780000000000003</v>
      </c>
    </row>
    <row r="14" spans="1:39" ht="12.75" customHeight="1" thickBot="1">
      <c r="A14" s="3423"/>
      <c r="B14" s="1455"/>
      <c r="C14" s="1456"/>
      <c r="D14" s="1457"/>
      <c r="E14" s="1457"/>
      <c r="F14" s="1458"/>
      <c r="G14" s="1459" t="s">
        <v>950</v>
      </c>
      <c r="H14" s="1460"/>
      <c r="I14" s="1461"/>
      <c r="J14" s="1462"/>
      <c r="K14" s="1405"/>
      <c r="L14" s="2192"/>
      <c r="M14" s="2192"/>
      <c r="N14" s="2192"/>
      <c r="O14" s="2192"/>
      <c r="P14" s="2192"/>
      <c r="Q14" s="2192"/>
      <c r="R14" s="2968">
        <v>13</v>
      </c>
      <c r="S14" s="2957"/>
      <c r="T14" s="2968" t="e">
        <f t="shared" si="0"/>
        <v>#DIV/0!</v>
      </c>
      <c r="U14" s="2957"/>
      <c r="V14" s="2968" t="e">
        <f t="shared" si="1"/>
        <v>#DIV/0!</v>
      </c>
      <c r="W14" s="2192"/>
      <c r="X14" s="2192"/>
      <c r="Y14" s="2192"/>
      <c r="Z14" s="2192"/>
      <c r="AA14" s="2192"/>
      <c r="AB14" s="2192"/>
      <c r="AC14" s="2193"/>
    </row>
    <row r="15" spans="1:39" ht="13.5" customHeight="1" thickBot="1">
      <c r="A15" s="3424"/>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2"/>
      <c r="R15" s="2968">
        <v>14</v>
      </c>
      <c r="S15" s="2957"/>
      <c r="T15" s="2968" t="e">
        <f t="shared" si="0"/>
        <v>#DIV/0!</v>
      </c>
      <c r="U15" s="2957"/>
      <c r="V15" s="2968" t="e">
        <f t="shared" si="1"/>
        <v>#DIV/0!</v>
      </c>
      <c r="W15" s="2192"/>
      <c r="X15" s="2192"/>
      <c r="Y15" s="2192"/>
      <c r="Z15" s="2192"/>
      <c r="AA15" s="2192"/>
      <c r="AB15" s="2192"/>
      <c r="AC15" s="2193"/>
    </row>
    <row r="16" spans="1:39" ht="24">
      <c r="A16" s="3421"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5"/>
      <c r="R16" s="2968">
        <v>15</v>
      </c>
      <c r="S16" s="2957"/>
      <c r="T16" s="2968" t="e">
        <f t="shared" si="0"/>
        <v>#DIV/0!</v>
      </c>
      <c r="U16" s="2957"/>
      <c r="V16" s="2968" t="e">
        <f t="shared" si="1"/>
        <v>#DIV/0!</v>
      </c>
      <c r="W16" s="2195"/>
      <c r="X16" s="2195"/>
      <c r="Y16" s="2195"/>
      <c r="Z16" s="2195"/>
      <c r="AA16" s="2195"/>
      <c r="AB16" s="2195"/>
      <c r="AC16" s="2196"/>
    </row>
    <row r="17" spans="1:40" ht="13.5" thickBot="1">
      <c r="A17" s="3422"/>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5"/>
      <c r="R17" s="2196"/>
      <c r="S17" s="2196"/>
      <c r="T17" s="2196"/>
      <c r="U17" s="2196"/>
      <c r="V17" s="2196"/>
      <c r="W17" s="2195"/>
      <c r="X17" s="2195"/>
      <c r="Y17" s="2195"/>
      <c r="Z17" s="2195"/>
      <c r="AA17" s="2195"/>
      <c r="AB17" s="2195"/>
      <c r="AC17" s="2196"/>
      <c r="AH17" s="1406"/>
      <c r="AI17" s="1406"/>
      <c r="AJ17" s="1409"/>
      <c r="AK17" s="1409"/>
      <c r="AL17" s="1409"/>
      <c r="AM17" s="1409"/>
    </row>
    <row r="18" spans="1:40" s="1425" customFormat="1" ht="15.75" thickBot="1">
      <c r="A18" s="1645" t="s">
        <v>1831</v>
      </c>
      <c r="B18" s="2803" t="s">
        <v>957</v>
      </c>
      <c r="C18" s="2804">
        <f>SUMIF(修正!C18:C39,E3,修正!E18:E39)</f>
        <v>0</v>
      </c>
      <c r="D18" s="2805"/>
      <c r="E18" s="2806"/>
      <c r="F18" s="2807"/>
      <c r="G18" s="2801"/>
      <c r="H18" s="2801"/>
      <c r="I18" s="2801"/>
      <c r="J18" s="2808"/>
      <c r="K18" s="1485"/>
      <c r="L18" s="1485"/>
      <c r="M18" s="1485"/>
      <c r="N18" s="1485"/>
      <c r="O18" s="1601"/>
      <c r="P18" s="1601"/>
      <c r="Q18" s="2197"/>
      <c r="R18" s="2197"/>
      <c r="S18" s="2197"/>
      <c r="T18" s="2197"/>
      <c r="U18" s="2197"/>
      <c r="V18" s="2197"/>
      <c r="W18" s="2196"/>
      <c r="X18" s="2196"/>
      <c r="Y18" s="2196"/>
      <c r="Z18" s="2196"/>
      <c r="AA18" s="2195"/>
      <c r="AB18" s="2195"/>
      <c r="AC18" s="2198"/>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ROUND(IF(H19="按公示增长率计算",SUMPRODUCT((地价!A3:A19=YEAR(G19)&amp;"-"&amp;ROUNDUP(MONTH(G19)/3,0))*(地价!X2:AB2=E2)*(地价!X3:AB19)),IF(H19="地价指数",M20/M19,(1+I19)^O19)),4)</f>
        <v>#DIV/0!</v>
      </c>
      <c r="D19" s="1478" t="s">
        <v>959</v>
      </c>
      <c r="E19" s="1061">
        <v>41640</v>
      </c>
      <c r="F19" s="1478" t="s">
        <v>960</v>
      </c>
      <c r="G19" s="1062">
        <f>'数据-取费表'!B2</f>
        <v>43018</v>
      </c>
      <c r="H19" s="1479" t="s">
        <v>2941</v>
      </c>
      <c r="I19" s="2815" t="str">
        <f>IF(H19="季度增幅（自定义）",SUMIF(N21:N24,E2,O21:O24),"")</f>
        <v/>
      </c>
      <c r="J19" s="1475"/>
      <c r="K19" s="1485"/>
      <c r="L19" s="3071" t="s">
        <v>2847</v>
      </c>
      <c r="M19" s="3072">
        <f>ROUND(SUMIF(地价!B2:F2,E2,地价!B19:F19),0)</f>
        <v>0</v>
      </c>
      <c r="N19" s="2817" t="s">
        <v>1678</v>
      </c>
      <c r="O19" s="2816">
        <f>ROUNDDOWN(DATEDIF(E19,G19,"M")/3,0)</f>
        <v>15</v>
      </c>
      <c r="P19" s="1600"/>
      <c r="R19" s="2956"/>
      <c r="S19" s="2956"/>
      <c r="T19" s="2956"/>
      <c r="U19" s="2956"/>
      <c r="V19" s="2956"/>
      <c r="W19" s="2198"/>
      <c r="X19" s="2198"/>
      <c r="Y19" s="2198"/>
      <c r="Z19" s="2198"/>
      <c r="AA19" s="2198"/>
      <c r="AB19" s="2198"/>
      <c r="AC19" s="2198"/>
      <c r="AD19" s="1407"/>
      <c r="AE19" s="1407"/>
      <c r="AF19" s="1407"/>
      <c r="AG19" s="1407"/>
      <c r="AH19" s="1476"/>
      <c r="AI19" s="1477"/>
      <c r="AJ19" s="1481"/>
      <c r="AK19" s="1408"/>
      <c r="AL19" s="1424"/>
      <c r="AM19" s="1424"/>
      <c r="AN19" s="1424"/>
    </row>
    <row r="20" spans="1:40" s="1425" customFormat="1" ht="27.75" thickBot="1">
      <c r="A20" s="2809" t="s">
        <v>1838</v>
      </c>
      <c r="B20" s="2810" t="s">
        <v>973</v>
      </c>
      <c r="C20" s="2811" t="e">
        <f>ROUND(POWER(1+G20,J20-I20)*(POWER(1+G20,I20)-1)/(POWER(1+G20,J20)-1),4)</f>
        <v>#DIV/0!</v>
      </c>
      <c r="D20" s="2812" t="s">
        <v>974</v>
      </c>
      <c r="E20" s="3127">
        <f ca="1">存贷款利率!I4/100</f>
        <v>4.3499999999999997E-2</v>
      </c>
      <c r="F20" s="2812" t="s">
        <v>975</v>
      </c>
      <c r="G20" s="2813">
        <f>SUMIF(M15:P15,E2,M17:P17)</f>
        <v>0</v>
      </c>
      <c r="H20" s="2812" t="s">
        <v>976</v>
      </c>
      <c r="I20" s="2802" t="e">
        <f>SUMIF('数据-取费表'!C6:C15,E2,'数据-取费表'!F6:F15)/COUNTIF('数据-取费表'!C6:C15,E2)</f>
        <v>#DIV/0!</v>
      </c>
      <c r="J20" s="2814">
        <f>IF(E2="住宅",70,IF(E2="商业",40,50))</f>
        <v>50</v>
      </c>
      <c r="K20" s="1485"/>
      <c r="L20" s="3073" t="s">
        <v>2848</v>
      </c>
      <c r="M20" s="3074">
        <f>ROUND(SUMPRODUCT((地价!A4:A19=YEAR(G19)&amp;"-"&amp;ROUNDUP(MONTH(G19)/3,0))*(地价!B2:F2=E2)*(地价!B4:F19)),0)</f>
        <v>0</v>
      </c>
      <c r="N20" s="2820" t="s">
        <v>2652</v>
      </c>
      <c r="O20" s="2818" t="s">
        <v>2651</v>
      </c>
      <c r="P20" s="2819" t="s">
        <v>2656</v>
      </c>
      <c r="R20" s="2956"/>
      <c r="S20" s="2956"/>
      <c r="T20" s="2956"/>
      <c r="U20" s="2956"/>
      <c r="V20" s="2956"/>
      <c r="W20" s="2198"/>
      <c r="X20" s="2198"/>
      <c r="Y20" s="2198"/>
      <c r="Z20" s="2198"/>
      <c r="AA20" s="2198"/>
      <c r="AB20" s="2198"/>
      <c r="AC20" s="2198"/>
      <c r="AD20" s="1476"/>
      <c r="AE20" s="1476"/>
      <c r="AF20" s="1476"/>
      <c r="AG20" s="1476"/>
      <c r="AH20" s="1476"/>
      <c r="AI20" s="1476"/>
    </row>
    <row r="21" spans="1:40" s="1425" customFormat="1" ht="14.25">
      <c r="A21" s="1646" t="s">
        <v>1839</v>
      </c>
      <c r="B21" s="1484" t="s">
        <v>2767</v>
      </c>
      <c r="C21" s="1161">
        <f>IF(B21="容积率修正",IF(G3&lt;=10,D22,J22),C23)</f>
        <v>0</v>
      </c>
      <c r="D21" s="1485"/>
      <c r="E21" s="1485"/>
      <c r="F21" s="1485"/>
      <c r="G21" s="1485"/>
      <c r="H21" s="1485"/>
      <c r="I21" s="1485"/>
      <c r="J21" s="1486"/>
      <c r="K21" s="1485"/>
      <c r="L21" s="1485"/>
      <c r="M21" s="1485"/>
      <c r="N21" s="1482" t="s">
        <v>977</v>
      </c>
      <c r="O21" s="1546"/>
      <c r="P21" s="2800">
        <f>SUMPRODUCT((地价!A3:A19=YEAR(G19)&amp;"-"&amp;ROUNDUP(MONTH(G19)/3,0))*(地价!AD2:AH2=N21)*(地价!AD3:AH19))</f>
        <v>1.6E-2</v>
      </c>
      <c r="R21" s="2956"/>
      <c r="S21" s="2956"/>
      <c r="T21" s="2956"/>
      <c r="U21" s="2956"/>
      <c r="V21" s="2956"/>
      <c r="W21" s="2198"/>
      <c r="X21" s="2198"/>
      <c r="Y21" s="2198"/>
      <c r="Z21" s="2198"/>
      <c r="AA21" s="2198"/>
      <c r="AB21" s="2198"/>
      <c r="AC21" s="2198"/>
      <c r="AD21" s="1407"/>
      <c r="AE21" s="1407"/>
      <c r="AF21" s="1407"/>
      <c r="AG21" s="1407"/>
      <c r="AH21" s="1476"/>
      <c r="AI21" s="1476"/>
    </row>
    <row r="22" spans="1:40" s="1425" customFormat="1" ht="14.25">
      <c r="A22" s="1647" t="s">
        <v>1872</v>
      </c>
      <c r="B22" s="1487" t="s">
        <v>978</v>
      </c>
      <c r="C22" s="1063" t="s">
        <v>1704</v>
      </c>
      <c r="D22" s="1063" t="b">
        <f>IF(E22=G22,F22,IF(G3&lt;=10,ROUND(F22+(H22-F22)*(G3-E22)/(G22-E22),4),"——"))</f>
        <v>0</v>
      </c>
      <c r="E22" s="1042">
        <f>ROUNDDOWN(G3,1)</f>
        <v>1.5</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800">
        <f>SUMPRODUCT((地价!A3:A19=YEAR(G19)&amp;"-"&amp;ROUNDUP(MONTH(G19)/3,0))*(地价!AD2:AH2=N22)*(地价!AD3:AH19))</f>
        <v>1.6E-2</v>
      </c>
      <c r="R22" s="2956"/>
      <c r="S22" s="2956"/>
      <c r="T22" s="2956"/>
      <c r="U22" s="2956"/>
      <c r="V22" s="2956"/>
      <c r="W22" s="2198"/>
      <c r="X22" s="2198"/>
      <c r="Y22" s="2198"/>
      <c r="Z22" s="2198"/>
      <c r="AA22" s="2198"/>
      <c r="AB22" s="2198"/>
      <c r="AC22" s="2198"/>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800">
        <f>SUMPRODUCT((地价!A3:A19=YEAR(G19)&amp;"-"&amp;ROUNDUP(MONTH(G19)/3,0))*(地价!AD2:AH2=N23)*(地价!AD3:AH19))</f>
        <v>2.75E-2</v>
      </c>
      <c r="R23" s="2956"/>
      <c r="S23" s="2956"/>
      <c r="T23" s="2956"/>
      <c r="U23" s="2956"/>
      <c r="V23" s="2956"/>
      <c r="W23" s="2198"/>
      <c r="X23" s="2198"/>
      <c r="Y23" s="2198"/>
      <c r="Z23" s="2198"/>
      <c r="AA23" s="2198"/>
      <c r="AB23" s="2198"/>
      <c r="AC23" s="2198"/>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SUMPRODUCT((地价!A3:A19=YEAR(G19)&amp;"-"&amp;ROUNDUP(MONTH(G19)/3,0))*(地价!AD2:AH2=N24)*(地价!AD3:AH19))</f>
        <v>1.37E-2</v>
      </c>
      <c r="R24" s="2956"/>
      <c r="S24" s="2956"/>
      <c r="T24" s="2956"/>
      <c r="U24" s="2956"/>
      <c r="V24" s="2956"/>
      <c r="W24" s="2198"/>
      <c r="X24" s="2198"/>
      <c r="Y24" s="2198"/>
      <c r="Z24" s="2198"/>
      <c r="AA24" s="2198"/>
      <c r="AB24" s="2198"/>
      <c r="AC24" s="2198"/>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198"/>
      <c r="M25" s="2198"/>
      <c r="N25" s="2828" t="s">
        <v>2654</v>
      </c>
      <c r="O25" s="2198"/>
      <c r="P25" s="1545">
        <f>SUMPRODUCT((地价!A3:A19=YEAR(G19)&amp;"-"&amp;ROUNDUP(MONTH(G19)/3,0))*(地价!AD2:AH2=N25)*(地价!AD3:AH19))</f>
        <v>2.46E-2</v>
      </c>
      <c r="R25" s="2956"/>
      <c r="S25" s="2956"/>
      <c r="T25" s="2956"/>
      <c r="U25" s="2956"/>
      <c r="V25" s="2956"/>
      <c r="W25" s="2198"/>
      <c r="X25" s="2198"/>
      <c r="Y25" s="2198"/>
      <c r="Z25" s="2198"/>
      <c r="AA25" s="2198"/>
      <c r="AB25" s="2198"/>
      <c r="AC25" s="2198"/>
    </row>
    <row r="26" spans="1:40" ht="14.25">
      <c r="A26" s="1493"/>
      <c r="B26" s="1487" t="s">
        <v>988</v>
      </c>
      <c r="C26" s="1066" t="e">
        <f>E29+SUM(E33:E39)</f>
        <v>#DIV/0!</v>
      </c>
      <c r="D26" s="1494"/>
      <c r="E26" s="1460"/>
      <c r="F26" s="1495"/>
      <c r="G26" s="1460"/>
      <c r="H26" s="1460"/>
      <c r="I26" s="1460"/>
      <c r="J26" s="1496"/>
      <c r="K26" s="1405"/>
      <c r="L26" s="2198"/>
      <c r="M26" s="2198"/>
      <c r="N26" s="2198"/>
      <c r="O26" s="2198"/>
      <c r="P26" s="2198"/>
      <c r="Q26" s="2198"/>
      <c r="R26" s="2956"/>
      <c r="S26" s="2956"/>
      <c r="T26" s="2956"/>
      <c r="U26" s="2956"/>
      <c r="V26" s="2956"/>
      <c r="W26" s="2198"/>
      <c r="X26" s="2198"/>
      <c r="Y26" s="2198"/>
      <c r="Z26" s="2198"/>
      <c r="AA26" s="2198"/>
      <c r="AB26" s="2198"/>
      <c r="AC26" s="2198"/>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198"/>
      <c r="M27" s="2198"/>
      <c r="N27" s="2198"/>
      <c r="O27" s="2198"/>
      <c r="P27" s="2198"/>
      <c r="Q27" s="2198"/>
      <c r="R27" s="2956"/>
      <c r="S27" s="2956"/>
      <c r="T27" s="2956"/>
      <c r="U27" s="2956"/>
      <c r="V27" s="2956"/>
      <c r="W27" s="2198"/>
      <c r="X27" s="2198"/>
      <c r="Y27" s="2198"/>
      <c r="Z27" s="2198"/>
      <c r="AA27" s="2198"/>
      <c r="AB27" s="2198"/>
      <c r="AC27" s="2198"/>
    </row>
    <row r="28" spans="1:40" ht="14.25">
      <c r="A28" s="1489"/>
      <c r="B28" s="1502" t="s">
        <v>991</v>
      </c>
      <c r="C28" s="1503" t="s">
        <v>992</v>
      </c>
      <c r="D28" s="1503" t="s">
        <v>993</v>
      </c>
      <c r="E28" s="1504" t="s">
        <v>994</v>
      </c>
      <c r="F28" s="1505"/>
      <c r="G28" s="1446"/>
      <c r="H28" s="1446"/>
      <c r="I28" s="1446"/>
      <c r="J28" s="1447"/>
      <c r="K28" s="1405"/>
      <c r="L28" s="2198"/>
      <c r="M28" s="2198"/>
      <c r="N28" s="2198"/>
      <c r="O28" s="2198"/>
      <c r="P28" s="2198"/>
      <c r="Q28" s="2198"/>
      <c r="R28" s="2956"/>
      <c r="S28" s="2956"/>
      <c r="T28" s="2956"/>
      <c r="U28" s="2956"/>
      <c r="V28" s="2956"/>
      <c r="W28" s="2198"/>
      <c r="X28" s="2198"/>
      <c r="Y28" s="2198"/>
      <c r="Z28" s="2198"/>
      <c r="AA28" s="2198"/>
      <c r="AB28" s="2198"/>
      <c r="AC28" s="2198"/>
      <c r="AD28" s="1476"/>
      <c r="AE28" s="1476"/>
      <c r="AF28" s="1476"/>
      <c r="AG28" s="1476"/>
    </row>
    <row r="29" spans="1:40" ht="24">
      <c r="A29" s="1506"/>
      <c r="B29" s="1507" t="s">
        <v>995</v>
      </c>
      <c r="C29" s="1066" t="e">
        <f>ROUND(C5*C18*C19*C20*C21*C24,0)</f>
        <v>#DIV/0!</v>
      </c>
      <c r="D29" s="1508"/>
      <c r="E29" s="1852" t="e">
        <f>ROUND(C29*D29/10000,0)</f>
        <v>#DIV/0!</v>
      </c>
      <c r="F29" s="1509" t="s">
        <v>1703</v>
      </c>
      <c r="G29" s="1510"/>
      <c r="H29" s="1510"/>
      <c r="I29" s="1510"/>
      <c r="J29" s="1511"/>
      <c r="K29" s="1405"/>
      <c r="L29" s="2198"/>
      <c r="M29" s="2198"/>
      <c r="N29" s="2198"/>
      <c r="O29" s="2198"/>
      <c r="P29" s="2198"/>
      <c r="Q29" s="2198"/>
      <c r="R29" s="2956"/>
      <c r="S29" s="2956"/>
      <c r="T29" s="2956"/>
      <c r="U29" s="2956"/>
      <c r="V29" s="2956"/>
      <c r="W29" s="2198"/>
      <c r="X29" s="2198"/>
      <c r="Y29" s="2198"/>
      <c r="Z29" s="2198"/>
      <c r="AA29" s="2198"/>
      <c r="AB29" s="2198"/>
      <c r="AC29" s="2198"/>
      <c r="AH29" s="1406"/>
      <c r="AI29" s="1406"/>
      <c r="AJ29" s="1409"/>
      <c r="AK29" s="1409"/>
      <c r="AL29" s="1409"/>
      <c r="AM29" s="1409"/>
    </row>
    <row r="30" spans="1:40" ht="24.75" thickBot="1">
      <c r="A30" s="1512"/>
      <c r="B30" s="1513" t="s">
        <v>996</v>
      </c>
      <c r="C30" s="1054" t="e">
        <f>ROUND(IF(E2="工业",C29*M39,C29*M38),0)</f>
        <v>#DIV/0!</v>
      </c>
      <c r="D30" s="1514"/>
      <c r="E30" s="1852" t="e">
        <f>ROUND(C30*D30/10000,0)</f>
        <v>#DIV/0!</v>
      </c>
      <c r="F30" s="1515" t="s">
        <v>997</v>
      </c>
      <c r="G30" s="1516"/>
      <c r="H30" s="1516"/>
      <c r="I30" s="1516"/>
      <c r="J30" s="1517"/>
      <c r="K30" s="1405"/>
      <c r="L30" s="2192"/>
      <c r="M30" s="2192"/>
      <c r="N30" s="2192"/>
      <c r="O30" s="2192"/>
      <c r="P30" s="2192"/>
      <c r="Q30" s="2192"/>
      <c r="R30" s="2193"/>
      <c r="S30" s="2193"/>
      <c r="T30" s="2193"/>
      <c r="U30" s="2193"/>
      <c r="V30" s="2193"/>
      <c r="W30" s="2192"/>
      <c r="X30" s="2192"/>
      <c r="Y30" s="2192"/>
      <c r="Z30" s="2192"/>
      <c r="AA30" s="2192"/>
      <c r="AB30" s="2192"/>
      <c r="AC30" s="2192"/>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2"/>
      <c r="M31" s="2192"/>
      <c r="N31" s="2192"/>
      <c r="O31" s="2192"/>
      <c r="P31" s="2192"/>
      <c r="Q31" s="2192"/>
      <c r="R31" s="2193"/>
      <c r="S31" s="2193"/>
      <c r="T31" s="2193"/>
      <c r="U31" s="2193"/>
      <c r="V31" s="2193"/>
      <c r="W31" s="2192"/>
      <c r="X31" s="2192"/>
      <c r="Y31" s="2192"/>
      <c r="Z31" s="2192"/>
      <c r="AA31" s="2192"/>
      <c r="AB31" s="2192"/>
      <c r="AC31" s="2192"/>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2"/>
      <c r="M32" s="2192"/>
      <c r="N32" s="2192"/>
      <c r="O32" s="2192"/>
      <c r="P32" s="2192"/>
      <c r="Q32" s="2192"/>
      <c r="R32" s="2193"/>
      <c r="S32" s="2193"/>
      <c r="T32" s="2193"/>
      <c r="U32" s="2193"/>
      <c r="V32" s="2193"/>
      <c r="W32" s="2192"/>
      <c r="X32" s="2192"/>
      <c r="Y32" s="2192"/>
      <c r="Z32" s="2192"/>
      <c r="AA32" s="2192"/>
      <c r="AB32" s="2192"/>
      <c r="AC32" s="2192"/>
      <c r="AD32" s="1406"/>
      <c r="AE32" s="1406"/>
      <c r="AF32" s="1406"/>
      <c r="AG32" s="1406"/>
      <c r="AH32" s="1406"/>
      <c r="AI32" s="1406"/>
      <c r="AJ32" s="1409"/>
      <c r="AK32" s="1409"/>
      <c r="AL32" s="1409"/>
      <c r="AM32" s="1409"/>
    </row>
    <row r="33" spans="1:40" ht="12.75">
      <c r="A33" s="3427" t="s">
        <v>2968</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2"/>
      <c r="M33" s="2192"/>
      <c r="N33" s="2192"/>
      <c r="O33" s="2192"/>
      <c r="P33" s="2192"/>
      <c r="Q33" s="2192"/>
      <c r="R33" s="2193"/>
      <c r="S33" s="2193"/>
      <c r="T33" s="2193"/>
      <c r="U33" s="2193"/>
      <c r="V33" s="2193"/>
      <c r="W33" s="2192"/>
      <c r="X33" s="2192"/>
      <c r="Y33" s="2192"/>
      <c r="Z33" s="2192"/>
      <c r="AA33" s="2192"/>
      <c r="AB33" s="2192"/>
      <c r="AC33" s="2193"/>
    </row>
    <row r="34" spans="1:40" ht="12.75">
      <c r="A34" s="3428"/>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2"/>
      <c r="M34" s="2192"/>
      <c r="N34" s="2192"/>
      <c r="O34" s="2192"/>
      <c r="P34" s="2192"/>
      <c r="Q34" s="2192"/>
      <c r="R34" s="2193"/>
      <c r="S34" s="2193"/>
      <c r="T34" s="2193"/>
      <c r="U34" s="2193"/>
      <c r="V34" s="2193"/>
      <c r="W34" s="2192"/>
      <c r="X34" s="2192"/>
      <c r="Y34" s="2192"/>
      <c r="Z34" s="2192"/>
      <c r="AA34" s="2192"/>
      <c r="AB34" s="2192"/>
      <c r="AC34" s="2193"/>
    </row>
    <row r="35" spans="1:40" ht="12.75">
      <c r="A35" s="3428"/>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29"/>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2"/>
      <c r="M36" s="2192"/>
      <c r="N36" s="2192"/>
      <c r="O36" s="2192"/>
      <c r="P36" s="2192"/>
      <c r="Q36" s="2192"/>
      <c r="R36" s="2193"/>
      <c r="S36" s="2193"/>
      <c r="T36" s="2193"/>
      <c r="U36" s="2193"/>
      <c r="V36" s="2193"/>
      <c r="W36" s="2192"/>
      <c r="X36" s="2192"/>
      <c r="Y36" s="2192"/>
      <c r="Z36" s="2192"/>
      <c r="AA36" s="2192"/>
      <c r="AB36" s="2192"/>
      <c r="AC36" s="2193"/>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2"/>
      <c r="O37" s="2192"/>
      <c r="P37" s="2192"/>
      <c r="Q37" s="2192"/>
      <c r="R37" s="2193"/>
      <c r="S37" s="2193"/>
      <c r="T37" s="2193"/>
      <c r="U37" s="2193"/>
      <c r="V37" s="2193"/>
      <c r="W37" s="2192"/>
      <c r="X37" s="2192"/>
      <c r="Y37" s="2192"/>
      <c r="Z37" s="2192"/>
      <c r="AA37" s="2192"/>
      <c r="AB37" s="2192"/>
      <c r="AC37" s="2193"/>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2"/>
      <c r="O38" s="2192"/>
      <c r="P38" s="2192"/>
      <c r="Q38" s="2192"/>
      <c r="R38" s="2193"/>
      <c r="S38" s="2193"/>
      <c r="T38" s="2193"/>
      <c r="U38" s="2193"/>
      <c r="V38" s="2193"/>
      <c r="W38" s="2192"/>
      <c r="X38" s="2192"/>
      <c r="Y38" s="2192"/>
      <c r="Z38" s="2192"/>
      <c r="AA38" s="2192"/>
      <c r="AB38" s="2192"/>
      <c r="AC38" s="2193"/>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2"/>
      <c r="O39" s="2192"/>
      <c r="P39" s="2192"/>
      <c r="Q39" s="2192"/>
      <c r="R39" s="2193"/>
      <c r="S39" s="2193"/>
      <c r="T39" s="2193"/>
      <c r="U39" s="2193"/>
      <c r="V39" s="2193"/>
      <c r="W39" s="2192"/>
      <c r="X39" s="2192"/>
      <c r="Y39" s="2192"/>
      <c r="Z39" s="2192"/>
      <c r="AA39" s="2192"/>
      <c r="AB39" s="2192"/>
      <c r="AC39" s="2193"/>
    </row>
    <row r="40" spans="1:40" s="1406"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7"/>
      <c r="AE40" s="1407"/>
      <c r="AF40" s="1407"/>
      <c r="AG40" s="1407"/>
      <c r="AH40" s="1407"/>
      <c r="AI40" s="1407"/>
      <c r="AJ40" s="1407"/>
      <c r="AK40" s="1407"/>
      <c r="AL40" s="1407"/>
      <c r="AM40" s="1407"/>
    </row>
    <row r="41" spans="1:40" s="1406" customFormat="1">
      <c r="A41" s="1407"/>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7"/>
      <c r="AE41" s="1407"/>
      <c r="AF41" s="1407"/>
      <c r="AG41" s="1407"/>
      <c r="AH41" s="1407"/>
      <c r="AI41" s="1407"/>
      <c r="AJ41" s="1407"/>
      <c r="AK41" s="1407"/>
      <c r="AL41" s="1407"/>
      <c r="AM41" s="1407"/>
    </row>
    <row r="42" spans="1:40" s="1406" customFormat="1">
      <c r="A42" s="1407"/>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7"/>
      <c r="AE42" s="1407"/>
      <c r="AF42" s="1407"/>
      <c r="AG42" s="1407"/>
      <c r="AH42" s="1407"/>
      <c r="AI42" s="1407"/>
      <c r="AJ42" s="1407"/>
      <c r="AK42" s="1407"/>
      <c r="AL42" s="1407"/>
      <c r="AM42" s="1407"/>
    </row>
    <row r="43" spans="1:40" s="1406" customFormat="1">
      <c r="A43" s="1407"/>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7"/>
      <c r="AE43" s="1407"/>
      <c r="AF43" s="1407"/>
      <c r="AG43" s="1407"/>
      <c r="AH43" s="1407"/>
      <c r="AI43" s="1407"/>
      <c r="AJ43" s="1407"/>
      <c r="AK43" s="1407"/>
      <c r="AL43" s="1407"/>
      <c r="AM43" s="1407"/>
    </row>
    <row r="44" spans="1:40" s="1406" customFormat="1" ht="15" thickBot="1">
      <c r="A44" s="2446" t="s">
        <v>1008</v>
      </c>
      <c r="B44" s="2447"/>
      <c r="C44" s="2448"/>
      <c r="D44" s="2449"/>
      <c r="E44" s="2449"/>
      <c r="F44" s="2450"/>
      <c r="G44" s="1069"/>
      <c r="H44" s="2450"/>
      <c r="I44" s="1069"/>
      <c r="J44" s="1069"/>
      <c r="K44" s="1069"/>
      <c r="L44" s="1069"/>
      <c r="M44" s="1069"/>
      <c r="O44" s="2199"/>
      <c r="P44" s="2199"/>
      <c r="Q44" s="2199"/>
      <c r="R44" s="2200"/>
      <c r="S44" s="2200"/>
      <c r="T44" s="2200"/>
      <c r="U44" s="2200"/>
      <c r="V44" s="2200"/>
      <c r="W44" s="2199"/>
      <c r="X44" s="2199"/>
      <c r="Y44" s="2199"/>
      <c r="Z44" s="2199"/>
      <c r="AA44" s="2199"/>
      <c r="AB44" s="2199"/>
      <c r="AC44" s="2200"/>
      <c r="AD44" s="1407"/>
      <c r="AE44" s="1407"/>
      <c r="AF44" s="1407"/>
      <c r="AG44" s="1407"/>
      <c r="AH44" s="1407"/>
      <c r="AI44" s="1407"/>
      <c r="AJ44" s="1407"/>
      <c r="AK44" s="1407"/>
      <c r="AL44" s="1407"/>
      <c r="AM44" s="1407"/>
    </row>
    <row r="45" spans="1:40" s="1406" customFormat="1" ht="15">
      <c r="A45" s="2451" t="s">
        <v>1009</v>
      </c>
      <c r="B45" s="2452">
        <f>1+E47</f>
        <v>1</v>
      </c>
      <c r="C45" s="2453"/>
      <c r="D45" s="2454"/>
      <c r="E45" s="2455"/>
      <c r="F45" s="2456"/>
      <c r="G45" s="2450"/>
      <c r="H45" s="2450"/>
      <c r="I45" s="1069"/>
      <c r="J45" s="1069"/>
      <c r="K45" s="1069"/>
      <c r="L45" s="1069"/>
      <c r="M45" s="1069"/>
      <c r="O45" s="2199"/>
      <c r="P45" s="2199"/>
      <c r="Q45" s="2199"/>
      <c r="R45" s="2200"/>
      <c r="S45" s="2200"/>
      <c r="T45" s="2200"/>
      <c r="U45" s="2200"/>
      <c r="V45" s="2200"/>
      <c r="W45" s="2199"/>
      <c r="X45" s="2199"/>
      <c r="Y45" s="2199"/>
      <c r="Z45" s="2199"/>
      <c r="AA45" s="2199"/>
      <c r="AB45" s="2199"/>
      <c r="AC45" s="2200"/>
      <c r="AD45" s="1407"/>
      <c r="AE45" s="1407"/>
      <c r="AF45" s="1407"/>
      <c r="AG45" s="1407"/>
      <c r="AH45" s="1407"/>
      <c r="AI45" s="1407"/>
      <c r="AJ45" s="1407"/>
      <c r="AK45" s="1407"/>
      <c r="AL45" s="1407"/>
      <c r="AM45" s="1407"/>
    </row>
    <row r="46" spans="1:40" s="1406" customFormat="1" ht="24">
      <c r="A46" s="1070" t="s">
        <v>1010</v>
      </c>
      <c r="B46" s="2435" t="s">
        <v>1011</v>
      </c>
      <c r="C46" s="2457" t="s">
        <v>1012</v>
      </c>
      <c r="D46" s="2458" t="s">
        <v>1013</v>
      </c>
      <c r="E46" s="2459" t="s">
        <v>1015</v>
      </c>
      <c r="F46" s="2460" t="s">
        <v>2252</v>
      </c>
      <c r="G46" s="2458" t="s">
        <v>1016</v>
      </c>
      <c r="H46" s="2441" t="s">
        <v>2420</v>
      </c>
      <c r="I46" s="2458" t="s">
        <v>1014</v>
      </c>
      <c r="J46" s="2461" t="s">
        <v>1017</v>
      </c>
      <c r="K46" s="2461" t="s">
        <v>1018</v>
      </c>
      <c r="L46" s="2461" t="s">
        <v>1019</v>
      </c>
      <c r="M46" s="2461" t="s">
        <v>1020</v>
      </c>
      <c r="N46" s="2461" t="s">
        <v>1021</v>
      </c>
      <c r="P46" s="2199"/>
      <c r="Q46" s="2199"/>
      <c r="R46" s="2200"/>
      <c r="S46" s="2200"/>
      <c r="T46" s="2200"/>
      <c r="U46" s="2200"/>
      <c r="V46" s="2200"/>
      <c r="W46" s="2199"/>
      <c r="X46" s="2199"/>
      <c r="Y46" s="2199"/>
      <c r="Z46" s="2199"/>
      <c r="AA46" s="2199"/>
      <c r="AB46" s="2199"/>
      <c r="AC46" s="2199"/>
      <c r="AD46" s="2200"/>
      <c r="AE46" s="1407"/>
      <c r="AF46" s="1407"/>
      <c r="AG46" s="1407"/>
      <c r="AH46" s="1407"/>
      <c r="AI46" s="1407"/>
      <c r="AJ46" s="1407"/>
      <c r="AK46" s="1407"/>
      <c r="AL46" s="1407"/>
      <c r="AM46" s="1407"/>
      <c r="AN46" s="1407"/>
    </row>
    <row r="47" spans="1:40" s="1406" customFormat="1" ht="36">
      <c r="A47" s="1070" t="s">
        <v>1022</v>
      </c>
      <c r="B47" s="2438" t="str">
        <f>估价对象房地状况!C16</f>
        <v>估价对象位于XX商圈，周边商业氛围成熟，人流量大，商业繁华度好</v>
      </c>
      <c r="C47" s="1053"/>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7"/>
      <c r="AF47" s="1407"/>
      <c r="AG47" s="1407"/>
      <c r="AH47" s="1407"/>
      <c r="AI47" s="1407"/>
      <c r="AJ47" s="1407"/>
      <c r="AK47" s="1407"/>
      <c r="AL47" s="1407"/>
      <c r="AM47" s="1407"/>
      <c r="AN47" s="1407"/>
    </row>
    <row r="48" spans="1:40" s="1406" customFormat="1" ht="48">
      <c r="A48" s="1070" t="s">
        <v>1023</v>
      </c>
      <c r="B48" s="2435" t="str">
        <f>估价对象房地状况!C18</f>
        <v>估价对象周边道路状况、公共交通通达情况、停车便捷程度，综合评价交通便捷度较好</v>
      </c>
      <c r="C48" s="1053"/>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7"/>
      <c r="AF48" s="1407"/>
      <c r="AG48" s="1407"/>
      <c r="AH48" s="1407"/>
      <c r="AI48" s="1407"/>
      <c r="AJ48" s="1407"/>
      <c r="AK48" s="1407"/>
      <c r="AL48" s="1407"/>
      <c r="AM48" s="1407"/>
      <c r="AN48" s="1407"/>
    </row>
    <row r="49" spans="1:40" s="1406" customFormat="1" ht="24">
      <c r="A49" s="1070" t="s">
        <v>1024</v>
      </c>
      <c r="B49" s="2435">
        <f>估价对象房地状况!C19</f>
        <v>0</v>
      </c>
      <c r="C49" s="1053"/>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7"/>
      <c r="AF49" s="1407"/>
      <c r="AG49" s="1407"/>
      <c r="AH49" s="1407"/>
      <c r="AI49" s="1407"/>
      <c r="AJ49" s="1407"/>
      <c r="AK49" s="1407"/>
      <c r="AL49" s="1407"/>
      <c r="AM49" s="1407"/>
      <c r="AN49" s="1407"/>
    </row>
    <row r="50" spans="1:40" s="1406" customFormat="1" ht="36">
      <c r="A50" s="1070" t="s">
        <v>1025</v>
      </c>
      <c r="B50" s="3129" t="s">
        <v>2943</v>
      </c>
      <c r="C50" s="1053"/>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7"/>
      <c r="AF50" s="1407"/>
      <c r="AG50" s="1407"/>
      <c r="AH50" s="1407"/>
      <c r="AI50" s="1407"/>
      <c r="AJ50" s="1407"/>
      <c r="AK50" s="1407"/>
      <c r="AL50" s="1407"/>
      <c r="AM50" s="1407"/>
      <c r="AN50" s="1407"/>
    </row>
    <row r="51" spans="1:40" s="1406" customFormat="1" ht="24">
      <c r="A51" s="1070" t="s">
        <v>1026</v>
      </c>
      <c r="B51" s="2435">
        <f>估价对象房地状况!C24</f>
        <v>0</v>
      </c>
      <c r="C51" s="1053"/>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7"/>
      <c r="AF51" s="1407"/>
      <c r="AG51" s="1407"/>
      <c r="AH51" s="1407"/>
      <c r="AI51" s="1407"/>
      <c r="AJ51" s="1407"/>
      <c r="AK51" s="1407"/>
      <c r="AL51" s="1407"/>
      <c r="AM51" s="1407"/>
      <c r="AN51" s="1407"/>
    </row>
    <row r="52" spans="1:40" s="1406" customFormat="1" ht="24">
      <c r="A52" s="1070" t="s">
        <v>1027</v>
      </c>
      <c r="B52" s="3128" t="s">
        <v>2942</v>
      </c>
      <c r="C52" s="1053"/>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7"/>
      <c r="AF52" s="1407"/>
      <c r="AG52" s="1407"/>
      <c r="AH52" s="1407"/>
      <c r="AI52" s="1407"/>
      <c r="AJ52" s="1407"/>
      <c r="AK52" s="1407"/>
      <c r="AL52" s="1407"/>
      <c r="AM52" s="1407"/>
      <c r="AN52" s="1407"/>
    </row>
    <row r="53" spans="1:40" s="1406" customFormat="1" ht="24">
      <c r="A53" s="2467" t="s">
        <v>1028</v>
      </c>
      <c r="B53" s="2436" t="str">
        <f>估价对象房地状况!C21</f>
        <v>估价对象所在区域公共配套设施齐备情况</v>
      </c>
      <c r="C53" s="1053"/>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7"/>
      <c r="AF53" s="1407"/>
      <c r="AG53" s="1407"/>
      <c r="AH53" s="1407"/>
      <c r="AI53" s="1407"/>
      <c r="AJ53" s="1407"/>
      <c r="AK53" s="1407"/>
      <c r="AL53" s="1407"/>
      <c r="AM53" s="1407"/>
      <c r="AN53" s="1407"/>
    </row>
    <row r="54" spans="1:40" s="1406" customFormat="1" ht="24">
      <c r="A54" s="2467" t="s">
        <v>1029</v>
      </c>
      <c r="B54" s="2435" t="str">
        <f>估价对象房地状况!C22</f>
        <v>估价对象所在区域基础设施水平</v>
      </c>
      <c r="C54" s="1053"/>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7"/>
      <c r="AF54" s="1407"/>
      <c r="AG54" s="1407"/>
      <c r="AH54" s="1407"/>
      <c r="AI54" s="1407"/>
      <c r="AJ54" s="1407"/>
      <c r="AK54" s="1407"/>
      <c r="AL54" s="1407"/>
      <c r="AM54" s="1407"/>
      <c r="AN54" s="1407"/>
    </row>
    <row r="55" spans="1:40" s="1406" customFormat="1" ht="36.75" thickBot="1">
      <c r="A55" s="2468" t="s">
        <v>1030</v>
      </c>
      <c r="B55" s="2439" t="str">
        <f>估价对象房地状况!C20</f>
        <v>区域自然环境：；人文环境；综合评价环境状况一般</v>
      </c>
      <c r="C55" s="1053"/>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7"/>
      <c r="AF55" s="1407"/>
      <c r="AG55" s="1407"/>
      <c r="AH55" s="1407"/>
      <c r="AI55" s="1407"/>
      <c r="AJ55" s="1407"/>
      <c r="AK55" s="1407"/>
      <c r="AL55" s="1407"/>
      <c r="AM55" s="1407"/>
      <c r="AN55" s="1407"/>
    </row>
    <row r="56" spans="1:40" s="1406" customFormat="1" ht="15">
      <c r="A56" s="2451" t="s">
        <v>1031</v>
      </c>
      <c r="B56" s="2452">
        <f>1+E58</f>
        <v>1</v>
      </c>
      <c r="C56" s="2471"/>
      <c r="D56" s="2454"/>
      <c r="E56" s="2455"/>
      <c r="F56" s="2456"/>
      <c r="G56" s="2450"/>
      <c r="H56" s="2450"/>
      <c r="I56" s="2450"/>
      <c r="J56" s="1069"/>
      <c r="K56" s="1069"/>
      <c r="L56" s="1069"/>
      <c r="M56" s="1069"/>
      <c r="N56" s="1069"/>
      <c r="P56" s="2199"/>
      <c r="Q56" s="2199"/>
      <c r="R56" s="2200"/>
      <c r="S56" s="2200"/>
      <c r="T56" s="2200"/>
      <c r="U56" s="2200"/>
      <c r="V56" s="2200"/>
      <c r="W56" s="2199"/>
      <c r="X56" s="2199"/>
      <c r="Y56" s="2199"/>
      <c r="Z56" s="2199"/>
      <c r="AA56" s="2199"/>
      <c r="AB56" s="2199"/>
      <c r="AC56" s="2199"/>
      <c r="AD56" s="2200"/>
      <c r="AE56" s="1407"/>
      <c r="AF56" s="1407"/>
      <c r="AG56" s="1407"/>
      <c r="AH56" s="1407"/>
      <c r="AI56" s="1407"/>
      <c r="AJ56" s="1407"/>
      <c r="AK56" s="1407"/>
      <c r="AL56" s="1407"/>
      <c r="AM56" s="1407"/>
      <c r="AN56" s="1407"/>
    </row>
    <row r="57" spans="1:40" s="1406" customFormat="1" ht="24">
      <c r="A57" s="1070" t="s">
        <v>1010</v>
      </c>
      <c r="B57" s="2435"/>
      <c r="C57" s="2457" t="s">
        <v>1012</v>
      </c>
      <c r="D57" s="2458" t="s">
        <v>1013</v>
      </c>
      <c r="E57" s="2459" t="s">
        <v>1015</v>
      </c>
      <c r="F57" s="2460" t="s">
        <v>2253</v>
      </c>
      <c r="G57" s="2458" t="s">
        <v>1016</v>
      </c>
      <c r="H57" s="2441" t="s">
        <v>2420</v>
      </c>
      <c r="I57" s="2458" t="s">
        <v>1014</v>
      </c>
      <c r="J57" s="2461" t="s">
        <v>1017</v>
      </c>
      <c r="K57" s="2461" t="s">
        <v>1018</v>
      </c>
      <c r="L57" s="2461" t="s">
        <v>1019</v>
      </c>
      <c r="M57" s="2461" t="s">
        <v>1020</v>
      </c>
      <c r="N57" s="2461" t="s">
        <v>1021</v>
      </c>
      <c r="P57" s="2199"/>
      <c r="Q57" s="2199"/>
      <c r="R57" s="2200"/>
      <c r="S57" s="2200"/>
      <c r="T57" s="2200"/>
      <c r="U57" s="2200"/>
      <c r="V57" s="2200"/>
      <c r="W57" s="2199"/>
      <c r="X57" s="2199"/>
      <c r="Y57" s="2199"/>
      <c r="Z57" s="2199"/>
      <c r="AA57" s="2199"/>
      <c r="AB57" s="2199"/>
      <c r="AC57" s="2199"/>
      <c r="AD57" s="2200"/>
      <c r="AE57" s="1407"/>
      <c r="AF57" s="1407"/>
      <c r="AG57" s="1407"/>
      <c r="AH57" s="1407"/>
      <c r="AI57" s="1407"/>
      <c r="AJ57" s="1407"/>
      <c r="AK57" s="1407"/>
      <c r="AL57" s="1407"/>
      <c r="AM57" s="1407"/>
      <c r="AN57" s="1407"/>
    </row>
    <row r="58" spans="1:40" s="1406" customFormat="1" ht="36">
      <c r="A58" s="1070" t="s">
        <v>1032</v>
      </c>
      <c r="B58" s="2438" t="str">
        <f>估价对象房地状况!C17</f>
        <v>估价对象位于XX商圈，周边办公楼项目较多，入驻率高，办公集聚程度较好</v>
      </c>
      <c r="C58" s="1053"/>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7"/>
      <c r="AF58" s="1407"/>
      <c r="AG58" s="1407"/>
      <c r="AH58" s="1407"/>
      <c r="AI58" s="1407"/>
      <c r="AJ58" s="1407"/>
      <c r="AK58" s="1407"/>
      <c r="AL58" s="1407"/>
      <c r="AM58" s="1407"/>
      <c r="AN58" s="1407"/>
    </row>
    <row r="59" spans="1:40" s="1406" customFormat="1" ht="48">
      <c r="A59" s="1070" t="s">
        <v>1023</v>
      </c>
      <c r="B59" s="2435" t="str">
        <f>估价对象房地状况!C18</f>
        <v>估价对象周边道路状况、公共交通通达情况、停车便捷程度，综合评价交通便捷度较好</v>
      </c>
      <c r="C59" s="1053"/>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7"/>
      <c r="AF59" s="1407"/>
      <c r="AG59" s="1407"/>
      <c r="AH59" s="1407"/>
      <c r="AI59" s="1407"/>
      <c r="AJ59" s="1407"/>
      <c r="AK59" s="1407"/>
      <c r="AL59" s="1407"/>
      <c r="AM59" s="1407"/>
      <c r="AN59" s="1407"/>
    </row>
    <row r="60" spans="1:40" s="1406" customFormat="1" ht="24">
      <c r="A60" s="1070" t="s">
        <v>1024</v>
      </c>
      <c r="B60" s="2435">
        <f>估价对象房地状况!C19</f>
        <v>0</v>
      </c>
      <c r="C60" s="1053"/>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7"/>
      <c r="AF60" s="1407"/>
      <c r="AG60" s="1407"/>
      <c r="AH60" s="1407"/>
      <c r="AI60" s="1407"/>
      <c r="AJ60" s="1407"/>
      <c r="AK60" s="1407"/>
      <c r="AL60" s="1407"/>
      <c r="AM60" s="1407"/>
      <c r="AN60" s="1407"/>
    </row>
    <row r="61" spans="1:40" s="1406" customFormat="1" ht="36">
      <c r="A61" s="1070" t="s">
        <v>1025</v>
      </c>
      <c r="B61" s="3129" t="s">
        <v>2944</v>
      </c>
      <c r="C61" s="1053"/>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7"/>
      <c r="AF61" s="1407"/>
      <c r="AG61" s="1407"/>
      <c r="AH61" s="1407"/>
      <c r="AI61" s="1407"/>
      <c r="AJ61" s="1407"/>
      <c r="AK61" s="1407"/>
      <c r="AL61" s="1407"/>
      <c r="AM61" s="1407"/>
      <c r="AN61" s="1407"/>
    </row>
    <row r="62" spans="1:40" s="1406" customFormat="1" ht="24">
      <c r="A62" s="1070" t="s">
        <v>1026</v>
      </c>
      <c r="B62" s="2435">
        <f>估价对象房地状况!C24</f>
        <v>0</v>
      </c>
      <c r="C62" s="1053"/>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7"/>
      <c r="AF62" s="1407"/>
      <c r="AG62" s="1407"/>
      <c r="AH62" s="1407"/>
      <c r="AI62" s="1407"/>
      <c r="AJ62" s="1407"/>
      <c r="AK62" s="1407"/>
      <c r="AL62" s="1407"/>
      <c r="AM62" s="1407"/>
      <c r="AN62" s="1407"/>
    </row>
    <row r="63" spans="1:40" s="1406" customFormat="1" ht="24">
      <c r="A63" s="1070" t="s">
        <v>1027</v>
      </c>
      <c r="B63" s="3128" t="s">
        <v>2942</v>
      </c>
      <c r="C63" s="1053"/>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7"/>
      <c r="AF63" s="1407"/>
      <c r="AG63" s="1407"/>
      <c r="AH63" s="1407"/>
      <c r="AI63" s="1407"/>
      <c r="AJ63" s="1407"/>
      <c r="AK63" s="1407"/>
      <c r="AL63" s="1407"/>
      <c r="AM63" s="1407"/>
      <c r="AN63" s="1407"/>
    </row>
    <row r="64" spans="1:40" s="1406" customFormat="1" ht="24">
      <c r="A64" s="1070" t="s">
        <v>1028</v>
      </c>
      <c r="B64" s="2436" t="str">
        <f>估价对象房地状况!C21</f>
        <v>估价对象所在区域公共配套设施齐备情况</v>
      </c>
      <c r="C64" s="1053"/>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7"/>
      <c r="AF64" s="1407"/>
      <c r="AG64" s="1407"/>
      <c r="AH64" s="1407"/>
      <c r="AI64" s="1407"/>
      <c r="AJ64" s="1407"/>
      <c r="AK64" s="1407"/>
      <c r="AL64" s="1407"/>
      <c r="AM64" s="1407"/>
      <c r="AN64" s="1407"/>
    </row>
    <row r="65" spans="1:40" s="1406" customFormat="1" ht="24">
      <c r="A65" s="1070" t="s">
        <v>1029</v>
      </c>
      <c r="B65" s="2436" t="str">
        <f>估价对象房地状况!C22</f>
        <v>估价对象所在区域基础设施水平</v>
      </c>
      <c r="C65" s="1053"/>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7"/>
      <c r="AF65" s="1407"/>
      <c r="AG65" s="1407"/>
      <c r="AH65" s="1407"/>
      <c r="AI65" s="1407"/>
      <c r="AJ65" s="1407"/>
      <c r="AK65" s="1407"/>
      <c r="AL65" s="1407"/>
      <c r="AM65" s="1407"/>
      <c r="AN65" s="1407"/>
    </row>
    <row r="66" spans="1:40" s="1406" customFormat="1" ht="36.75" thickBot="1">
      <c r="A66" s="2468" t="s">
        <v>1030</v>
      </c>
      <c r="B66" s="2440" t="str">
        <f>估价对象房地状况!C20</f>
        <v>区域自然环境：；人文环境；综合评价环境状况一般</v>
      </c>
      <c r="C66" s="1053"/>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7"/>
      <c r="AF66" s="1407"/>
      <c r="AG66" s="1407"/>
      <c r="AH66" s="1407"/>
      <c r="AI66" s="1407"/>
      <c r="AJ66" s="1407"/>
      <c r="AK66" s="1407"/>
      <c r="AL66" s="1407"/>
      <c r="AM66" s="1407"/>
      <c r="AN66" s="1407"/>
    </row>
    <row r="67" spans="1:40" s="1406" customFormat="1" ht="15">
      <c r="A67" s="2451" t="s">
        <v>1033</v>
      </c>
      <c r="B67" s="2452">
        <f>1+E69</f>
        <v>1</v>
      </c>
      <c r="C67" s="2471"/>
      <c r="D67" s="2454"/>
      <c r="E67" s="2455"/>
      <c r="F67" s="2456"/>
      <c r="G67" s="2450"/>
      <c r="H67" s="2450"/>
      <c r="I67" s="2450"/>
      <c r="J67" s="1069"/>
      <c r="K67" s="1069"/>
      <c r="L67" s="1069"/>
      <c r="M67" s="1069"/>
      <c r="N67" s="1069"/>
      <c r="P67" s="2199"/>
      <c r="Q67" s="2199"/>
      <c r="R67" s="2200"/>
      <c r="S67" s="2200"/>
      <c r="T67" s="2200"/>
      <c r="U67" s="2200"/>
      <c r="V67" s="2200"/>
      <c r="W67" s="2199"/>
      <c r="X67" s="2199"/>
      <c r="Y67" s="2199"/>
      <c r="Z67" s="2199"/>
      <c r="AA67" s="2199"/>
      <c r="AB67" s="2199"/>
      <c r="AC67" s="2199"/>
      <c r="AD67" s="2200"/>
      <c r="AE67" s="1407"/>
      <c r="AF67" s="1407"/>
      <c r="AG67" s="1407"/>
      <c r="AH67" s="1407"/>
      <c r="AI67" s="1407"/>
      <c r="AJ67" s="1407"/>
      <c r="AK67" s="1407"/>
      <c r="AL67" s="1407"/>
      <c r="AM67" s="1407"/>
      <c r="AN67" s="1407"/>
    </row>
    <row r="68" spans="1:40" s="1406" customFormat="1" ht="24">
      <c r="A68" s="1070" t="s">
        <v>1010</v>
      </c>
      <c r="B68" s="2435"/>
      <c r="C68" s="2457" t="s">
        <v>1012</v>
      </c>
      <c r="D68" s="2458" t="s">
        <v>1013</v>
      </c>
      <c r="E68" s="2459" t="s">
        <v>1015</v>
      </c>
      <c r="F68" s="2460" t="s">
        <v>2254</v>
      </c>
      <c r="G68" s="2458" t="s">
        <v>1016</v>
      </c>
      <c r="H68" s="2441" t="s">
        <v>2420</v>
      </c>
      <c r="I68" s="2458" t="s">
        <v>1014</v>
      </c>
      <c r="J68" s="2461" t="s">
        <v>1017</v>
      </c>
      <c r="K68" s="2461" t="s">
        <v>1018</v>
      </c>
      <c r="L68" s="2461" t="s">
        <v>1019</v>
      </c>
      <c r="M68" s="2461" t="s">
        <v>1020</v>
      </c>
      <c r="N68" s="2461" t="s">
        <v>1021</v>
      </c>
      <c r="P68" s="2199"/>
      <c r="Q68" s="2199"/>
      <c r="R68" s="2200"/>
      <c r="S68" s="2200"/>
      <c r="T68" s="2200"/>
      <c r="U68" s="2200"/>
      <c r="V68" s="2200"/>
      <c r="W68" s="2199"/>
      <c r="X68" s="2199"/>
      <c r="Y68" s="2199"/>
      <c r="Z68" s="2199"/>
      <c r="AA68" s="2199"/>
      <c r="AB68" s="2199"/>
      <c r="AC68" s="2199"/>
      <c r="AD68" s="2200"/>
      <c r="AE68" s="1407"/>
      <c r="AF68" s="1407"/>
      <c r="AG68" s="1407"/>
      <c r="AH68" s="1407"/>
      <c r="AI68" s="1407"/>
      <c r="AJ68" s="1407"/>
      <c r="AK68" s="1407"/>
      <c r="AL68" s="1407"/>
      <c r="AM68" s="1407"/>
      <c r="AN68" s="1407"/>
    </row>
    <row r="69" spans="1:40" s="1406" customFormat="1" ht="48">
      <c r="A69" s="1070" t="s">
        <v>1034</v>
      </c>
      <c r="B69" s="2438" t="str">
        <f>估价对象房地状况!C15</f>
        <v>估价对象周边居住用地比例、居住小区规模和社区发展完善程度，综合评价居住社区成熟度一般</v>
      </c>
      <c r="C69" s="1162"/>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7"/>
      <c r="AF69" s="1407"/>
      <c r="AG69" s="1407"/>
      <c r="AH69" s="1407"/>
      <c r="AI69" s="1407"/>
      <c r="AJ69" s="1407"/>
      <c r="AK69" s="1407"/>
      <c r="AL69" s="1407"/>
      <c r="AM69" s="1407"/>
      <c r="AN69" s="1407"/>
    </row>
    <row r="70" spans="1:40" s="1406" customFormat="1" ht="48">
      <c r="A70" s="1070" t="s">
        <v>1035</v>
      </c>
      <c r="B70" s="2435" t="str">
        <f>估价对象房地状况!C18</f>
        <v>估价对象周边道路状况、公共交通通达情况、停车便捷程度，综合评价交通便捷度较好</v>
      </c>
      <c r="C70" s="1162"/>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7"/>
      <c r="AF70" s="1407"/>
      <c r="AG70" s="1407"/>
      <c r="AH70" s="1407"/>
      <c r="AI70" s="1407"/>
      <c r="AJ70" s="1407"/>
      <c r="AK70" s="1407"/>
      <c r="AL70" s="1407"/>
      <c r="AM70" s="1407"/>
      <c r="AN70" s="1407"/>
    </row>
    <row r="71" spans="1:40" s="1406" customFormat="1" ht="24">
      <c r="A71" s="1070" t="s">
        <v>1024</v>
      </c>
      <c r="B71" s="2435">
        <f>估价对象房地状况!C19</f>
        <v>0</v>
      </c>
      <c r="C71" s="1162"/>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7"/>
      <c r="AF71" s="1407"/>
      <c r="AG71" s="1407"/>
      <c r="AH71" s="1407"/>
      <c r="AI71" s="1407"/>
      <c r="AJ71" s="1407"/>
      <c r="AK71" s="1407"/>
      <c r="AL71" s="1407"/>
      <c r="AM71" s="1407"/>
      <c r="AN71" s="1407"/>
    </row>
    <row r="72" spans="1:40" s="1406" customFormat="1" ht="14.25">
      <c r="A72" s="1070" t="s">
        <v>1036</v>
      </c>
      <c r="B72" s="2435">
        <f>估价对象房地状况!C24</f>
        <v>0</v>
      </c>
      <c r="C72" s="1162"/>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7"/>
      <c r="AF72" s="1407"/>
      <c r="AG72" s="1407"/>
      <c r="AH72" s="1407"/>
      <c r="AI72" s="1407"/>
      <c r="AJ72" s="1407"/>
      <c r="AK72" s="1407"/>
      <c r="AL72" s="1407"/>
      <c r="AM72" s="1407"/>
      <c r="AN72" s="1407"/>
    </row>
    <row r="73" spans="1:40" s="1406" customFormat="1" ht="24">
      <c r="A73" s="1070" t="s">
        <v>1028</v>
      </c>
      <c r="B73" s="2436" t="str">
        <f>估价对象房地状况!C21</f>
        <v>估价对象所在区域公共配套设施齐备情况</v>
      </c>
      <c r="C73" s="1162"/>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7"/>
      <c r="AF73" s="1407"/>
      <c r="AG73" s="1407"/>
      <c r="AH73" s="1407"/>
      <c r="AI73" s="1407"/>
      <c r="AJ73" s="1407"/>
      <c r="AK73" s="1407"/>
      <c r="AL73" s="1407"/>
      <c r="AM73" s="1407"/>
      <c r="AN73" s="1407"/>
    </row>
    <row r="74" spans="1:40" s="1406" customFormat="1" ht="24">
      <c r="A74" s="1070" t="s">
        <v>1029</v>
      </c>
      <c r="B74" s="2436" t="str">
        <f>估价对象房地状况!C22</f>
        <v>估价对象所在区域基础设施水平</v>
      </c>
      <c r="C74" s="1162"/>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7"/>
      <c r="AF74" s="1407"/>
      <c r="AG74" s="1407"/>
      <c r="AH74" s="1407"/>
      <c r="AI74" s="1407"/>
      <c r="AJ74" s="1407"/>
      <c r="AK74" s="1407"/>
      <c r="AL74" s="1407"/>
      <c r="AM74" s="1407"/>
      <c r="AN74" s="1407"/>
    </row>
    <row r="75" spans="1:40" s="1406" customFormat="1" ht="24">
      <c r="A75" s="1070" t="s">
        <v>1027</v>
      </c>
      <c r="B75" s="3128" t="s">
        <v>2942</v>
      </c>
      <c r="C75" s="1162"/>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7"/>
      <c r="AF75" s="1407"/>
      <c r="AG75" s="1407"/>
      <c r="AH75" s="1407"/>
      <c r="AI75" s="1407"/>
      <c r="AJ75" s="1407"/>
      <c r="AK75" s="1407"/>
      <c r="AL75" s="1407"/>
      <c r="AM75" s="1407"/>
      <c r="AN75" s="1407"/>
    </row>
    <row r="76" spans="1:40" ht="36">
      <c r="A76" s="1070" t="s">
        <v>1030</v>
      </c>
      <c r="B76" s="2438" t="str">
        <f>估价对象房地状况!C20</f>
        <v>区域自然环境：；人文环境；综合评价环境状况一般</v>
      </c>
      <c r="C76" s="1162"/>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7"/>
      <c r="AN76" s="1408"/>
    </row>
    <row r="77" spans="1:40" ht="24.75" thickBot="1">
      <c r="A77" s="2468" t="s">
        <v>1037</v>
      </c>
      <c r="B77" s="1853"/>
      <c r="C77" s="1162"/>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9"/>
      <c r="AD77" s="1408"/>
      <c r="AJ77" s="1407"/>
      <c r="AN77" s="1408"/>
    </row>
    <row r="78" spans="1:40" ht="15">
      <c r="A78" s="2451" t="s">
        <v>1038</v>
      </c>
      <c r="B78" s="2452">
        <f>1+E80</f>
        <v>1</v>
      </c>
      <c r="C78" s="2471"/>
      <c r="D78" s="2454"/>
      <c r="E78" s="2455"/>
      <c r="F78" s="2456"/>
      <c r="G78" s="2450"/>
      <c r="H78" s="2450"/>
      <c r="I78" s="2450"/>
      <c r="J78" s="1069"/>
      <c r="K78" s="1069"/>
      <c r="L78" s="1069"/>
      <c r="M78" s="1069"/>
      <c r="N78" s="1069"/>
      <c r="AC78" s="1409"/>
      <c r="AD78" s="1408"/>
      <c r="AJ78" s="1407"/>
      <c r="AN78" s="1408"/>
    </row>
    <row r="79" spans="1:40" ht="24">
      <c r="A79" s="1070" t="s">
        <v>1010</v>
      </c>
      <c r="B79" s="2435"/>
      <c r="C79" s="2457" t="s">
        <v>1012</v>
      </c>
      <c r="D79" s="2458" t="s">
        <v>1013</v>
      </c>
      <c r="E79" s="2459" t="s">
        <v>1015</v>
      </c>
      <c r="F79" s="2460" t="s">
        <v>2255</v>
      </c>
      <c r="G79" s="2458" t="s">
        <v>1016</v>
      </c>
      <c r="H79" s="2441" t="s">
        <v>2420</v>
      </c>
      <c r="I79" s="2458" t="s">
        <v>1014</v>
      </c>
      <c r="J79" s="2461" t="s">
        <v>1017</v>
      </c>
      <c r="K79" s="2461" t="s">
        <v>1018</v>
      </c>
      <c r="L79" s="2461" t="s">
        <v>1019</v>
      </c>
      <c r="M79" s="2461" t="s">
        <v>1020</v>
      </c>
      <c r="N79" s="2461" t="s">
        <v>1021</v>
      </c>
      <c r="AC79" s="1409"/>
      <c r="AD79" s="1408"/>
      <c r="AJ79" s="1407"/>
      <c r="AN79" s="1408"/>
    </row>
    <row r="80" spans="1:40" ht="36">
      <c r="A80" s="1070" t="s">
        <v>1039</v>
      </c>
      <c r="B80" s="2435" t="str">
        <f>估价对象房地状况!G15</f>
        <v>估价对象位于XX开发区，园区建设成熟度XX，产业集聚程度XX</v>
      </c>
      <c r="C80" s="1053"/>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9"/>
      <c r="AD80" s="1408"/>
      <c r="AJ80" s="1407"/>
      <c r="AN80" s="1408"/>
    </row>
    <row r="81" spans="1:40" ht="48">
      <c r="A81" s="1070" t="s">
        <v>1035</v>
      </c>
      <c r="B81" s="2435" t="str">
        <f>估价对象房地状况!G16</f>
        <v>估价对象周边道路状况、公共交通通达情况、停车便捷程度，综合评价交通便捷度较好</v>
      </c>
      <c r="C81" s="1053"/>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9"/>
      <c r="AD81" s="1408"/>
      <c r="AJ81" s="1407"/>
      <c r="AN81" s="1408"/>
    </row>
    <row r="82" spans="1:40" ht="24">
      <c r="A82" s="1070" t="s">
        <v>1024</v>
      </c>
      <c r="B82" s="2435">
        <f>估价对象房地状况!G17</f>
        <v>0</v>
      </c>
      <c r="C82" s="1053"/>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9"/>
      <c r="AD82" s="1408"/>
      <c r="AJ82" s="1407"/>
      <c r="AN82" s="1408"/>
    </row>
    <row r="83" spans="1:40" ht="14.25">
      <c r="A83" s="1070" t="s">
        <v>1036</v>
      </c>
      <c r="B83" s="2435">
        <f>估价对象房地状况!G22</f>
        <v>0</v>
      </c>
      <c r="C83" s="1053"/>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9"/>
      <c r="AD83" s="1408"/>
      <c r="AJ83" s="1407"/>
      <c r="AN83" s="1408"/>
    </row>
    <row r="84" spans="1:40" ht="24">
      <c r="A84" s="1070" t="s">
        <v>1028</v>
      </c>
      <c r="B84" s="2436" t="str">
        <f>估价对象房地状况!G19</f>
        <v>估价对象所在区域公共配套设施齐备情况</v>
      </c>
      <c r="C84" s="1053"/>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9"/>
      <c r="AD84" s="1408"/>
      <c r="AJ84" s="1407"/>
      <c r="AN84" s="1408"/>
    </row>
    <row r="85" spans="1:40" ht="24">
      <c r="A85" s="1070" t="s">
        <v>1029</v>
      </c>
      <c r="B85" s="2436" t="str">
        <f>估价对象房地状况!G20</f>
        <v>估价对象所在区域基础设施水平</v>
      </c>
      <c r="C85" s="1053"/>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9"/>
      <c r="AD85" s="1408"/>
      <c r="AJ85" s="1407"/>
      <c r="AN85" s="1408"/>
    </row>
    <row r="86" spans="1:40" ht="24">
      <c r="A86" s="1070" t="s">
        <v>1027</v>
      </c>
      <c r="B86" s="3128" t="s">
        <v>2942</v>
      </c>
      <c r="C86" s="1053"/>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9"/>
      <c r="AD86" s="1408"/>
      <c r="AJ86" s="1407"/>
      <c r="AN86" s="1408"/>
    </row>
    <row r="87" spans="1:40" ht="36.75" thickBot="1">
      <c r="A87" s="2468" t="s">
        <v>1040</v>
      </c>
      <c r="B87" s="2437" t="str">
        <f>估价对象房地状况!G18</f>
        <v>该园区内是否有污染型企业，绿化情况，卫生条件，整体环境状况判断</v>
      </c>
      <c r="C87" s="1053"/>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9"/>
      <c r="AD87" s="1408"/>
      <c r="AJ87" s="1407"/>
      <c r="AN87" s="1408"/>
    </row>
    <row r="90" spans="1:40">
      <c r="A90" s="3425" t="s">
        <v>1635</v>
      </c>
      <c r="B90" s="3425"/>
      <c r="C90" s="3425"/>
      <c r="D90" s="3425"/>
      <c r="E90" s="3425"/>
      <c r="F90" s="3425"/>
      <c r="G90" s="3425"/>
      <c r="H90" s="3425"/>
      <c r="I90" s="3425"/>
      <c r="J90" s="3425"/>
      <c r="K90" s="2477"/>
      <c r="L90" s="2477"/>
      <c r="M90" s="2477"/>
      <c r="N90" s="2477"/>
    </row>
    <row r="91" spans="1:40">
      <c r="A91" s="3426" t="s">
        <v>1445</v>
      </c>
      <c r="B91" s="3426" t="s">
        <v>1636</v>
      </c>
      <c r="C91" s="1143" t="s">
        <v>1637</v>
      </c>
      <c r="D91" s="1144"/>
      <c r="E91" s="1144"/>
      <c r="F91" s="1144"/>
      <c r="G91" s="1144"/>
      <c r="H91" s="1144"/>
      <c r="I91" s="1144"/>
      <c r="J91" s="1145"/>
      <c r="K91" s="1137"/>
      <c r="L91" s="1137"/>
      <c r="M91" s="1137"/>
      <c r="N91" s="1137"/>
    </row>
    <row r="92" spans="1:40">
      <c r="A92" s="3426"/>
      <c r="B92" s="3426"/>
      <c r="C92" s="2476" t="s">
        <v>908</v>
      </c>
      <c r="D92" s="2476" t="s">
        <v>886</v>
      </c>
      <c r="E92" s="2476" t="s">
        <v>887</v>
      </c>
      <c r="F92" s="2476" t="s">
        <v>911</v>
      </c>
      <c r="G92" s="2476" t="s">
        <v>889</v>
      </c>
      <c r="H92" s="2476" t="s">
        <v>890</v>
      </c>
      <c r="I92" s="2476" t="s">
        <v>891</v>
      </c>
      <c r="J92" s="2476" t="s">
        <v>892</v>
      </c>
      <c r="K92" s="2476" t="s">
        <v>916</v>
      </c>
      <c r="L92" s="2476" t="s">
        <v>894</v>
      </c>
      <c r="M92" s="2476" t="s">
        <v>895</v>
      </c>
      <c r="N92" s="2476" t="s">
        <v>919</v>
      </c>
    </row>
    <row r="93" spans="1:40">
      <c r="A93" s="3415" t="s">
        <v>2770</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6"/>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7"/>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5" t="s">
        <v>1639</v>
      </c>
      <c r="B101" s="1150" t="s">
        <v>907</v>
      </c>
      <c r="C101" s="1151">
        <f>$G$3</f>
        <v>1.5</v>
      </c>
      <c r="D101" s="1151">
        <f t="shared" ref="D101:N101" si="31">$G$3</f>
        <v>1.5</v>
      </c>
      <c r="E101" s="1151">
        <f t="shared" si="31"/>
        <v>1.5</v>
      </c>
      <c r="F101" s="1151">
        <f t="shared" si="31"/>
        <v>1.5</v>
      </c>
      <c r="G101" s="1151">
        <f t="shared" si="31"/>
        <v>1.5</v>
      </c>
      <c r="H101" s="1151">
        <f t="shared" si="31"/>
        <v>1.5</v>
      </c>
      <c r="I101" s="1151">
        <f t="shared" si="31"/>
        <v>1.5</v>
      </c>
      <c r="J101" s="1151">
        <f t="shared" si="31"/>
        <v>1.5</v>
      </c>
      <c r="K101" s="1151">
        <f t="shared" si="31"/>
        <v>1.5</v>
      </c>
      <c r="L101" s="1151">
        <f t="shared" si="31"/>
        <v>1.5</v>
      </c>
      <c r="M101" s="1151">
        <f t="shared" si="31"/>
        <v>1.5</v>
      </c>
      <c r="N101" s="1151">
        <f t="shared" si="31"/>
        <v>1.5</v>
      </c>
    </row>
    <row r="102" spans="1:14">
      <c r="A102" s="3416"/>
      <c r="B102" s="1146">
        <v>1</v>
      </c>
      <c r="C102" s="1147">
        <f>1.9362/C101</f>
        <v>1.2907999999999999</v>
      </c>
      <c r="D102" s="1147">
        <f>1.9362/D101</f>
        <v>1.2907999999999999</v>
      </c>
      <c r="E102" s="1147">
        <f>1.8629/E101</f>
        <v>1.2419333333333333</v>
      </c>
      <c r="F102" s="1147">
        <f>1.8629/F101</f>
        <v>1.2419333333333333</v>
      </c>
      <c r="G102" s="1147">
        <f>1.8629/G101</f>
        <v>1.2419333333333333</v>
      </c>
      <c r="H102" s="1147">
        <f>1.8629/H101</f>
        <v>1.2419333333333333</v>
      </c>
      <c r="I102" s="1147">
        <f>1.8629/I101</f>
        <v>1.2419333333333333</v>
      </c>
      <c r="J102" s="1147">
        <f>1.942/J101</f>
        <v>1.2946666666666666</v>
      </c>
      <c r="K102" s="1147">
        <f>1.942/K101</f>
        <v>1.2946666666666666</v>
      </c>
      <c r="L102" s="1147">
        <f>1.942/L101</f>
        <v>1.2946666666666666</v>
      </c>
      <c r="M102" s="1147">
        <f>1.942/M101</f>
        <v>1.2946666666666666</v>
      </c>
      <c r="N102" s="1147">
        <f>1.942/N101</f>
        <v>1.2946666666666666</v>
      </c>
    </row>
    <row r="103" spans="1:14">
      <c r="A103" s="3416"/>
      <c r="B103" s="1146">
        <v>2</v>
      </c>
      <c r="C103" s="1147">
        <f>1.4198/C101</f>
        <v>0.94653333333333334</v>
      </c>
      <c r="D103" s="1147">
        <f>1.4198/D101</f>
        <v>0.94653333333333334</v>
      </c>
      <c r="E103" s="1147">
        <f>1.3372/E101</f>
        <v>0.89146666666666663</v>
      </c>
      <c r="F103" s="1147">
        <f>1.3372/F101</f>
        <v>0.89146666666666663</v>
      </c>
      <c r="G103" s="1147">
        <f>1.3372/G101</f>
        <v>0.89146666666666663</v>
      </c>
      <c r="H103" s="1147">
        <f>1.3372/H101</f>
        <v>0.89146666666666663</v>
      </c>
      <c r="I103" s="1147">
        <f>1.3372/I101</f>
        <v>0.89146666666666663</v>
      </c>
      <c r="J103" s="1147">
        <f>1.2799/J101</f>
        <v>0.85326666666666673</v>
      </c>
      <c r="K103" s="1147">
        <f>1.2799/K101</f>
        <v>0.85326666666666673</v>
      </c>
      <c r="L103" s="1147">
        <f>1.2799/L101</f>
        <v>0.85326666666666673</v>
      </c>
      <c r="M103" s="1147">
        <f>1.2799/M101</f>
        <v>0.85326666666666673</v>
      </c>
      <c r="N103" s="1147">
        <f>1.2799/N101</f>
        <v>0.85326666666666673</v>
      </c>
    </row>
    <row r="104" spans="1:14">
      <c r="A104" s="3416"/>
      <c r="B104" s="1146">
        <v>3</v>
      </c>
      <c r="C104" s="1147">
        <f>1.1594/C101</f>
        <v>0.77293333333333336</v>
      </c>
      <c r="D104" s="1147">
        <f>1.1594/D101</f>
        <v>0.77293333333333336</v>
      </c>
      <c r="E104" s="1147">
        <f>1.0788/E101</f>
        <v>0.71919999999999995</v>
      </c>
      <c r="F104" s="1147">
        <f>1.0788/F101</f>
        <v>0.71919999999999995</v>
      </c>
      <c r="G104" s="1147">
        <f>1.0788/G101</f>
        <v>0.71919999999999995</v>
      </c>
      <c r="H104" s="1147">
        <f>1.0788/H101</f>
        <v>0.71919999999999995</v>
      </c>
      <c r="I104" s="1147">
        <f>1.0788/I101</f>
        <v>0.71919999999999995</v>
      </c>
      <c r="J104" s="1147">
        <f>1.0072/J101</f>
        <v>0.67146666666666677</v>
      </c>
      <c r="K104" s="1147">
        <f>1.0072/K101</f>
        <v>0.67146666666666677</v>
      </c>
      <c r="L104" s="1147">
        <f>1.0072/L101</f>
        <v>0.67146666666666677</v>
      </c>
      <c r="M104" s="1147">
        <f>1.0072/M101</f>
        <v>0.67146666666666677</v>
      </c>
      <c r="N104" s="1147">
        <f>1.0072/N101</f>
        <v>0.67146666666666677</v>
      </c>
    </row>
    <row r="105" spans="1:14">
      <c r="A105" s="3416"/>
      <c r="B105" s="1146">
        <v>4</v>
      </c>
      <c r="C105" s="1147">
        <f>0.9622/C101</f>
        <v>0.64146666666666674</v>
      </c>
      <c r="D105" s="1147">
        <f>0.9622/D101</f>
        <v>0.64146666666666674</v>
      </c>
      <c r="E105" s="1147">
        <f>0.8656/E101</f>
        <v>0.57706666666666673</v>
      </c>
      <c r="F105" s="1147">
        <f>0.8656/F101</f>
        <v>0.57706666666666673</v>
      </c>
      <c r="G105" s="1147">
        <f>0.8656/G101</f>
        <v>0.57706666666666673</v>
      </c>
      <c r="H105" s="1147">
        <f>0.8656/H101</f>
        <v>0.57706666666666673</v>
      </c>
      <c r="I105" s="1147">
        <f>0.8656/I101</f>
        <v>0.57706666666666673</v>
      </c>
      <c r="J105" s="1147">
        <f>0.7525/J101</f>
        <v>0.50166666666666659</v>
      </c>
      <c r="K105" s="1147">
        <f>0.7525/K101</f>
        <v>0.50166666666666659</v>
      </c>
      <c r="L105" s="1147">
        <f>0.7525/L101</f>
        <v>0.50166666666666659</v>
      </c>
      <c r="M105" s="1147">
        <f>0.7525/M101</f>
        <v>0.50166666666666659</v>
      </c>
      <c r="N105" s="1147">
        <f>0.7525/N101</f>
        <v>0.50166666666666659</v>
      </c>
    </row>
    <row r="106" spans="1:14">
      <c r="A106" s="3416"/>
      <c r="B106" s="1146">
        <v>5</v>
      </c>
      <c r="C106" s="1147">
        <f>0.8417/C101</f>
        <v>0.56113333333333337</v>
      </c>
      <c r="D106" s="1147">
        <f>0.8417/D101</f>
        <v>0.56113333333333337</v>
      </c>
      <c r="E106" s="1147">
        <f>0.7371/E101</f>
        <v>0.4914</v>
      </c>
      <c r="F106" s="1147">
        <f>0.7371/F101</f>
        <v>0.4914</v>
      </c>
      <c r="G106" s="1147">
        <f>0.7371/G101</f>
        <v>0.4914</v>
      </c>
      <c r="H106" s="1147">
        <f>0.7371/H101</f>
        <v>0.4914</v>
      </c>
      <c r="I106" s="1147">
        <f>0.7371/I101</f>
        <v>0.4914</v>
      </c>
      <c r="J106" s="1147">
        <f>0.5659/J101</f>
        <v>0.37726666666666664</v>
      </c>
      <c r="K106" s="1147">
        <f>0.5659/K101</f>
        <v>0.37726666666666664</v>
      </c>
      <c r="L106" s="1147">
        <f>0.5659/L101</f>
        <v>0.37726666666666664</v>
      </c>
      <c r="M106" s="1147">
        <f>0.5659/M101</f>
        <v>0.37726666666666664</v>
      </c>
      <c r="N106" s="1147">
        <f>0.5659/N101</f>
        <v>0.37726666666666664</v>
      </c>
    </row>
    <row r="107" spans="1:14">
      <c r="A107" s="3416"/>
      <c r="B107" s="1146">
        <v>6</v>
      </c>
      <c r="C107" s="1147">
        <f>0.7608/C101</f>
        <v>0.50719999999999998</v>
      </c>
      <c r="D107" s="1147">
        <f>0.7608/D101</f>
        <v>0.50719999999999998</v>
      </c>
      <c r="E107" s="1147">
        <f>0.6482/E101</f>
        <v>0.43213333333333331</v>
      </c>
      <c r="F107" s="1147">
        <f>0.6482/F101</f>
        <v>0.43213333333333331</v>
      </c>
      <c r="G107" s="1147">
        <f>0.6482/G101</f>
        <v>0.43213333333333331</v>
      </c>
      <c r="H107" s="1147">
        <f>0.6482/H101</f>
        <v>0.43213333333333331</v>
      </c>
      <c r="I107" s="1147">
        <f>0.6482/I101</f>
        <v>0.43213333333333331</v>
      </c>
      <c r="J107" s="1147">
        <f>0.4525/J101</f>
        <v>0.30166666666666669</v>
      </c>
      <c r="K107" s="1147">
        <f>0.4525/K101</f>
        <v>0.30166666666666669</v>
      </c>
      <c r="L107" s="1147">
        <f>0.4525/L101</f>
        <v>0.30166666666666669</v>
      </c>
      <c r="M107" s="1147">
        <f>0.4525/M101</f>
        <v>0.30166666666666669</v>
      </c>
      <c r="N107" s="1147">
        <f>0.4525/N101</f>
        <v>0.30166666666666669</v>
      </c>
    </row>
    <row r="108" spans="1:14">
      <c r="A108" s="3416"/>
      <c r="B108" s="3418"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7"/>
      <c r="B109" s="3419"/>
      <c r="C109" s="1149">
        <f>(-0.163*(C108^2)-0.59*C108+7617)*(10^(-4))/C101</f>
        <v>0.5067898666666667</v>
      </c>
      <c r="D109" s="1149">
        <f>(-0.163*(D108^2)-0.59*D108+7617)*(10^(-4))/D101</f>
        <v>0.5067898666666667</v>
      </c>
      <c r="E109" s="1149">
        <f>(-0.161*(E108^2)-7.509*E108+6533)*(10^(-4))/E101</f>
        <v>0.43084159999999999</v>
      </c>
      <c r="F109" s="1149">
        <f>(-0.161*(F108^2)-7.509*F108+6533)*(10^(-4))/F101</f>
        <v>0.43084159999999999</v>
      </c>
      <c r="G109" s="1149">
        <f>(-0.161*(G108^2)-7.509*G108+6533)*(10^(-4))/G101</f>
        <v>0.43084159999999999</v>
      </c>
      <c r="H109" s="1149">
        <f>(-0.161*(H108^2)-7.509*H108+6533)*(10^(-4))/H101</f>
        <v>0.43084159999999999</v>
      </c>
      <c r="I109" s="1149">
        <f>(-0.161*(I108^2)-7.509*I108+6533)*(10^(-4))/I101</f>
        <v>0.43084159999999999</v>
      </c>
      <c r="J109" s="1149">
        <f>(-0.214*(J108^2)-21.991*J108+4665)*(10^(-4))/J101</f>
        <v>0.29835840000000002</v>
      </c>
      <c r="K109" s="1149">
        <f>(-0.214*(K108^2)-21.991*K108+4665)*(10^(-4))/K101</f>
        <v>0.29835840000000002</v>
      </c>
      <c r="L109" s="1149">
        <f>(-0.214*(L108^2)-21.991*L108+4665)*(10^(-4))/L101</f>
        <v>0.29835840000000002</v>
      </c>
      <c r="M109" s="1149">
        <f>(-0.214*(M108^2)-21.991*M108+4665)*(10^(-4))/M101</f>
        <v>0.29835840000000002</v>
      </c>
      <c r="N109" s="1149">
        <f>(-0.214*(N108^2)-21.991*N108+4665)*(10^(-4))/N101</f>
        <v>0.29835840000000002</v>
      </c>
    </row>
    <row r="110" spans="1:14">
      <c r="A110" s="3420" t="s">
        <v>1641</v>
      </c>
      <c r="B110" s="3420"/>
      <c r="C110" s="3420"/>
      <c r="D110" s="3420"/>
      <c r="E110" s="3420"/>
      <c r="F110" s="3420"/>
      <c r="G110" s="3420"/>
      <c r="H110" s="3420"/>
      <c r="I110" s="3420"/>
      <c r="J110" s="3420"/>
      <c r="K110" s="2475"/>
      <c r="L110" s="2475"/>
      <c r="M110" s="2475"/>
      <c r="N110" s="2475"/>
    </row>
    <row r="112" spans="1:14" ht="12.75" thickBot="1"/>
    <row r="113" spans="1:13" ht="25.5" thickBot="1">
      <c r="A113" s="1019" t="s">
        <v>897</v>
      </c>
      <c r="B113" s="2478">
        <f>G3</f>
        <v>1.5</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0.9194</v>
      </c>
      <c r="C115" s="1033">
        <f>B115</f>
        <v>0.9194</v>
      </c>
      <c r="D115" s="1033">
        <f>ROUND(0.8331-0.0109*B113,4)</f>
        <v>0.81679999999999997</v>
      </c>
      <c r="E115" s="1033">
        <f>D115</f>
        <v>0.81679999999999997</v>
      </c>
      <c r="F115" s="1033">
        <f>E115</f>
        <v>0.81679999999999997</v>
      </c>
      <c r="G115" s="1033">
        <f>F115</f>
        <v>0.81679999999999997</v>
      </c>
      <c r="H115" s="1033">
        <f>G115</f>
        <v>0.81679999999999997</v>
      </c>
      <c r="I115" s="1033">
        <f>ROUND(0.689-0.0155*B113,4)</f>
        <v>0.66579999999999995</v>
      </c>
      <c r="J115" s="1033">
        <f t="shared" ref="J115:M118" si="33">I115</f>
        <v>0.66579999999999995</v>
      </c>
      <c r="K115" s="1033">
        <f t="shared" si="33"/>
        <v>0.66579999999999995</v>
      </c>
      <c r="L115" s="1033">
        <f t="shared" si="33"/>
        <v>0.66579999999999995</v>
      </c>
      <c r="M115" s="1034">
        <f t="shared" si="33"/>
        <v>0.66579999999999995</v>
      </c>
    </row>
    <row r="116" spans="1:13" ht="12.75">
      <c r="A116" s="1032" t="s">
        <v>902</v>
      </c>
      <c r="B116" s="1033">
        <f>ROUND(0.949-0.012*B113,4)</f>
        <v>0.93100000000000005</v>
      </c>
      <c r="C116" s="1033">
        <f>B116</f>
        <v>0.93100000000000005</v>
      </c>
      <c r="D116" s="1033">
        <f>ROUND(0.8567-0.013*B113,4)</f>
        <v>0.83720000000000006</v>
      </c>
      <c r="E116" s="1033">
        <f t="shared" ref="E116:H117" si="34">D116</f>
        <v>0.83720000000000006</v>
      </c>
      <c r="F116" s="1033">
        <f t="shared" si="34"/>
        <v>0.83720000000000006</v>
      </c>
      <c r="G116" s="1033">
        <f t="shared" si="34"/>
        <v>0.83720000000000006</v>
      </c>
      <c r="H116" s="1033">
        <f t="shared" si="34"/>
        <v>0.83720000000000006</v>
      </c>
      <c r="I116" s="1033">
        <f>ROUND(0.7694-0.014*B113,4)</f>
        <v>0.74839999999999995</v>
      </c>
      <c r="J116" s="1033">
        <f t="shared" si="33"/>
        <v>0.74839999999999995</v>
      </c>
      <c r="K116" s="1033">
        <f t="shared" si="33"/>
        <v>0.74839999999999995</v>
      </c>
      <c r="L116" s="1033">
        <f t="shared" si="33"/>
        <v>0.74839999999999995</v>
      </c>
      <c r="M116" s="1034">
        <f t="shared" si="33"/>
        <v>0.74839999999999995</v>
      </c>
    </row>
    <row r="117" spans="1:13" ht="12.75">
      <c r="A117" s="1035" t="s">
        <v>903</v>
      </c>
      <c r="B117" s="1033">
        <f>ROUND(0.8808-0.006*B113,4)</f>
        <v>0.87180000000000002</v>
      </c>
      <c r="C117" s="1033">
        <f>B117</f>
        <v>0.87180000000000002</v>
      </c>
      <c r="D117" s="1033">
        <f>ROUND(0.8748-0.008*B113,4)</f>
        <v>0.86280000000000001</v>
      </c>
      <c r="E117" s="1033">
        <f t="shared" si="34"/>
        <v>0.86280000000000001</v>
      </c>
      <c r="F117" s="1033">
        <f t="shared" si="34"/>
        <v>0.86280000000000001</v>
      </c>
      <c r="G117" s="1033">
        <f t="shared" si="34"/>
        <v>0.86280000000000001</v>
      </c>
      <c r="H117" s="1033">
        <f t="shared" si="34"/>
        <v>0.86280000000000001</v>
      </c>
      <c r="I117" s="1033">
        <f>ROUND(0.7412-0.0095*B113,4)</f>
        <v>0.72699999999999998</v>
      </c>
      <c r="J117" s="1033">
        <f t="shared" si="33"/>
        <v>0.72699999999999998</v>
      </c>
      <c r="K117" s="1033">
        <f t="shared" si="33"/>
        <v>0.72699999999999998</v>
      </c>
      <c r="L117" s="1033">
        <f t="shared" si="33"/>
        <v>0.72699999999999998</v>
      </c>
      <c r="M117" s="1034">
        <f t="shared" si="33"/>
        <v>0.72699999999999998</v>
      </c>
    </row>
    <row r="118" spans="1:13" ht="13.5" thickBot="1">
      <c r="A118" s="1036" t="s">
        <v>904</v>
      </c>
      <c r="B118" s="1037">
        <f>ROUND(0.7275-0.01*B113,4)</f>
        <v>0.71250000000000002</v>
      </c>
      <c r="C118" s="1037">
        <f>B118</f>
        <v>0.71250000000000002</v>
      </c>
      <c r="D118" s="1037">
        <f>ROUND(0.7043-0.012*B113,4)</f>
        <v>0.68630000000000002</v>
      </c>
      <c r="E118" s="1037">
        <f>D118</f>
        <v>0.68630000000000002</v>
      </c>
      <c r="F118" s="1037">
        <f>E118</f>
        <v>0.68630000000000002</v>
      </c>
      <c r="G118" s="1037">
        <f>ROUND(0.6299-0.0122*B113,4)</f>
        <v>0.61160000000000003</v>
      </c>
      <c r="H118" s="1037">
        <f>G118</f>
        <v>0.61160000000000003</v>
      </c>
      <c r="I118" s="1037">
        <f>ROUND(0.5667-0.0136*B113,4)</f>
        <v>0.54630000000000001</v>
      </c>
      <c r="J118" s="1037">
        <f t="shared" si="33"/>
        <v>0.54630000000000001</v>
      </c>
      <c r="K118" s="1037">
        <f t="shared" si="33"/>
        <v>0.54630000000000001</v>
      </c>
      <c r="L118" s="1037">
        <f t="shared" si="33"/>
        <v>0.54630000000000001</v>
      </c>
      <c r="M118" s="1038">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426" t="s">
        <v>1009</v>
      </c>
      <c r="B18" s="1157" t="s">
        <v>1448</v>
      </c>
      <c r="C18" s="1134" t="s">
        <v>1449</v>
      </c>
      <c r="D18" s="1135"/>
      <c r="E18" s="1157">
        <v>1</v>
      </c>
      <c r="F18" s="1136" t="s">
        <v>1450</v>
      </c>
      <c r="G18" s="1137"/>
      <c r="H18" s="1108"/>
      <c r="I18" s="1108"/>
    </row>
    <row r="19" spans="1:9" s="1603" customFormat="1" ht="19.5" customHeight="1">
      <c r="A19" s="3426"/>
      <c r="B19" s="3426" t="s">
        <v>1451</v>
      </c>
      <c r="C19" s="1134" t="s">
        <v>1452</v>
      </c>
      <c r="D19" s="1135"/>
      <c r="E19" s="1157">
        <v>0.9</v>
      </c>
      <c r="F19" s="1136" t="s">
        <v>1453</v>
      </c>
      <c r="G19" s="1137"/>
      <c r="H19" s="1108"/>
      <c r="I19" s="1108"/>
    </row>
    <row r="20" spans="1:9" s="1603" customFormat="1" ht="19.5" customHeight="1">
      <c r="A20" s="3426"/>
      <c r="B20" s="3426"/>
      <c r="C20" s="1134" t="s">
        <v>1454</v>
      </c>
      <c r="D20" s="1135"/>
      <c r="E20" s="1157">
        <v>1.1000000000000001</v>
      </c>
      <c r="F20" s="1136" t="s">
        <v>1455</v>
      </c>
      <c r="G20" s="1137"/>
      <c r="H20" s="1108"/>
      <c r="I20" s="1108"/>
    </row>
    <row r="21" spans="1:9" s="1603" customFormat="1" ht="19.5" customHeight="1">
      <c r="A21" s="3426"/>
      <c r="B21" s="3426"/>
      <c r="C21" s="1134" t="s">
        <v>1456</v>
      </c>
      <c r="D21" s="1135"/>
      <c r="E21" s="1157">
        <v>0.8</v>
      </c>
      <c r="F21" s="1136" t="s">
        <v>1457</v>
      </c>
      <c r="G21" s="1137"/>
      <c r="H21" s="1108"/>
      <c r="I21" s="1108"/>
    </row>
    <row r="22" spans="1:9" s="1603" customFormat="1" ht="19.5" customHeight="1">
      <c r="A22" s="3426"/>
      <c r="B22" s="3426"/>
      <c r="C22" s="1134" t="s">
        <v>1458</v>
      </c>
      <c r="D22" s="1135"/>
      <c r="E22" s="1157">
        <v>0.5</v>
      </c>
      <c r="F22" s="1136"/>
      <c r="G22" s="1137"/>
      <c r="H22" s="1108"/>
      <c r="I22" s="1108"/>
    </row>
    <row r="23" spans="1:9" s="1603" customFormat="1" ht="19.5" customHeight="1">
      <c r="A23" s="3426" t="s">
        <v>1031</v>
      </c>
      <c r="B23" s="1157" t="s">
        <v>1448</v>
      </c>
      <c r="C23" s="1134" t="s">
        <v>1459</v>
      </c>
      <c r="D23" s="1135"/>
      <c r="E23" s="1157">
        <v>1</v>
      </c>
      <c r="F23" s="1136" t="s">
        <v>1460</v>
      </c>
      <c r="G23" s="1137"/>
      <c r="H23" s="1108"/>
      <c r="I23" s="1108"/>
    </row>
    <row r="24" spans="1:9" s="1603" customFormat="1" ht="19.5" customHeight="1">
      <c r="A24" s="3426"/>
      <c r="B24" s="3426" t="s">
        <v>1451</v>
      </c>
      <c r="C24" s="1134" t="s">
        <v>1461</v>
      </c>
      <c r="D24" s="1135"/>
      <c r="E24" s="1157">
        <v>0.5</v>
      </c>
      <c r="F24" s="1136"/>
      <c r="G24" s="1137"/>
      <c r="H24" s="1108"/>
      <c r="I24" s="1108"/>
    </row>
    <row r="25" spans="1:9" s="1603" customFormat="1" ht="19.5" customHeight="1">
      <c r="A25" s="3426"/>
      <c r="B25" s="3426"/>
      <c r="C25" s="1134" t="s">
        <v>1462</v>
      </c>
      <c r="D25" s="1135"/>
      <c r="E25" s="1157">
        <v>1.1000000000000001</v>
      </c>
      <c r="F25" s="1136"/>
      <c r="G25" s="1137"/>
      <c r="H25" s="1108"/>
      <c r="I25" s="1108"/>
    </row>
    <row r="26" spans="1:9" s="1603" customFormat="1" ht="19.5" customHeight="1">
      <c r="A26" s="3426"/>
      <c r="B26" s="3426"/>
      <c r="C26" s="1134" t="s">
        <v>1463</v>
      </c>
      <c r="D26" s="1135"/>
      <c r="E26" s="1157">
        <v>1.1000000000000001</v>
      </c>
      <c r="F26" s="1136"/>
      <c r="G26" s="1137"/>
      <c r="H26" s="1108"/>
      <c r="I26" s="1108"/>
    </row>
    <row r="27" spans="1:9" s="1603" customFormat="1" ht="19.5" customHeight="1">
      <c r="A27" s="3426"/>
      <c r="B27" s="3426"/>
      <c r="C27" s="1134" t="s">
        <v>1464</v>
      </c>
      <c r="D27" s="1135"/>
      <c r="E27" s="1157">
        <v>0.9</v>
      </c>
      <c r="F27" s="1136" t="s">
        <v>1465</v>
      </c>
      <c r="G27" s="1137"/>
      <c r="H27" s="1108"/>
      <c r="I27" s="1108"/>
    </row>
    <row r="28" spans="1:9" s="1603" customFormat="1" ht="19.5" customHeight="1">
      <c r="A28" s="3426"/>
      <c r="B28" s="3426"/>
      <c r="C28" s="1134" t="s">
        <v>1466</v>
      </c>
      <c r="D28" s="1135"/>
      <c r="E28" s="1157">
        <v>0.9</v>
      </c>
      <c r="F28" s="1136" t="s">
        <v>1467</v>
      </c>
      <c r="G28" s="1137"/>
      <c r="H28" s="1108"/>
      <c r="I28" s="1108"/>
    </row>
    <row r="29" spans="1:9" s="1603" customFormat="1" ht="19.5" customHeight="1">
      <c r="A29" s="3426"/>
      <c r="B29" s="3426"/>
      <c r="C29" s="1134" t="s">
        <v>1468</v>
      </c>
      <c r="D29" s="1135"/>
      <c r="E29" s="1157">
        <v>0.9</v>
      </c>
      <c r="F29" s="1136" t="s">
        <v>1469</v>
      </c>
      <c r="G29" s="1137"/>
      <c r="H29" s="1108"/>
      <c r="I29" s="1108"/>
    </row>
    <row r="30" spans="1:9" s="1603" customFormat="1" ht="19.5" customHeight="1">
      <c r="A30" s="3426"/>
      <c r="B30" s="3426"/>
      <c r="C30" s="1134" t="s">
        <v>1470</v>
      </c>
      <c r="D30" s="1135"/>
      <c r="E30" s="1157">
        <v>0.9</v>
      </c>
      <c r="F30" s="1136" t="s">
        <v>1471</v>
      </c>
      <c r="G30" s="1137"/>
      <c r="H30" s="1108"/>
      <c r="I30" s="1108"/>
    </row>
    <row r="31" spans="1:9" s="1603" customFormat="1" ht="19.5" customHeight="1">
      <c r="A31" s="3426"/>
      <c r="B31" s="3426"/>
      <c r="C31" s="1134" t="s">
        <v>1472</v>
      </c>
      <c r="D31" s="1135"/>
      <c r="E31" s="1157">
        <v>0.8</v>
      </c>
      <c r="F31" s="1136" t="s">
        <v>1473</v>
      </c>
      <c r="G31" s="1137"/>
      <c r="H31" s="1108"/>
      <c r="I31" s="1108"/>
    </row>
    <row r="32" spans="1:9" s="1603" customFormat="1" ht="19.5" customHeight="1">
      <c r="A32" s="3426"/>
      <c r="B32" s="3426"/>
      <c r="C32" s="1134" t="s">
        <v>1474</v>
      </c>
      <c r="D32" s="1135"/>
      <c r="E32" s="1157">
        <v>0.8</v>
      </c>
      <c r="F32" s="1136" t="s">
        <v>1475</v>
      </c>
      <c r="G32" s="1137"/>
      <c r="H32" s="1108"/>
      <c r="I32" s="1108"/>
    </row>
    <row r="33" spans="1:9" s="1603" customFormat="1" ht="19.5" customHeight="1">
      <c r="A33" s="3426" t="s">
        <v>1476</v>
      </c>
      <c r="B33" s="1157" t="s">
        <v>1448</v>
      </c>
      <c r="C33" s="1134" t="s">
        <v>1477</v>
      </c>
      <c r="D33" s="1135"/>
      <c r="E33" s="1157">
        <v>1</v>
      </c>
      <c r="F33" s="1136" t="s">
        <v>1478</v>
      </c>
      <c r="G33" s="1137"/>
      <c r="H33" s="1108"/>
      <c r="I33" s="1108"/>
    </row>
    <row r="34" spans="1:9" s="1603" customFormat="1" ht="19.5" customHeight="1">
      <c r="A34" s="3426"/>
      <c r="B34" s="1157" t="s">
        <v>1451</v>
      </c>
      <c r="C34" s="1134" t="s">
        <v>1479</v>
      </c>
      <c r="D34" s="1135"/>
      <c r="E34" s="1157">
        <v>1.5</v>
      </c>
      <c r="F34" s="1136" t="s">
        <v>1480</v>
      </c>
      <c r="G34" s="1137"/>
      <c r="H34" s="1108"/>
      <c r="I34" s="1108"/>
    </row>
    <row r="35" spans="1:9" s="1603" customFormat="1" ht="19.5" customHeight="1">
      <c r="A35" s="3426" t="s">
        <v>1434</v>
      </c>
      <c r="B35" s="1157" t="s">
        <v>1448</v>
      </c>
      <c r="C35" s="1134" t="s">
        <v>1481</v>
      </c>
      <c r="D35" s="1135"/>
      <c r="E35" s="1157">
        <v>1</v>
      </c>
      <c r="F35" s="1136" t="s">
        <v>1482</v>
      </c>
      <c r="G35" s="1137"/>
      <c r="H35" s="1108"/>
      <c r="I35" s="1108"/>
    </row>
    <row r="36" spans="1:9" s="1603" customFormat="1" ht="19.5" customHeight="1">
      <c r="A36" s="3426"/>
      <c r="B36" s="3426" t="s">
        <v>1451</v>
      </c>
      <c r="C36" s="1134" t="s">
        <v>1483</v>
      </c>
      <c r="D36" s="1135"/>
      <c r="E36" s="1157">
        <v>1</v>
      </c>
      <c r="F36" s="1136" t="s">
        <v>1484</v>
      </c>
      <c r="G36" s="1137"/>
      <c r="H36" s="1108"/>
      <c r="I36" s="1108"/>
    </row>
    <row r="37" spans="1:9" s="1603" customFormat="1" ht="19.5" customHeight="1">
      <c r="A37" s="3426"/>
      <c r="B37" s="3426"/>
      <c r="C37" s="1134" t="s">
        <v>1485</v>
      </c>
      <c r="D37" s="1135"/>
      <c r="E37" s="1157">
        <v>1.5</v>
      </c>
      <c r="F37" s="1136" t="s">
        <v>1486</v>
      </c>
      <c r="G37" s="1137"/>
      <c r="H37" s="1108"/>
      <c r="I37" s="1108"/>
    </row>
    <row r="38" spans="1:9" s="1603" customFormat="1" ht="19.5" customHeight="1">
      <c r="A38" s="3426"/>
      <c r="B38" s="3426"/>
      <c r="C38" s="1134" t="s">
        <v>1487</v>
      </c>
      <c r="D38" s="1135"/>
      <c r="E38" s="1157">
        <v>1</v>
      </c>
      <c r="F38" s="1136" t="s">
        <v>1488</v>
      </c>
      <c r="G38" s="1137"/>
      <c r="H38" s="1108"/>
      <c r="I38" s="1108"/>
    </row>
    <row r="39" spans="1:9" s="1603" customFormat="1" ht="19.5" customHeight="1">
      <c r="A39" s="3426"/>
      <c r="B39" s="3426"/>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26" t="s">
        <v>1503</v>
      </c>
      <c r="C61" s="1071" t="s">
        <v>1504</v>
      </c>
      <c r="D61" s="1071" t="s">
        <v>1505</v>
      </c>
      <c r="E61" s="1142">
        <v>0.5</v>
      </c>
      <c r="F61" s="1157">
        <v>80</v>
      </c>
      <c r="H61" s="1108">
        <f>SUMIF(C59:C119,基准地价!C8,E59:E119)</f>
        <v>0</v>
      </c>
    </row>
    <row r="62" spans="1:8" s="1108" customFormat="1" ht="24">
      <c r="A62" s="1157">
        <v>2</v>
      </c>
      <c r="B62" s="3426"/>
      <c r="C62" s="1071" t="s">
        <v>1506</v>
      </c>
      <c r="D62" s="1071" t="s">
        <v>1507</v>
      </c>
      <c r="E62" s="1142">
        <v>0.5</v>
      </c>
      <c r="F62" s="1157">
        <v>80</v>
      </c>
    </row>
    <row r="63" spans="1:8" s="1108" customFormat="1" ht="36">
      <c r="A63" s="1157">
        <v>3</v>
      </c>
      <c r="B63" s="3426"/>
      <c r="C63" s="1071" t="s">
        <v>1508</v>
      </c>
      <c r="D63" s="1071" t="s">
        <v>1509</v>
      </c>
      <c r="E63" s="1142">
        <v>0.5</v>
      </c>
      <c r="F63" s="1157">
        <v>80</v>
      </c>
    </row>
    <row r="64" spans="1:8" s="1108" customFormat="1" ht="36">
      <c r="A64" s="1157">
        <v>4</v>
      </c>
      <c r="B64" s="3426"/>
      <c r="C64" s="1071" t="s">
        <v>1510</v>
      </c>
      <c r="D64" s="1071" t="s">
        <v>1511</v>
      </c>
      <c r="E64" s="1142">
        <v>0.4</v>
      </c>
      <c r="F64" s="1157">
        <v>60</v>
      </c>
    </row>
    <row r="65" spans="1:6" s="1108" customFormat="1" ht="36">
      <c r="A65" s="1157">
        <v>5</v>
      </c>
      <c r="B65" s="3426"/>
      <c r="C65" s="1071" t="s">
        <v>1512</v>
      </c>
      <c r="D65" s="1071" t="s">
        <v>1513</v>
      </c>
      <c r="E65" s="1142">
        <v>0.2</v>
      </c>
      <c r="F65" s="1157">
        <v>30</v>
      </c>
    </row>
    <row r="66" spans="1:6" s="1108" customFormat="1" ht="36">
      <c r="A66" s="1157">
        <v>6</v>
      </c>
      <c r="B66" s="3426"/>
      <c r="C66" s="1071" t="s">
        <v>1514</v>
      </c>
      <c r="D66" s="1071" t="s">
        <v>1515</v>
      </c>
      <c r="E66" s="1142">
        <v>0.3</v>
      </c>
      <c r="F66" s="1157">
        <v>50</v>
      </c>
    </row>
    <row r="67" spans="1:6" s="1108" customFormat="1" ht="36">
      <c r="A67" s="1157">
        <v>7</v>
      </c>
      <c r="B67" s="3426"/>
      <c r="C67" s="1071" t="s">
        <v>1516</v>
      </c>
      <c r="D67" s="1071" t="s">
        <v>1517</v>
      </c>
      <c r="E67" s="1142">
        <v>0.2</v>
      </c>
      <c r="F67" s="1157">
        <v>30</v>
      </c>
    </row>
    <row r="68" spans="1:6" s="1108" customFormat="1" ht="36">
      <c r="A68" s="1157">
        <v>8</v>
      </c>
      <c r="B68" s="3426"/>
      <c r="C68" s="1071" t="s">
        <v>1518</v>
      </c>
      <c r="D68" s="1071" t="s">
        <v>1519</v>
      </c>
      <c r="E68" s="1142">
        <v>0.2</v>
      </c>
      <c r="F68" s="1157">
        <v>30</v>
      </c>
    </row>
    <row r="69" spans="1:6" s="1108" customFormat="1" ht="36">
      <c r="A69" s="1157">
        <v>9</v>
      </c>
      <c r="B69" s="3426"/>
      <c r="C69" s="1071" t="s">
        <v>1520</v>
      </c>
      <c r="D69" s="1071" t="s">
        <v>1521</v>
      </c>
      <c r="E69" s="1142">
        <v>0.2</v>
      </c>
      <c r="F69" s="1157">
        <v>30</v>
      </c>
    </row>
    <row r="70" spans="1:6" s="1108" customFormat="1" ht="48">
      <c r="A70" s="1157">
        <v>10</v>
      </c>
      <c r="B70" s="3426"/>
      <c r="C70" s="1071" t="s">
        <v>1522</v>
      </c>
      <c r="D70" s="1071" t="s">
        <v>1523</v>
      </c>
      <c r="E70" s="1142">
        <v>0.2</v>
      </c>
      <c r="F70" s="1157">
        <v>30</v>
      </c>
    </row>
    <row r="71" spans="1:6" s="1108" customFormat="1" ht="48">
      <c r="A71" s="1157">
        <v>11</v>
      </c>
      <c r="B71" s="3426"/>
      <c r="C71" s="1071" t="s">
        <v>1524</v>
      </c>
      <c r="D71" s="1071" t="s">
        <v>1525</v>
      </c>
      <c r="E71" s="1142">
        <v>0.2</v>
      </c>
      <c r="F71" s="1157">
        <v>30</v>
      </c>
    </row>
    <row r="72" spans="1:6" s="1108" customFormat="1" ht="36">
      <c r="A72" s="1157">
        <v>12</v>
      </c>
      <c r="B72" s="3426"/>
      <c r="C72" s="1071" t="s">
        <v>1526</v>
      </c>
      <c r="D72" s="1071" t="s">
        <v>1527</v>
      </c>
      <c r="E72" s="1142">
        <v>0.5</v>
      </c>
      <c r="F72" s="1157">
        <v>80</v>
      </c>
    </row>
    <row r="73" spans="1:6" s="1108" customFormat="1" ht="24">
      <c r="A73" s="1157">
        <v>13</v>
      </c>
      <c r="B73" s="3426"/>
      <c r="C73" s="1071" t="s">
        <v>1528</v>
      </c>
      <c r="D73" s="1071" t="s">
        <v>1529</v>
      </c>
      <c r="E73" s="1142">
        <v>0.4</v>
      </c>
      <c r="F73" s="1157">
        <v>60</v>
      </c>
    </row>
    <row r="74" spans="1:6" s="1108" customFormat="1" ht="24">
      <c r="A74" s="1157">
        <v>14</v>
      </c>
      <c r="B74" s="3426"/>
      <c r="C74" s="1071" t="s">
        <v>1530</v>
      </c>
      <c r="D74" s="1071" t="s">
        <v>1531</v>
      </c>
      <c r="E74" s="1142">
        <v>0.2</v>
      </c>
      <c r="F74" s="1157">
        <v>30</v>
      </c>
    </row>
    <row r="75" spans="1:6" s="1108" customFormat="1" ht="24">
      <c r="A75" s="1157">
        <v>15</v>
      </c>
      <c r="B75" s="3426"/>
      <c r="C75" s="1071" t="s">
        <v>1532</v>
      </c>
      <c r="D75" s="1071" t="s">
        <v>1533</v>
      </c>
      <c r="E75" s="1142">
        <v>0.2</v>
      </c>
      <c r="F75" s="1157">
        <v>30</v>
      </c>
    </row>
    <row r="76" spans="1:6" s="1108" customFormat="1" ht="24">
      <c r="A76" s="1157">
        <v>16</v>
      </c>
      <c r="B76" s="3426" t="s">
        <v>1534</v>
      </c>
      <c r="C76" s="1071" t="s">
        <v>1535</v>
      </c>
      <c r="D76" s="1071" t="s">
        <v>1536</v>
      </c>
      <c r="E76" s="1142">
        <v>0.5</v>
      </c>
      <c r="F76" s="1157">
        <v>80</v>
      </c>
    </row>
    <row r="77" spans="1:6" s="1108" customFormat="1" ht="24">
      <c r="A77" s="1157">
        <v>17</v>
      </c>
      <c r="B77" s="3426"/>
      <c r="C77" s="1071" t="s">
        <v>1537</v>
      </c>
      <c r="D77" s="1071" t="s">
        <v>1538</v>
      </c>
      <c r="E77" s="1142">
        <v>0.5</v>
      </c>
      <c r="F77" s="1157">
        <v>80</v>
      </c>
    </row>
    <row r="78" spans="1:6" s="1108" customFormat="1" ht="24">
      <c r="A78" s="1157">
        <v>18</v>
      </c>
      <c r="B78" s="3426"/>
      <c r="C78" s="1071" t="s">
        <v>1539</v>
      </c>
      <c r="D78" s="1071" t="s">
        <v>1540</v>
      </c>
      <c r="E78" s="1142">
        <v>0.2</v>
      </c>
      <c r="F78" s="1157">
        <v>30</v>
      </c>
    </row>
    <row r="79" spans="1:6" s="1108" customFormat="1" ht="24">
      <c r="A79" s="1157">
        <v>19</v>
      </c>
      <c r="B79" s="3426"/>
      <c r="C79" s="1071" t="s">
        <v>1541</v>
      </c>
      <c r="D79" s="1071" t="s">
        <v>1542</v>
      </c>
      <c r="E79" s="1142">
        <v>0.5</v>
      </c>
      <c r="F79" s="1157">
        <v>80</v>
      </c>
    </row>
    <row r="80" spans="1:6" s="1108" customFormat="1" ht="36">
      <c r="A80" s="1157">
        <v>20</v>
      </c>
      <c r="B80" s="3426"/>
      <c r="C80" s="1071" t="s">
        <v>1543</v>
      </c>
      <c r="D80" s="1071" t="s">
        <v>1544</v>
      </c>
      <c r="E80" s="1142">
        <v>0.2</v>
      </c>
      <c r="F80" s="1157">
        <v>30</v>
      </c>
    </row>
    <row r="81" spans="1:6" s="1108" customFormat="1" ht="36">
      <c r="A81" s="1157">
        <v>21</v>
      </c>
      <c r="B81" s="3426"/>
      <c r="C81" s="1071" t="s">
        <v>1545</v>
      </c>
      <c r="D81" s="1071" t="s">
        <v>1546</v>
      </c>
      <c r="E81" s="1142">
        <v>0.2</v>
      </c>
      <c r="F81" s="1157">
        <v>30</v>
      </c>
    </row>
    <row r="82" spans="1:6" s="1108" customFormat="1" ht="48">
      <c r="A82" s="1157">
        <v>22</v>
      </c>
      <c r="B82" s="3426"/>
      <c r="C82" s="1071" t="s">
        <v>1547</v>
      </c>
      <c r="D82" s="1071" t="s">
        <v>1548</v>
      </c>
      <c r="E82" s="1142">
        <v>0.2</v>
      </c>
      <c r="F82" s="1157">
        <v>30</v>
      </c>
    </row>
    <row r="83" spans="1:6" s="1108" customFormat="1" ht="48">
      <c r="A83" s="1157">
        <v>23</v>
      </c>
      <c r="B83" s="3426"/>
      <c r="C83" s="1071" t="s">
        <v>1549</v>
      </c>
      <c r="D83" s="1071" t="s">
        <v>1550</v>
      </c>
      <c r="E83" s="1142">
        <v>0.2</v>
      </c>
      <c r="F83" s="1157">
        <v>30</v>
      </c>
    </row>
    <row r="84" spans="1:6" s="1108" customFormat="1" ht="36">
      <c r="A84" s="1157">
        <v>24</v>
      </c>
      <c r="B84" s="3426"/>
      <c r="C84" s="1071" t="s">
        <v>1551</v>
      </c>
      <c r="D84" s="1071" t="s">
        <v>1552</v>
      </c>
      <c r="E84" s="1142">
        <v>0.2</v>
      </c>
      <c r="F84" s="1157">
        <v>30</v>
      </c>
    </row>
    <row r="85" spans="1:6" s="1108" customFormat="1" ht="36">
      <c r="A85" s="1157">
        <v>25</v>
      </c>
      <c r="B85" s="3426"/>
      <c r="C85" s="1071" t="s">
        <v>1553</v>
      </c>
      <c r="D85" s="1071" t="s">
        <v>1554</v>
      </c>
      <c r="E85" s="1142">
        <v>0.5</v>
      </c>
      <c r="F85" s="1157">
        <v>80</v>
      </c>
    </row>
    <row r="86" spans="1:6" s="1108" customFormat="1" ht="36">
      <c r="A86" s="1157">
        <v>26</v>
      </c>
      <c r="B86" s="3426"/>
      <c r="C86" s="1071" t="s">
        <v>1555</v>
      </c>
      <c r="D86" s="1071" t="s">
        <v>1556</v>
      </c>
      <c r="E86" s="1142">
        <v>0.2</v>
      </c>
      <c r="F86" s="1157">
        <v>30</v>
      </c>
    </row>
    <row r="87" spans="1:6" s="1108" customFormat="1" ht="36">
      <c r="A87" s="1157">
        <v>27</v>
      </c>
      <c r="B87" s="3426"/>
      <c r="C87" s="1071" t="s">
        <v>1557</v>
      </c>
      <c r="D87" s="1071" t="s">
        <v>1558</v>
      </c>
      <c r="E87" s="1142">
        <v>0.2</v>
      </c>
      <c r="F87" s="1157">
        <v>30</v>
      </c>
    </row>
    <row r="88" spans="1:6" s="1108" customFormat="1" ht="36">
      <c r="A88" s="1157">
        <v>28</v>
      </c>
      <c r="B88" s="3426"/>
      <c r="C88" s="1071" t="s">
        <v>1559</v>
      </c>
      <c r="D88" s="1071" t="s">
        <v>1560</v>
      </c>
      <c r="E88" s="1142">
        <v>0.2</v>
      </c>
      <c r="F88" s="1157">
        <v>30</v>
      </c>
    </row>
    <row r="89" spans="1:6" s="1108" customFormat="1" ht="24">
      <c r="A89" s="1157">
        <v>29</v>
      </c>
      <c r="B89" s="3426"/>
      <c r="C89" s="1071" t="s">
        <v>1561</v>
      </c>
      <c r="D89" s="1071" t="s">
        <v>1562</v>
      </c>
      <c r="E89" s="1142">
        <v>0.2</v>
      </c>
      <c r="F89" s="1157">
        <v>30</v>
      </c>
    </row>
    <row r="90" spans="1:6" s="1108" customFormat="1" ht="24">
      <c r="A90" s="1157">
        <v>30</v>
      </c>
      <c r="B90" s="3426"/>
      <c r="C90" s="1071" t="s">
        <v>1563</v>
      </c>
      <c r="D90" s="1071" t="s">
        <v>1564</v>
      </c>
      <c r="E90" s="1142">
        <v>0.2</v>
      </c>
      <c r="F90" s="1157">
        <v>30</v>
      </c>
    </row>
    <row r="91" spans="1:6" s="1108" customFormat="1" ht="36">
      <c r="A91" s="1157">
        <v>31</v>
      </c>
      <c r="B91" s="3426"/>
      <c r="C91" s="1071" t="s">
        <v>1565</v>
      </c>
      <c r="D91" s="1071" t="s">
        <v>1566</v>
      </c>
      <c r="E91" s="1142">
        <v>0.2</v>
      </c>
      <c r="F91" s="1157">
        <v>30</v>
      </c>
    </row>
    <row r="92" spans="1:6" s="1108" customFormat="1" ht="24">
      <c r="A92" s="1157">
        <v>32</v>
      </c>
      <c r="B92" s="3426" t="s">
        <v>1567</v>
      </c>
      <c r="C92" s="1157" t="s">
        <v>1568</v>
      </c>
      <c r="D92" s="1071" t="s">
        <v>1569</v>
      </c>
      <c r="E92" s="1142">
        <v>0.2</v>
      </c>
      <c r="F92" s="1157">
        <v>30</v>
      </c>
    </row>
    <row r="93" spans="1:6" s="1108" customFormat="1" ht="36">
      <c r="A93" s="1157">
        <v>33</v>
      </c>
      <c r="B93" s="3426"/>
      <c r="C93" s="1157" t="s">
        <v>1570</v>
      </c>
      <c r="D93" s="1071" t="s">
        <v>1571</v>
      </c>
      <c r="E93" s="1142">
        <v>0.2</v>
      </c>
      <c r="F93" s="1157">
        <v>30</v>
      </c>
    </row>
    <row r="94" spans="1:6" s="1108" customFormat="1" ht="48">
      <c r="A94" s="1157">
        <v>34</v>
      </c>
      <c r="B94" s="3426"/>
      <c r="C94" s="1157" t="s">
        <v>1572</v>
      </c>
      <c r="D94" s="1071" t="s">
        <v>1573</v>
      </c>
      <c r="E94" s="1142">
        <v>0.2</v>
      </c>
      <c r="F94" s="1157">
        <v>30</v>
      </c>
    </row>
    <row r="95" spans="1:6" s="1108" customFormat="1" ht="36">
      <c r="A95" s="1157">
        <v>35</v>
      </c>
      <c r="B95" s="3426"/>
      <c r="C95" s="1157" t="s">
        <v>1574</v>
      </c>
      <c r="D95" s="1071" t="s">
        <v>1575</v>
      </c>
      <c r="E95" s="1142">
        <v>0.2</v>
      </c>
      <c r="F95" s="1157">
        <v>30</v>
      </c>
    </row>
    <row r="96" spans="1:6" s="1108" customFormat="1" ht="48">
      <c r="A96" s="1157">
        <v>36</v>
      </c>
      <c r="B96" s="3426"/>
      <c r="C96" s="1071" t="s">
        <v>1576</v>
      </c>
      <c r="D96" s="1071" t="s">
        <v>1577</v>
      </c>
      <c r="E96" s="1142">
        <v>0.2</v>
      </c>
      <c r="F96" s="1157">
        <v>30</v>
      </c>
    </row>
    <row r="97" spans="1:6" s="1108" customFormat="1" ht="36">
      <c r="A97" s="1157">
        <v>37</v>
      </c>
      <c r="B97" s="3426"/>
      <c r="C97" s="1157" t="s">
        <v>1578</v>
      </c>
      <c r="D97" s="1071" t="s">
        <v>1579</v>
      </c>
      <c r="E97" s="1142">
        <v>0.2</v>
      </c>
      <c r="F97" s="1157">
        <v>30</v>
      </c>
    </row>
    <row r="98" spans="1:6" s="1108" customFormat="1" ht="36">
      <c r="A98" s="1157">
        <v>38</v>
      </c>
      <c r="B98" s="3426"/>
      <c r="C98" s="1157" t="s">
        <v>1580</v>
      </c>
      <c r="D98" s="1071" t="s">
        <v>1581</v>
      </c>
      <c r="E98" s="1142">
        <v>0.2</v>
      </c>
      <c r="F98" s="1157">
        <v>30</v>
      </c>
    </row>
    <row r="99" spans="1:6" s="1108" customFormat="1" ht="36">
      <c r="A99" s="1157">
        <v>39</v>
      </c>
      <c r="B99" s="3426" t="s">
        <v>1582</v>
      </c>
      <c r="C99" s="1157" t="s">
        <v>1583</v>
      </c>
      <c r="D99" s="1071" t="s">
        <v>1584</v>
      </c>
      <c r="E99" s="1142">
        <v>0.3</v>
      </c>
      <c r="F99" s="1157">
        <v>50</v>
      </c>
    </row>
    <row r="100" spans="1:6" s="1108" customFormat="1" ht="24">
      <c r="A100" s="1157">
        <v>40</v>
      </c>
      <c r="B100" s="3426"/>
      <c r="C100" s="1157" t="s">
        <v>1585</v>
      </c>
      <c r="D100" s="1071" t="s">
        <v>1586</v>
      </c>
      <c r="E100" s="1142">
        <v>0.2</v>
      </c>
      <c r="F100" s="1157">
        <v>30</v>
      </c>
    </row>
    <row r="101" spans="1:6" s="1108" customFormat="1" ht="36">
      <c r="A101" s="1157">
        <v>41</v>
      </c>
      <c r="B101" s="3426"/>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26" t="s">
        <v>1597</v>
      </c>
      <c r="C105" s="1157" t="s">
        <v>1598</v>
      </c>
      <c r="D105" s="1071" t="s">
        <v>1599</v>
      </c>
      <c r="E105" s="1142">
        <v>0.2</v>
      </c>
      <c r="F105" s="1157">
        <v>30</v>
      </c>
    </row>
    <row r="106" spans="1:6" s="1108" customFormat="1" ht="36">
      <c r="A106" s="1157">
        <v>46</v>
      </c>
      <c r="B106" s="3426"/>
      <c r="C106" s="1157" t="s">
        <v>1600</v>
      </c>
      <c r="D106" s="1071" t="s">
        <v>1601</v>
      </c>
      <c r="E106" s="1142">
        <v>0.2</v>
      </c>
      <c r="F106" s="1157">
        <v>30</v>
      </c>
    </row>
    <row r="107" spans="1:6" s="1108" customFormat="1" ht="36">
      <c r="A107" s="1157">
        <v>47</v>
      </c>
      <c r="B107" s="3426" t="s">
        <v>1602</v>
      </c>
      <c r="C107" s="1157" t="s">
        <v>1603</v>
      </c>
      <c r="D107" s="1071" t="s">
        <v>1604</v>
      </c>
      <c r="E107" s="1142">
        <v>0.3</v>
      </c>
      <c r="F107" s="1157">
        <v>50</v>
      </c>
    </row>
    <row r="108" spans="1:6" s="1108" customFormat="1" ht="36">
      <c r="A108" s="1157">
        <v>48</v>
      </c>
      <c r="B108" s="3426"/>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26" t="s">
        <v>1613</v>
      </c>
      <c r="C111" s="1157" t="s">
        <v>1614</v>
      </c>
      <c r="D111" s="1071" t="s">
        <v>1615</v>
      </c>
      <c r="E111" s="1142">
        <v>0.2</v>
      </c>
      <c r="F111" s="1157">
        <v>30</v>
      </c>
    </row>
    <row r="112" spans="1:6" s="1108" customFormat="1" ht="24">
      <c r="A112" s="1157">
        <v>52</v>
      </c>
      <c r="B112" s="3426"/>
      <c r="C112" s="1157" t="s">
        <v>1616</v>
      </c>
      <c r="D112" s="1071" t="s">
        <v>1617</v>
      </c>
      <c r="E112" s="1142">
        <v>0.2</v>
      </c>
      <c r="F112" s="1157">
        <v>30</v>
      </c>
    </row>
    <row r="113" spans="1:14" s="1108" customFormat="1" ht="24">
      <c r="A113" s="1157">
        <v>53</v>
      </c>
      <c r="B113" s="3426"/>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26" t="s">
        <v>1626</v>
      </c>
      <c r="C116" s="1157" t="s">
        <v>1627</v>
      </c>
      <c r="D116" s="1071" t="s">
        <v>1628</v>
      </c>
      <c r="E116" s="1142">
        <v>0.2</v>
      </c>
      <c r="F116" s="1157">
        <v>30</v>
      </c>
    </row>
    <row r="117" spans="1:14" ht="36">
      <c r="A117" s="1157">
        <v>57</v>
      </c>
      <c r="B117" s="3426"/>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25" t="s">
        <v>1635</v>
      </c>
      <c r="B121" s="3425"/>
      <c r="C121" s="3425"/>
      <c r="D121" s="3425"/>
      <c r="E121" s="3425"/>
      <c r="F121" s="3425"/>
      <c r="G121" s="3425"/>
      <c r="H121" s="3425"/>
      <c r="I121" s="3425"/>
      <c r="J121" s="342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0" t="s">
        <v>1041</v>
      </c>
      <c r="B1" s="3430"/>
      <c r="C1" s="3430"/>
      <c r="D1" s="3430"/>
      <c r="E1" s="3430"/>
      <c r="F1" s="3430"/>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31" t="s">
        <v>1054</v>
      </c>
      <c r="B2" s="3431"/>
      <c r="C2" s="3431"/>
      <c r="D2" s="3431"/>
      <c r="E2" s="3431"/>
      <c r="F2" s="3431"/>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32"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33"/>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2424</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2425</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34" t="s">
        <v>2081</v>
      </c>
      <c r="B1" s="3434"/>
    </row>
    <row r="2" spans="1:6" ht="14.25" thickBot="1">
      <c r="A2" s="1854"/>
      <c r="B2" s="1854"/>
    </row>
    <row r="3" spans="1:6" ht="14.25" thickBot="1">
      <c r="A3" s="1854"/>
      <c r="B3" s="1854"/>
      <c r="C3" s="1855" t="s">
        <v>2082</v>
      </c>
      <c r="D3" s="1855" t="s">
        <v>2083</v>
      </c>
      <c r="E3" s="1855" t="s">
        <v>2084</v>
      </c>
      <c r="F3" s="1855" t="s">
        <v>2085</v>
      </c>
    </row>
    <row r="4" spans="1:6" ht="14.25" thickBot="1">
      <c r="A4" s="1856" t="s">
        <v>2086</v>
      </c>
      <c r="B4" s="1857" t="s">
        <v>2087</v>
      </c>
      <c r="C4" s="1855"/>
      <c r="D4" s="1855"/>
      <c r="E4" s="1855"/>
      <c r="F4" s="1855"/>
    </row>
    <row r="5" spans="1:6" ht="14.25" thickBot="1">
      <c r="A5" s="1858" t="s">
        <v>2088</v>
      </c>
      <c r="B5" s="1859" t="s">
        <v>2089</v>
      </c>
      <c r="C5" s="1860">
        <v>8.8999999999999996E-2</v>
      </c>
      <c r="D5" s="1860">
        <v>7.3999999999999996E-2</v>
      </c>
      <c r="E5" s="1860">
        <v>7.4999999999999997E-2</v>
      </c>
      <c r="F5" s="1861">
        <v>0.1</v>
      </c>
    </row>
    <row r="6" spans="1:6" ht="14.25" thickBot="1">
      <c r="A6" s="1858" t="s">
        <v>1098</v>
      </c>
      <c r="B6" s="1862" t="s">
        <v>2090</v>
      </c>
      <c r="C6" s="1863">
        <v>0.1</v>
      </c>
      <c r="D6" s="1863">
        <v>9.0999999999999998E-2</v>
      </c>
      <c r="E6" s="1863">
        <v>9.0999999999999998E-2</v>
      </c>
      <c r="F6" s="1864">
        <v>0.1</v>
      </c>
    </row>
    <row r="7" spans="1:6" ht="14.25" thickBot="1">
      <c r="A7" s="1858" t="s">
        <v>1098</v>
      </c>
      <c r="B7" s="1865" t="s">
        <v>1086</v>
      </c>
      <c r="C7" s="1863">
        <v>8.5999999999999993E-2</v>
      </c>
      <c r="D7" s="1863">
        <v>9.6000000000000002E-2</v>
      </c>
      <c r="E7" s="1863">
        <v>7.5999999999999998E-2</v>
      </c>
      <c r="F7" s="1864">
        <v>0.1</v>
      </c>
    </row>
    <row r="8" spans="1:6" ht="14.25" thickBot="1">
      <c r="A8" s="1858" t="s">
        <v>1098</v>
      </c>
      <c r="B8" s="1862" t="s">
        <v>1099</v>
      </c>
      <c r="C8" s="1863">
        <v>9.9000000000000005E-2</v>
      </c>
      <c r="D8" s="1863">
        <v>9.8000000000000004E-2</v>
      </c>
      <c r="E8" s="1863">
        <v>9.8000000000000004E-2</v>
      </c>
      <c r="F8" s="1864">
        <v>0.1</v>
      </c>
    </row>
    <row r="9" spans="1:6" ht="14.25" thickBot="1">
      <c r="A9" s="1866" t="s">
        <v>1098</v>
      </c>
      <c r="B9" s="1867" t="s">
        <v>1113</v>
      </c>
      <c r="C9" s="1868">
        <v>0.05</v>
      </c>
      <c r="D9" s="1869"/>
      <c r="E9" s="1869"/>
      <c r="F9" s="1870"/>
    </row>
    <row r="10" spans="1:6" ht="14.25" thickBot="1">
      <c r="A10" s="1858" t="s">
        <v>1157</v>
      </c>
      <c r="B10" s="1859" t="s">
        <v>2091</v>
      </c>
      <c r="C10" s="1860">
        <v>8.8999999999999996E-2</v>
      </c>
      <c r="D10" s="1860">
        <v>7.2999999999999995E-2</v>
      </c>
      <c r="E10" s="1860">
        <v>8.2000000000000003E-2</v>
      </c>
      <c r="F10" s="1861">
        <v>0.1</v>
      </c>
    </row>
    <row r="11" spans="1:6" ht="14.25" thickBot="1">
      <c r="A11" s="1858" t="s">
        <v>1157</v>
      </c>
      <c r="B11" s="1865" t="s">
        <v>1073</v>
      </c>
      <c r="C11" s="1863">
        <v>8.8999999999999996E-2</v>
      </c>
      <c r="D11" s="1863">
        <v>7.2999999999999995E-2</v>
      </c>
      <c r="E11" s="1863">
        <v>8.2000000000000003E-2</v>
      </c>
      <c r="F11" s="1864">
        <v>0.1</v>
      </c>
    </row>
    <row r="12" spans="1:6" ht="14.25" thickBot="1">
      <c r="A12" s="1858" t="s">
        <v>1157</v>
      </c>
      <c r="B12" s="1865" t="s">
        <v>1087</v>
      </c>
      <c r="C12" s="1863">
        <v>6.0999999999999999E-2</v>
      </c>
      <c r="D12" s="1863">
        <v>7.0999999999999994E-2</v>
      </c>
      <c r="E12" s="1863">
        <v>9.6000000000000002E-2</v>
      </c>
      <c r="F12" s="1864">
        <v>0.1</v>
      </c>
    </row>
    <row r="13" spans="1:6" ht="14.25" thickBot="1">
      <c r="A13" s="1858" t="s">
        <v>1157</v>
      </c>
      <c r="B13" s="1865" t="s">
        <v>1100</v>
      </c>
      <c r="C13" s="1863">
        <v>6.9000000000000006E-2</v>
      </c>
      <c r="D13" s="1863">
        <v>6.5000000000000002E-2</v>
      </c>
      <c r="E13" s="1863">
        <v>6.6000000000000003E-2</v>
      </c>
      <c r="F13" s="1864">
        <v>0.1</v>
      </c>
    </row>
    <row r="14" spans="1:6" ht="14.25" thickBot="1">
      <c r="A14" s="1858" t="s">
        <v>1157</v>
      </c>
      <c r="B14" s="1865" t="s">
        <v>1114</v>
      </c>
      <c r="C14" s="1863">
        <v>0.1</v>
      </c>
      <c r="D14" s="1863">
        <v>6.5000000000000002E-2</v>
      </c>
      <c r="E14" s="1863">
        <v>7.0000000000000007E-2</v>
      </c>
      <c r="F14" s="1864">
        <v>0.1</v>
      </c>
    </row>
    <row r="15" spans="1:6" ht="14.25" thickBot="1">
      <c r="A15" s="1858" t="s">
        <v>1157</v>
      </c>
      <c r="B15" s="1865" t="s">
        <v>1125</v>
      </c>
      <c r="C15" s="1863">
        <v>9.8000000000000004E-2</v>
      </c>
      <c r="D15" s="1863">
        <v>8.8999999999999996E-2</v>
      </c>
      <c r="E15" s="1863">
        <v>8.8999999999999996E-2</v>
      </c>
      <c r="F15" s="1864">
        <v>0.1</v>
      </c>
    </row>
    <row r="16" spans="1:6" ht="14.25" thickBot="1">
      <c r="A16" s="1858" t="s">
        <v>1157</v>
      </c>
      <c r="B16" s="1865" t="s">
        <v>1136</v>
      </c>
      <c r="C16" s="1863">
        <v>7.0000000000000007E-2</v>
      </c>
      <c r="D16" s="1863">
        <v>9.2999999999999999E-2</v>
      </c>
      <c r="E16" s="1863">
        <v>9.6000000000000002E-2</v>
      </c>
      <c r="F16" s="1864">
        <v>0.1</v>
      </c>
    </row>
    <row r="17" spans="1:6" ht="14.25" thickBot="1">
      <c r="A17" s="1858" t="s">
        <v>1157</v>
      </c>
      <c r="B17" s="1865" t="s">
        <v>1147</v>
      </c>
      <c r="C17" s="1863">
        <v>9.5000000000000001E-2</v>
      </c>
      <c r="D17" s="1863">
        <v>0.1</v>
      </c>
      <c r="E17" s="1863">
        <v>0.1</v>
      </c>
      <c r="F17" s="1871"/>
    </row>
    <row r="18" spans="1:6" ht="14.25" thickBot="1">
      <c r="A18" s="1858" t="s">
        <v>1157</v>
      </c>
      <c r="B18" s="1865" t="s">
        <v>1159</v>
      </c>
      <c r="C18" s="1863">
        <v>7.3999999999999996E-2</v>
      </c>
      <c r="D18" s="1863">
        <v>9.9000000000000005E-2</v>
      </c>
      <c r="E18" s="1863">
        <v>0.1</v>
      </c>
      <c r="F18" s="1871"/>
    </row>
    <row r="19" spans="1:6" ht="14.25" thickBot="1">
      <c r="A19" s="1858" t="s">
        <v>1157</v>
      </c>
      <c r="B19" s="1865" t="s">
        <v>1169</v>
      </c>
      <c r="C19" s="1863">
        <v>9.9000000000000005E-2</v>
      </c>
      <c r="D19" s="1863">
        <v>7.5999999999999998E-2</v>
      </c>
      <c r="E19" s="1863">
        <v>8.6999999999999994E-2</v>
      </c>
      <c r="F19" s="1871"/>
    </row>
    <row r="20" spans="1:6" ht="14.25" thickBot="1">
      <c r="A20" s="1858" t="s">
        <v>1157</v>
      </c>
      <c r="B20" s="1865" t="s">
        <v>1179</v>
      </c>
      <c r="C20" s="1863">
        <v>9.8000000000000004E-2</v>
      </c>
      <c r="D20" s="1863">
        <v>8.5000000000000006E-2</v>
      </c>
      <c r="E20" s="1863">
        <v>8.2000000000000003E-2</v>
      </c>
      <c r="F20" s="1871"/>
    </row>
    <row r="21" spans="1:6" ht="14.25" thickBot="1">
      <c r="A21" s="1858" t="s">
        <v>1157</v>
      </c>
      <c r="B21" s="1865" t="s">
        <v>1189</v>
      </c>
      <c r="C21" s="1863">
        <v>6.6000000000000003E-2</v>
      </c>
      <c r="D21" s="1863">
        <v>6.4000000000000001E-2</v>
      </c>
      <c r="E21" s="1863">
        <v>6.5000000000000002E-2</v>
      </c>
      <c r="F21" s="1871"/>
    </row>
    <row r="22" spans="1:6" ht="14.25" thickBot="1">
      <c r="A22" s="1858" t="s">
        <v>1157</v>
      </c>
      <c r="B22" s="1865" t="s">
        <v>2092</v>
      </c>
      <c r="C22" s="1863">
        <v>0.08</v>
      </c>
      <c r="D22" s="1863">
        <v>9.8000000000000004E-2</v>
      </c>
      <c r="E22" s="1863">
        <v>9.8000000000000004E-2</v>
      </c>
      <c r="F22" s="1871"/>
    </row>
    <row r="23" spans="1:6" ht="14.25" thickBot="1">
      <c r="A23" s="1858" t="s">
        <v>1157</v>
      </c>
      <c r="B23" s="1865" t="s">
        <v>1209</v>
      </c>
      <c r="C23" s="1863">
        <v>9.9000000000000005E-2</v>
      </c>
      <c r="D23" s="1863">
        <v>9.8000000000000004E-2</v>
      </c>
      <c r="E23" s="1863">
        <v>9.0999999999999998E-2</v>
      </c>
      <c r="F23" s="1871"/>
    </row>
    <row r="24" spans="1:6" ht="14.25" thickBot="1">
      <c r="A24" s="1858" t="s">
        <v>1157</v>
      </c>
      <c r="B24" s="1865" t="s">
        <v>1219</v>
      </c>
      <c r="C24" s="1863">
        <v>8.8999999999999996E-2</v>
      </c>
      <c r="D24" s="1863">
        <v>9.7000000000000003E-2</v>
      </c>
      <c r="E24" s="1863">
        <v>7.0000000000000007E-2</v>
      </c>
      <c r="F24" s="1871"/>
    </row>
    <row r="25" spans="1:6" ht="14.25" thickBot="1">
      <c r="A25" s="1858" t="s">
        <v>1157</v>
      </c>
      <c r="B25" s="1865" t="s">
        <v>1229</v>
      </c>
      <c r="C25" s="1863">
        <v>8.8999999999999996E-2</v>
      </c>
      <c r="D25" s="1863">
        <v>0.1</v>
      </c>
      <c r="E25" s="1863">
        <v>8.1000000000000003E-2</v>
      </c>
      <c r="F25" s="1871"/>
    </row>
    <row r="26" spans="1:6" ht="14.25" thickBot="1">
      <c r="A26" s="1858" t="s">
        <v>1157</v>
      </c>
      <c r="B26" s="1865" t="s">
        <v>1239</v>
      </c>
      <c r="C26" s="1872"/>
      <c r="D26" s="1863">
        <v>9.6000000000000002E-2</v>
      </c>
      <c r="E26" s="1863">
        <v>9.2999999999999999E-2</v>
      </c>
      <c r="F26" s="1871"/>
    </row>
    <row r="27" spans="1:6" ht="14.25" thickBot="1">
      <c r="A27" s="1858" t="s">
        <v>1157</v>
      </c>
      <c r="B27" s="1865" t="s">
        <v>1249</v>
      </c>
      <c r="C27" s="1872"/>
      <c r="D27" s="1863">
        <v>7.5999999999999998E-2</v>
      </c>
      <c r="E27" s="1863">
        <v>9.1999999999999998E-2</v>
      </c>
      <c r="F27" s="1871"/>
    </row>
    <row r="28" spans="1:6" ht="14.25" thickBot="1">
      <c r="A28" s="1866" t="s">
        <v>1157</v>
      </c>
      <c r="B28" s="1867" t="s">
        <v>1259</v>
      </c>
      <c r="C28" s="1869"/>
      <c r="D28" s="1868">
        <v>7.5999999999999998E-2</v>
      </c>
      <c r="E28" s="1868">
        <v>9.1999999999999998E-2</v>
      </c>
      <c r="F28" s="1870"/>
    </row>
    <row r="29" spans="1:6" ht="14.25" thickBot="1">
      <c r="A29" s="1858" t="s">
        <v>1328</v>
      </c>
      <c r="B29" s="1859" t="s">
        <v>2093</v>
      </c>
      <c r="C29" s="1860">
        <v>6.4000000000000001E-2</v>
      </c>
      <c r="D29" s="1860">
        <v>6.5000000000000002E-2</v>
      </c>
      <c r="E29" s="1860">
        <v>6.9000000000000006E-2</v>
      </c>
      <c r="F29" s="1861">
        <v>0.1</v>
      </c>
    </row>
    <row r="30" spans="1:6" ht="14.25" thickBot="1">
      <c r="A30" s="1858" t="s">
        <v>1328</v>
      </c>
      <c r="B30" s="1865" t="s">
        <v>1074</v>
      </c>
      <c r="C30" s="1863">
        <v>6.4000000000000001E-2</v>
      </c>
      <c r="D30" s="1863">
        <v>9.9000000000000005E-2</v>
      </c>
      <c r="E30" s="1863">
        <v>0.1</v>
      </c>
      <c r="F30" s="1864">
        <v>0.1</v>
      </c>
    </row>
    <row r="31" spans="1:6" ht="14.25" thickBot="1">
      <c r="A31" s="1858" t="s">
        <v>1328</v>
      </c>
      <c r="B31" s="1865" t="s">
        <v>1088</v>
      </c>
      <c r="C31" s="1863">
        <v>0.1</v>
      </c>
      <c r="D31" s="1863">
        <v>9.5000000000000001E-2</v>
      </c>
      <c r="E31" s="1863">
        <v>8.8999999999999996E-2</v>
      </c>
      <c r="F31" s="1864">
        <v>0.1</v>
      </c>
    </row>
    <row r="32" spans="1:6" ht="14.25" thickBot="1">
      <c r="A32" s="1858" t="s">
        <v>1328</v>
      </c>
      <c r="B32" s="1865" t="s">
        <v>1101</v>
      </c>
      <c r="C32" s="1863">
        <v>0.05</v>
      </c>
      <c r="D32" s="1863">
        <v>0.05</v>
      </c>
      <c r="E32" s="1863">
        <v>8.7999999999999995E-2</v>
      </c>
      <c r="F32" s="1864">
        <v>0.1</v>
      </c>
    </row>
    <row r="33" spans="1:6" ht="14.25" thickBot="1">
      <c r="A33" s="1858" t="s">
        <v>1328</v>
      </c>
      <c r="B33" s="1865" t="s">
        <v>1115</v>
      </c>
      <c r="C33" s="1863">
        <v>7.4999999999999997E-2</v>
      </c>
      <c r="D33" s="1863">
        <v>9.4E-2</v>
      </c>
      <c r="E33" s="1863">
        <v>9.7000000000000003E-2</v>
      </c>
      <c r="F33" s="1864">
        <v>0.1</v>
      </c>
    </row>
    <row r="34" spans="1:6" ht="14.25" thickBot="1">
      <c r="A34" s="1858" t="s">
        <v>1328</v>
      </c>
      <c r="B34" s="1865" t="s">
        <v>1126</v>
      </c>
      <c r="C34" s="1863">
        <v>9.8000000000000004E-2</v>
      </c>
      <c r="D34" s="1863">
        <v>8.5999999999999993E-2</v>
      </c>
      <c r="E34" s="1863">
        <v>9.7000000000000003E-2</v>
      </c>
      <c r="F34" s="1864">
        <v>0.1</v>
      </c>
    </row>
    <row r="35" spans="1:6" ht="14.25" thickBot="1">
      <c r="A35" s="1858" t="s">
        <v>1328</v>
      </c>
      <c r="B35" s="1865" t="s">
        <v>1137</v>
      </c>
      <c r="C35" s="1863">
        <v>5.8999999999999997E-2</v>
      </c>
      <c r="D35" s="1863">
        <v>6.5000000000000002E-2</v>
      </c>
      <c r="E35" s="1863">
        <v>7.0000000000000007E-2</v>
      </c>
      <c r="F35" s="1864">
        <v>0.1</v>
      </c>
    </row>
    <row r="36" spans="1:6" ht="14.25" thickBot="1">
      <c r="A36" s="1858" t="s">
        <v>1328</v>
      </c>
      <c r="B36" s="1865" t="s">
        <v>1148</v>
      </c>
      <c r="C36" s="1863">
        <v>6.3E-2</v>
      </c>
      <c r="D36" s="1863">
        <v>0.1</v>
      </c>
      <c r="E36" s="1863">
        <v>0.1</v>
      </c>
      <c r="F36" s="1864">
        <v>0.1</v>
      </c>
    </row>
    <row r="37" spans="1:6" ht="14.25" thickBot="1">
      <c r="A37" s="1858" t="s">
        <v>1328</v>
      </c>
      <c r="B37" s="1865" t="s">
        <v>1160</v>
      </c>
      <c r="C37" s="1863">
        <v>7.3999999999999996E-2</v>
      </c>
      <c r="D37" s="1863">
        <v>0.1</v>
      </c>
      <c r="E37" s="1863">
        <v>0.1</v>
      </c>
      <c r="F37" s="1864">
        <v>0.1</v>
      </c>
    </row>
    <row r="38" spans="1:6" ht="14.25" thickBot="1">
      <c r="A38" s="1858" t="s">
        <v>1328</v>
      </c>
      <c r="B38" s="1865" t="s">
        <v>1170</v>
      </c>
      <c r="C38" s="1863">
        <v>0.1</v>
      </c>
      <c r="D38" s="1863">
        <v>9.6000000000000002E-2</v>
      </c>
      <c r="E38" s="1863">
        <v>9.6000000000000002E-2</v>
      </c>
      <c r="F38" s="1871"/>
    </row>
    <row r="39" spans="1:6" ht="14.25" thickBot="1">
      <c r="A39" s="1858" t="s">
        <v>1328</v>
      </c>
      <c r="B39" s="1865" t="s">
        <v>1180</v>
      </c>
      <c r="C39" s="1863">
        <v>0.1</v>
      </c>
      <c r="D39" s="1863">
        <v>9.6000000000000002E-2</v>
      </c>
      <c r="E39" s="1863">
        <v>9.6000000000000002E-2</v>
      </c>
      <c r="F39" s="1871"/>
    </row>
    <row r="40" spans="1:6" ht="14.25" thickBot="1">
      <c r="A40" s="1858" t="s">
        <v>1328</v>
      </c>
      <c r="B40" s="1865" t="s">
        <v>1190</v>
      </c>
      <c r="C40" s="1863">
        <v>9.6000000000000002E-2</v>
      </c>
      <c r="D40" s="1863">
        <v>0.1</v>
      </c>
      <c r="E40" s="1863">
        <v>9.9000000000000005E-2</v>
      </c>
      <c r="F40" s="1871"/>
    </row>
    <row r="41" spans="1:6" ht="14.25" thickBot="1">
      <c r="A41" s="1858" t="s">
        <v>1328</v>
      </c>
      <c r="B41" s="1865" t="s">
        <v>1200</v>
      </c>
      <c r="C41" s="1863">
        <v>9.6000000000000002E-2</v>
      </c>
      <c r="D41" s="1863">
        <v>9.8000000000000004E-2</v>
      </c>
      <c r="E41" s="1863">
        <v>9.8000000000000004E-2</v>
      </c>
      <c r="F41" s="1871"/>
    </row>
    <row r="42" spans="1:6" ht="14.25" thickBot="1">
      <c r="A42" s="1858" t="s">
        <v>1328</v>
      </c>
      <c r="B42" s="1865" t="s">
        <v>1210</v>
      </c>
      <c r="C42" s="1863">
        <v>0.1</v>
      </c>
      <c r="D42" s="1863">
        <v>8.7999999999999995E-2</v>
      </c>
      <c r="E42" s="1863">
        <v>0.1</v>
      </c>
      <c r="F42" s="1871"/>
    </row>
    <row r="43" spans="1:6" ht="14.25" thickBot="1">
      <c r="A43" s="1858" t="s">
        <v>1328</v>
      </c>
      <c r="B43" s="1865" t="s">
        <v>1220</v>
      </c>
      <c r="C43" s="1863">
        <v>9.8000000000000004E-2</v>
      </c>
      <c r="D43" s="1863">
        <v>9.7000000000000003E-2</v>
      </c>
      <c r="E43" s="1863">
        <v>9.6000000000000002E-2</v>
      </c>
      <c r="F43" s="1871"/>
    </row>
    <row r="44" spans="1:6" ht="14.25" thickBot="1">
      <c r="A44" s="1858" t="s">
        <v>1328</v>
      </c>
      <c r="B44" s="1865" t="s">
        <v>1230</v>
      </c>
      <c r="C44" s="1863">
        <v>8.5999999999999993E-2</v>
      </c>
      <c r="D44" s="1863">
        <v>7.9000000000000001E-2</v>
      </c>
      <c r="E44" s="1863">
        <v>7.0999999999999994E-2</v>
      </c>
      <c r="F44" s="1871"/>
    </row>
    <row r="45" spans="1:6" ht="14.25" thickBot="1">
      <c r="A45" s="1858" t="s">
        <v>1328</v>
      </c>
      <c r="B45" s="1865" t="s">
        <v>1240</v>
      </c>
      <c r="C45" s="1863">
        <v>9.8000000000000004E-2</v>
      </c>
      <c r="D45" s="1863">
        <v>9.6000000000000002E-2</v>
      </c>
      <c r="E45" s="1863">
        <v>9.6000000000000002E-2</v>
      </c>
      <c r="F45" s="1871"/>
    </row>
    <row r="46" spans="1:6" ht="14.25" thickBot="1">
      <c r="A46" s="1858" t="s">
        <v>1328</v>
      </c>
      <c r="B46" s="1865" t="s">
        <v>1250</v>
      </c>
      <c r="C46" s="1863">
        <v>8.5999999999999993E-2</v>
      </c>
      <c r="D46" s="1863">
        <v>9.8000000000000004E-2</v>
      </c>
      <c r="E46" s="1863">
        <v>8.7999999999999995E-2</v>
      </c>
      <c r="F46" s="1871"/>
    </row>
    <row r="47" spans="1:6" ht="14.25" thickBot="1">
      <c r="A47" s="1858" t="s">
        <v>1328</v>
      </c>
      <c r="B47" s="1865" t="s">
        <v>1260</v>
      </c>
      <c r="C47" s="1863">
        <v>9.6000000000000002E-2</v>
      </c>
      <c r="D47" s="1872"/>
      <c r="E47" s="1863">
        <v>6.9000000000000006E-2</v>
      </c>
      <c r="F47" s="1871"/>
    </row>
    <row r="48" spans="1:6" ht="14.25" thickBot="1">
      <c r="A48" s="1866" t="s">
        <v>1328</v>
      </c>
      <c r="B48" s="1867" t="s">
        <v>1269</v>
      </c>
      <c r="C48" s="1868">
        <v>9.8000000000000004E-2</v>
      </c>
      <c r="D48" s="1869"/>
      <c r="E48" s="1868">
        <v>9.5000000000000001E-2</v>
      </c>
      <c r="F48" s="1870"/>
    </row>
    <row r="49" spans="1:6" ht="14.25" thickBot="1">
      <c r="A49" s="1858" t="s">
        <v>926</v>
      </c>
      <c r="B49" s="1859" t="s">
        <v>2094</v>
      </c>
      <c r="C49" s="1860">
        <v>9.7000000000000003E-2</v>
      </c>
      <c r="D49" s="1860">
        <v>9.5000000000000001E-2</v>
      </c>
      <c r="E49" s="1860">
        <v>9.7000000000000003E-2</v>
      </c>
      <c r="F49" s="1861">
        <v>0.1</v>
      </c>
    </row>
    <row r="50" spans="1:6" ht="14.25" thickBot="1">
      <c r="A50" s="1858" t="s">
        <v>926</v>
      </c>
      <c r="B50" s="1862" t="s">
        <v>1075</v>
      </c>
      <c r="C50" s="1863">
        <v>7.4999999999999997E-2</v>
      </c>
      <c r="D50" s="1863">
        <v>9.5000000000000001E-2</v>
      </c>
      <c r="E50" s="1863">
        <v>0.1</v>
      </c>
      <c r="F50" s="1864">
        <v>0.1</v>
      </c>
    </row>
    <row r="51" spans="1:6" ht="14.25" thickBot="1">
      <c r="A51" s="1858" t="s">
        <v>926</v>
      </c>
      <c r="B51" s="1862" t="s">
        <v>1089</v>
      </c>
      <c r="C51" s="1863">
        <v>9.8000000000000004E-2</v>
      </c>
      <c r="D51" s="1863">
        <v>8.8999999999999996E-2</v>
      </c>
      <c r="E51" s="1863">
        <v>0.1</v>
      </c>
      <c r="F51" s="1864">
        <v>0.1</v>
      </c>
    </row>
    <row r="52" spans="1:6" ht="14.25" thickBot="1">
      <c r="A52" s="1858" t="s">
        <v>926</v>
      </c>
      <c r="B52" s="1862" t="s">
        <v>1102</v>
      </c>
      <c r="C52" s="1863">
        <v>9.8000000000000004E-2</v>
      </c>
      <c r="D52" s="1863">
        <v>9.7000000000000003E-2</v>
      </c>
      <c r="E52" s="1863">
        <v>8.1000000000000003E-2</v>
      </c>
      <c r="F52" s="1864">
        <v>0.1</v>
      </c>
    </row>
    <row r="53" spans="1:6" ht="14.25" thickBot="1">
      <c r="A53" s="1858" t="s">
        <v>926</v>
      </c>
      <c r="B53" s="1862" t="s">
        <v>1116</v>
      </c>
      <c r="C53" s="1863">
        <v>9.7000000000000003E-2</v>
      </c>
      <c r="D53" s="1863">
        <v>7.5999999999999998E-2</v>
      </c>
      <c r="E53" s="1863">
        <v>7.0999999999999994E-2</v>
      </c>
      <c r="F53" s="1864">
        <v>0.1</v>
      </c>
    </row>
    <row r="54" spans="1:6" ht="14.25" thickBot="1">
      <c r="A54" s="1858" t="s">
        <v>926</v>
      </c>
      <c r="B54" s="1862" t="s">
        <v>1127</v>
      </c>
      <c r="C54" s="1863">
        <v>7.5999999999999998E-2</v>
      </c>
      <c r="D54" s="1863">
        <v>0.1</v>
      </c>
      <c r="E54" s="1863">
        <v>9.9000000000000005E-2</v>
      </c>
      <c r="F54" s="1864">
        <v>0.1</v>
      </c>
    </row>
    <row r="55" spans="1:6" ht="14.25" thickBot="1">
      <c r="A55" s="1858" t="s">
        <v>926</v>
      </c>
      <c r="B55" s="1862" t="s">
        <v>1138</v>
      </c>
      <c r="C55" s="1863">
        <v>0.1</v>
      </c>
      <c r="D55" s="1863">
        <v>0.1</v>
      </c>
      <c r="E55" s="1863">
        <v>9.6000000000000002E-2</v>
      </c>
      <c r="F55" s="1864">
        <v>0.1</v>
      </c>
    </row>
    <row r="56" spans="1:6" ht="14.25" thickBot="1">
      <c r="A56" s="1858" t="s">
        <v>926</v>
      </c>
      <c r="B56" s="1862" t="s">
        <v>1149</v>
      </c>
      <c r="C56" s="1863">
        <v>0.1</v>
      </c>
      <c r="D56" s="1863">
        <v>9.6000000000000002E-2</v>
      </c>
      <c r="E56" s="1863">
        <v>5.1999999999999998E-2</v>
      </c>
      <c r="F56" s="1864">
        <v>0.1</v>
      </c>
    </row>
    <row r="57" spans="1:6" ht="14.25" thickBot="1">
      <c r="A57" s="1858" t="s">
        <v>926</v>
      </c>
      <c r="B57" s="1862" t="s">
        <v>1161</v>
      </c>
      <c r="C57" s="1863">
        <v>9.7000000000000003E-2</v>
      </c>
      <c r="D57" s="1863">
        <v>9.6000000000000002E-2</v>
      </c>
      <c r="E57" s="1863">
        <v>9.6000000000000002E-2</v>
      </c>
      <c r="F57" s="1864">
        <v>0.1</v>
      </c>
    </row>
    <row r="58" spans="1:6" ht="14.25" thickBot="1">
      <c r="A58" s="1858" t="s">
        <v>926</v>
      </c>
      <c r="B58" s="1862" t="s">
        <v>1171</v>
      </c>
      <c r="C58" s="1863">
        <v>9.6000000000000002E-2</v>
      </c>
      <c r="D58" s="1863">
        <v>9.9000000000000005E-2</v>
      </c>
      <c r="E58" s="1863">
        <v>9.6000000000000002E-2</v>
      </c>
      <c r="F58" s="1864">
        <v>0.1</v>
      </c>
    </row>
    <row r="59" spans="1:6" ht="14.25" thickBot="1">
      <c r="A59" s="1858" t="s">
        <v>926</v>
      </c>
      <c r="B59" s="1862" t="s">
        <v>1181</v>
      </c>
      <c r="C59" s="1863">
        <v>7.1999999999999995E-2</v>
      </c>
      <c r="D59" s="1863">
        <v>9.6000000000000002E-2</v>
      </c>
      <c r="E59" s="1863">
        <v>7.0999999999999994E-2</v>
      </c>
      <c r="F59" s="1864">
        <v>0.1</v>
      </c>
    </row>
    <row r="60" spans="1:6" ht="14.25" thickBot="1">
      <c r="A60" s="1858" t="s">
        <v>926</v>
      </c>
      <c r="B60" s="1862" t="s">
        <v>1191</v>
      </c>
      <c r="C60" s="1863">
        <v>9.6000000000000002E-2</v>
      </c>
      <c r="D60" s="1863">
        <v>8.8999999999999996E-2</v>
      </c>
      <c r="E60" s="1863">
        <v>9.6000000000000002E-2</v>
      </c>
      <c r="F60" s="1864">
        <v>0.1</v>
      </c>
    </row>
    <row r="61" spans="1:6" ht="14.25" thickBot="1">
      <c r="A61" s="1858" t="s">
        <v>926</v>
      </c>
      <c r="B61" s="1862" t="s">
        <v>1201</v>
      </c>
      <c r="C61" s="1863">
        <v>8.8999999999999996E-2</v>
      </c>
      <c r="D61" s="1863">
        <v>9.8000000000000004E-2</v>
      </c>
      <c r="E61" s="1863">
        <v>8.7999999999999995E-2</v>
      </c>
      <c r="F61" s="1871"/>
    </row>
    <row r="62" spans="1:6" ht="14.25" thickBot="1">
      <c r="A62" s="1858" t="s">
        <v>926</v>
      </c>
      <c r="B62" s="1862" t="s">
        <v>1211</v>
      </c>
      <c r="C62" s="1863">
        <v>9.8000000000000004E-2</v>
      </c>
      <c r="D62" s="1863">
        <v>9.2999999999999999E-2</v>
      </c>
      <c r="E62" s="1863">
        <v>9.7000000000000003E-2</v>
      </c>
      <c r="F62" s="1871"/>
    </row>
    <row r="63" spans="1:6" ht="14.25" thickBot="1">
      <c r="A63" s="1858" t="s">
        <v>926</v>
      </c>
      <c r="B63" s="1862" t="s">
        <v>1221</v>
      </c>
      <c r="C63" s="1863">
        <v>9.6000000000000002E-2</v>
      </c>
      <c r="D63" s="1863">
        <v>9.8000000000000004E-2</v>
      </c>
      <c r="E63" s="1863">
        <v>0.09</v>
      </c>
      <c r="F63" s="1871"/>
    </row>
    <row r="64" spans="1:6" ht="14.25" thickBot="1">
      <c r="A64" s="1858" t="s">
        <v>926</v>
      </c>
      <c r="B64" s="1862" t="s">
        <v>1231</v>
      </c>
      <c r="C64" s="1863">
        <v>9.9000000000000005E-2</v>
      </c>
      <c r="D64" s="1863">
        <v>9.7000000000000003E-2</v>
      </c>
      <c r="E64" s="1863">
        <v>9.9000000000000005E-2</v>
      </c>
      <c r="F64" s="1871"/>
    </row>
    <row r="65" spans="1:6" ht="14.25" thickBot="1">
      <c r="A65" s="1858" t="s">
        <v>926</v>
      </c>
      <c r="B65" s="1862" t="s">
        <v>1241</v>
      </c>
      <c r="C65" s="1863">
        <v>9.8000000000000004E-2</v>
      </c>
      <c r="D65" s="1863">
        <v>9.6000000000000002E-2</v>
      </c>
      <c r="E65" s="1863">
        <v>9.6000000000000002E-2</v>
      </c>
      <c r="F65" s="1871"/>
    </row>
    <row r="66" spans="1:6" ht="14.25" thickBot="1">
      <c r="A66" s="1858" t="s">
        <v>926</v>
      </c>
      <c r="B66" s="1862" t="s">
        <v>1251</v>
      </c>
      <c r="C66" s="1863">
        <v>9.6000000000000002E-2</v>
      </c>
      <c r="D66" s="1863">
        <v>9.1999999999999998E-2</v>
      </c>
      <c r="E66" s="1863">
        <v>9.6000000000000002E-2</v>
      </c>
      <c r="F66" s="1871"/>
    </row>
    <row r="67" spans="1:6" ht="14.25" thickBot="1">
      <c r="A67" s="1858" t="s">
        <v>926</v>
      </c>
      <c r="B67" s="1862" t="s">
        <v>1261</v>
      </c>
      <c r="C67" s="1863">
        <v>9.4E-2</v>
      </c>
      <c r="D67" s="1863">
        <v>0.1</v>
      </c>
      <c r="E67" s="1863">
        <v>8.7999999999999995E-2</v>
      </c>
      <c r="F67" s="1871"/>
    </row>
    <row r="68" spans="1:6" ht="14.25" thickBot="1">
      <c r="A68" s="1858" t="s">
        <v>926</v>
      </c>
      <c r="B68" s="1862" t="s">
        <v>1270</v>
      </c>
      <c r="C68" s="1863">
        <v>0.1</v>
      </c>
      <c r="D68" s="1863">
        <v>8.7999999999999995E-2</v>
      </c>
      <c r="E68" s="1863">
        <v>9.7000000000000003E-2</v>
      </c>
      <c r="F68" s="1871"/>
    </row>
    <row r="69" spans="1:6" ht="14.25" thickBot="1">
      <c r="A69" s="1858" t="s">
        <v>926</v>
      </c>
      <c r="B69" s="1862" t="s">
        <v>1279</v>
      </c>
      <c r="C69" s="1863">
        <v>6.4000000000000001E-2</v>
      </c>
      <c r="D69" s="1863">
        <v>0.1</v>
      </c>
      <c r="E69" s="1863">
        <v>0.1</v>
      </c>
      <c r="F69" s="1871"/>
    </row>
    <row r="70" spans="1:6" ht="14.25" thickBot="1">
      <c r="A70" s="1858" t="s">
        <v>926</v>
      </c>
      <c r="B70" s="1862" t="s">
        <v>1287</v>
      </c>
      <c r="C70" s="1863">
        <v>9.0999999999999998E-2</v>
      </c>
      <c r="D70" s="1872"/>
      <c r="E70" s="1872"/>
      <c r="F70" s="1871"/>
    </row>
    <row r="71" spans="1:6" ht="14.25" thickBot="1">
      <c r="A71" s="1858" t="s">
        <v>926</v>
      </c>
      <c r="B71" s="1862" t="s">
        <v>1294</v>
      </c>
      <c r="C71" s="1863">
        <v>0.1</v>
      </c>
      <c r="D71" s="1872"/>
      <c r="E71" s="1872"/>
      <c r="F71" s="1871"/>
    </row>
    <row r="72" spans="1:6" ht="14.25" thickBot="1">
      <c r="A72" s="1858" t="s">
        <v>926</v>
      </c>
      <c r="B72" s="1862" t="s">
        <v>2095</v>
      </c>
      <c r="C72" s="1872"/>
      <c r="D72" s="1872"/>
      <c r="E72" s="1872"/>
      <c r="F72" s="1864">
        <v>0.05</v>
      </c>
    </row>
    <row r="73" spans="1:6" ht="14.25" thickBot="1">
      <c r="A73" s="1858" t="s">
        <v>926</v>
      </c>
      <c r="B73" s="1862" t="s">
        <v>2096</v>
      </c>
      <c r="C73" s="1872"/>
      <c r="D73" s="1872"/>
      <c r="E73" s="1872"/>
      <c r="F73" s="1864">
        <v>0.05</v>
      </c>
    </row>
    <row r="74" spans="1:6" ht="14.25" thickBot="1">
      <c r="A74" s="1858" t="s">
        <v>926</v>
      </c>
      <c r="B74" s="1862" t="s">
        <v>2097</v>
      </c>
      <c r="C74" s="1872"/>
      <c r="D74" s="1872"/>
      <c r="E74" s="1872"/>
      <c r="F74" s="1864">
        <v>0.05</v>
      </c>
    </row>
    <row r="75" spans="1:6" ht="14.25" thickBot="1">
      <c r="A75" s="1866" t="s">
        <v>926</v>
      </c>
      <c r="B75" s="1873" t="s">
        <v>2098</v>
      </c>
      <c r="C75" s="1869"/>
      <c r="D75" s="1869"/>
      <c r="E75" s="1869"/>
      <c r="F75" s="1874">
        <v>0.05</v>
      </c>
    </row>
    <row r="76" spans="1:6" ht="14.25" thickBot="1">
      <c r="A76" s="1858" t="s">
        <v>1409</v>
      </c>
      <c r="B76" s="1859" t="s">
        <v>2099</v>
      </c>
      <c r="C76" s="1860">
        <v>0.1</v>
      </c>
      <c r="D76" s="1860">
        <v>0.1</v>
      </c>
      <c r="E76" s="1860">
        <v>0.1</v>
      </c>
      <c r="F76" s="1861">
        <v>0.1</v>
      </c>
    </row>
    <row r="77" spans="1:6" ht="14.25" thickBot="1">
      <c r="A77" s="1858" t="s">
        <v>1409</v>
      </c>
      <c r="B77" s="1862" t="s">
        <v>1076</v>
      </c>
      <c r="C77" s="1863">
        <v>8.7999999999999995E-2</v>
      </c>
      <c r="D77" s="1863">
        <v>8.6999999999999994E-2</v>
      </c>
      <c r="E77" s="1863">
        <v>7.9000000000000001E-2</v>
      </c>
      <c r="F77" s="1864">
        <v>0.1</v>
      </c>
    </row>
    <row r="78" spans="1:6" ht="14.25" thickBot="1">
      <c r="A78" s="1858" t="s">
        <v>1409</v>
      </c>
      <c r="B78" s="1862" t="s">
        <v>1090</v>
      </c>
      <c r="C78" s="1863">
        <v>8.6999999999999994E-2</v>
      </c>
      <c r="D78" s="1863">
        <v>8.4000000000000005E-2</v>
      </c>
      <c r="E78" s="1863">
        <v>9.6000000000000002E-2</v>
      </c>
      <c r="F78" s="1864">
        <v>0.1</v>
      </c>
    </row>
    <row r="79" spans="1:6" ht="14.25" thickBot="1">
      <c r="A79" s="1858" t="s">
        <v>1409</v>
      </c>
      <c r="B79" s="1862" t="s">
        <v>1103</v>
      </c>
      <c r="C79" s="1863">
        <v>9.8000000000000004E-2</v>
      </c>
      <c r="D79" s="1863">
        <v>9.8000000000000004E-2</v>
      </c>
      <c r="E79" s="1863">
        <v>9.0999999999999998E-2</v>
      </c>
      <c r="F79" s="1864">
        <v>0.1</v>
      </c>
    </row>
    <row r="80" spans="1:6" ht="14.25" thickBot="1">
      <c r="A80" s="1858" t="s">
        <v>1409</v>
      </c>
      <c r="B80" s="1862" t="s">
        <v>1117</v>
      </c>
      <c r="C80" s="1863">
        <v>9.6000000000000002E-2</v>
      </c>
      <c r="D80" s="1863">
        <v>9.6000000000000002E-2</v>
      </c>
      <c r="E80" s="1863">
        <v>0.1</v>
      </c>
      <c r="F80" s="1864">
        <v>0.1</v>
      </c>
    </row>
    <row r="81" spans="1:6" ht="14.25" thickBot="1">
      <c r="A81" s="1858" t="s">
        <v>1409</v>
      </c>
      <c r="B81" s="1862" t="s">
        <v>1128</v>
      </c>
      <c r="C81" s="1863">
        <v>9.9000000000000005E-2</v>
      </c>
      <c r="D81" s="1863">
        <v>9.9000000000000005E-2</v>
      </c>
      <c r="E81" s="1863">
        <v>9.8000000000000004E-2</v>
      </c>
      <c r="F81" s="1864">
        <v>0.1</v>
      </c>
    </row>
    <row r="82" spans="1:6" ht="14.25" thickBot="1">
      <c r="A82" s="1858" t="s">
        <v>1409</v>
      </c>
      <c r="B82" s="1862" t="s">
        <v>1139</v>
      </c>
      <c r="C82" s="1863">
        <v>9.9000000000000005E-2</v>
      </c>
      <c r="D82" s="1863">
        <v>9.9000000000000005E-2</v>
      </c>
      <c r="E82" s="1863">
        <v>9.7000000000000003E-2</v>
      </c>
      <c r="F82" s="1864">
        <v>0.1</v>
      </c>
    </row>
    <row r="83" spans="1:6" ht="14.25" thickBot="1">
      <c r="A83" s="1858" t="s">
        <v>1409</v>
      </c>
      <c r="B83" s="1862" t="s">
        <v>1150</v>
      </c>
      <c r="C83" s="1863">
        <v>9.8000000000000004E-2</v>
      </c>
      <c r="D83" s="1863">
        <v>9.8000000000000004E-2</v>
      </c>
      <c r="E83" s="1863">
        <v>9.8000000000000004E-2</v>
      </c>
      <c r="F83" s="1864">
        <v>0.1</v>
      </c>
    </row>
    <row r="84" spans="1:6" ht="14.25" thickBot="1">
      <c r="A84" s="1858" t="s">
        <v>1409</v>
      </c>
      <c r="B84" s="1862" t="s">
        <v>1162</v>
      </c>
      <c r="C84" s="1863">
        <v>9.9000000000000005E-2</v>
      </c>
      <c r="D84" s="1863">
        <v>9.9000000000000005E-2</v>
      </c>
      <c r="E84" s="1863">
        <v>9.9000000000000005E-2</v>
      </c>
      <c r="F84" s="1864">
        <v>0.1</v>
      </c>
    </row>
    <row r="85" spans="1:6" ht="14.25" thickBot="1">
      <c r="A85" s="1858" t="s">
        <v>1409</v>
      </c>
      <c r="B85" s="1862" t="s">
        <v>1172</v>
      </c>
      <c r="C85" s="1863">
        <v>9.9000000000000005E-2</v>
      </c>
      <c r="D85" s="1863">
        <v>9.9000000000000005E-2</v>
      </c>
      <c r="E85" s="1863">
        <v>9.9000000000000005E-2</v>
      </c>
      <c r="F85" s="1864">
        <v>0.1</v>
      </c>
    </row>
    <row r="86" spans="1:6" ht="14.25" thickBot="1">
      <c r="A86" s="1858" t="s">
        <v>1409</v>
      </c>
      <c r="B86" s="1862" t="s">
        <v>1182</v>
      </c>
      <c r="C86" s="1863">
        <v>0.1</v>
      </c>
      <c r="D86" s="1863">
        <v>0.1</v>
      </c>
      <c r="E86" s="1863">
        <v>7.6999999999999999E-2</v>
      </c>
      <c r="F86" s="1864">
        <v>0.1</v>
      </c>
    </row>
    <row r="87" spans="1:6" ht="14.25" thickBot="1">
      <c r="A87" s="1858" t="s">
        <v>1409</v>
      </c>
      <c r="B87" s="1862" t="s">
        <v>1192</v>
      </c>
      <c r="C87" s="1863">
        <v>0.1</v>
      </c>
      <c r="D87" s="1863">
        <v>0.1</v>
      </c>
      <c r="E87" s="1863">
        <v>9.8000000000000004E-2</v>
      </c>
      <c r="F87" s="1871"/>
    </row>
    <row r="88" spans="1:6" ht="14.25" thickBot="1">
      <c r="A88" s="1858" t="s">
        <v>1409</v>
      </c>
      <c r="B88" s="1862" t="s">
        <v>1202</v>
      </c>
      <c r="C88" s="1863">
        <v>9.1999999999999998E-2</v>
      </c>
      <c r="D88" s="1863">
        <v>8.5000000000000006E-2</v>
      </c>
      <c r="E88" s="1863">
        <v>9.6000000000000002E-2</v>
      </c>
      <c r="F88" s="1871"/>
    </row>
    <row r="89" spans="1:6" ht="14.25" thickBot="1">
      <c r="A89" s="1858" t="s">
        <v>1409</v>
      </c>
      <c r="B89" s="1862" t="s">
        <v>1212</v>
      </c>
      <c r="C89" s="1863">
        <v>0.1</v>
      </c>
      <c r="D89" s="1863">
        <v>0.1</v>
      </c>
      <c r="E89" s="1863">
        <v>9.7000000000000003E-2</v>
      </c>
      <c r="F89" s="1871"/>
    </row>
    <row r="90" spans="1:6" ht="14.25" thickBot="1">
      <c r="A90" s="1858" t="s">
        <v>1409</v>
      </c>
      <c r="B90" s="1862" t="s">
        <v>1222</v>
      </c>
      <c r="C90" s="1863">
        <v>9.8000000000000004E-2</v>
      </c>
      <c r="D90" s="1863">
        <v>9.8000000000000004E-2</v>
      </c>
      <c r="E90" s="1863">
        <v>8.7999999999999995E-2</v>
      </c>
      <c r="F90" s="1871"/>
    </row>
    <row r="91" spans="1:6" ht="14.25" thickBot="1">
      <c r="A91" s="1858" t="s">
        <v>1409</v>
      </c>
      <c r="B91" s="1862" t="s">
        <v>1232</v>
      </c>
      <c r="C91" s="1863">
        <v>9.9000000000000005E-2</v>
      </c>
      <c r="D91" s="1863">
        <v>9.9000000000000005E-2</v>
      </c>
      <c r="E91" s="1863">
        <v>9.0999999999999998E-2</v>
      </c>
      <c r="F91" s="1871"/>
    </row>
    <row r="92" spans="1:6" ht="14.25" thickBot="1">
      <c r="A92" s="1858" t="s">
        <v>1409</v>
      </c>
      <c r="B92" s="1862" t="s">
        <v>1242</v>
      </c>
      <c r="C92" s="1863">
        <v>9.6000000000000002E-2</v>
      </c>
      <c r="D92" s="1863">
        <v>9.6000000000000002E-2</v>
      </c>
      <c r="E92" s="1863">
        <v>7.2999999999999995E-2</v>
      </c>
      <c r="F92" s="1871"/>
    </row>
    <row r="93" spans="1:6" ht="14.25" thickBot="1">
      <c r="A93" s="1858" t="s">
        <v>1409</v>
      </c>
      <c r="B93" s="1862" t="s">
        <v>1252</v>
      </c>
      <c r="C93" s="1863">
        <v>9.6000000000000002E-2</v>
      </c>
      <c r="D93" s="1863">
        <v>9.6000000000000002E-2</v>
      </c>
      <c r="E93" s="1863">
        <v>9.9000000000000005E-2</v>
      </c>
      <c r="F93" s="1871"/>
    </row>
    <row r="94" spans="1:6" ht="14.25" thickBot="1">
      <c r="A94" s="1858" t="s">
        <v>1409</v>
      </c>
      <c r="B94" s="1862" t="s">
        <v>1262</v>
      </c>
      <c r="C94" s="1863">
        <v>7.5999999999999998E-2</v>
      </c>
      <c r="D94" s="1863">
        <v>7.3999999999999996E-2</v>
      </c>
      <c r="E94" s="1863">
        <v>9.7000000000000003E-2</v>
      </c>
      <c r="F94" s="1871"/>
    </row>
    <row r="95" spans="1:6" ht="14.25" thickBot="1">
      <c r="A95" s="1858" t="s">
        <v>1409</v>
      </c>
      <c r="B95" s="1862" t="s">
        <v>1271</v>
      </c>
      <c r="C95" s="1863">
        <v>9.9000000000000005E-2</v>
      </c>
      <c r="D95" s="1863">
        <v>9.4E-2</v>
      </c>
      <c r="E95" s="1863">
        <v>9.6000000000000002E-2</v>
      </c>
      <c r="F95" s="1871"/>
    </row>
    <row r="96" spans="1:6" ht="14.25" thickBot="1">
      <c r="A96" s="1858" t="s">
        <v>1409</v>
      </c>
      <c r="B96" s="1862" t="s">
        <v>1280</v>
      </c>
      <c r="C96" s="1863">
        <v>9.9000000000000005E-2</v>
      </c>
      <c r="D96" s="1863">
        <v>9.9000000000000005E-2</v>
      </c>
      <c r="E96" s="1863">
        <v>9.9000000000000005E-2</v>
      </c>
      <c r="F96" s="1871"/>
    </row>
    <row r="97" spans="1:6" ht="14.25" thickBot="1">
      <c r="A97" s="1858" t="s">
        <v>1409</v>
      </c>
      <c r="B97" s="1862" t="s">
        <v>1288</v>
      </c>
      <c r="C97" s="1863">
        <v>9.8000000000000004E-2</v>
      </c>
      <c r="D97" s="1863">
        <v>9.8000000000000004E-2</v>
      </c>
      <c r="E97" s="1863">
        <v>9.7000000000000003E-2</v>
      </c>
      <c r="F97" s="1871"/>
    </row>
    <row r="98" spans="1:6" ht="14.25" thickBot="1">
      <c r="A98" s="1858" t="s">
        <v>1409</v>
      </c>
      <c r="B98" s="1862" t="s">
        <v>1295</v>
      </c>
      <c r="C98" s="1863">
        <v>0.1</v>
      </c>
      <c r="D98" s="1863">
        <v>0.1</v>
      </c>
      <c r="E98" s="1863">
        <v>9.7000000000000003E-2</v>
      </c>
      <c r="F98" s="1871"/>
    </row>
    <row r="99" spans="1:6" ht="14.25" thickBot="1">
      <c r="A99" s="1858" t="s">
        <v>1409</v>
      </c>
      <c r="B99" s="1862" t="s">
        <v>1302</v>
      </c>
      <c r="C99" s="1863">
        <v>0.1</v>
      </c>
      <c r="D99" s="1863">
        <v>0.1</v>
      </c>
      <c r="E99" s="1872"/>
      <c r="F99" s="1871"/>
    </row>
    <row r="100" spans="1:6" ht="14.25" thickBot="1">
      <c r="A100" s="1858" t="s">
        <v>1409</v>
      </c>
      <c r="B100" s="1862" t="s">
        <v>1309</v>
      </c>
      <c r="C100" s="1863">
        <v>0.09</v>
      </c>
      <c r="D100" s="1863">
        <v>8.8999999999999996E-2</v>
      </c>
      <c r="E100" s="1872"/>
      <c r="F100" s="1871"/>
    </row>
    <row r="101" spans="1:6" ht="14.25" thickBot="1">
      <c r="A101" s="1858" t="s">
        <v>1409</v>
      </c>
      <c r="B101" s="1862" t="s">
        <v>1316</v>
      </c>
      <c r="C101" s="1863">
        <v>9.8000000000000004E-2</v>
      </c>
      <c r="D101" s="1863">
        <v>9.7000000000000003E-2</v>
      </c>
      <c r="E101" s="1872"/>
      <c r="F101" s="1871"/>
    </row>
    <row r="102" spans="1:6" ht="14.25" thickBot="1">
      <c r="A102" s="1858" t="s">
        <v>1409</v>
      </c>
      <c r="B102" s="1862" t="s">
        <v>2100</v>
      </c>
      <c r="C102" s="1872"/>
      <c r="D102" s="1872"/>
      <c r="E102" s="1872"/>
      <c r="F102" s="1864">
        <v>0.05</v>
      </c>
    </row>
    <row r="103" spans="1:6" ht="24.75" thickBot="1">
      <c r="A103" s="1858" t="s">
        <v>1409</v>
      </c>
      <c r="B103" s="1862" t="s">
        <v>2101</v>
      </c>
      <c r="C103" s="1872"/>
      <c r="D103" s="1872"/>
      <c r="E103" s="1872"/>
      <c r="F103" s="1864">
        <v>0.05</v>
      </c>
    </row>
    <row r="104" spans="1:6" ht="14.25" thickBot="1">
      <c r="A104" s="1858" t="s">
        <v>1409</v>
      </c>
      <c r="B104" s="1862" t="s">
        <v>2102</v>
      </c>
      <c r="C104" s="1872"/>
      <c r="D104" s="1872"/>
      <c r="E104" s="1872"/>
      <c r="F104" s="1864">
        <v>0.05</v>
      </c>
    </row>
    <row r="105" spans="1:6" ht="14.25" thickBot="1">
      <c r="A105" s="1858" t="s">
        <v>1409</v>
      </c>
      <c r="B105" s="1862" t="s">
        <v>2103</v>
      </c>
      <c r="C105" s="1872"/>
      <c r="D105" s="1872"/>
      <c r="E105" s="1872"/>
      <c r="F105" s="1864">
        <v>0.05</v>
      </c>
    </row>
    <row r="106" spans="1:6" ht="14.25" thickBot="1">
      <c r="A106" s="1858" t="s">
        <v>1409</v>
      </c>
      <c r="B106" s="1862" t="s">
        <v>2104</v>
      </c>
      <c r="C106" s="1872"/>
      <c r="D106" s="1872"/>
      <c r="E106" s="1872"/>
      <c r="F106" s="1864">
        <v>0.05</v>
      </c>
    </row>
    <row r="107" spans="1:6" ht="24.75" thickBot="1">
      <c r="A107" s="1858" t="s">
        <v>1409</v>
      </c>
      <c r="B107" s="1862" t="s">
        <v>2105</v>
      </c>
      <c r="C107" s="1872"/>
      <c r="D107" s="1872"/>
      <c r="E107" s="1872"/>
      <c r="F107" s="1864">
        <v>0.05</v>
      </c>
    </row>
    <row r="108" spans="1:6" ht="24.75" thickBot="1">
      <c r="A108" s="1858" t="s">
        <v>1409</v>
      </c>
      <c r="B108" s="1862" t="s">
        <v>2106</v>
      </c>
      <c r="C108" s="1872"/>
      <c r="D108" s="1872"/>
      <c r="E108" s="1872"/>
      <c r="F108" s="1864">
        <v>0.05</v>
      </c>
    </row>
    <row r="109" spans="1:6" ht="24.75" thickBot="1">
      <c r="A109" s="1866" t="s">
        <v>1409</v>
      </c>
      <c r="B109" s="1873" t="s">
        <v>2107</v>
      </c>
      <c r="C109" s="1869"/>
      <c r="D109" s="1869"/>
      <c r="E109" s="1869"/>
      <c r="F109" s="1874">
        <v>0.05</v>
      </c>
    </row>
    <row r="110" spans="1:6" ht="14.25" thickBot="1">
      <c r="A110" s="1858" t="s">
        <v>1411</v>
      </c>
      <c r="B110" s="1859" t="s">
        <v>2108</v>
      </c>
      <c r="C110" s="1860">
        <v>0.129</v>
      </c>
      <c r="D110" s="1860">
        <v>0.129</v>
      </c>
      <c r="E110" s="1860">
        <v>0.126</v>
      </c>
      <c r="F110" s="1861">
        <v>0.13</v>
      </c>
    </row>
    <row r="111" spans="1:6" ht="14.25" thickBot="1">
      <c r="A111" s="1858" t="s">
        <v>1411</v>
      </c>
      <c r="B111" s="1862" t="s">
        <v>1077</v>
      </c>
      <c r="C111" s="1863">
        <v>0.11</v>
      </c>
      <c r="D111" s="1863">
        <v>0.11</v>
      </c>
      <c r="E111" s="1863">
        <v>9.9000000000000005E-2</v>
      </c>
      <c r="F111" s="1864">
        <v>0.128</v>
      </c>
    </row>
    <row r="112" spans="1:6" ht="14.25" thickBot="1">
      <c r="A112" s="1858" t="s">
        <v>1411</v>
      </c>
      <c r="B112" s="1862" t="s">
        <v>1091</v>
      </c>
      <c r="C112" s="1863">
        <v>0.125</v>
      </c>
      <c r="D112" s="1863">
        <v>0.125</v>
      </c>
      <c r="E112" s="1863">
        <v>0.12</v>
      </c>
      <c r="F112" s="1864">
        <v>0.125</v>
      </c>
    </row>
    <row r="113" spans="1:6" ht="14.25" thickBot="1">
      <c r="A113" s="1858" t="s">
        <v>1411</v>
      </c>
      <c r="B113" s="1862" t="s">
        <v>1104</v>
      </c>
      <c r="C113" s="1863">
        <v>0.13</v>
      </c>
      <c r="D113" s="1863">
        <v>0.13</v>
      </c>
      <c r="E113" s="1863">
        <v>0.13</v>
      </c>
      <c r="F113" s="1864">
        <v>0.13</v>
      </c>
    </row>
    <row r="114" spans="1:6" ht="14.25" thickBot="1">
      <c r="A114" s="1858" t="s">
        <v>1411</v>
      </c>
      <c r="B114" s="1862" t="s">
        <v>1118</v>
      </c>
      <c r="C114" s="1863">
        <v>0.123</v>
      </c>
      <c r="D114" s="1863">
        <v>0.123</v>
      </c>
      <c r="E114" s="1863">
        <v>0.12</v>
      </c>
      <c r="F114" s="1864">
        <v>0.13</v>
      </c>
    </row>
    <row r="115" spans="1:6" ht="14.25" thickBot="1">
      <c r="A115" s="1858" t="s">
        <v>1411</v>
      </c>
      <c r="B115" s="1862" t="s">
        <v>1129</v>
      </c>
      <c r="C115" s="1863">
        <v>0.125</v>
      </c>
      <c r="D115" s="1863">
        <v>0.125</v>
      </c>
      <c r="E115" s="1863">
        <v>0.11700000000000001</v>
      </c>
      <c r="F115" s="1864">
        <v>0.13</v>
      </c>
    </row>
    <row r="116" spans="1:6" ht="14.25" thickBot="1">
      <c r="A116" s="1858" t="s">
        <v>1411</v>
      </c>
      <c r="B116" s="1862" t="s">
        <v>1140</v>
      </c>
      <c r="C116" s="1863">
        <v>0.11700000000000001</v>
      </c>
      <c r="D116" s="1863">
        <v>0.11700000000000001</v>
      </c>
      <c r="E116" s="1863">
        <v>8.7999999999999995E-2</v>
      </c>
      <c r="F116" s="1864">
        <v>0.13</v>
      </c>
    </row>
    <row r="117" spans="1:6" ht="14.25" thickBot="1">
      <c r="A117" s="1858" t="s">
        <v>1411</v>
      </c>
      <c r="B117" s="1862" t="s">
        <v>1151</v>
      </c>
      <c r="C117" s="1863">
        <v>0.13</v>
      </c>
      <c r="D117" s="1863">
        <v>0.13</v>
      </c>
      <c r="E117" s="1863">
        <v>0.129</v>
      </c>
      <c r="F117" s="1864">
        <v>0.13</v>
      </c>
    </row>
    <row r="118" spans="1:6" ht="14.25" thickBot="1">
      <c r="A118" s="1858" t="s">
        <v>1411</v>
      </c>
      <c r="B118" s="1862" t="s">
        <v>1163</v>
      </c>
      <c r="C118" s="1863">
        <v>0.123</v>
      </c>
      <c r="D118" s="1863">
        <v>0.123</v>
      </c>
      <c r="E118" s="1863">
        <v>0.11600000000000001</v>
      </c>
      <c r="F118" s="1864">
        <v>0.13</v>
      </c>
    </row>
    <row r="119" spans="1:6" ht="14.25" thickBot="1">
      <c r="A119" s="1858" t="s">
        <v>1411</v>
      </c>
      <c r="B119" s="1862" t="s">
        <v>1173</v>
      </c>
      <c r="C119" s="1863">
        <v>0.127</v>
      </c>
      <c r="D119" s="1863">
        <v>0.127</v>
      </c>
      <c r="E119" s="1863">
        <v>0.124</v>
      </c>
      <c r="F119" s="1864">
        <v>0.13</v>
      </c>
    </row>
    <row r="120" spans="1:6" ht="14.25" thickBot="1">
      <c r="A120" s="1858" t="s">
        <v>1411</v>
      </c>
      <c r="B120" s="1862" t="s">
        <v>1183</v>
      </c>
      <c r="C120" s="1863">
        <v>0.125</v>
      </c>
      <c r="D120" s="1863">
        <v>0.125</v>
      </c>
      <c r="E120" s="1863">
        <v>0.122</v>
      </c>
      <c r="F120" s="1864">
        <v>0.13</v>
      </c>
    </row>
    <row r="121" spans="1:6" ht="14.25" thickBot="1">
      <c r="A121" s="1858" t="s">
        <v>1411</v>
      </c>
      <c r="B121" s="1862" t="s">
        <v>1193</v>
      </c>
      <c r="C121" s="1863">
        <v>0.13</v>
      </c>
      <c r="D121" s="1863">
        <v>0.13</v>
      </c>
      <c r="E121" s="1863">
        <v>0.13</v>
      </c>
      <c r="F121" s="1864">
        <v>0.13</v>
      </c>
    </row>
    <row r="122" spans="1:6" ht="14.25" thickBot="1">
      <c r="A122" s="1858" t="s">
        <v>1411</v>
      </c>
      <c r="B122" s="1862" t="s">
        <v>1203</v>
      </c>
      <c r="C122" s="1863">
        <v>0.13</v>
      </c>
      <c r="D122" s="1863">
        <v>0.13</v>
      </c>
      <c r="E122" s="1863">
        <v>0.125</v>
      </c>
      <c r="F122" s="1864">
        <v>0.13</v>
      </c>
    </row>
    <row r="123" spans="1:6" ht="14.25" thickBot="1">
      <c r="A123" s="1858" t="s">
        <v>1411</v>
      </c>
      <c r="B123" s="1862" t="s">
        <v>1213</v>
      </c>
      <c r="C123" s="1863">
        <v>0.129</v>
      </c>
      <c r="D123" s="1863">
        <v>0.129</v>
      </c>
      <c r="E123" s="1863">
        <v>0.123</v>
      </c>
      <c r="F123" s="1864">
        <v>0.13</v>
      </c>
    </row>
    <row r="124" spans="1:6" ht="14.25" thickBot="1">
      <c r="A124" s="1858" t="s">
        <v>1411</v>
      </c>
      <c r="B124" s="1862" t="s">
        <v>1223</v>
      </c>
      <c r="C124" s="1863">
        <v>0.10199999999999999</v>
      </c>
      <c r="D124" s="1863">
        <v>0.10100000000000001</v>
      </c>
      <c r="E124" s="1863">
        <v>0.08</v>
      </c>
      <c r="F124" s="1871"/>
    </row>
    <row r="125" spans="1:6" ht="14.25" thickBot="1">
      <c r="A125" s="1858" t="s">
        <v>1411</v>
      </c>
      <c r="B125" s="1862" t="s">
        <v>1233</v>
      </c>
      <c r="C125" s="1863">
        <v>0.13</v>
      </c>
      <c r="D125" s="1863">
        <v>0.13</v>
      </c>
      <c r="E125" s="1863">
        <v>0.129</v>
      </c>
      <c r="F125" s="1871"/>
    </row>
    <row r="126" spans="1:6" ht="14.25" thickBot="1">
      <c r="A126" s="1858" t="s">
        <v>1411</v>
      </c>
      <c r="B126" s="1862" t="s">
        <v>1243</v>
      </c>
      <c r="C126" s="1863">
        <v>0.13</v>
      </c>
      <c r="D126" s="1863">
        <v>0.13</v>
      </c>
      <c r="E126" s="1863">
        <v>0.126</v>
      </c>
      <c r="F126" s="1871"/>
    </row>
    <row r="127" spans="1:6" ht="14.25" thickBot="1">
      <c r="A127" s="1858" t="s">
        <v>1411</v>
      </c>
      <c r="B127" s="1862" t="s">
        <v>1253</v>
      </c>
      <c r="C127" s="1863">
        <v>0.125</v>
      </c>
      <c r="D127" s="1863">
        <v>0.125</v>
      </c>
      <c r="E127" s="1863">
        <v>0.121</v>
      </c>
      <c r="F127" s="1871"/>
    </row>
    <row r="128" spans="1:6" ht="14.25" thickBot="1">
      <c r="A128" s="1858" t="s">
        <v>1411</v>
      </c>
      <c r="B128" s="1862" t="s">
        <v>1263</v>
      </c>
      <c r="C128" s="1863">
        <v>0.12</v>
      </c>
      <c r="D128" s="1863">
        <v>0.12</v>
      </c>
      <c r="E128" s="1863">
        <v>0.105</v>
      </c>
      <c r="F128" s="1871"/>
    </row>
    <row r="129" spans="1:6" ht="14.25" thickBot="1">
      <c r="A129" s="1858" t="s">
        <v>1411</v>
      </c>
      <c r="B129" s="1862" t="s">
        <v>1272</v>
      </c>
      <c r="C129" s="1863">
        <v>0.13</v>
      </c>
      <c r="D129" s="1863">
        <v>0.13</v>
      </c>
      <c r="E129" s="1863">
        <v>0.126</v>
      </c>
      <c r="F129" s="1871"/>
    </row>
    <row r="130" spans="1:6" ht="14.25" thickBot="1">
      <c r="A130" s="1858" t="s">
        <v>1411</v>
      </c>
      <c r="B130" s="1862" t="s">
        <v>1281</v>
      </c>
      <c r="C130" s="1863">
        <v>0.125</v>
      </c>
      <c r="D130" s="1863">
        <v>0.125</v>
      </c>
      <c r="E130" s="1863">
        <v>0.122</v>
      </c>
      <c r="F130" s="1871"/>
    </row>
    <row r="131" spans="1:6" ht="14.25" thickBot="1">
      <c r="A131" s="1858" t="s">
        <v>1411</v>
      </c>
      <c r="B131" s="1862" t="s">
        <v>1289</v>
      </c>
      <c r="C131" s="1863">
        <v>0.127</v>
      </c>
      <c r="D131" s="1863">
        <v>0.126</v>
      </c>
      <c r="E131" s="1863">
        <v>0.123</v>
      </c>
      <c r="F131" s="1871"/>
    </row>
    <row r="132" spans="1:6" ht="14.25" thickBot="1">
      <c r="A132" s="1858" t="s">
        <v>1411</v>
      </c>
      <c r="B132" s="1862" t="s">
        <v>1296</v>
      </c>
      <c r="C132" s="1863">
        <v>9.0999999999999998E-2</v>
      </c>
      <c r="D132" s="1863">
        <v>0.121</v>
      </c>
      <c r="E132" s="1863">
        <v>9.9000000000000005E-2</v>
      </c>
      <c r="F132" s="1871"/>
    </row>
    <row r="133" spans="1:6" ht="14.25" thickBot="1">
      <c r="A133" s="1858" t="s">
        <v>1411</v>
      </c>
      <c r="B133" s="1862" t="s">
        <v>1303</v>
      </c>
      <c r="C133" s="1863">
        <v>0.13</v>
      </c>
      <c r="D133" s="1863">
        <v>0.13</v>
      </c>
      <c r="E133" s="1863">
        <v>0.129</v>
      </c>
      <c r="F133" s="1871"/>
    </row>
    <row r="134" spans="1:6" ht="14.25" thickBot="1">
      <c r="A134" s="1858" t="s">
        <v>1411</v>
      </c>
      <c r="B134" s="1862" t="s">
        <v>2109</v>
      </c>
      <c r="C134" s="1863">
        <v>6.8000000000000005E-2</v>
      </c>
      <c r="D134" s="1863">
        <v>6.5000000000000002E-2</v>
      </c>
      <c r="E134" s="1863">
        <v>6.5000000000000002E-2</v>
      </c>
      <c r="F134" s="1864">
        <v>0.13</v>
      </c>
    </row>
    <row r="135" spans="1:6" ht="14.25" thickBot="1">
      <c r="A135" s="1858" t="s">
        <v>1411</v>
      </c>
      <c r="B135" s="1862" t="s">
        <v>1317</v>
      </c>
      <c r="C135" s="1863">
        <v>0.123</v>
      </c>
      <c r="D135" s="1863">
        <v>0.123</v>
      </c>
      <c r="E135" s="1863">
        <v>0.11</v>
      </c>
      <c r="F135" s="1871"/>
    </row>
    <row r="136" spans="1:6" ht="14.25" thickBot="1">
      <c r="A136" s="1858" t="s">
        <v>1411</v>
      </c>
      <c r="B136" s="1862" t="s">
        <v>1324</v>
      </c>
      <c r="C136" s="1863">
        <v>0.13</v>
      </c>
      <c r="D136" s="1863">
        <v>0.13</v>
      </c>
      <c r="E136" s="1863">
        <v>0.125</v>
      </c>
      <c r="F136" s="1871"/>
    </row>
    <row r="137" spans="1:6" ht="14.25" thickBot="1">
      <c r="A137" s="1858" t="s">
        <v>1411</v>
      </c>
      <c r="B137" s="1862" t="s">
        <v>1331</v>
      </c>
      <c r="C137" s="1863">
        <v>0.121</v>
      </c>
      <c r="D137" s="1863">
        <v>0.122</v>
      </c>
      <c r="E137" s="1863">
        <v>0.115</v>
      </c>
      <c r="F137" s="1871"/>
    </row>
    <row r="138" spans="1:6" ht="14.25" thickBot="1">
      <c r="A138" s="1858" t="s">
        <v>1411</v>
      </c>
      <c r="B138" s="1862" t="s">
        <v>2110</v>
      </c>
      <c r="C138" s="1863">
        <v>0.105</v>
      </c>
      <c r="D138" s="1863">
        <v>0.125</v>
      </c>
      <c r="E138" s="1863">
        <v>0.112</v>
      </c>
      <c r="F138" s="1871"/>
    </row>
    <row r="139" spans="1:6" ht="14.25" thickBot="1">
      <c r="A139" s="1858" t="s">
        <v>1411</v>
      </c>
      <c r="B139" s="1862" t="s">
        <v>2111</v>
      </c>
      <c r="C139" s="1863">
        <v>0.127</v>
      </c>
      <c r="D139" s="1863">
        <v>0.127</v>
      </c>
      <c r="E139" s="1863">
        <v>0.122</v>
      </c>
      <c r="F139" s="1864">
        <v>0.13</v>
      </c>
    </row>
    <row r="140" spans="1:6" ht="14.25" thickBot="1">
      <c r="A140" s="1858" t="s">
        <v>1411</v>
      </c>
      <c r="B140" s="1862" t="s">
        <v>2112</v>
      </c>
      <c r="C140" s="1863">
        <v>0.125</v>
      </c>
      <c r="D140" s="1863">
        <v>0.125</v>
      </c>
      <c r="E140" s="1863">
        <v>0.11899999999999999</v>
      </c>
      <c r="F140" s="1864">
        <v>0.13</v>
      </c>
    </row>
    <row r="141" spans="1:6" ht="14.25" thickBot="1">
      <c r="A141" s="1858" t="s">
        <v>1411</v>
      </c>
      <c r="B141" s="1862" t="s">
        <v>1350</v>
      </c>
      <c r="C141" s="1863">
        <v>0.125</v>
      </c>
      <c r="D141" s="1863">
        <v>0.125</v>
      </c>
      <c r="E141" s="1863">
        <v>0.11700000000000001</v>
      </c>
      <c r="F141" s="1871"/>
    </row>
    <row r="142" spans="1:6" ht="14.25" thickBot="1">
      <c r="A142" s="1858" t="s">
        <v>1411</v>
      </c>
      <c r="B142" s="1862" t="s">
        <v>1355</v>
      </c>
      <c r="C142" s="1863">
        <v>0.125</v>
      </c>
      <c r="D142" s="1863">
        <v>0.125</v>
      </c>
      <c r="E142" s="1863">
        <v>0.115</v>
      </c>
      <c r="F142" s="1871"/>
    </row>
    <row r="143" spans="1:6" ht="14.25" thickBot="1">
      <c r="A143" s="1858" t="s">
        <v>1411</v>
      </c>
      <c r="B143" s="1862" t="s">
        <v>1360</v>
      </c>
      <c r="C143" s="1863">
        <v>0.121</v>
      </c>
      <c r="D143" s="1863">
        <v>0.121</v>
      </c>
      <c r="E143" s="1863">
        <v>0.108</v>
      </c>
      <c r="F143" s="1871"/>
    </row>
    <row r="144" spans="1:6" ht="14.25" thickBot="1">
      <c r="A144" s="1858" t="s">
        <v>1411</v>
      </c>
      <c r="B144" s="1875" t="s">
        <v>2113</v>
      </c>
      <c r="C144" s="1876">
        <v>0.126</v>
      </c>
      <c r="D144" s="1876">
        <v>0.126</v>
      </c>
      <c r="E144" s="1876">
        <v>0.121</v>
      </c>
      <c r="F144" s="1871"/>
    </row>
    <row r="145" spans="1:6" ht="14.25" thickBot="1">
      <c r="A145" s="1866" t="s">
        <v>1411</v>
      </c>
      <c r="B145" s="1877" t="s">
        <v>2114</v>
      </c>
      <c r="C145" s="1878"/>
      <c r="D145" s="1878"/>
      <c r="E145" s="1878"/>
      <c r="F145" s="1879">
        <v>0.05</v>
      </c>
    </row>
    <row r="146" spans="1:6" ht="24.75" thickBot="1">
      <c r="A146" s="1880" t="s">
        <v>1411</v>
      </c>
      <c r="B146" s="1865" t="s">
        <v>2115</v>
      </c>
      <c r="C146" s="1872"/>
      <c r="D146" s="1872"/>
      <c r="E146" s="1872"/>
      <c r="F146" s="1881">
        <v>0.05</v>
      </c>
    </row>
    <row r="147" spans="1:6" ht="24.75" thickBot="1">
      <c r="A147" s="1858" t="s">
        <v>1411</v>
      </c>
      <c r="B147" s="1862" t="s">
        <v>2116</v>
      </c>
      <c r="C147" s="1872"/>
      <c r="D147" s="1872"/>
      <c r="E147" s="1872"/>
      <c r="F147" s="1864">
        <v>0.05</v>
      </c>
    </row>
    <row r="148" spans="1:6" ht="24.75" thickBot="1">
      <c r="A148" s="1858" t="s">
        <v>1411</v>
      </c>
      <c r="B148" s="1862" t="s">
        <v>2117</v>
      </c>
      <c r="C148" s="1872"/>
      <c r="D148" s="1872"/>
      <c r="E148" s="1872"/>
      <c r="F148" s="1864">
        <v>0.05</v>
      </c>
    </row>
    <row r="149" spans="1:6" ht="24.75" thickBot="1">
      <c r="A149" s="1858" t="s">
        <v>1411</v>
      </c>
      <c r="B149" s="1862" t="s">
        <v>2118</v>
      </c>
      <c r="C149" s="1872"/>
      <c r="D149" s="1872"/>
      <c r="E149" s="1872"/>
      <c r="F149" s="1864">
        <v>0.05</v>
      </c>
    </row>
    <row r="150" spans="1:6" ht="24.75" thickBot="1">
      <c r="A150" s="1858" t="s">
        <v>1411</v>
      </c>
      <c r="B150" s="1862" t="s">
        <v>2119</v>
      </c>
      <c r="C150" s="1872"/>
      <c r="D150" s="1872"/>
      <c r="E150" s="1872"/>
      <c r="F150" s="1864">
        <v>0.05</v>
      </c>
    </row>
    <row r="151" spans="1:6" ht="24.75" thickBot="1">
      <c r="A151" s="1858" t="s">
        <v>1411</v>
      </c>
      <c r="B151" s="1862" t="s">
        <v>2120</v>
      </c>
      <c r="C151" s="1872"/>
      <c r="D151" s="1872"/>
      <c r="E151" s="1872"/>
      <c r="F151" s="1864">
        <v>0.05</v>
      </c>
    </row>
    <row r="152" spans="1:6" ht="24.75" thickBot="1">
      <c r="A152" s="1858" t="s">
        <v>1411</v>
      </c>
      <c r="B152" s="1862" t="s">
        <v>1393</v>
      </c>
      <c r="C152" s="1872"/>
      <c r="D152" s="1872"/>
      <c r="E152" s="1872"/>
      <c r="F152" s="1864">
        <v>0.05</v>
      </c>
    </row>
    <row r="153" spans="1:6" ht="14.25" thickBot="1">
      <c r="A153" s="1858" t="s">
        <v>1411</v>
      </c>
      <c r="B153" s="1862" t="s">
        <v>2121</v>
      </c>
      <c r="C153" s="1872"/>
      <c r="D153" s="1872"/>
      <c r="E153" s="1872"/>
      <c r="F153" s="1864">
        <v>0.05</v>
      </c>
    </row>
    <row r="154" spans="1:6" ht="14.25" thickBot="1">
      <c r="A154" s="1858" t="s">
        <v>1411</v>
      </c>
      <c r="B154" s="1862" t="s">
        <v>2122</v>
      </c>
      <c r="C154" s="1872"/>
      <c r="D154" s="1872"/>
      <c r="E154" s="1872"/>
      <c r="F154" s="1864">
        <v>0.05</v>
      </c>
    </row>
    <row r="155" spans="1:6" ht="24.75" thickBot="1">
      <c r="A155" s="1858" t="s">
        <v>1411</v>
      </c>
      <c r="B155" s="1862" t="s">
        <v>2123</v>
      </c>
      <c r="C155" s="1872"/>
      <c r="D155" s="1872"/>
      <c r="E155" s="1872"/>
      <c r="F155" s="1864">
        <v>0.05</v>
      </c>
    </row>
    <row r="156" spans="1:6" ht="24.75" thickBot="1">
      <c r="A156" s="1858" t="s">
        <v>1411</v>
      </c>
      <c r="B156" s="1862" t="s">
        <v>2124</v>
      </c>
      <c r="C156" s="1872"/>
      <c r="D156" s="1872"/>
      <c r="E156" s="1872"/>
      <c r="F156" s="1864">
        <v>0.05</v>
      </c>
    </row>
    <row r="157" spans="1:6" ht="14.25" thickBot="1">
      <c r="A157" s="1866" t="s">
        <v>1411</v>
      </c>
      <c r="B157" s="1873" t="s">
        <v>2125</v>
      </c>
      <c r="C157" s="1869"/>
      <c r="D157" s="1869"/>
      <c r="E157" s="1869"/>
      <c r="F157" s="1874">
        <v>0.05</v>
      </c>
    </row>
    <row r="158" spans="1:6" ht="14.25" thickBot="1">
      <c r="A158" s="1858" t="s">
        <v>1413</v>
      </c>
      <c r="B158" s="1859" t="s">
        <v>2126</v>
      </c>
      <c r="C158" s="1860">
        <v>0.13</v>
      </c>
      <c r="D158" s="1860">
        <v>0.13</v>
      </c>
      <c r="E158" s="1860">
        <v>0.13</v>
      </c>
      <c r="F158" s="1861">
        <v>0.13</v>
      </c>
    </row>
    <row r="159" spans="1:6" ht="14.25" thickBot="1">
      <c r="A159" s="1858" t="s">
        <v>1413</v>
      </c>
      <c r="B159" s="1862" t="s">
        <v>1078</v>
      </c>
      <c r="C159" s="1863">
        <v>0.13</v>
      </c>
      <c r="D159" s="1863">
        <v>0.13</v>
      </c>
      <c r="E159" s="1863">
        <v>0.13</v>
      </c>
      <c r="F159" s="1864">
        <v>0.13</v>
      </c>
    </row>
    <row r="160" spans="1:6" ht="14.25" thickBot="1">
      <c r="A160" s="1858" t="s">
        <v>1413</v>
      </c>
      <c r="B160" s="1862" t="s">
        <v>1092</v>
      </c>
      <c r="C160" s="1863">
        <v>0.13</v>
      </c>
      <c r="D160" s="1863">
        <v>0.13</v>
      </c>
      <c r="E160" s="1863">
        <v>0.129</v>
      </c>
      <c r="F160" s="1864">
        <v>0.13</v>
      </c>
    </row>
    <row r="161" spans="1:6" ht="14.25" thickBot="1">
      <c r="A161" s="1858" t="s">
        <v>1413</v>
      </c>
      <c r="B161" s="1862" t="s">
        <v>1105</v>
      </c>
      <c r="C161" s="1863">
        <v>0.128</v>
      </c>
      <c r="D161" s="1863">
        <v>0.128</v>
      </c>
      <c r="E161" s="1863">
        <v>0.125</v>
      </c>
      <c r="F161" s="1864">
        <v>0.13</v>
      </c>
    </row>
    <row r="162" spans="1:6" ht="14.25" thickBot="1">
      <c r="A162" s="1858" t="s">
        <v>1413</v>
      </c>
      <c r="B162" s="1862" t="s">
        <v>1119</v>
      </c>
      <c r="C162" s="1863">
        <v>0.122</v>
      </c>
      <c r="D162" s="1863">
        <v>0.122</v>
      </c>
      <c r="E162" s="1863">
        <v>0.126</v>
      </c>
      <c r="F162" s="1864">
        <v>0.122</v>
      </c>
    </row>
    <row r="163" spans="1:6" ht="14.25" thickBot="1">
      <c r="A163" s="1858" t="s">
        <v>1413</v>
      </c>
      <c r="B163" s="1862" t="s">
        <v>1130</v>
      </c>
      <c r="C163" s="1863">
        <v>0.13</v>
      </c>
      <c r="D163" s="1863">
        <v>0.13</v>
      </c>
      <c r="E163" s="1863">
        <v>0.125</v>
      </c>
      <c r="F163" s="1864">
        <v>0.13</v>
      </c>
    </row>
    <row r="164" spans="1:6" ht="14.25" thickBot="1">
      <c r="A164" s="1858" t="s">
        <v>1413</v>
      </c>
      <c r="B164" s="1862" t="s">
        <v>1141</v>
      </c>
      <c r="C164" s="1863">
        <v>0.13</v>
      </c>
      <c r="D164" s="1863">
        <v>0.13</v>
      </c>
      <c r="E164" s="1863">
        <v>0.13</v>
      </c>
      <c r="F164" s="1864">
        <v>0.13</v>
      </c>
    </row>
    <row r="165" spans="1:6" ht="14.25" thickBot="1">
      <c r="A165" s="1858" t="s">
        <v>1413</v>
      </c>
      <c r="B165" s="1862" t="s">
        <v>1152</v>
      </c>
      <c r="C165" s="1863">
        <v>0.13</v>
      </c>
      <c r="D165" s="1863">
        <v>0.13</v>
      </c>
      <c r="E165" s="1863">
        <v>0.124</v>
      </c>
      <c r="F165" s="1864">
        <v>0.13</v>
      </c>
    </row>
    <row r="166" spans="1:6" ht="14.25" thickBot="1">
      <c r="A166" s="1858" t="s">
        <v>1413</v>
      </c>
      <c r="B166" s="1862" t="s">
        <v>1164</v>
      </c>
      <c r="C166" s="1863">
        <v>0.13</v>
      </c>
      <c r="D166" s="1863">
        <v>0.13</v>
      </c>
      <c r="E166" s="1863">
        <v>0.13</v>
      </c>
      <c r="F166" s="1864">
        <v>0.13</v>
      </c>
    </row>
    <row r="167" spans="1:6" ht="14.25" thickBot="1">
      <c r="A167" s="1858" t="s">
        <v>1413</v>
      </c>
      <c r="B167" s="1862" t="s">
        <v>1174</v>
      </c>
      <c r="C167" s="1863">
        <v>0.125</v>
      </c>
      <c r="D167" s="1863">
        <v>0.125</v>
      </c>
      <c r="E167" s="1863">
        <v>0.121</v>
      </c>
      <c r="F167" s="1871"/>
    </row>
    <row r="168" spans="1:6" ht="14.25" thickBot="1">
      <c r="A168" s="1858" t="s">
        <v>1413</v>
      </c>
      <c r="B168" s="1862" t="s">
        <v>1184</v>
      </c>
      <c r="C168" s="1863">
        <v>0.13</v>
      </c>
      <c r="D168" s="1863">
        <v>0.13</v>
      </c>
      <c r="E168" s="1863">
        <v>0.126</v>
      </c>
      <c r="F168" s="1871"/>
    </row>
    <row r="169" spans="1:6" ht="14.25" thickBot="1">
      <c r="A169" s="1858" t="s">
        <v>1413</v>
      </c>
      <c r="B169" s="1862" t="s">
        <v>1194</v>
      </c>
      <c r="C169" s="1863">
        <v>0.128</v>
      </c>
      <c r="D169" s="1863">
        <v>0.129</v>
      </c>
      <c r="E169" s="1863">
        <v>0.13</v>
      </c>
      <c r="F169" s="1871"/>
    </row>
    <row r="170" spans="1:6" ht="14.25" thickBot="1">
      <c r="A170" s="1858" t="s">
        <v>1413</v>
      </c>
      <c r="B170" s="1862" t="s">
        <v>1204</v>
      </c>
      <c r="C170" s="1863">
        <v>0.14099999999999999</v>
      </c>
      <c r="D170" s="1863">
        <v>0.13</v>
      </c>
      <c r="E170" s="1863">
        <v>0.125</v>
      </c>
      <c r="F170" s="1871"/>
    </row>
    <row r="171" spans="1:6" ht="14.25" thickBot="1">
      <c r="A171" s="1858" t="s">
        <v>1413</v>
      </c>
      <c r="B171" s="1862" t="s">
        <v>2127</v>
      </c>
      <c r="C171" s="1863">
        <v>0.127</v>
      </c>
      <c r="D171" s="1863">
        <v>0.126</v>
      </c>
      <c r="E171" s="1863">
        <v>0.126</v>
      </c>
      <c r="F171" s="1864">
        <v>0.11799999999999999</v>
      </c>
    </row>
    <row r="172" spans="1:6" ht="14.25" thickBot="1">
      <c r="A172" s="1858" t="s">
        <v>1413</v>
      </c>
      <c r="B172" s="1862" t="s">
        <v>2128</v>
      </c>
      <c r="C172" s="1863">
        <v>0.13</v>
      </c>
      <c r="D172" s="1863">
        <v>0.13</v>
      </c>
      <c r="E172" s="1863">
        <v>0.13</v>
      </c>
      <c r="F172" s="1871"/>
    </row>
    <row r="173" spans="1:6" ht="14.25" thickBot="1">
      <c r="A173" s="1858" t="s">
        <v>1413</v>
      </c>
      <c r="B173" s="1862" t="s">
        <v>1234</v>
      </c>
      <c r="C173" s="1863">
        <v>0.13</v>
      </c>
      <c r="D173" s="1863">
        <v>0.13</v>
      </c>
      <c r="E173" s="1863">
        <v>0.13</v>
      </c>
      <c r="F173" s="1871"/>
    </row>
    <row r="174" spans="1:6" ht="14.25" thickBot="1">
      <c r="A174" s="1858" t="s">
        <v>1413</v>
      </c>
      <c r="B174" s="1862" t="s">
        <v>2129</v>
      </c>
      <c r="C174" s="1863">
        <v>0.13</v>
      </c>
      <c r="D174" s="1863">
        <v>0.13</v>
      </c>
      <c r="E174" s="1863">
        <v>0.13</v>
      </c>
      <c r="F174" s="1864">
        <v>0.13</v>
      </c>
    </row>
    <row r="175" spans="1:6" ht="14.25" thickBot="1">
      <c r="A175" s="1858" t="s">
        <v>1413</v>
      </c>
      <c r="B175" s="1862" t="s">
        <v>2130</v>
      </c>
      <c r="C175" s="1863">
        <v>0.13</v>
      </c>
      <c r="D175" s="1863">
        <v>0.13</v>
      </c>
      <c r="E175" s="1863">
        <v>0.13</v>
      </c>
      <c r="F175" s="1864">
        <v>0.13</v>
      </c>
    </row>
    <row r="176" spans="1:6" ht="14.25" thickBot="1">
      <c r="A176" s="1858" t="s">
        <v>1413</v>
      </c>
      <c r="B176" s="1862" t="s">
        <v>1264</v>
      </c>
      <c r="C176" s="1863">
        <v>0.13</v>
      </c>
      <c r="D176" s="1863">
        <v>0.13</v>
      </c>
      <c r="E176" s="1863">
        <v>0.13</v>
      </c>
      <c r="F176" s="1864">
        <v>0.13</v>
      </c>
    </row>
    <row r="177" spans="1:6" ht="14.25" thickBot="1">
      <c r="A177" s="1858" t="s">
        <v>1413</v>
      </c>
      <c r="B177" s="1862" t="s">
        <v>2131</v>
      </c>
      <c r="C177" s="1863">
        <v>0.13</v>
      </c>
      <c r="D177" s="1863">
        <v>0.13</v>
      </c>
      <c r="E177" s="1863">
        <v>0.13</v>
      </c>
      <c r="F177" s="1864">
        <v>0.13</v>
      </c>
    </row>
    <row r="178" spans="1:6" ht="14.25" thickBot="1">
      <c r="A178" s="1858" t="s">
        <v>1413</v>
      </c>
      <c r="B178" s="1862" t="s">
        <v>1282</v>
      </c>
      <c r="C178" s="1863">
        <v>0.13</v>
      </c>
      <c r="D178" s="1863">
        <v>0.13</v>
      </c>
      <c r="E178" s="1863">
        <v>0.13</v>
      </c>
      <c r="F178" s="1864">
        <v>0.127</v>
      </c>
    </row>
    <row r="179" spans="1:6" ht="14.25" thickBot="1">
      <c r="A179" s="1858" t="s">
        <v>1413</v>
      </c>
      <c r="B179" s="1862" t="s">
        <v>1290</v>
      </c>
      <c r="C179" s="1863">
        <v>0.13</v>
      </c>
      <c r="D179" s="1863">
        <v>0.13</v>
      </c>
      <c r="E179" s="1863">
        <v>0.13</v>
      </c>
      <c r="F179" s="1871"/>
    </row>
    <row r="180" spans="1:6" ht="14.25" thickBot="1">
      <c r="A180" s="1858" t="s">
        <v>1413</v>
      </c>
      <c r="B180" s="1862" t="s">
        <v>2132</v>
      </c>
      <c r="C180" s="1863">
        <v>0.13</v>
      </c>
      <c r="D180" s="1863">
        <v>0.13</v>
      </c>
      <c r="E180" s="1863">
        <v>0.125</v>
      </c>
      <c r="F180" s="1864">
        <v>0.13</v>
      </c>
    </row>
    <row r="181" spans="1:6" ht="14.25" thickBot="1">
      <c r="A181" s="1858" t="s">
        <v>1413</v>
      </c>
      <c r="B181" s="1862" t="s">
        <v>1304</v>
      </c>
      <c r="C181" s="1863">
        <v>0.122</v>
      </c>
      <c r="D181" s="1863">
        <v>0.123</v>
      </c>
      <c r="E181" s="1863">
        <v>0.126</v>
      </c>
      <c r="F181" s="1864">
        <v>0.121</v>
      </c>
    </row>
    <row r="182" spans="1:6" ht="14.25" thickBot="1">
      <c r="A182" s="1858" t="s">
        <v>1413</v>
      </c>
      <c r="B182" s="1862" t="s">
        <v>1311</v>
      </c>
      <c r="C182" s="1863">
        <v>0.125</v>
      </c>
      <c r="D182" s="1863">
        <v>0.125</v>
      </c>
      <c r="E182" s="1863">
        <v>0.11700000000000001</v>
      </c>
      <c r="F182" s="1864">
        <v>0.13</v>
      </c>
    </row>
    <row r="183" spans="1:6" ht="14.25" thickBot="1">
      <c r="A183" s="1858" t="s">
        <v>1413</v>
      </c>
      <c r="B183" s="1862" t="s">
        <v>1318</v>
      </c>
      <c r="C183" s="1863">
        <v>0.127</v>
      </c>
      <c r="D183" s="1863">
        <v>0.127</v>
      </c>
      <c r="E183" s="1863">
        <v>0.128</v>
      </c>
      <c r="F183" s="1871"/>
    </row>
    <row r="184" spans="1:6" ht="14.25" thickBot="1">
      <c r="A184" s="1858" t="s">
        <v>1413</v>
      </c>
      <c r="B184" s="1862" t="s">
        <v>1325</v>
      </c>
      <c r="C184" s="1863">
        <v>0.125</v>
      </c>
      <c r="D184" s="1863">
        <v>0.125</v>
      </c>
      <c r="E184" s="1863">
        <v>0.127</v>
      </c>
      <c r="F184" s="1871"/>
    </row>
    <row r="185" spans="1:6" ht="14.25" thickBot="1">
      <c r="A185" s="1858" t="s">
        <v>1413</v>
      </c>
      <c r="B185" s="1862" t="s">
        <v>2133</v>
      </c>
      <c r="C185" s="1863">
        <v>0.127</v>
      </c>
      <c r="D185" s="1863">
        <v>0.127</v>
      </c>
      <c r="E185" s="1863">
        <v>0.128</v>
      </c>
      <c r="F185" s="1864">
        <v>0.13</v>
      </c>
    </row>
    <row r="186" spans="1:6" ht="24.75" thickBot="1">
      <c r="A186" s="1858" t="s">
        <v>1413</v>
      </c>
      <c r="B186" s="1862" t="s">
        <v>2134</v>
      </c>
      <c r="C186" s="1872"/>
      <c r="D186" s="1872"/>
      <c r="E186" s="1872"/>
      <c r="F186" s="1864">
        <v>0.05</v>
      </c>
    </row>
    <row r="187" spans="1:6" ht="14.25" thickBot="1">
      <c r="A187" s="1858" t="s">
        <v>1413</v>
      </c>
      <c r="B187" s="1862" t="s">
        <v>2135</v>
      </c>
      <c r="C187" s="1872"/>
      <c r="D187" s="1872"/>
      <c r="E187" s="1872"/>
      <c r="F187" s="1864">
        <v>0.05</v>
      </c>
    </row>
    <row r="188" spans="1:6" ht="14.25" thickBot="1">
      <c r="A188" s="1858" t="s">
        <v>1413</v>
      </c>
      <c r="B188" s="1862" t="s">
        <v>2136</v>
      </c>
      <c r="C188" s="1872"/>
      <c r="D188" s="1872"/>
      <c r="E188" s="1872"/>
      <c r="F188" s="1864">
        <v>0.05</v>
      </c>
    </row>
    <row r="189" spans="1:6" ht="24.75" thickBot="1">
      <c r="A189" s="1858" t="s">
        <v>1413</v>
      </c>
      <c r="B189" s="1862" t="s">
        <v>2137</v>
      </c>
      <c r="C189" s="1872"/>
      <c r="D189" s="1872"/>
      <c r="E189" s="1872"/>
      <c r="F189" s="1864">
        <v>0.05</v>
      </c>
    </row>
    <row r="190" spans="1:6" ht="24.75" thickBot="1">
      <c r="A190" s="1858" t="s">
        <v>1413</v>
      </c>
      <c r="B190" s="1862" t="s">
        <v>2138</v>
      </c>
      <c r="C190" s="1872"/>
      <c r="D190" s="1872"/>
      <c r="E190" s="1872"/>
      <c r="F190" s="1864">
        <v>0.05</v>
      </c>
    </row>
    <row r="191" spans="1:6" ht="24.75" thickBot="1">
      <c r="A191" s="1858" t="s">
        <v>1413</v>
      </c>
      <c r="B191" s="1862" t="s">
        <v>2139</v>
      </c>
      <c r="C191" s="1872"/>
      <c r="D191" s="1872"/>
      <c r="E191" s="1872"/>
      <c r="F191" s="1864">
        <v>0.05</v>
      </c>
    </row>
    <row r="192" spans="1:6" ht="24.75" thickBot="1">
      <c r="A192" s="1858" t="s">
        <v>1413</v>
      </c>
      <c r="B192" s="1862" t="s">
        <v>2140</v>
      </c>
      <c r="C192" s="1872"/>
      <c r="D192" s="1872"/>
      <c r="E192" s="1872"/>
      <c r="F192" s="1864">
        <v>0.05</v>
      </c>
    </row>
    <row r="193" spans="1:6" ht="24.75" thickBot="1">
      <c r="A193" s="1858" t="s">
        <v>1413</v>
      </c>
      <c r="B193" s="1862" t="s">
        <v>2141</v>
      </c>
      <c r="C193" s="1872"/>
      <c r="D193" s="1872"/>
      <c r="E193" s="1872"/>
      <c r="F193" s="1864">
        <v>0.05</v>
      </c>
    </row>
    <row r="194" spans="1:6" ht="24.75" thickBot="1">
      <c r="A194" s="1858" t="s">
        <v>1413</v>
      </c>
      <c r="B194" s="1862" t="s">
        <v>2142</v>
      </c>
      <c r="C194" s="1872"/>
      <c r="D194" s="1872"/>
      <c r="E194" s="1872"/>
      <c r="F194" s="1864">
        <v>0.05</v>
      </c>
    </row>
    <row r="195" spans="1:6" ht="14.25" thickBot="1">
      <c r="A195" s="1858" t="s">
        <v>1413</v>
      </c>
      <c r="B195" s="1862" t="s">
        <v>2143</v>
      </c>
      <c r="C195" s="1872"/>
      <c r="D195" s="1872"/>
      <c r="E195" s="1872"/>
      <c r="F195" s="1864">
        <v>0.05</v>
      </c>
    </row>
    <row r="196" spans="1:6" ht="24.75" thickBot="1">
      <c r="A196" s="1858" t="s">
        <v>1413</v>
      </c>
      <c r="B196" s="1862" t="s">
        <v>2144</v>
      </c>
      <c r="C196" s="1872"/>
      <c r="D196" s="1872"/>
      <c r="E196" s="1872"/>
      <c r="F196" s="1864">
        <v>0.05</v>
      </c>
    </row>
    <row r="197" spans="1:6" ht="24.75" thickBot="1">
      <c r="A197" s="1858" t="s">
        <v>1413</v>
      </c>
      <c r="B197" s="1862" t="s">
        <v>2145</v>
      </c>
      <c r="C197" s="1872"/>
      <c r="D197" s="1872"/>
      <c r="E197" s="1872"/>
      <c r="F197" s="1864">
        <v>0.05</v>
      </c>
    </row>
    <row r="198" spans="1:6" ht="24.75" thickBot="1">
      <c r="A198" s="1858" t="s">
        <v>1413</v>
      </c>
      <c r="B198" s="1862" t="s">
        <v>2146</v>
      </c>
      <c r="C198" s="1872"/>
      <c r="D198" s="1872"/>
      <c r="E198" s="1872"/>
      <c r="F198" s="1864">
        <v>0.05</v>
      </c>
    </row>
    <row r="199" spans="1:6" ht="24.75" thickBot="1">
      <c r="A199" s="1858" t="s">
        <v>1413</v>
      </c>
      <c r="B199" s="1862" t="s">
        <v>2147</v>
      </c>
      <c r="C199" s="1872"/>
      <c r="D199" s="1872"/>
      <c r="E199" s="1872"/>
      <c r="F199" s="1864">
        <v>0.05</v>
      </c>
    </row>
    <row r="200" spans="1:6" ht="24.75" thickBot="1">
      <c r="A200" s="1858" t="s">
        <v>1413</v>
      </c>
      <c r="B200" s="1862" t="s">
        <v>2148</v>
      </c>
      <c r="C200" s="1872"/>
      <c r="D200" s="1872"/>
      <c r="E200" s="1872"/>
      <c r="F200" s="1864">
        <v>0.05</v>
      </c>
    </row>
    <row r="201" spans="1:6" ht="24.75" thickBot="1">
      <c r="A201" s="1858" t="s">
        <v>1413</v>
      </c>
      <c r="B201" s="1862" t="s">
        <v>2149</v>
      </c>
      <c r="C201" s="1872"/>
      <c r="D201" s="1872"/>
      <c r="E201" s="1872"/>
      <c r="F201" s="1864">
        <v>0.05</v>
      </c>
    </row>
    <row r="202" spans="1:6" ht="24.75" thickBot="1">
      <c r="A202" s="1858" t="s">
        <v>1413</v>
      </c>
      <c r="B202" s="1862" t="s">
        <v>2150</v>
      </c>
      <c r="C202" s="1872"/>
      <c r="D202" s="1872"/>
      <c r="E202" s="1872"/>
      <c r="F202" s="1864">
        <v>0.05</v>
      </c>
    </row>
    <row r="203" spans="1:6" ht="24.75" thickBot="1">
      <c r="A203" s="1858" t="s">
        <v>1413</v>
      </c>
      <c r="B203" s="1862" t="s">
        <v>2151</v>
      </c>
      <c r="C203" s="1872"/>
      <c r="D203" s="1872"/>
      <c r="E203" s="1872"/>
      <c r="F203" s="1864">
        <v>0.05</v>
      </c>
    </row>
    <row r="204" spans="1:6" ht="14.25" thickBot="1">
      <c r="A204" s="1858" t="s">
        <v>1413</v>
      </c>
      <c r="B204" s="1862" t="s">
        <v>2152</v>
      </c>
      <c r="C204" s="1872"/>
      <c r="D204" s="1872"/>
      <c r="E204" s="1872"/>
      <c r="F204" s="1864">
        <v>0.05</v>
      </c>
    </row>
    <row r="205" spans="1:6" ht="14.25" thickBot="1">
      <c r="A205" s="1866" t="s">
        <v>1413</v>
      </c>
      <c r="B205" s="1873" t="s">
        <v>2153</v>
      </c>
      <c r="C205" s="1869"/>
      <c r="D205" s="1869"/>
      <c r="E205" s="1869"/>
      <c r="F205" s="1874">
        <v>0.05</v>
      </c>
    </row>
    <row r="206" spans="1:6" ht="14.25" thickBot="1">
      <c r="A206" s="1858" t="s">
        <v>1415</v>
      </c>
      <c r="B206" s="1859" t="s">
        <v>2154</v>
      </c>
      <c r="C206" s="1860">
        <v>0.15</v>
      </c>
      <c r="D206" s="1860">
        <v>0.15</v>
      </c>
      <c r="E206" s="1860">
        <v>0.15</v>
      </c>
      <c r="F206" s="1861">
        <v>0.15</v>
      </c>
    </row>
    <row r="207" spans="1:6" ht="14.25" thickBot="1">
      <c r="A207" s="1858" t="s">
        <v>1415</v>
      </c>
      <c r="B207" s="1862" t="s">
        <v>1079</v>
      </c>
      <c r="C207" s="1863">
        <v>0.15</v>
      </c>
      <c r="D207" s="1863">
        <v>0.15</v>
      </c>
      <c r="E207" s="1863">
        <v>0.15</v>
      </c>
      <c r="F207" s="1864">
        <v>0.14399999999999999</v>
      </c>
    </row>
    <row r="208" spans="1:6" ht="14.25" thickBot="1">
      <c r="A208" s="1858" t="s">
        <v>1415</v>
      </c>
      <c r="B208" s="1862" t="s">
        <v>1093</v>
      </c>
      <c r="C208" s="1863">
        <v>0.15</v>
      </c>
      <c r="D208" s="1863">
        <v>0.15</v>
      </c>
      <c r="E208" s="1863">
        <v>0.15</v>
      </c>
      <c r="F208" s="1864">
        <v>0.15</v>
      </c>
    </row>
    <row r="209" spans="1:6" ht="14.25" thickBot="1">
      <c r="A209" s="1858" t="s">
        <v>1415</v>
      </c>
      <c r="B209" s="1862" t="s">
        <v>1106</v>
      </c>
      <c r="C209" s="1863">
        <v>0.13700000000000001</v>
      </c>
      <c r="D209" s="1863">
        <v>0.13700000000000001</v>
      </c>
      <c r="E209" s="1863">
        <v>0.14000000000000001</v>
      </c>
      <c r="F209" s="1864">
        <v>0.11700000000000001</v>
      </c>
    </row>
    <row r="210" spans="1:6" ht="14.25" thickBot="1">
      <c r="A210" s="1858" t="s">
        <v>1415</v>
      </c>
      <c r="B210" s="1862" t="s">
        <v>2155</v>
      </c>
      <c r="C210" s="1863">
        <v>0.15</v>
      </c>
      <c r="D210" s="1863">
        <v>0.15</v>
      </c>
      <c r="E210" s="1863">
        <v>0.15</v>
      </c>
      <c r="F210" s="1864">
        <v>0.13800000000000001</v>
      </c>
    </row>
    <row r="211" spans="1:6" ht="14.25" thickBot="1">
      <c r="A211" s="1858" t="s">
        <v>1415</v>
      </c>
      <c r="B211" s="1862" t="s">
        <v>2156</v>
      </c>
      <c r="C211" s="1863">
        <v>0.13700000000000001</v>
      </c>
      <c r="D211" s="1863">
        <v>0.13500000000000001</v>
      </c>
      <c r="E211" s="1863">
        <v>0.13600000000000001</v>
      </c>
      <c r="F211" s="1864">
        <v>0.1</v>
      </c>
    </row>
    <row r="212" spans="1:6" ht="14.25" thickBot="1">
      <c r="A212" s="1858" t="s">
        <v>1415</v>
      </c>
      <c r="B212" s="1862" t="s">
        <v>2157</v>
      </c>
      <c r="C212" s="1863">
        <v>0.15</v>
      </c>
      <c r="D212" s="1863">
        <v>0.15</v>
      </c>
      <c r="E212" s="1863">
        <v>0.14799999999999999</v>
      </c>
      <c r="F212" s="1864">
        <v>0.13600000000000001</v>
      </c>
    </row>
    <row r="213" spans="1:6" ht="14.25" thickBot="1">
      <c r="A213" s="1858" t="s">
        <v>1415</v>
      </c>
      <c r="B213" s="1862" t="s">
        <v>1153</v>
      </c>
      <c r="C213" s="1863">
        <v>0.15</v>
      </c>
      <c r="D213" s="1863">
        <v>0.15</v>
      </c>
      <c r="E213" s="1863">
        <v>0.15</v>
      </c>
      <c r="F213" s="1864">
        <v>0.13800000000000001</v>
      </c>
    </row>
    <row r="214" spans="1:6" ht="14.25" thickBot="1">
      <c r="A214" s="1858" t="s">
        <v>1415</v>
      </c>
      <c r="B214" s="1862" t="s">
        <v>1165</v>
      </c>
      <c r="C214" s="1863">
        <v>9.0999999999999998E-2</v>
      </c>
      <c r="D214" s="1863">
        <v>0.09</v>
      </c>
      <c r="E214" s="1863">
        <v>9.1999999999999998E-2</v>
      </c>
      <c r="F214" s="1871"/>
    </row>
    <row r="215" spans="1:6" ht="14.25" thickBot="1">
      <c r="A215" s="1858" t="s">
        <v>1415</v>
      </c>
      <c r="B215" s="1862" t="s">
        <v>2158</v>
      </c>
      <c r="C215" s="1863">
        <v>0.15</v>
      </c>
      <c r="D215" s="1863">
        <v>0.15</v>
      </c>
      <c r="E215" s="1863">
        <v>0.15</v>
      </c>
      <c r="F215" s="1864">
        <v>0.15</v>
      </c>
    </row>
    <row r="216" spans="1:6" ht="14.25" thickBot="1">
      <c r="A216" s="1858" t="s">
        <v>1415</v>
      </c>
      <c r="B216" s="1862" t="s">
        <v>1185</v>
      </c>
      <c r="C216" s="1863">
        <v>0.14699999999999999</v>
      </c>
      <c r="D216" s="1863">
        <v>0.14699999999999999</v>
      </c>
      <c r="E216" s="1863">
        <v>0.15</v>
      </c>
      <c r="F216" s="1864">
        <v>0.14000000000000001</v>
      </c>
    </row>
    <row r="217" spans="1:6" ht="14.25" thickBot="1">
      <c r="A217" s="1858" t="s">
        <v>1415</v>
      </c>
      <c r="B217" s="1862" t="s">
        <v>1195</v>
      </c>
      <c r="C217" s="1863">
        <v>0.15</v>
      </c>
      <c r="D217" s="1863">
        <v>0.15</v>
      </c>
      <c r="E217" s="1863">
        <v>0.15</v>
      </c>
      <c r="F217" s="1864">
        <v>0.15</v>
      </c>
    </row>
    <row r="218" spans="1:6" ht="14.25" thickBot="1">
      <c r="A218" s="1858" t="s">
        <v>1415</v>
      </c>
      <c r="B218" s="1862" t="s">
        <v>2159</v>
      </c>
      <c r="C218" s="1863">
        <v>0.15</v>
      </c>
      <c r="D218" s="1863">
        <v>0.15</v>
      </c>
      <c r="E218" s="1863">
        <v>0.15</v>
      </c>
      <c r="F218" s="1864">
        <v>0.15</v>
      </c>
    </row>
    <row r="219" spans="1:6" ht="14.25" thickBot="1">
      <c r="A219" s="1858" t="s">
        <v>1415</v>
      </c>
      <c r="B219" s="1862" t="s">
        <v>1215</v>
      </c>
      <c r="C219" s="1863">
        <v>0.15</v>
      </c>
      <c r="D219" s="1863">
        <v>0.15</v>
      </c>
      <c r="E219" s="1863">
        <v>0.15</v>
      </c>
      <c r="F219" s="1864">
        <v>0.14799999999999999</v>
      </c>
    </row>
    <row r="220" spans="1:6" ht="14.25" thickBot="1">
      <c r="A220" s="1858" t="s">
        <v>1415</v>
      </c>
      <c r="B220" s="1862" t="s">
        <v>2160</v>
      </c>
      <c r="C220" s="1863">
        <v>0.15</v>
      </c>
      <c r="D220" s="1863">
        <v>0.15</v>
      </c>
      <c r="E220" s="1863">
        <v>0.15</v>
      </c>
      <c r="F220" s="1864">
        <v>0.15</v>
      </c>
    </row>
    <row r="221" spans="1:6" ht="14.25" thickBot="1">
      <c r="A221" s="1858" t="s">
        <v>1415</v>
      </c>
      <c r="B221" s="1862" t="s">
        <v>1235</v>
      </c>
      <c r="C221" s="1863"/>
      <c r="D221" s="1872"/>
      <c r="E221" s="1872"/>
      <c r="F221" s="1864">
        <v>0.14799999999999999</v>
      </c>
    </row>
    <row r="222" spans="1:6" ht="14.25" thickBot="1">
      <c r="A222" s="1858" t="s">
        <v>1415</v>
      </c>
      <c r="B222" s="1862" t="s">
        <v>1245</v>
      </c>
      <c r="C222" s="1863"/>
      <c r="D222" s="1872"/>
      <c r="E222" s="1872"/>
      <c r="F222" s="1864">
        <v>0.1</v>
      </c>
    </row>
    <row r="223" spans="1:6" ht="14.25" thickBot="1">
      <c r="A223" s="1858" t="s">
        <v>1415</v>
      </c>
      <c r="B223" s="1862" t="s">
        <v>1255</v>
      </c>
      <c r="C223" s="1863"/>
      <c r="D223" s="1872"/>
      <c r="E223" s="1872"/>
      <c r="F223" s="1864">
        <v>0.15</v>
      </c>
    </row>
    <row r="224" spans="1:6" ht="14.25" thickBot="1">
      <c r="A224" s="1858" t="s">
        <v>1415</v>
      </c>
      <c r="B224" s="1862" t="s">
        <v>1265</v>
      </c>
      <c r="C224" s="1863"/>
      <c r="D224" s="1872"/>
      <c r="E224" s="1872"/>
      <c r="F224" s="1864">
        <v>0.15</v>
      </c>
    </row>
    <row r="225" spans="1:6" ht="14.25" thickBot="1">
      <c r="A225" s="1858" t="s">
        <v>1415</v>
      </c>
      <c r="B225" s="1862" t="s">
        <v>2161</v>
      </c>
      <c r="C225" s="1863">
        <v>0.15</v>
      </c>
      <c r="D225" s="1863">
        <v>0.15</v>
      </c>
      <c r="E225" s="1863">
        <v>0.15</v>
      </c>
      <c r="F225" s="1864">
        <v>0.15</v>
      </c>
    </row>
    <row r="226" spans="1:6" ht="14.25" thickBot="1">
      <c r="A226" s="1858" t="s">
        <v>1415</v>
      </c>
      <c r="B226" s="1862" t="s">
        <v>1283</v>
      </c>
      <c r="C226" s="1863">
        <v>0.15</v>
      </c>
      <c r="D226" s="1863">
        <v>0.15</v>
      </c>
      <c r="E226" s="1863">
        <v>0.15</v>
      </c>
      <c r="F226" s="1864">
        <v>0.14799999999999999</v>
      </c>
    </row>
    <row r="227" spans="1:6" ht="14.25" thickBot="1">
      <c r="A227" s="1858" t="s">
        <v>1415</v>
      </c>
      <c r="B227" s="1862" t="s">
        <v>2162</v>
      </c>
      <c r="C227" s="1863">
        <v>0.15</v>
      </c>
      <c r="D227" s="1863">
        <v>0.15</v>
      </c>
      <c r="E227" s="1863">
        <v>0.15</v>
      </c>
      <c r="F227" s="1864">
        <v>0.15</v>
      </c>
    </row>
    <row r="228" spans="1:6" ht="14.25" thickBot="1">
      <c r="A228" s="1858" t="s">
        <v>1415</v>
      </c>
      <c r="B228" s="1862" t="s">
        <v>1298</v>
      </c>
      <c r="C228" s="1863">
        <v>0.15</v>
      </c>
      <c r="D228" s="1863">
        <v>0.15</v>
      </c>
      <c r="E228" s="1863">
        <v>0.15</v>
      </c>
      <c r="F228" s="1864">
        <v>0.15</v>
      </c>
    </row>
    <row r="229" spans="1:6" ht="14.25" thickBot="1">
      <c r="A229" s="1858" t="s">
        <v>1415</v>
      </c>
      <c r="B229" s="1862" t="s">
        <v>1305</v>
      </c>
      <c r="C229" s="1863">
        <v>0.15</v>
      </c>
      <c r="D229" s="1863">
        <v>0.15</v>
      </c>
      <c r="E229" s="1863">
        <v>0.15</v>
      </c>
      <c r="F229" s="1871"/>
    </row>
    <row r="230" spans="1:6" ht="14.25" thickBot="1">
      <c r="A230" s="1858" t="s">
        <v>1415</v>
      </c>
      <c r="B230" s="1862" t="s">
        <v>1312</v>
      </c>
      <c r="C230" s="1863">
        <v>0.14499999999999999</v>
      </c>
      <c r="D230" s="1863">
        <v>0.14499999999999999</v>
      </c>
      <c r="E230" s="1863">
        <v>0.14399999999999999</v>
      </c>
      <c r="F230" s="1871"/>
    </row>
    <row r="231" spans="1:6" ht="14.25" thickBot="1">
      <c r="A231" s="1858" t="s">
        <v>1415</v>
      </c>
      <c r="B231" s="1862" t="s">
        <v>2163</v>
      </c>
      <c r="C231" s="1863">
        <v>0.128</v>
      </c>
      <c r="D231" s="1863">
        <v>0.125</v>
      </c>
      <c r="E231" s="1863">
        <v>0.13200000000000001</v>
      </c>
      <c r="F231" s="1871"/>
    </row>
    <row r="232" spans="1:6" ht="14.25" thickBot="1">
      <c r="A232" s="1858" t="s">
        <v>1415</v>
      </c>
      <c r="B232" s="1862" t="s">
        <v>2164</v>
      </c>
      <c r="C232" s="1863">
        <v>0.14499999999999999</v>
      </c>
      <c r="D232" s="1863">
        <v>0.14399999999999999</v>
      </c>
      <c r="E232" s="1863">
        <v>0.14599999999999999</v>
      </c>
      <c r="F232" s="1864">
        <v>0.13800000000000001</v>
      </c>
    </row>
    <row r="233" spans="1:6" ht="14.25" thickBot="1">
      <c r="A233" s="1858" t="s">
        <v>1415</v>
      </c>
      <c r="B233" s="1862" t="s">
        <v>2165</v>
      </c>
      <c r="C233" s="1863">
        <v>0.14499999999999999</v>
      </c>
      <c r="D233" s="1863">
        <v>0.14299999999999999</v>
      </c>
      <c r="E233" s="1863">
        <v>0.14199999999999999</v>
      </c>
      <c r="F233" s="1871"/>
    </row>
    <row r="234" spans="1:6" ht="14.25" thickBot="1">
      <c r="A234" s="1858" t="s">
        <v>1415</v>
      </c>
      <c r="B234" s="1862" t="s">
        <v>2166</v>
      </c>
      <c r="C234" s="1863">
        <v>0.14000000000000001</v>
      </c>
      <c r="D234" s="1863">
        <v>0.14000000000000001</v>
      </c>
      <c r="E234" s="1863">
        <v>0.14399999999999999</v>
      </c>
      <c r="F234" s="1871"/>
    </row>
    <row r="235" spans="1:6" ht="14.25" thickBot="1">
      <c r="A235" s="1858" t="s">
        <v>1415</v>
      </c>
      <c r="B235" s="1862" t="s">
        <v>2167</v>
      </c>
      <c r="C235" s="1863">
        <v>0.14099999999999999</v>
      </c>
      <c r="D235" s="1863">
        <v>0.14199999999999999</v>
      </c>
      <c r="E235" s="1863">
        <v>0.14499999999999999</v>
      </c>
      <c r="F235" s="1864">
        <v>0.15</v>
      </c>
    </row>
    <row r="236" spans="1:6" ht="14.25" thickBot="1">
      <c r="A236" s="1858" t="s">
        <v>1415</v>
      </c>
      <c r="B236" s="1862" t="s">
        <v>1347</v>
      </c>
      <c r="C236" s="1872"/>
      <c r="D236" s="1872"/>
      <c r="E236" s="1872"/>
      <c r="F236" s="1864">
        <v>0.14299999999999999</v>
      </c>
    </row>
    <row r="237" spans="1:6" ht="24.75" thickBot="1">
      <c r="A237" s="1858" t="s">
        <v>1415</v>
      </c>
      <c r="B237" s="1862" t="s">
        <v>2168</v>
      </c>
      <c r="C237" s="1872"/>
      <c r="D237" s="1872"/>
      <c r="E237" s="1872"/>
      <c r="F237" s="1864">
        <v>0.05</v>
      </c>
    </row>
    <row r="238" spans="1:6" ht="24.75" thickBot="1">
      <c r="A238" s="1858" t="s">
        <v>1415</v>
      </c>
      <c r="B238" s="1862" t="s">
        <v>2169</v>
      </c>
      <c r="C238" s="1872"/>
      <c r="D238" s="1872"/>
      <c r="E238" s="1872"/>
      <c r="F238" s="1864">
        <v>0.05</v>
      </c>
    </row>
    <row r="239" spans="1:6" ht="24.75" thickBot="1">
      <c r="A239" s="1858" t="s">
        <v>1415</v>
      </c>
      <c r="B239" s="1862" t="s">
        <v>2170</v>
      </c>
      <c r="C239" s="1872"/>
      <c r="D239" s="1872"/>
      <c r="E239" s="1872"/>
      <c r="F239" s="1864">
        <v>0.05</v>
      </c>
    </row>
    <row r="240" spans="1:6" ht="24.75" thickBot="1">
      <c r="A240" s="1858" t="s">
        <v>1415</v>
      </c>
      <c r="B240" s="1862" t="s">
        <v>2171</v>
      </c>
      <c r="C240" s="1872"/>
      <c r="D240" s="1872"/>
      <c r="E240" s="1872"/>
      <c r="F240" s="1864">
        <v>0.05</v>
      </c>
    </row>
    <row r="241" spans="1:6" ht="24.75" thickBot="1">
      <c r="A241" s="1858" t="s">
        <v>1415</v>
      </c>
      <c r="B241" s="1862" t="s">
        <v>2172</v>
      </c>
      <c r="C241" s="1872"/>
      <c r="D241" s="1872"/>
      <c r="E241" s="1872"/>
      <c r="F241" s="1864">
        <v>0.05</v>
      </c>
    </row>
    <row r="242" spans="1:6" ht="24.75" thickBot="1">
      <c r="A242" s="1858" t="s">
        <v>1415</v>
      </c>
      <c r="B242" s="1862" t="s">
        <v>2173</v>
      </c>
      <c r="C242" s="1872"/>
      <c r="D242" s="1872"/>
      <c r="E242" s="1872"/>
      <c r="F242" s="1864">
        <v>0.05</v>
      </c>
    </row>
    <row r="243" spans="1:6" ht="24.75" thickBot="1">
      <c r="A243" s="1858" t="s">
        <v>1415</v>
      </c>
      <c r="B243" s="1862" t="s">
        <v>2174</v>
      </c>
      <c r="C243" s="1872"/>
      <c r="D243" s="1872"/>
      <c r="E243" s="1872"/>
      <c r="F243" s="1864">
        <v>0.05</v>
      </c>
    </row>
    <row r="244" spans="1:6" ht="24.75" thickBot="1">
      <c r="A244" s="1866" t="s">
        <v>1415</v>
      </c>
      <c r="B244" s="1873" t="s">
        <v>2175</v>
      </c>
      <c r="C244" s="1869"/>
      <c r="D244" s="1869"/>
      <c r="E244" s="1869"/>
      <c r="F244" s="1874">
        <v>0.05</v>
      </c>
    </row>
    <row r="245" spans="1:6" ht="14.25" thickBot="1">
      <c r="A245" s="1858" t="s">
        <v>1417</v>
      </c>
      <c r="B245" s="1859" t="s">
        <v>2176</v>
      </c>
      <c r="C245" s="1860">
        <v>0.15</v>
      </c>
      <c r="D245" s="1860">
        <v>0.15</v>
      </c>
      <c r="E245" s="1860">
        <v>0.15</v>
      </c>
      <c r="F245" s="1861">
        <v>0.14299999999999999</v>
      </c>
    </row>
    <row r="246" spans="1:6" ht="14.25" thickBot="1">
      <c r="A246" s="1858" t="s">
        <v>1417</v>
      </c>
      <c r="B246" s="1862" t="s">
        <v>1080</v>
      </c>
      <c r="C246" s="1863">
        <v>0.15</v>
      </c>
      <c r="D246" s="1863">
        <v>0.15</v>
      </c>
      <c r="E246" s="1863">
        <v>0.15</v>
      </c>
      <c r="F246" s="1864">
        <v>0.114</v>
      </c>
    </row>
    <row r="247" spans="1:6" ht="14.25" thickBot="1">
      <c r="A247" s="1858" t="s">
        <v>1417</v>
      </c>
      <c r="B247" s="1862" t="s">
        <v>2177</v>
      </c>
      <c r="C247" s="1863">
        <v>0.15</v>
      </c>
      <c r="D247" s="1863">
        <v>0.15</v>
      </c>
      <c r="E247" s="1863">
        <v>0.15</v>
      </c>
      <c r="F247" s="1864">
        <v>0.15</v>
      </c>
    </row>
    <row r="248" spans="1:6" ht="14.25" thickBot="1">
      <c r="A248" s="1858" t="s">
        <v>1417</v>
      </c>
      <c r="B248" s="1862" t="s">
        <v>2178</v>
      </c>
      <c r="C248" s="1863">
        <v>0.15</v>
      </c>
      <c r="D248" s="1863">
        <v>0.15</v>
      </c>
      <c r="E248" s="1863">
        <v>0.15</v>
      </c>
      <c r="F248" s="1864">
        <v>0.14000000000000001</v>
      </c>
    </row>
    <row r="249" spans="1:6" ht="14.25" thickBot="1">
      <c r="A249" s="1858" t="s">
        <v>1417</v>
      </c>
      <c r="B249" s="1862" t="s">
        <v>2179</v>
      </c>
      <c r="C249" s="1863">
        <v>0.15</v>
      </c>
      <c r="D249" s="1863">
        <v>0.14899999999999999</v>
      </c>
      <c r="E249" s="1863">
        <v>0.15</v>
      </c>
      <c r="F249" s="1864">
        <v>0.1</v>
      </c>
    </row>
    <row r="250" spans="1:6" ht="14.25" thickBot="1">
      <c r="A250" s="1858" t="s">
        <v>1417</v>
      </c>
      <c r="B250" s="1862" t="s">
        <v>2180</v>
      </c>
      <c r="C250" s="1863">
        <v>0.15</v>
      </c>
      <c r="D250" s="1863">
        <v>0.15</v>
      </c>
      <c r="E250" s="1863">
        <v>0.15</v>
      </c>
      <c r="F250" s="1864">
        <v>0.14399999999999999</v>
      </c>
    </row>
    <row r="251" spans="1:6" ht="14.25" thickBot="1">
      <c r="A251" s="1858" t="s">
        <v>1417</v>
      </c>
      <c r="B251" s="1862" t="s">
        <v>1143</v>
      </c>
      <c r="C251" s="1863">
        <v>0.15</v>
      </c>
      <c r="D251" s="1863">
        <v>0.15</v>
      </c>
      <c r="E251" s="1863">
        <v>0.15</v>
      </c>
      <c r="F251" s="1864">
        <v>0.14299999999999999</v>
      </c>
    </row>
    <row r="252" spans="1:6" ht="14.25" thickBot="1">
      <c r="A252" s="1858" t="s">
        <v>1417</v>
      </c>
      <c r="B252" s="1862" t="s">
        <v>1154</v>
      </c>
      <c r="C252" s="1863">
        <v>0.15</v>
      </c>
      <c r="D252" s="1863">
        <v>0.15</v>
      </c>
      <c r="E252" s="1863">
        <v>0.15</v>
      </c>
      <c r="F252" s="1864">
        <v>0.1</v>
      </c>
    </row>
    <row r="253" spans="1:6" ht="14.25" thickBot="1">
      <c r="A253" s="1858" t="s">
        <v>1417</v>
      </c>
      <c r="B253" s="1862" t="s">
        <v>1166</v>
      </c>
      <c r="C253" s="1863">
        <v>0.15</v>
      </c>
      <c r="D253" s="1863">
        <v>0.15</v>
      </c>
      <c r="E253" s="1863">
        <v>0.15</v>
      </c>
      <c r="F253" s="1864">
        <v>0.1</v>
      </c>
    </row>
    <row r="254" spans="1:6" ht="14.25" thickBot="1">
      <c r="A254" s="1858" t="s">
        <v>1417</v>
      </c>
      <c r="B254" s="1862" t="s">
        <v>1176</v>
      </c>
      <c r="C254" s="1872"/>
      <c r="D254" s="1872"/>
      <c r="E254" s="1872"/>
      <c r="F254" s="1864">
        <v>0.15</v>
      </c>
    </row>
    <row r="255" spans="1:6" ht="14.25" thickBot="1">
      <c r="A255" s="1858" t="s">
        <v>1417</v>
      </c>
      <c r="B255" s="1862" t="s">
        <v>1186</v>
      </c>
      <c r="C255" s="1872"/>
      <c r="D255" s="1872"/>
      <c r="E255" s="1872"/>
      <c r="F255" s="1864">
        <v>0.14299999999999999</v>
      </c>
    </row>
    <row r="256" spans="1:6" ht="14.25" thickBot="1">
      <c r="A256" s="1858" t="s">
        <v>1417</v>
      </c>
      <c r="B256" s="1862" t="s">
        <v>2181</v>
      </c>
      <c r="C256" s="1863">
        <v>0.14599999999999999</v>
      </c>
      <c r="D256" s="1863">
        <v>0.14699999999999999</v>
      </c>
      <c r="E256" s="1863">
        <v>0.15</v>
      </c>
      <c r="F256" s="1864">
        <v>0.13200000000000001</v>
      </c>
    </row>
    <row r="257" spans="1:6" ht="14.25" thickBot="1">
      <c r="A257" s="1858" t="s">
        <v>1417</v>
      </c>
      <c r="B257" s="1862" t="s">
        <v>1206</v>
      </c>
      <c r="C257" s="1863">
        <v>0.15</v>
      </c>
      <c r="D257" s="1863">
        <v>0.15</v>
      </c>
      <c r="E257" s="1863">
        <v>0.15</v>
      </c>
      <c r="F257" s="1864">
        <v>0.13900000000000001</v>
      </c>
    </row>
    <row r="258" spans="1:6" ht="14.25" thickBot="1">
      <c r="A258" s="1858" t="s">
        <v>1417</v>
      </c>
      <c r="B258" s="1862" t="s">
        <v>1216</v>
      </c>
      <c r="C258" s="1863">
        <v>0.15</v>
      </c>
      <c r="D258" s="1863">
        <v>0.15</v>
      </c>
      <c r="E258" s="1863">
        <v>0.15</v>
      </c>
      <c r="F258" s="1864">
        <v>0.13</v>
      </c>
    </row>
    <row r="259" spans="1:6" ht="14.25" thickBot="1">
      <c r="A259" s="1858" t="s">
        <v>1417</v>
      </c>
      <c r="B259" s="1862" t="s">
        <v>2182</v>
      </c>
      <c r="C259" s="1863">
        <v>0.14799999999999999</v>
      </c>
      <c r="D259" s="1863">
        <v>0.14899999999999999</v>
      </c>
      <c r="E259" s="1863">
        <v>0.15</v>
      </c>
      <c r="F259" s="1864">
        <v>0.13700000000000001</v>
      </c>
    </row>
    <row r="260" spans="1:6" ht="14.25" thickBot="1">
      <c r="A260" s="1858" t="s">
        <v>1417</v>
      </c>
      <c r="B260" s="1862" t="s">
        <v>1236</v>
      </c>
      <c r="C260" s="1863">
        <v>0.15</v>
      </c>
      <c r="D260" s="1863">
        <v>0.15</v>
      </c>
      <c r="E260" s="1863">
        <v>0.15</v>
      </c>
      <c r="F260" s="1864">
        <v>0.14199999999999999</v>
      </c>
    </row>
    <row r="261" spans="1:6" ht="14.25" thickBot="1">
      <c r="A261" s="1858" t="s">
        <v>1417</v>
      </c>
      <c r="B261" s="1862" t="s">
        <v>1246</v>
      </c>
      <c r="C261" s="1863">
        <v>0.15</v>
      </c>
      <c r="D261" s="1863">
        <v>0.15</v>
      </c>
      <c r="E261" s="1863">
        <v>0.14899999999999999</v>
      </c>
      <c r="F261" s="1864">
        <v>0.14799999999999999</v>
      </c>
    </row>
    <row r="262" spans="1:6" ht="14.25" thickBot="1">
      <c r="A262" s="1858" t="s">
        <v>1417</v>
      </c>
      <c r="B262" s="1862" t="s">
        <v>1256</v>
      </c>
      <c r="C262" s="1863">
        <v>0.15</v>
      </c>
      <c r="D262" s="1863">
        <v>0.15</v>
      </c>
      <c r="E262" s="1863">
        <v>0.15</v>
      </c>
      <c r="F262" s="1871"/>
    </row>
    <row r="263" spans="1:6" ht="14.25" thickBot="1">
      <c r="A263" s="1858" t="s">
        <v>1417</v>
      </c>
      <c r="B263" s="1862" t="s">
        <v>2183</v>
      </c>
      <c r="C263" s="1863">
        <v>0.14899999999999999</v>
      </c>
      <c r="D263" s="1863">
        <v>0.14899999999999999</v>
      </c>
      <c r="E263" s="1863">
        <v>0.15</v>
      </c>
      <c r="F263" s="1864">
        <v>0.13</v>
      </c>
    </row>
    <row r="264" spans="1:6" ht="14.25" thickBot="1">
      <c r="A264" s="1858" t="s">
        <v>1417</v>
      </c>
      <c r="B264" s="1862" t="s">
        <v>1275</v>
      </c>
      <c r="C264" s="1863">
        <v>0.14799999999999999</v>
      </c>
      <c r="D264" s="1863">
        <v>0.14699999999999999</v>
      </c>
      <c r="E264" s="1863">
        <v>0.15</v>
      </c>
      <c r="F264" s="1864">
        <v>7.8E-2</v>
      </c>
    </row>
    <row r="265" spans="1:6" ht="14.25" thickBot="1">
      <c r="A265" s="1858" t="s">
        <v>1417</v>
      </c>
      <c r="B265" s="1862" t="s">
        <v>1284</v>
      </c>
      <c r="C265" s="1863">
        <v>0.15</v>
      </c>
      <c r="D265" s="1863">
        <v>0.15</v>
      </c>
      <c r="E265" s="1863">
        <v>0.15</v>
      </c>
      <c r="F265" s="1864">
        <v>7.3999999999999996E-2</v>
      </c>
    </row>
    <row r="266" spans="1:6" ht="14.25" thickBot="1">
      <c r="A266" s="1858" t="s">
        <v>1417</v>
      </c>
      <c r="B266" s="1862" t="s">
        <v>1292</v>
      </c>
      <c r="C266" s="1863">
        <v>0.14699999999999999</v>
      </c>
      <c r="D266" s="1863">
        <v>0.14699999999999999</v>
      </c>
      <c r="E266" s="1863">
        <v>0.15</v>
      </c>
      <c r="F266" s="1864">
        <v>0.14299999999999999</v>
      </c>
    </row>
    <row r="267" spans="1:6" ht="14.25" thickBot="1">
      <c r="A267" s="1858" t="s">
        <v>1417</v>
      </c>
      <c r="B267" s="1862" t="s">
        <v>1299</v>
      </c>
      <c r="C267" s="1863">
        <v>0.14199999999999999</v>
      </c>
      <c r="D267" s="1863">
        <v>0.14299999999999999</v>
      </c>
      <c r="E267" s="1863">
        <v>0.15</v>
      </c>
      <c r="F267" s="1871"/>
    </row>
    <row r="268" spans="1:6" ht="14.25" thickBot="1">
      <c r="A268" s="1858" t="s">
        <v>1417</v>
      </c>
      <c r="B268" s="1862" t="s">
        <v>2184</v>
      </c>
      <c r="C268" s="1863">
        <v>0.15</v>
      </c>
      <c r="D268" s="1863">
        <v>0.15</v>
      </c>
      <c r="E268" s="1863">
        <v>0.15</v>
      </c>
      <c r="F268" s="1864">
        <v>0.13</v>
      </c>
    </row>
    <row r="269" spans="1:6" ht="14.25" thickBot="1">
      <c r="A269" s="1858" t="s">
        <v>1417</v>
      </c>
      <c r="B269" s="1862" t="s">
        <v>1313</v>
      </c>
      <c r="C269" s="1863">
        <v>0.15</v>
      </c>
      <c r="D269" s="1863">
        <v>0.15</v>
      </c>
      <c r="E269" s="1863">
        <v>0.15</v>
      </c>
      <c r="F269" s="1864">
        <v>0.14299999999999999</v>
      </c>
    </row>
    <row r="270" spans="1:6" ht="14.25" thickBot="1">
      <c r="A270" s="1858" t="s">
        <v>1417</v>
      </c>
      <c r="B270" s="1862" t="s">
        <v>1320</v>
      </c>
      <c r="C270" s="1863">
        <v>0.14499999999999999</v>
      </c>
      <c r="D270" s="1863">
        <v>0.14499999999999999</v>
      </c>
      <c r="E270" s="1863">
        <v>0.15</v>
      </c>
      <c r="F270" s="1864">
        <v>0.14699999999999999</v>
      </c>
    </row>
    <row r="271" spans="1:6" ht="14.25" thickBot="1">
      <c r="A271" s="1858" t="s">
        <v>1417</v>
      </c>
      <c r="B271" s="1862" t="s">
        <v>1327</v>
      </c>
      <c r="C271" s="1863">
        <v>0.15</v>
      </c>
      <c r="D271" s="1863">
        <v>0.15</v>
      </c>
      <c r="E271" s="1863">
        <v>0.15</v>
      </c>
      <c r="F271" s="1864">
        <v>0.13800000000000001</v>
      </c>
    </row>
    <row r="272" spans="1:6" ht="14.25" thickBot="1">
      <c r="A272" s="1858" t="s">
        <v>1417</v>
      </c>
      <c r="B272" s="1862" t="s">
        <v>1334</v>
      </c>
      <c r="C272" s="1872"/>
      <c r="D272" s="1872"/>
      <c r="E272" s="1872"/>
      <c r="F272" s="1864">
        <v>0.14000000000000001</v>
      </c>
    </row>
    <row r="273" spans="1:6" ht="14.25" thickBot="1">
      <c r="A273" s="1858" t="s">
        <v>1417</v>
      </c>
      <c r="B273" s="1862" t="s">
        <v>2185</v>
      </c>
      <c r="C273" s="1863">
        <v>0.14199999999999999</v>
      </c>
      <c r="D273" s="1863">
        <v>0.14299999999999999</v>
      </c>
      <c r="E273" s="1863">
        <v>0.15</v>
      </c>
      <c r="F273" s="1864">
        <v>0.1</v>
      </c>
    </row>
    <row r="274" spans="1:6" ht="14.25" thickBot="1">
      <c r="A274" s="1858" t="s">
        <v>1417</v>
      </c>
      <c r="B274" s="1862" t="s">
        <v>2186</v>
      </c>
      <c r="C274" s="1863">
        <v>0.14799999999999999</v>
      </c>
      <c r="D274" s="1863">
        <v>0.14799999999999999</v>
      </c>
      <c r="E274" s="1863">
        <v>0.15</v>
      </c>
      <c r="F274" s="1864">
        <v>6.7000000000000004E-2</v>
      </c>
    </row>
    <row r="275" spans="1:6" ht="14.25" thickBot="1">
      <c r="A275" s="1858" t="s">
        <v>1417</v>
      </c>
      <c r="B275" s="1862" t="s">
        <v>2187</v>
      </c>
      <c r="C275" s="1863">
        <v>0.15</v>
      </c>
      <c r="D275" s="1863">
        <v>0.15</v>
      </c>
      <c r="E275" s="1863">
        <v>0.15</v>
      </c>
      <c r="F275" s="1864">
        <v>0.15</v>
      </c>
    </row>
    <row r="276" spans="1:6" ht="14.25" thickBot="1">
      <c r="A276" s="1858" t="s">
        <v>1417</v>
      </c>
      <c r="B276" s="1862" t="s">
        <v>2188</v>
      </c>
      <c r="C276" s="1863">
        <v>0.14499999999999999</v>
      </c>
      <c r="D276" s="1863">
        <v>0.14299999999999999</v>
      </c>
      <c r="E276" s="1863">
        <v>0.15</v>
      </c>
      <c r="F276" s="1864">
        <v>5.8999999999999997E-2</v>
      </c>
    </row>
    <row r="277" spans="1:6" ht="14.25" thickBot="1">
      <c r="A277" s="1858" t="s">
        <v>1417</v>
      </c>
      <c r="B277" s="1862" t="s">
        <v>2189</v>
      </c>
      <c r="C277" s="1863">
        <v>0.15</v>
      </c>
      <c r="D277" s="1863">
        <v>0.15</v>
      </c>
      <c r="E277" s="1863">
        <v>0.15</v>
      </c>
      <c r="F277" s="1864">
        <v>0.121</v>
      </c>
    </row>
    <row r="278" spans="1:6" ht="14.25" thickBot="1">
      <c r="A278" s="1858" t="s">
        <v>1417</v>
      </c>
      <c r="B278" s="1862" t="s">
        <v>2190</v>
      </c>
      <c r="C278" s="1863">
        <v>0.15</v>
      </c>
      <c r="D278" s="1863">
        <v>0.15</v>
      </c>
      <c r="E278" s="1863">
        <v>0.15</v>
      </c>
      <c r="F278" s="1864">
        <v>0.13800000000000001</v>
      </c>
    </row>
    <row r="279" spans="1:6" ht="24.75" thickBot="1">
      <c r="A279" s="1858" t="s">
        <v>1417</v>
      </c>
      <c r="B279" s="1862" t="s">
        <v>2191</v>
      </c>
      <c r="C279" s="1872"/>
      <c r="D279" s="1872"/>
      <c r="E279" s="1872"/>
      <c r="F279" s="1864">
        <v>0.05</v>
      </c>
    </row>
    <row r="280" spans="1:6" ht="24.75" thickBot="1">
      <c r="A280" s="1858" t="s">
        <v>1417</v>
      </c>
      <c r="B280" s="1862" t="s">
        <v>2192</v>
      </c>
      <c r="C280" s="1872"/>
      <c r="D280" s="1872"/>
      <c r="E280" s="1872"/>
      <c r="F280" s="1864">
        <v>0.05</v>
      </c>
    </row>
    <row r="281" spans="1:6" ht="24.75" thickBot="1">
      <c r="A281" s="1858" t="s">
        <v>1417</v>
      </c>
      <c r="B281" s="1862" t="s">
        <v>2193</v>
      </c>
      <c r="C281" s="1872"/>
      <c r="D281" s="1872"/>
      <c r="E281" s="1872"/>
      <c r="F281" s="1864">
        <v>0.05</v>
      </c>
    </row>
    <row r="282" spans="1:6" ht="24.75" thickBot="1">
      <c r="A282" s="1858" t="s">
        <v>1417</v>
      </c>
      <c r="B282" s="1862" t="s">
        <v>2194</v>
      </c>
      <c r="C282" s="1872"/>
      <c r="D282" s="1872"/>
      <c r="E282" s="1872"/>
      <c r="F282" s="1864">
        <v>0.05</v>
      </c>
    </row>
    <row r="283" spans="1:6" ht="24.75" thickBot="1">
      <c r="A283" s="1858" t="s">
        <v>1417</v>
      </c>
      <c r="B283" s="1862" t="s">
        <v>2195</v>
      </c>
      <c r="C283" s="1872"/>
      <c r="D283" s="1872"/>
      <c r="E283" s="1872"/>
      <c r="F283" s="1864">
        <v>0.05</v>
      </c>
    </row>
    <row r="284" spans="1:6" ht="24.75" thickBot="1">
      <c r="A284" s="1858" t="s">
        <v>1417</v>
      </c>
      <c r="B284" s="1862" t="s">
        <v>2196</v>
      </c>
      <c r="C284" s="1872"/>
      <c r="D284" s="1872"/>
      <c r="E284" s="1872"/>
      <c r="F284" s="1864">
        <v>0.05</v>
      </c>
    </row>
    <row r="285" spans="1:6" ht="24.75" thickBot="1">
      <c r="A285" s="1858" t="s">
        <v>1417</v>
      </c>
      <c r="B285" s="1862" t="s">
        <v>2197</v>
      </c>
      <c r="C285" s="1872"/>
      <c r="D285" s="1872"/>
      <c r="E285" s="1872"/>
      <c r="F285" s="1864">
        <v>0.05</v>
      </c>
    </row>
    <row r="286" spans="1:6" ht="24.75" thickBot="1">
      <c r="A286" s="1858" t="s">
        <v>1417</v>
      </c>
      <c r="B286" s="1862" t="s">
        <v>2198</v>
      </c>
      <c r="C286" s="1872"/>
      <c r="D286" s="1872"/>
      <c r="E286" s="1872"/>
      <c r="F286" s="1864">
        <v>0.05</v>
      </c>
    </row>
    <row r="287" spans="1:6" ht="24.75" thickBot="1">
      <c r="A287" s="1858" t="s">
        <v>1417</v>
      </c>
      <c r="B287" s="1862" t="s">
        <v>2199</v>
      </c>
      <c r="C287" s="1872"/>
      <c r="D287" s="1872"/>
      <c r="E287" s="1872"/>
      <c r="F287" s="1864">
        <v>0.05</v>
      </c>
    </row>
    <row r="288" spans="1:6" ht="24.75" thickBot="1">
      <c r="A288" s="1858" t="s">
        <v>1417</v>
      </c>
      <c r="B288" s="1862" t="s">
        <v>2200</v>
      </c>
      <c r="C288" s="1872"/>
      <c r="D288" s="1872"/>
      <c r="E288" s="1872"/>
      <c r="F288" s="1864">
        <v>0.05</v>
      </c>
    </row>
    <row r="289" spans="1:6" ht="24.75" thickBot="1">
      <c r="A289" s="1866" t="s">
        <v>1417</v>
      </c>
      <c r="B289" s="1873" t="s">
        <v>2201</v>
      </c>
      <c r="C289" s="1869"/>
      <c r="D289" s="1869"/>
      <c r="E289" s="1869"/>
      <c r="F289" s="1874">
        <v>0.05</v>
      </c>
    </row>
    <row r="290" spans="1:6" ht="14.25" thickBot="1">
      <c r="A290" s="1858" t="s">
        <v>1421</v>
      </c>
      <c r="B290" s="1859" t="s">
        <v>2202</v>
      </c>
      <c r="C290" s="1860">
        <v>0.15</v>
      </c>
      <c r="D290" s="1860">
        <v>0.15</v>
      </c>
      <c r="E290" s="1860">
        <v>0.15</v>
      </c>
      <c r="F290" s="1882"/>
    </row>
    <row r="291" spans="1:6" ht="14.25" thickBot="1">
      <c r="A291" s="1858" t="s">
        <v>1421</v>
      </c>
      <c r="B291" s="1862" t="s">
        <v>1081</v>
      </c>
      <c r="C291" s="1863">
        <v>0.15</v>
      </c>
      <c r="D291" s="1863">
        <v>0.15</v>
      </c>
      <c r="E291" s="1863">
        <v>0.15</v>
      </c>
      <c r="F291" s="1871"/>
    </row>
    <row r="292" spans="1:6" ht="14.25" thickBot="1">
      <c r="A292" s="1858" t="s">
        <v>1421</v>
      </c>
      <c r="B292" s="1862" t="s">
        <v>2203</v>
      </c>
      <c r="C292" s="1863">
        <v>0.15</v>
      </c>
      <c r="D292" s="1863">
        <v>0.15</v>
      </c>
      <c r="E292" s="1863">
        <v>0.15</v>
      </c>
      <c r="F292" s="1864">
        <v>0.14699999999999999</v>
      </c>
    </row>
    <row r="293" spans="1:6" ht="14.25" thickBot="1">
      <c r="A293" s="1858" t="s">
        <v>1421</v>
      </c>
      <c r="B293" s="1862" t="s">
        <v>2204</v>
      </c>
      <c r="C293" s="1872"/>
      <c r="D293" s="1872"/>
      <c r="E293" s="1872"/>
      <c r="F293" s="1864">
        <v>0.1</v>
      </c>
    </row>
    <row r="294" spans="1:6" ht="14.25" thickBot="1">
      <c r="A294" s="1858" t="s">
        <v>1421</v>
      </c>
      <c r="B294" s="1862" t="s">
        <v>2205</v>
      </c>
      <c r="C294" s="1863">
        <v>0.15</v>
      </c>
      <c r="D294" s="1863">
        <v>0.15</v>
      </c>
      <c r="E294" s="1863">
        <v>0.15</v>
      </c>
      <c r="F294" s="1864">
        <v>0.15</v>
      </c>
    </row>
    <row r="295" spans="1:6" ht="14.25" thickBot="1">
      <c r="A295" s="1858" t="s">
        <v>1421</v>
      </c>
      <c r="B295" s="1862" t="s">
        <v>1122</v>
      </c>
      <c r="C295" s="1863">
        <v>0.15</v>
      </c>
      <c r="D295" s="1863">
        <v>0.15</v>
      </c>
      <c r="E295" s="1863">
        <v>0.15</v>
      </c>
      <c r="F295" s="1864">
        <v>0.15</v>
      </c>
    </row>
    <row r="296" spans="1:6" ht="14.25" thickBot="1">
      <c r="A296" s="1858" t="s">
        <v>1421</v>
      </c>
      <c r="B296" s="1862" t="s">
        <v>2206</v>
      </c>
      <c r="C296" s="1863">
        <v>0.15</v>
      </c>
      <c r="D296" s="1863">
        <v>0.15</v>
      </c>
      <c r="E296" s="1863">
        <v>0.15</v>
      </c>
      <c r="F296" s="1864">
        <v>0.15</v>
      </c>
    </row>
    <row r="297" spans="1:6" ht="14.25" thickBot="1">
      <c r="A297" s="1858" t="s">
        <v>1421</v>
      </c>
      <c r="B297" s="1862" t="s">
        <v>2207</v>
      </c>
      <c r="C297" s="1863">
        <v>0.14799999999999999</v>
      </c>
      <c r="D297" s="1863">
        <v>0.14899999999999999</v>
      </c>
      <c r="E297" s="1863">
        <v>0.15</v>
      </c>
      <c r="F297" s="1864">
        <v>0.13700000000000001</v>
      </c>
    </row>
    <row r="298" spans="1:6" ht="14.25" thickBot="1">
      <c r="A298" s="1858" t="s">
        <v>1421</v>
      </c>
      <c r="B298" s="1862" t="s">
        <v>1155</v>
      </c>
      <c r="C298" s="1863">
        <v>0.13400000000000001</v>
      </c>
      <c r="D298" s="1863">
        <v>0.13400000000000001</v>
      </c>
      <c r="E298" s="1863">
        <v>0.14499999999999999</v>
      </c>
      <c r="F298" s="1864">
        <v>0.14799999999999999</v>
      </c>
    </row>
    <row r="299" spans="1:6" ht="14.25" thickBot="1">
      <c r="A299" s="1858" t="s">
        <v>1421</v>
      </c>
      <c r="B299" s="1862" t="s">
        <v>1167</v>
      </c>
      <c r="C299" s="1863">
        <v>0.15</v>
      </c>
      <c r="D299" s="1863">
        <v>0.15</v>
      </c>
      <c r="E299" s="1863">
        <v>0.15</v>
      </c>
      <c r="F299" s="1871"/>
    </row>
    <row r="300" spans="1:6" ht="14.25" thickBot="1">
      <c r="A300" s="1858" t="s">
        <v>1421</v>
      </c>
      <c r="B300" s="1862" t="s">
        <v>2208</v>
      </c>
      <c r="C300" s="1863">
        <v>0.15</v>
      </c>
      <c r="D300" s="1863">
        <v>0.15</v>
      </c>
      <c r="E300" s="1863">
        <v>0.15</v>
      </c>
      <c r="F300" s="1864">
        <v>0.15</v>
      </c>
    </row>
    <row r="301" spans="1:6" ht="14.25" thickBot="1">
      <c r="A301" s="1858" t="s">
        <v>1421</v>
      </c>
      <c r="B301" s="1862" t="s">
        <v>1187</v>
      </c>
      <c r="C301" s="1863">
        <v>0.15</v>
      </c>
      <c r="D301" s="1863">
        <v>0.15</v>
      </c>
      <c r="E301" s="1863">
        <v>0.15</v>
      </c>
      <c r="F301" s="1871"/>
    </row>
    <row r="302" spans="1:6" ht="14.25" thickBot="1">
      <c r="A302" s="1858" t="s">
        <v>1421</v>
      </c>
      <c r="B302" s="1862" t="s">
        <v>2209</v>
      </c>
      <c r="C302" s="1863">
        <v>0.15</v>
      </c>
      <c r="D302" s="1863">
        <v>0.15</v>
      </c>
      <c r="E302" s="1863">
        <v>0.15</v>
      </c>
      <c r="F302" s="1864">
        <v>0.15</v>
      </c>
    </row>
    <row r="303" spans="1:6" ht="14.25" thickBot="1">
      <c r="A303" s="1858" t="s">
        <v>1421</v>
      </c>
      <c r="B303" s="1862" t="s">
        <v>1207</v>
      </c>
      <c r="C303" s="1863">
        <v>0.15</v>
      </c>
      <c r="D303" s="1863">
        <v>0.15</v>
      </c>
      <c r="E303" s="1863">
        <v>0.15</v>
      </c>
      <c r="F303" s="1864">
        <v>0.15</v>
      </c>
    </row>
    <row r="304" spans="1:6" ht="14.25" thickBot="1">
      <c r="A304" s="1858" t="s">
        <v>1421</v>
      </c>
      <c r="B304" s="1862" t="s">
        <v>1217</v>
      </c>
      <c r="C304" s="1863">
        <v>0.15</v>
      </c>
      <c r="D304" s="1863">
        <v>0.15</v>
      </c>
      <c r="E304" s="1863">
        <v>0.15</v>
      </c>
      <c r="F304" s="1871"/>
    </row>
    <row r="305" spans="1:6" ht="14.25" thickBot="1">
      <c r="A305" s="1858" t="s">
        <v>1421</v>
      </c>
      <c r="B305" s="1862" t="s">
        <v>2210</v>
      </c>
      <c r="C305" s="1863">
        <v>0.15</v>
      </c>
      <c r="D305" s="1863">
        <v>0.15</v>
      </c>
      <c r="E305" s="1863">
        <v>0.15</v>
      </c>
      <c r="F305" s="1864">
        <v>0.14000000000000001</v>
      </c>
    </row>
    <row r="306" spans="1:6" ht="14.25" thickBot="1">
      <c r="A306" s="1858" t="s">
        <v>1421</v>
      </c>
      <c r="B306" s="1862" t="s">
        <v>1237</v>
      </c>
      <c r="C306" s="1863">
        <v>0.15</v>
      </c>
      <c r="D306" s="1863">
        <v>0.15</v>
      </c>
      <c r="E306" s="1863">
        <v>0.15</v>
      </c>
      <c r="F306" s="1871"/>
    </row>
    <row r="307" spans="1:6" ht="14.25" thickBot="1">
      <c r="A307" s="1858" t="s">
        <v>1421</v>
      </c>
      <c r="B307" s="1862" t="s">
        <v>2211</v>
      </c>
      <c r="C307" s="1863">
        <v>0.15</v>
      </c>
      <c r="D307" s="1863">
        <v>0.15</v>
      </c>
      <c r="E307" s="1863">
        <v>0.15</v>
      </c>
      <c r="F307" s="1864">
        <v>0.14299999999999999</v>
      </c>
    </row>
    <row r="308" spans="1:6" ht="14.25" thickBot="1">
      <c r="A308" s="1858" t="s">
        <v>1421</v>
      </c>
      <c r="B308" s="1862" t="s">
        <v>1257</v>
      </c>
      <c r="C308" s="1863">
        <v>0.15</v>
      </c>
      <c r="D308" s="1863">
        <v>0.15</v>
      </c>
      <c r="E308" s="1863">
        <v>0.15</v>
      </c>
      <c r="F308" s="1864">
        <v>0.15</v>
      </c>
    </row>
    <row r="309" spans="1:6" ht="14.25" thickBot="1">
      <c r="A309" s="1858" t="s">
        <v>1421</v>
      </c>
      <c r="B309" s="1862" t="s">
        <v>1267</v>
      </c>
      <c r="C309" s="1863">
        <v>0.15</v>
      </c>
      <c r="D309" s="1863">
        <v>0.15</v>
      </c>
      <c r="E309" s="1863">
        <v>0.15</v>
      </c>
      <c r="F309" s="1871"/>
    </row>
    <row r="310" spans="1:6" ht="14.25" thickBot="1">
      <c r="A310" s="1858" t="s">
        <v>1421</v>
      </c>
      <c r="B310" s="1862" t="s">
        <v>2212</v>
      </c>
      <c r="C310" s="1863">
        <v>0.15</v>
      </c>
      <c r="D310" s="1863">
        <v>0.15</v>
      </c>
      <c r="E310" s="1863">
        <v>0.15</v>
      </c>
      <c r="F310" s="1864">
        <v>0.13700000000000001</v>
      </c>
    </row>
    <row r="311" spans="1:6" ht="14.25" thickBot="1">
      <c r="A311" s="1858" t="s">
        <v>1421</v>
      </c>
      <c r="B311" s="1862" t="s">
        <v>2213</v>
      </c>
      <c r="C311" s="1863">
        <v>0.15</v>
      </c>
      <c r="D311" s="1863">
        <v>0.15</v>
      </c>
      <c r="E311" s="1863">
        <v>0.15</v>
      </c>
      <c r="F311" s="1864">
        <v>0.15</v>
      </c>
    </row>
    <row r="312" spans="1:6" ht="14.25" thickBot="1">
      <c r="A312" s="1858" t="s">
        <v>1421</v>
      </c>
      <c r="B312" s="1862" t="s">
        <v>1293</v>
      </c>
      <c r="C312" s="1863">
        <v>0.15</v>
      </c>
      <c r="D312" s="1863">
        <v>0.15</v>
      </c>
      <c r="E312" s="1863">
        <v>0.15</v>
      </c>
      <c r="F312" s="1864">
        <v>0.1</v>
      </c>
    </row>
    <row r="313" spans="1:6" ht="14.25" thickBot="1">
      <c r="A313" s="1858" t="s">
        <v>1421</v>
      </c>
      <c r="B313" s="1862" t="s">
        <v>2214</v>
      </c>
      <c r="C313" s="1863">
        <v>0.15</v>
      </c>
      <c r="D313" s="1863">
        <v>0.15</v>
      </c>
      <c r="E313" s="1863">
        <v>0.15</v>
      </c>
      <c r="F313" s="1864">
        <v>0.15</v>
      </c>
    </row>
    <row r="314" spans="1:6" ht="24.75" thickBot="1">
      <c r="A314" s="1858" t="s">
        <v>1421</v>
      </c>
      <c r="B314" s="1862" t="s">
        <v>2215</v>
      </c>
      <c r="C314" s="1872"/>
      <c r="D314" s="1872"/>
      <c r="E314" s="1872"/>
      <c r="F314" s="1864">
        <v>0.05</v>
      </c>
    </row>
    <row r="315" spans="1:6" ht="24.75" thickBot="1">
      <c r="A315" s="1858" t="s">
        <v>1421</v>
      </c>
      <c r="B315" s="1862" t="s">
        <v>2216</v>
      </c>
      <c r="C315" s="1872"/>
      <c r="D315" s="1872"/>
      <c r="E315" s="1872"/>
      <c r="F315" s="1864">
        <v>0.05</v>
      </c>
    </row>
    <row r="316" spans="1:6" ht="24.75" thickBot="1">
      <c r="A316" s="1866" t="s">
        <v>1421</v>
      </c>
      <c r="B316" s="1873" t="s">
        <v>2217</v>
      </c>
      <c r="C316" s="1869"/>
      <c r="D316" s="1869"/>
      <c r="E316" s="1869"/>
      <c r="F316" s="1874">
        <v>0.05</v>
      </c>
    </row>
    <row r="317" spans="1:6" ht="14.25" thickBot="1">
      <c r="A317" s="1858" t="s">
        <v>2218</v>
      </c>
      <c r="B317" s="1859" t="s">
        <v>2219</v>
      </c>
      <c r="C317" s="1860">
        <v>0.15</v>
      </c>
      <c r="D317" s="1860">
        <v>0.15</v>
      </c>
      <c r="E317" s="1860">
        <v>0.15</v>
      </c>
      <c r="F317" s="1861">
        <v>0.15</v>
      </c>
    </row>
    <row r="318" spans="1:6" ht="14.25" thickBot="1">
      <c r="A318" s="1858" t="s">
        <v>2218</v>
      </c>
      <c r="B318" s="1862" t="s">
        <v>2220</v>
      </c>
      <c r="C318" s="1863">
        <v>0.107</v>
      </c>
      <c r="D318" s="1863">
        <v>0.11</v>
      </c>
      <c r="E318" s="1863">
        <v>0.112</v>
      </c>
      <c r="F318" s="1871"/>
    </row>
    <row r="319" spans="1:6" ht="14.25" thickBot="1">
      <c r="A319" s="1858" t="s">
        <v>2218</v>
      </c>
      <c r="B319" s="1862" t="s">
        <v>2221</v>
      </c>
      <c r="C319" s="1863">
        <v>0.15</v>
      </c>
      <c r="D319" s="1863">
        <v>0.15</v>
      </c>
      <c r="E319" s="1863">
        <v>0.15</v>
      </c>
      <c r="F319" s="1864">
        <v>0.15</v>
      </c>
    </row>
    <row r="320" spans="1:6" ht="14.25" thickBot="1">
      <c r="A320" s="1858" t="s">
        <v>2218</v>
      </c>
      <c r="B320" s="1862" t="s">
        <v>1109</v>
      </c>
      <c r="C320" s="1863">
        <v>0.15</v>
      </c>
      <c r="D320" s="1863">
        <v>0.15</v>
      </c>
      <c r="E320" s="1863">
        <v>0.15</v>
      </c>
      <c r="F320" s="1871"/>
    </row>
    <row r="321" spans="1:6" ht="14.25" thickBot="1">
      <c r="A321" s="1858" t="s">
        <v>2218</v>
      </c>
      <c r="B321" s="1862" t="s">
        <v>2222</v>
      </c>
      <c r="C321" s="1863">
        <v>0.15</v>
      </c>
      <c r="D321" s="1863">
        <v>0.15</v>
      </c>
      <c r="E321" s="1863">
        <v>0.15</v>
      </c>
      <c r="F321" s="1871"/>
    </row>
    <row r="322" spans="1:6" ht="14.25" thickBot="1">
      <c r="A322" s="1858" t="s">
        <v>2218</v>
      </c>
      <c r="B322" s="1862" t="s">
        <v>2223</v>
      </c>
      <c r="C322" s="1863">
        <v>0.15</v>
      </c>
      <c r="D322" s="1863">
        <v>0.15</v>
      </c>
      <c r="E322" s="1863">
        <v>0.15</v>
      </c>
      <c r="F322" s="1864">
        <v>0.15</v>
      </c>
    </row>
    <row r="323" spans="1:6" ht="14.25" thickBot="1">
      <c r="A323" s="1858" t="s">
        <v>2218</v>
      </c>
      <c r="B323" s="1862" t="s">
        <v>2224</v>
      </c>
      <c r="C323" s="1863">
        <v>0.15</v>
      </c>
      <c r="D323" s="1863">
        <v>0.15</v>
      </c>
      <c r="E323" s="1863">
        <v>0.15</v>
      </c>
      <c r="F323" s="1871"/>
    </row>
    <row r="324" spans="1:6" ht="14.25" thickBot="1">
      <c r="A324" s="1858" t="s">
        <v>2218</v>
      </c>
      <c r="B324" s="1862" t="s">
        <v>2225</v>
      </c>
      <c r="C324" s="1863">
        <v>0.15</v>
      </c>
      <c r="D324" s="1863">
        <v>0.15</v>
      </c>
      <c r="E324" s="1863">
        <v>0.15</v>
      </c>
      <c r="F324" s="1871"/>
    </row>
    <row r="325" spans="1:6" ht="14.25" thickBot="1">
      <c r="A325" s="1858" t="s">
        <v>2218</v>
      </c>
      <c r="B325" s="1862" t="s">
        <v>2226</v>
      </c>
      <c r="C325" s="1863">
        <v>0.15</v>
      </c>
      <c r="D325" s="1863">
        <v>0.15</v>
      </c>
      <c r="E325" s="1863">
        <v>0.15</v>
      </c>
      <c r="F325" s="1864">
        <v>0.14699999999999999</v>
      </c>
    </row>
    <row r="326" spans="1:6" ht="14.25" thickBot="1">
      <c r="A326" s="1858" t="s">
        <v>2218</v>
      </c>
      <c r="B326" s="1862" t="s">
        <v>1178</v>
      </c>
      <c r="C326" s="1863">
        <v>0.15</v>
      </c>
      <c r="D326" s="1863">
        <v>0.15</v>
      </c>
      <c r="E326" s="1863">
        <v>0.15</v>
      </c>
      <c r="F326" s="1871"/>
    </row>
    <row r="327" spans="1:6" ht="14.25" thickBot="1">
      <c r="A327" s="1858" t="s">
        <v>2218</v>
      </c>
      <c r="B327" s="1862" t="s">
        <v>2227</v>
      </c>
      <c r="C327" s="1863">
        <v>0.15</v>
      </c>
      <c r="D327" s="1863">
        <v>0.15</v>
      </c>
      <c r="E327" s="1863">
        <v>0.15</v>
      </c>
      <c r="F327" s="1864">
        <v>0.15</v>
      </c>
    </row>
    <row r="328" spans="1:6" ht="14.25" thickBot="1">
      <c r="A328" s="1858" t="s">
        <v>2218</v>
      </c>
      <c r="B328" s="1862" t="s">
        <v>1198</v>
      </c>
      <c r="C328" s="1863">
        <v>0.15</v>
      </c>
      <c r="D328" s="1863">
        <v>0.15</v>
      </c>
      <c r="E328" s="1863">
        <v>0.15</v>
      </c>
      <c r="F328" s="1864">
        <v>0.14099999999999999</v>
      </c>
    </row>
    <row r="329" spans="1:6" ht="14.25" thickBot="1">
      <c r="A329" s="1858" t="s">
        <v>2218</v>
      </c>
      <c r="B329" s="1862" t="s">
        <v>1208</v>
      </c>
      <c r="C329" s="1863">
        <v>0.15</v>
      </c>
      <c r="D329" s="1863">
        <v>0.15</v>
      </c>
      <c r="E329" s="1863">
        <v>0.15</v>
      </c>
      <c r="F329" s="1864">
        <v>0.15</v>
      </c>
    </row>
    <row r="330" spans="1:6" ht="14.25" thickBot="1">
      <c r="A330" s="1858" t="s">
        <v>2218</v>
      </c>
      <c r="B330" s="1862" t="s">
        <v>1218</v>
      </c>
      <c r="C330" s="1863">
        <v>0.15</v>
      </c>
      <c r="D330" s="1863">
        <v>0.15</v>
      </c>
      <c r="E330" s="1863">
        <v>0.15</v>
      </c>
      <c r="F330" s="1871"/>
    </row>
    <row r="331" spans="1:6" ht="14.25" thickBot="1">
      <c r="A331" s="1858" t="s">
        <v>2218</v>
      </c>
      <c r="B331" s="1862" t="s">
        <v>2228</v>
      </c>
      <c r="C331" s="1863">
        <v>0.15</v>
      </c>
      <c r="D331" s="1863">
        <v>0.15</v>
      </c>
      <c r="E331" s="1863">
        <v>0.15</v>
      </c>
      <c r="F331" s="1864">
        <v>0.15</v>
      </c>
    </row>
    <row r="332" spans="1:6" ht="14.25" thickBot="1">
      <c r="A332" s="1858" t="s">
        <v>2218</v>
      </c>
      <c r="B332" s="1862" t="s">
        <v>1238</v>
      </c>
      <c r="C332" s="1863">
        <v>0.15</v>
      </c>
      <c r="D332" s="1863">
        <v>0.15</v>
      </c>
      <c r="E332" s="1863">
        <v>0.15</v>
      </c>
      <c r="F332" s="1864">
        <v>0.15</v>
      </c>
    </row>
    <row r="333" spans="1:6" ht="14.25" thickBot="1">
      <c r="A333" s="1858" t="s">
        <v>2218</v>
      </c>
      <c r="B333" s="1862" t="s">
        <v>2229</v>
      </c>
      <c r="C333" s="1863">
        <v>0.15</v>
      </c>
      <c r="D333" s="1863">
        <v>0.15</v>
      </c>
      <c r="E333" s="1863">
        <v>0.15</v>
      </c>
      <c r="F333" s="1864">
        <v>0.14099999999999999</v>
      </c>
    </row>
    <row r="334" spans="1:6" ht="14.25" thickBot="1">
      <c r="A334" s="1858" t="s">
        <v>2218</v>
      </c>
      <c r="B334" s="1862" t="s">
        <v>1258</v>
      </c>
      <c r="C334" s="1863">
        <v>0.15</v>
      </c>
      <c r="D334" s="1863">
        <v>0.15</v>
      </c>
      <c r="E334" s="1863">
        <v>0.15</v>
      </c>
      <c r="F334" s="1864">
        <v>0.15</v>
      </c>
    </row>
    <row r="335" spans="1:6" ht="14.25" thickBot="1">
      <c r="A335" s="1858" t="s">
        <v>2218</v>
      </c>
      <c r="B335" s="1862" t="s">
        <v>1268</v>
      </c>
      <c r="C335" s="1863">
        <v>0.15</v>
      </c>
      <c r="D335" s="1863">
        <v>0.15</v>
      </c>
      <c r="E335" s="1863">
        <v>0.15</v>
      </c>
      <c r="F335" s="1871"/>
    </row>
    <row r="336" spans="1:6" ht="14.25" thickBot="1">
      <c r="A336" s="1858" t="s">
        <v>2218</v>
      </c>
      <c r="B336" s="1862" t="s">
        <v>2230</v>
      </c>
      <c r="C336" s="1863">
        <v>0.15</v>
      </c>
      <c r="D336" s="1863">
        <v>0.15</v>
      </c>
      <c r="E336" s="1863">
        <v>0.15</v>
      </c>
      <c r="F336" s="1864">
        <v>0.11799999999999999</v>
      </c>
    </row>
    <row r="337" spans="1:6" ht="14.25" thickBot="1">
      <c r="A337" s="1866" t="s">
        <v>2218</v>
      </c>
      <c r="B337" s="1873" t="s">
        <v>1286</v>
      </c>
      <c r="C337" s="1869"/>
      <c r="D337" s="1869"/>
      <c r="E337" s="1869"/>
      <c r="F337" s="1874">
        <v>0.14299999999999999</v>
      </c>
    </row>
    <row r="338" spans="1:6" ht="14.25" thickBot="1">
      <c r="A338" s="1858" t="s">
        <v>2231</v>
      </c>
      <c r="B338" s="1859" t="s">
        <v>2232</v>
      </c>
      <c r="C338" s="1860">
        <v>0.15</v>
      </c>
      <c r="D338" s="1860">
        <v>0.15</v>
      </c>
      <c r="E338" s="1860">
        <v>0.15</v>
      </c>
      <c r="F338" s="1882"/>
    </row>
    <row r="339" spans="1:6" ht="14.25" thickBot="1">
      <c r="A339" s="1858" t="s">
        <v>2231</v>
      </c>
      <c r="B339" s="1862" t="s">
        <v>2233</v>
      </c>
      <c r="C339" s="1863">
        <v>0.15</v>
      </c>
      <c r="D339" s="1863">
        <v>0.15</v>
      </c>
      <c r="E339" s="1863">
        <v>0.15</v>
      </c>
      <c r="F339" s="1871"/>
    </row>
    <row r="340" spans="1:6" ht="14.25" thickBot="1">
      <c r="A340" s="1858" t="s">
        <v>2231</v>
      </c>
      <c r="B340" s="1862" t="s">
        <v>2234</v>
      </c>
      <c r="C340" s="1863">
        <v>0.15</v>
      </c>
      <c r="D340" s="1863">
        <v>0.15</v>
      </c>
      <c r="E340" s="1863">
        <v>0.15</v>
      </c>
      <c r="F340" s="1871"/>
    </row>
    <row r="341" spans="1:6" ht="14.25" thickBot="1">
      <c r="A341" s="1858" t="s">
        <v>2235</v>
      </c>
      <c r="B341" s="1862" t="s">
        <v>2236</v>
      </c>
      <c r="C341" s="1863">
        <v>0.15</v>
      </c>
      <c r="D341" s="1863">
        <v>0.15</v>
      </c>
      <c r="E341" s="1863">
        <v>0.15</v>
      </c>
      <c r="F341" s="1864">
        <v>0.15</v>
      </c>
    </row>
    <row r="342" spans="1:6" ht="14.25" thickBot="1">
      <c r="A342" s="1858" t="s">
        <v>2231</v>
      </c>
      <c r="B342" s="1862" t="s">
        <v>2237</v>
      </c>
      <c r="C342" s="1863">
        <v>0.15</v>
      </c>
      <c r="D342" s="1863">
        <v>0.15</v>
      </c>
      <c r="E342" s="1863">
        <v>0.15</v>
      </c>
      <c r="F342" s="1864">
        <v>0.15</v>
      </c>
    </row>
    <row r="343" spans="1:6" ht="14.25" thickBot="1">
      <c r="A343" s="1858" t="s">
        <v>2231</v>
      </c>
      <c r="B343" s="1862" t="s">
        <v>2238</v>
      </c>
      <c r="C343" s="1863">
        <v>0.15</v>
      </c>
      <c r="D343" s="1863">
        <v>0.15</v>
      </c>
      <c r="E343" s="1863">
        <v>0.15</v>
      </c>
      <c r="F343" s="1864">
        <v>0.15</v>
      </c>
    </row>
    <row r="344" spans="1:6" ht="14.25" thickBot="1">
      <c r="A344" s="1866" t="s">
        <v>2231</v>
      </c>
      <c r="B344" s="1873" t="s">
        <v>2239</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9" t="s">
        <v>2956</v>
      </c>
      <c r="B1" s="3141"/>
      <c r="C1" s="3141"/>
      <c r="D1" s="3141"/>
      <c r="E1" s="3141"/>
      <c r="F1" s="3141"/>
    </row>
    <row r="2" spans="1:6" ht="14.25">
      <c r="A2" s="3142" t="s">
        <v>2950</v>
      </c>
      <c r="B2" s="3143" t="e">
        <f ca="1">SUMIF(B7:B14,"&lt;&gt;#ref!",B7:B14)</f>
        <v>#DIV/0!</v>
      </c>
      <c r="C2" s="3142" t="s">
        <v>2951</v>
      </c>
      <c r="D2" s="3141"/>
      <c r="E2" s="3141"/>
      <c r="F2" s="3141"/>
    </row>
    <row r="3" spans="1:6" ht="14.25">
      <c r="A3" s="3142" t="s">
        <v>2953</v>
      </c>
      <c r="B3" s="3143" t="e">
        <f ca="1">ROUND(B2*10000/E3,0)</f>
        <v>#DIV/0!</v>
      </c>
      <c r="C3" s="3142" t="s">
        <v>2080</v>
      </c>
      <c r="D3" s="3142" t="s">
        <v>2952</v>
      </c>
      <c r="E3" s="3143" t="e">
        <f ca="1">SUM(E7:E14)</f>
        <v>#REF!</v>
      </c>
      <c r="F3" s="3141"/>
    </row>
    <row r="4" spans="1:6" ht="14.25">
      <c r="A4" s="3142" t="s">
        <v>2960</v>
      </c>
      <c r="B4" s="3143" t="e">
        <f ca="1">ROUND(B2*10000/E4,0)</f>
        <v>#DIV/0!</v>
      </c>
      <c r="C4" s="3142" t="s">
        <v>2080</v>
      </c>
      <c r="D4" s="3142" t="s">
        <v>2961</v>
      </c>
      <c r="E4" s="3143" t="e">
        <f ca="1">SUM(F7:F14)</f>
        <v>#REF!</v>
      </c>
      <c r="F4" s="3141"/>
    </row>
    <row r="5" spans="1:6" ht="14.25">
      <c r="A5" s="3144"/>
      <c r="B5" s="1884"/>
      <c r="C5" s="1884"/>
      <c r="D5" s="1884"/>
      <c r="E5" s="1884"/>
      <c r="F5" s="3141"/>
    </row>
    <row r="6" spans="1:6" ht="28.5">
      <c r="A6" s="3145" t="s">
        <v>2957</v>
      </c>
      <c r="B6" s="3142" t="s">
        <v>2954</v>
      </c>
      <c r="C6" s="3143"/>
      <c r="D6" s="1884"/>
      <c r="E6" s="3142" t="s">
        <v>2955</v>
      </c>
      <c r="F6" s="3142" t="s">
        <v>2959</v>
      </c>
    </row>
    <row r="7" spans="1:6" ht="14.25">
      <c r="A7" s="260" t="s">
        <v>2958</v>
      </c>
      <c r="B7" s="3146" t="e">
        <f ca="1">SUMIF(INDIRECT("'"&amp;A7&amp;"'"&amp;"!A:A"),"总价",INDIRECT("'"&amp;A7&amp;"'"&amp;"!B:B"))</f>
        <v>#DIV/0!</v>
      </c>
      <c r="C7" s="3142" t="s">
        <v>2951</v>
      </c>
      <c r="D7" s="1884"/>
      <c r="E7" s="3147">
        <f ca="1">SUMIF(INDIRECT("'"&amp;A7&amp;"'"&amp;"!C:C"),"建筑面积",INDIRECT("'"&amp;A7&amp;"'"&amp;"!D:D"))</f>
        <v>0</v>
      </c>
      <c r="F7" s="3147">
        <f ca="1">SUMIF(INDIRECT("'"&amp;A7&amp;"'"&amp;"!E:E"),"土地面积",INDIRECT("'"&amp;A7&amp;"'"&amp;"!F:F"))</f>
        <v>0</v>
      </c>
    </row>
    <row r="8" spans="1:6" ht="14.25">
      <c r="A8" s="260"/>
      <c r="B8" s="3146" t="e">
        <f t="shared" ref="B8:B14" ca="1" si="0">SUMIF(INDIRECT("'"&amp;A8&amp;"'"&amp;"!A:A"),"总价",INDIRECT("'"&amp;A8&amp;"'"&amp;"!B:B"))</f>
        <v>#REF!</v>
      </c>
      <c r="C8" s="3142" t="s">
        <v>2951</v>
      </c>
      <c r="D8" s="1884"/>
      <c r="E8" s="3147" t="e">
        <f t="shared" ref="E8:E14" ca="1" si="1">SUMIF(INDIRECT("'"&amp;A8&amp;"'"&amp;"!C:C"),"建筑面积",INDIRECT("'"&amp;A8&amp;"'"&amp;"!D:D"))</f>
        <v>#REF!</v>
      </c>
      <c r="F8" s="3147" t="e">
        <f t="shared" ref="F8:F14" ca="1" si="2">SUMIF(INDIRECT("'"&amp;A8&amp;"'"&amp;"!E:E"),"土地面积",INDIRECT("'"&amp;A8&amp;"'"&amp;"!F:F"))</f>
        <v>#REF!</v>
      </c>
    </row>
    <row r="9" spans="1:6" ht="14.25">
      <c r="A9" s="260"/>
      <c r="B9" s="3146" t="e">
        <f t="shared" ca="1" si="0"/>
        <v>#REF!</v>
      </c>
      <c r="C9" s="3142" t="s">
        <v>2951</v>
      </c>
      <c r="D9" s="1884"/>
      <c r="E9" s="3147" t="e">
        <f t="shared" ca="1" si="1"/>
        <v>#REF!</v>
      </c>
      <c r="F9" s="3147" t="e">
        <f t="shared" ca="1" si="2"/>
        <v>#REF!</v>
      </c>
    </row>
    <row r="10" spans="1:6" ht="14.25">
      <c r="A10" s="260"/>
      <c r="B10" s="3146" t="e">
        <f t="shared" ca="1" si="0"/>
        <v>#REF!</v>
      </c>
      <c r="C10" s="3142" t="s">
        <v>2951</v>
      </c>
      <c r="D10" s="1884"/>
      <c r="E10" s="3147" t="e">
        <f t="shared" ca="1" si="1"/>
        <v>#REF!</v>
      </c>
      <c r="F10" s="3147" t="e">
        <f t="shared" ca="1" si="2"/>
        <v>#REF!</v>
      </c>
    </row>
    <row r="11" spans="1:6" ht="14.25">
      <c r="A11" s="260"/>
      <c r="B11" s="3146" t="e">
        <f t="shared" ca="1" si="0"/>
        <v>#REF!</v>
      </c>
      <c r="C11" s="3142" t="s">
        <v>2951</v>
      </c>
      <c r="D11" s="1884"/>
      <c r="E11" s="3147" t="e">
        <f t="shared" ca="1" si="1"/>
        <v>#REF!</v>
      </c>
      <c r="F11" s="3147" t="e">
        <f t="shared" ca="1" si="2"/>
        <v>#REF!</v>
      </c>
    </row>
    <row r="12" spans="1:6" ht="14.25">
      <c r="A12" s="260"/>
      <c r="B12" s="3146" t="e">
        <f t="shared" ca="1" si="0"/>
        <v>#REF!</v>
      </c>
      <c r="C12" s="3142" t="s">
        <v>2951</v>
      </c>
      <c r="D12" s="1884"/>
      <c r="E12" s="3147" t="e">
        <f t="shared" ca="1" si="1"/>
        <v>#REF!</v>
      </c>
      <c r="F12" s="3147" t="e">
        <f t="shared" ca="1" si="2"/>
        <v>#REF!</v>
      </c>
    </row>
    <row r="13" spans="1:6" ht="14.25">
      <c r="A13" s="260"/>
      <c r="B13" s="3146" t="e">
        <f t="shared" ca="1" si="0"/>
        <v>#REF!</v>
      </c>
      <c r="C13" s="3142" t="s">
        <v>2951</v>
      </c>
      <c r="D13" s="1884"/>
      <c r="E13" s="3147" t="e">
        <f t="shared" ca="1" si="1"/>
        <v>#REF!</v>
      </c>
      <c r="F13" s="3147" t="e">
        <f t="shared" ca="1" si="2"/>
        <v>#REF!</v>
      </c>
    </row>
    <row r="14" spans="1:6" ht="14.25">
      <c r="A14" s="3140"/>
      <c r="B14" s="3146" t="e">
        <f t="shared" ca="1" si="0"/>
        <v>#REF!</v>
      </c>
      <c r="C14" s="3142" t="s">
        <v>2951</v>
      </c>
      <c r="D14" s="1884"/>
      <c r="E14" s="3147" t="e">
        <f t="shared" ca="1" si="1"/>
        <v>#REF!</v>
      </c>
      <c r="F14" s="314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629</v>
      </c>
      <c r="B1" s="741"/>
      <c r="C1" s="776"/>
      <c r="D1" s="2053"/>
      <c r="E1" s="2414" t="s">
        <v>2376</v>
      </c>
      <c r="F1" s="2415">
        <f ca="1">J54</f>
        <v>0</v>
      </c>
      <c r="G1" s="777">
        <f>MATCH(C1,'数据-取费表'!A6:A16,0)+5</f>
        <v>8</v>
      </c>
      <c r="H1" s="1353"/>
      <c r="I1" s="2054"/>
      <c r="J1" s="2054"/>
      <c r="K1" s="2055"/>
      <c r="L1" s="2054"/>
      <c r="M1" s="2054"/>
      <c r="N1" s="2056"/>
      <c r="O1" s="2056"/>
      <c r="P1" s="2056"/>
      <c r="Q1" s="2056"/>
      <c r="R1" s="2056"/>
      <c r="S1" s="2056"/>
      <c r="T1" s="2056"/>
      <c r="U1" s="2056"/>
      <c r="V1" s="2056"/>
      <c r="W1" s="2056"/>
      <c r="X1" s="2056"/>
      <c r="Y1" s="2056"/>
    </row>
    <row r="2" spans="1:25" ht="18" customHeight="1">
      <c r="A2" s="1648" t="s">
        <v>630</v>
      </c>
      <c r="B2" s="778">
        <f ca="1">IF(ISERROR(C45+J31),0,C45+J31)</f>
        <v>0</v>
      </c>
      <c r="C2" s="1354"/>
      <c r="D2" s="2058"/>
      <c r="E2" s="2059"/>
      <c r="F2" s="2059"/>
      <c r="G2" s="1594"/>
      <c r="H2" s="1366"/>
      <c r="I2" s="2060"/>
      <c r="J2" s="2060"/>
      <c r="K2" s="2061"/>
      <c r="L2" s="2060"/>
      <c r="M2" s="2060"/>
    </row>
    <row r="3" spans="1:25" ht="18" customHeight="1">
      <c r="A3" s="1649" t="s">
        <v>1688</v>
      </c>
      <c r="B3" s="1395">
        <f ca="1">ROUND(B2*10000/'数据-汇总表'!E3,0)</f>
        <v>0</v>
      </c>
      <c r="C3" s="1354"/>
      <c r="D3" s="2058"/>
      <c r="E3" s="2059"/>
      <c r="F3" s="2059"/>
      <c r="G3" s="1594"/>
      <c r="H3" s="779" t="s">
        <v>696</v>
      </c>
      <c r="I3" s="2060"/>
      <c r="J3" s="2060"/>
      <c r="K3" s="2061"/>
      <c r="L3" s="2060"/>
      <c r="M3" s="2060"/>
    </row>
    <row r="4" spans="1:25" ht="18" customHeight="1">
      <c r="A4" s="1650" t="s">
        <v>697</v>
      </c>
      <c r="B4" s="1355">
        <f ca="1">ROUND(B2*10000/'数据-汇总表'!D3,0)</f>
        <v>0</v>
      </c>
      <c r="C4" s="431"/>
      <c r="D4" s="2058"/>
      <c r="E4" s="2059"/>
      <c r="F4" s="2059"/>
      <c r="G4" s="1594"/>
      <c r="H4" s="779"/>
      <c r="I4" s="2060"/>
      <c r="J4" s="2060"/>
      <c r="K4" s="2061"/>
      <c r="L4" s="2060"/>
      <c r="M4" s="2060"/>
    </row>
    <row r="5" spans="1:25" ht="18" customHeight="1" thickBot="1">
      <c r="A5" s="1651"/>
      <c r="B5" s="433">
        <f ca="1">ROUND(B2/('数据-汇总表'!D3/666.67),0)</f>
        <v>0</v>
      </c>
      <c r="C5" s="434" t="s">
        <v>698</v>
      </c>
      <c r="D5" s="2058"/>
      <c r="E5" s="2059"/>
      <c r="F5" s="2059"/>
      <c r="G5" s="1594"/>
      <c r="H5" s="779"/>
      <c r="I5" s="2060"/>
      <c r="J5" s="2060"/>
      <c r="K5" s="2061"/>
      <c r="L5" s="2060"/>
      <c r="M5" s="2060"/>
    </row>
    <row r="6" spans="1:25" ht="18" customHeight="1">
      <c r="A6" s="1831" t="s">
        <v>699</v>
      </c>
      <c r="B6" s="1823" t="s">
        <v>700</v>
      </c>
      <c r="C6" s="1823" t="s">
        <v>633</v>
      </c>
      <c r="D6" s="1823" t="s">
        <v>634</v>
      </c>
      <c r="E6" s="782" t="s">
        <v>635</v>
      </c>
      <c r="F6" s="783"/>
      <c r="G6" s="1596"/>
      <c r="H6" s="1831" t="s">
        <v>631</v>
      </c>
      <c r="I6" s="1823" t="s">
        <v>632</v>
      </c>
      <c r="J6" s="1823" t="s">
        <v>633</v>
      </c>
      <c r="K6" s="1823" t="s">
        <v>634</v>
      </c>
      <c r="L6" s="782" t="s">
        <v>635</v>
      </c>
      <c r="M6" s="783"/>
    </row>
    <row r="7" spans="1:25" ht="18" customHeight="1">
      <c r="A7" s="784">
        <v>1</v>
      </c>
      <c r="B7" s="785" t="s">
        <v>2461</v>
      </c>
      <c r="C7" s="53">
        <f ca="1">C8+C12+C14</f>
        <v>0</v>
      </c>
      <c r="D7" s="2523" t="s">
        <v>2464</v>
      </c>
      <c r="E7" s="2517"/>
      <c r="F7" s="2518"/>
      <c r="G7" s="1596"/>
      <c r="H7" s="784">
        <v>1</v>
      </c>
      <c r="I7" s="785" t="s">
        <v>2461</v>
      </c>
      <c r="J7" s="53">
        <f ca="1">J8+J12+J14</f>
        <v>0</v>
      </c>
      <c r="K7" s="2523" t="s">
        <v>2464</v>
      </c>
      <c r="L7" s="2517"/>
      <c r="M7" s="2518"/>
    </row>
    <row r="8" spans="1:25" ht="18" customHeight="1">
      <c r="A8" s="1833" t="s">
        <v>1826</v>
      </c>
      <c r="B8" s="3436" t="s">
        <v>2466</v>
      </c>
      <c r="C8" s="1828">
        <f ca="1">ROUND(F8*F10*F9*(1-F11)/10000,0)</f>
        <v>0</v>
      </c>
      <c r="D8" s="1825" t="s">
        <v>2538</v>
      </c>
      <c r="E8" s="61" t="s">
        <v>638</v>
      </c>
      <c r="F8" s="788">
        <f ca="1">INDIRECT("'数据-取费表'!u"&amp;$G$1)</f>
        <v>0</v>
      </c>
      <c r="G8" s="1596"/>
      <c r="H8" s="2531" t="s">
        <v>1826</v>
      </c>
      <c r="I8" s="3436" t="s">
        <v>2466</v>
      </c>
      <c r="J8" s="786">
        <f ca="1">ROUND(M8*M10*M9*(1-M11)/10000,0)</f>
        <v>0</v>
      </c>
      <c r="K8" s="344" t="s">
        <v>2538</v>
      </c>
      <c r="L8" s="787" t="s">
        <v>1740</v>
      </c>
      <c r="M8" s="788">
        <f ca="1">INDIRECT("'数据-取费表'!z"&amp;$G$1)</f>
        <v>0</v>
      </c>
    </row>
    <row r="9" spans="1:25" ht="18" customHeight="1">
      <c r="A9" s="2527"/>
      <c r="B9" s="3437"/>
      <c r="C9" s="1829"/>
      <c r="D9" s="1826"/>
      <c r="E9" s="61" t="s">
        <v>639</v>
      </c>
      <c r="F9" s="788">
        <f ca="1">IF(INDIRECT("'数据-取费表'!ah"&amp;$G$1)="",INDIRECT("'数据-取费表'!k"&amp;$G$1),INDIRECT("'数据-取费表'!ah"&amp;$G$1))</f>
        <v>0</v>
      </c>
      <c r="G9" s="1596"/>
      <c r="H9" s="2516"/>
      <c r="I9" s="3437"/>
      <c r="J9" s="791"/>
      <c r="K9" s="792"/>
      <c r="L9" s="787" t="s">
        <v>1741</v>
      </c>
      <c r="M9" s="788">
        <f ca="1">F9</f>
        <v>0</v>
      </c>
    </row>
    <row r="10" spans="1:25" ht="18" customHeight="1">
      <c r="A10" s="2520"/>
      <c r="B10" s="3438"/>
      <c r="C10" s="1829"/>
      <c r="D10" s="1826"/>
      <c r="E10" s="61" t="s">
        <v>640</v>
      </c>
      <c r="F10" s="788">
        <f ca="1">INDIRECT("'数据-取费表'!ai"&amp;$G$1)</f>
        <v>0</v>
      </c>
      <c r="G10" s="1596"/>
      <c r="H10" s="2516"/>
      <c r="I10" s="3438"/>
      <c r="J10" s="791"/>
      <c r="K10" s="792"/>
      <c r="L10" s="787" t="s">
        <v>1742</v>
      </c>
      <c r="M10" s="788">
        <f ca="1">INDIRECT("'数据-取费表'!ai"&amp;$G$1)</f>
        <v>0</v>
      </c>
    </row>
    <row r="11" spans="1:25" ht="18" customHeight="1">
      <c r="A11" s="789"/>
      <c r="B11" s="3439"/>
      <c r="C11" s="1829"/>
      <c r="D11" s="1826"/>
      <c r="E11" s="61" t="s">
        <v>641</v>
      </c>
      <c r="F11" s="797">
        <f ca="1">INDIRECT("'数据-取费表'!w"&amp;$G$1)</f>
        <v>0</v>
      </c>
      <c r="G11" s="1596"/>
      <c r="H11" s="2532"/>
      <c r="I11" s="3438"/>
      <c r="J11" s="791"/>
      <c r="K11" s="792"/>
      <c r="L11" s="798" t="s">
        <v>1743</v>
      </c>
      <c r="M11" s="799">
        <f ca="1">INDIRECT("'数据-取费表'!ab"&amp;$G$1)</f>
        <v>0</v>
      </c>
    </row>
    <row r="12" spans="1:25" ht="18" customHeight="1">
      <c r="A12" s="1833" t="s">
        <v>1827</v>
      </c>
      <c r="B12" s="2521" t="s">
        <v>2462</v>
      </c>
      <c r="C12" s="802">
        <f ca="1">ROUND(IF(F12="押一",F8*F10*F9/12*F13,IF(F12="押二",F8*F10*F9/12*2*F13,IF(F12="押三",F8*F10*F9/12*3*F13,C13*F13)))/10000,0)</f>
        <v>0</v>
      </c>
      <c r="D12" s="2528" t="s">
        <v>2469</v>
      </c>
      <c r="E12" s="2525" t="s">
        <v>2467</v>
      </c>
      <c r="F12" s="2648"/>
      <c r="G12" s="1596"/>
      <c r="H12" s="2588" t="s">
        <v>1827</v>
      </c>
      <c r="I12" s="2593" t="s">
        <v>2462</v>
      </c>
      <c r="J12" s="786">
        <f ca="1">ROUND(IF(M12="押一",M8*M10*M9/12*M13,IF(M12="押二",M8*M10*M9/12*2*M13,IF(M12="押三",M8*M10*M9/12*3*M13,J13*M13)))/10000,0)</f>
        <v>0</v>
      </c>
      <c r="K12" s="2528" t="s">
        <v>2469</v>
      </c>
      <c r="L12" s="2525" t="s">
        <v>2467</v>
      </c>
      <c r="M12" s="2648"/>
    </row>
    <row r="13" spans="1:25" ht="18" customHeight="1">
      <c r="A13" s="793"/>
      <c r="B13" s="2522" t="s">
        <v>2577</v>
      </c>
      <c r="C13" s="2526"/>
      <c r="D13" s="792"/>
      <c r="E13" s="2525" t="s">
        <v>2459</v>
      </c>
      <c r="F13" s="799">
        <f ca="1">'数据-取费表'!B39</f>
        <v>1.4999999999999999E-2</v>
      </c>
      <c r="G13" s="1596"/>
      <c r="H13" s="2589"/>
      <c r="I13" s="2522" t="s">
        <v>2577</v>
      </c>
      <c r="J13" s="2526"/>
      <c r="K13" s="2590"/>
      <c r="L13" s="2525" t="s">
        <v>2459</v>
      </c>
      <c r="M13" s="2519">
        <f ca="1">'数据-取费表'!B39</f>
        <v>1.4999999999999999E-2</v>
      </c>
    </row>
    <row r="14" spans="1:25" ht="18" customHeight="1" thickBot="1">
      <c r="A14" s="2564" t="s">
        <v>2471</v>
      </c>
      <c r="B14" s="2565" t="s">
        <v>2463</v>
      </c>
      <c r="C14" s="2566"/>
      <c r="D14" s="2567"/>
      <c r="E14" s="2568"/>
      <c r="F14" s="2569"/>
      <c r="G14" s="1596"/>
      <c r="H14" s="2578" t="s">
        <v>2471</v>
      </c>
      <c r="I14" s="2591" t="s">
        <v>2463</v>
      </c>
      <c r="J14" s="2592"/>
      <c r="K14" s="2567"/>
      <c r="L14" s="2568"/>
      <c r="M14" s="2581"/>
    </row>
    <row r="15" spans="1:25" ht="18" customHeight="1" thickTop="1">
      <c r="A15" s="1832" t="s">
        <v>1876</v>
      </c>
      <c r="B15" s="1830" t="s">
        <v>642</v>
      </c>
      <c r="C15" s="795">
        <f ca="1">ROUND(C31*F15,0)</f>
        <v>0</v>
      </c>
      <c r="D15" s="1837" t="s">
        <v>643</v>
      </c>
      <c r="E15" s="798" t="s">
        <v>644</v>
      </c>
      <c r="F15" s="803">
        <f ca="1">INDIRECT("'数据-取费表'!y"&amp;$G$1)</f>
        <v>0</v>
      </c>
      <c r="G15" s="1596"/>
      <c r="H15" s="1832" t="s">
        <v>1828</v>
      </c>
      <c r="I15" s="1830" t="s">
        <v>645</v>
      </c>
      <c r="J15" s="1822">
        <f ca="1">ROUND(J16*J17,0)</f>
        <v>0</v>
      </c>
      <c r="K15" s="1824" t="s">
        <v>643</v>
      </c>
      <c r="L15" s="804"/>
      <c r="M15" s="805"/>
    </row>
    <row r="16" spans="1:25" ht="18" customHeight="1">
      <c r="A16" s="806" t="s">
        <v>1877</v>
      </c>
      <c r="B16" s="787" t="s">
        <v>646</v>
      </c>
      <c r="C16" s="807">
        <f ca="1">INDIRECT("'数据-取费表'!m"&amp;$G$1)+INDIRECT("'数据-取费表'!t"&amp;$G$1)</f>
        <v>0</v>
      </c>
      <c r="D16" s="1982" t="s">
        <v>647</v>
      </c>
      <c r="E16" s="1983"/>
      <c r="F16" s="808"/>
      <c r="G16" s="1596"/>
      <c r="H16" s="806" t="s">
        <v>2071</v>
      </c>
      <c r="I16" s="2234" t="s">
        <v>2831</v>
      </c>
      <c r="J16" s="53">
        <f ca="1">C31</f>
        <v>0</v>
      </c>
      <c r="K16" s="26"/>
      <c r="L16" s="804"/>
      <c r="M16" s="805"/>
    </row>
    <row r="17" spans="1:25" s="2067" customFormat="1" ht="18" customHeight="1">
      <c r="A17" s="806" t="s">
        <v>1851</v>
      </c>
      <c r="B17" s="787" t="s">
        <v>648</v>
      </c>
      <c r="C17" s="53">
        <f ca="1">ROUND(C16*F17,0)</f>
        <v>0</v>
      </c>
      <c r="D17" s="809" t="s">
        <v>649</v>
      </c>
      <c r="E17" s="809" t="s">
        <v>650</v>
      </c>
      <c r="F17" s="810">
        <f>'数据-取费表'!B33</f>
        <v>0.05</v>
      </c>
      <c r="G17" s="1597"/>
      <c r="H17" s="806" t="s">
        <v>2072</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5"/>
      <c r="M18" s="56"/>
    </row>
    <row r="19" spans="1:25" s="2067" customFormat="1" ht="18" customHeight="1">
      <c r="A19" s="806" t="s">
        <v>1853</v>
      </c>
      <c r="B19" s="787" t="s">
        <v>654</v>
      </c>
      <c r="C19" s="53">
        <f ca="1">ROUND(F19*(INDIRECT("'数据-取费表'!k"&amp;$G$1)+INDIRECT("'数据-取费表'!S"&amp;$G$1))/10000,0)</f>
        <v>0</v>
      </c>
      <c r="D19" s="787" t="s">
        <v>655</v>
      </c>
      <c r="E19" s="787" t="s">
        <v>656</v>
      </c>
      <c r="F19" s="56">
        <f>'数据-取费表'!B35</f>
        <v>200</v>
      </c>
      <c r="G19" s="1597"/>
      <c r="H19" s="806" t="s">
        <v>2071</v>
      </c>
      <c r="I19" s="787" t="s">
        <v>657</v>
      </c>
      <c r="J19" s="53">
        <f ca="1">ROUND(IF(项目基本情况!B11="自然人",J7*M19,J20+J21+J22),0)</f>
        <v>0</v>
      </c>
      <c r="K19" s="1982" t="s">
        <v>658</v>
      </c>
      <c r="L19" s="1980" t="s">
        <v>659</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80" t="s">
        <v>662</v>
      </c>
      <c r="L20" s="787" t="s">
        <v>650</v>
      </c>
      <c r="M20" s="812">
        <f>'数据-取费表'!B41</f>
        <v>6.2719999999999998E-2</v>
      </c>
      <c r="N20" s="2066"/>
      <c r="O20" s="2066"/>
      <c r="P20" s="2066"/>
      <c r="Q20" s="2066"/>
      <c r="R20" s="2066"/>
      <c r="S20" s="2066"/>
      <c r="T20" s="2066"/>
      <c r="U20" s="2066"/>
      <c r="V20" s="2066"/>
      <c r="W20" s="2066"/>
      <c r="X20" s="2066"/>
      <c r="Y20" s="2066"/>
    </row>
    <row r="21" spans="1:25" ht="18" customHeight="1">
      <c r="A21" s="806" t="s">
        <v>1878</v>
      </c>
      <c r="B21" s="787" t="s">
        <v>663</v>
      </c>
      <c r="C21" s="53">
        <f ca="1">SUM(C16:C20)</f>
        <v>0</v>
      </c>
      <c r="D21" s="261" t="s">
        <v>664</v>
      </c>
      <c r="E21" s="1985"/>
      <c r="F21" s="56"/>
      <c r="G21" s="1596"/>
      <c r="H21" s="1833" t="s">
        <v>1851</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1879</v>
      </c>
      <c r="B22" s="787" t="s">
        <v>667</v>
      </c>
      <c r="C22" s="53">
        <f ca="1">ROUND(C21*F22,0)</f>
        <v>0</v>
      </c>
      <c r="D22" s="815" t="s">
        <v>668</v>
      </c>
      <c r="E22" s="787" t="s">
        <v>650</v>
      </c>
      <c r="F22" s="812">
        <f>'数据-取费表'!B37</f>
        <v>0.02</v>
      </c>
      <c r="G22" s="1597"/>
      <c r="H22" s="1835" t="s">
        <v>1852</v>
      </c>
      <c r="I22" s="1825" t="s">
        <v>669</v>
      </c>
      <c r="J22" s="54">
        <f ca="1">ROUND(M22*M23/10000,0)</f>
        <v>0</v>
      </c>
      <c r="K22" s="817" t="s">
        <v>670</v>
      </c>
      <c r="L22" s="787" t="s">
        <v>671</v>
      </c>
      <c r="M22" s="643">
        <f>'数据-取费表'!B52</f>
        <v>10.5</v>
      </c>
      <c r="N22" s="2066"/>
      <c r="O22" s="2066"/>
      <c r="P22" s="2066"/>
      <c r="Q22" s="2066"/>
      <c r="R22" s="2066"/>
      <c r="S22" s="2066"/>
      <c r="T22" s="2066"/>
      <c r="U22" s="2066"/>
      <c r="V22" s="2066"/>
      <c r="W22" s="2066"/>
      <c r="X22" s="2066"/>
      <c r="Y22" s="2066"/>
    </row>
    <row r="23" spans="1:25" s="2067" customFormat="1" ht="18" customHeight="1">
      <c r="A23" s="806" t="s">
        <v>1880</v>
      </c>
      <c r="B23" s="787" t="s">
        <v>672</v>
      </c>
      <c r="C23" s="53" t="s">
        <v>1</v>
      </c>
      <c r="D23" s="815" t="s">
        <v>673</v>
      </c>
      <c r="E23" s="787" t="s">
        <v>674</v>
      </c>
      <c r="F23" s="812">
        <f>'数据-取费表'!B38</f>
        <v>0.02</v>
      </c>
      <c r="G23" s="1597"/>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1881</v>
      </c>
      <c r="B24" s="787" t="s">
        <v>676</v>
      </c>
      <c r="C24" s="53"/>
      <c r="D24" s="2599" t="str">
        <f>IF(F25&lt;=1,"单利计息。","复利计息。")&amp;"建造成本、管理费用、销售费用产生的利息。"</f>
        <v>复利计息。建造成本、管理费用、销售费用产生的利息。</v>
      </c>
      <c r="E24" s="1985"/>
      <c r="F24" s="56"/>
      <c r="G24" s="1596"/>
      <c r="H24" s="1834" t="s">
        <v>2072</v>
      </c>
      <c r="I24" s="787" t="s">
        <v>677</v>
      </c>
      <c r="J24" s="53">
        <f ca="1">ROUND(J16*M24,0)</f>
        <v>0</v>
      </c>
      <c r="K24" s="1980" t="s">
        <v>678</v>
      </c>
      <c r="L24" s="787" t="s">
        <v>650</v>
      </c>
      <c r="M24" s="820">
        <f ca="1">INDIRECT("'数据-取费表'!Ak"&amp;$G$1)</f>
        <v>0</v>
      </c>
    </row>
    <row r="25" spans="1:25" s="2067" customFormat="1" ht="18" customHeight="1">
      <c r="A25" s="806" t="s">
        <v>1877</v>
      </c>
      <c r="B25" s="787" t="s">
        <v>2439</v>
      </c>
      <c r="C25" s="53">
        <f ca="1">ROUND(IF('数据-取费表'!B22&lt;=1,(C21+C22)*F26*F25/2,(C21+C22)*(POWER((1+F26),F25/2)-1)),0)</f>
        <v>0</v>
      </c>
      <c r="D25" s="2598" t="str">
        <f>IF(F25&lt;=1,"(建造成本+管理费用)×利率×(建设周期÷2)","(建造成本+管理费用)×((1+利率)^(建设周期÷2)-1)")</f>
        <v>(建造成本+管理费用)×((1+利率)^(建设周期÷2)-1)</v>
      </c>
      <c r="E25" s="787" t="s">
        <v>679</v>
      </c>
      <c r="F25" s="643">
        <f>'数据-取费表'!B20</f>
        <v>2</v>
      </c>
      <c r="G25" s="1597"/>
      <c r="H25" s="806" t="s">
        <v>1880</v>
      </c>
      <c r="I25" s="787" t="s">
        <v>680</v>
      </c>
      <c r="J25" s="53">
        <f ca="1">ROUND(J15*M25,0)</f>
        <v>0</v>
      </c>
      <c r="K25" s="1980"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1851</v>
      </c>
      <c r="B26" s="787" t="s">
        <v>682</v>
      </c>
      <c r="C26" s="53">
        <f ca="1">ROUND(IF('数据-取费表'!B22&lt;=1,F23*F26*F25/2,F23*(POWER((1+F26),F25/2)-1)),4)</f>
        <v>1E-3</v>
      </c>
      <c r="D26" s="2598"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80"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1883</v>
      </c>
      <c r="B27" s="787" t="s">
        <v>685</v>
      </c>
      <c r="C27" s="53"/>
      <c r="D27" s="261" t="s">
        <v>686</v>
      </c>
      <c r="E27" s="1985"/>
      <c r="F27" s="56"/>
      <c r="G27" s="1596"/>
      <c r="H27" s="800" t="s">
        <v>1830</v>
      </c>
      <c r="I27" s="3042" t="s">
        <v>2828</v>
      </c>
      <c r="J27" s="802">
        <f ca="1">J7-J18</f>
        <v>0</v>
      </c>
      <c r="K27" s="1982" t="s">
        <v>701</v>
      </c>
      <c r="L27" s="1984"/>
      <c r="M27" s="823"/>
    </row>
    <row r="28" spans="1:25" ht="18" customHeight="1">
      <c r="A28" s="806" t="s">
        <v>1877</v>
      </c>
      <c r="B28" s="787" t="s">
        <v>2440</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7" customFormat="1" ht="18" customHeight="1">
      <c r="A30" s="806" t="s">
        <v>1884</v>
      </c>
      <c r="B30" s="787" t="s">
        <v>688</v>
      </c>
      <c r="C30" s="53">
        <f>ROUND(F30/(1+'数据-取费表'!C42),4)</f>
        <v>5.9400000000000001E-2</v>
      </c>
      <c r="D30" s="815" t="s">
        <v>710</v>
      </c>
      <c r="E30" s="787" t="s">
        <v>650</v>
      </c>
      <c r="F30" s="812">
        <f>'数据-取费表'!B41</f>
        <v>6.2719999999999998E-2</v>
      </c>
      <c r="G30" s="1597"/>
      <c r="H30" s="793"/>
      <c r="I30" s="794"/>
      <c r="J30" s="795"/>
      <c r="K30" s="819"/>
      <c r="L30" s="787" t="s">
        <v>711</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1885</v>
      </c>
      <c r="B31" s="2568" t="s">
        <v>2829</v>
      </c>
      <c r="C31" s="2571">
        <f ca="1">ROUND((C21+C22+C25+C28)/(1-F23-C26-C29-C30),0)</f>
        <v>0</v>
      </c>
      <c r="D31" s="2572"/>
      <c r="E31" s="2573"/>
      <c r="F31" s="2574"/>
      <c r="G31" s="1597"/>
      <c r="H31" s="826" t="s">
        <v>1874</v>
      </c>
      <c r="I31" s="3043" t="s">
        <v>2830</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4"/>
      <c r="F32" s="2518"/>
      <c r="G32" s="2065"/>
      <c r="H32" s="2068"/>
      <c r="I32" s="2069"/>
      <c r="J32" s="2070"/>
      <c r="K32" s="2071"/>
      <c r="L32" s="2072"/>
      <c r="M32" s="2073"/>
    </row>
    <row r="33" spans="1:18" ht="18" customHeight="1">
      <c r="A33" s="806" t="s">
        <v>1878</v>
      </c>
      <c r="B33" s="787" t="s">
        <v>657</v>
      </c>
      <c r="C33" s="53">
        <f ca="1">ROUND(IF(项目基本情况!B11="自然人",C7*F33,C34+C35+C36),1)</f>
        <v>0</v>
      </c>
      <c r="D33" s="1982" t="s">
        <v>658</v>
      </c>
      <c r="E33" s="1980" t="s">
        <v>691</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1877</v>
      </c>
      <c r="B34" s="787" t="s">
        <v>661</v>
      </c>
      <c r="C34" s="53">
        <f ca="1">ROUND(C7*F34/1.05,1)</f>
        <v>0</v>
      </c>
      <c r="D34" s="1980" t="s">
        <v>662</v>
      </c>
      <c r="E34" s="787" t="s">
        <v>650</v>
      </c>
      <c r="F34" s="812">
        <f>'数据-取费表'!B41</f>
        <v>6.2719999999999998E-2</v>
      </c>
      <c r="G34" s="2065"/>
      <c r="H34" s="2074"/>
      <c r="I34" s="2075"/>
      <c r="J34" s="2076"/>
      <c r="K34" s="2077"/>
      <c r="L34" s="2078"/>
      <c r="M34" s="2079"/>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5"/>
      <c r="H35" s="2080"/>
      <c r="I35" s="2080"/>
      <c r="J35" s="2080"/>
      <c r="K35" s="2081"/>
      <c r="L35" s="2080"/>
      <c r="M35" s="2080"/>
    </row>
    <row r="36" spans="1:18" ht="18" customHeight="1">
      <c r="A36" s="816" t="s">
        <v>1882</v>
      </c>
      <c r="B36" s="344" t="s">
        <v>669</v>
      </c>
      <c r="C36" s="54">
        <f ca="1">ROUND(F36*F37/10000,1)</f>
        <v>0</v>
      </c>
      <c r="D36" s="817" t="s">
        <v>670</v>
      </c>
      <c r="E36" s="787" t="s">
        <v>671</v>
      </c>
      <c r="F36" s="643">
        <f>'数据-取费表'!B52</f>
        <v>10.5</v>
      </c>
      <c r="G36" s="2065"/>
      <c r="H36" s="2068"/>
      <c r="I36" s="3435"/>
      <c r="J36" s="2082"/>
      <c r="K36" s="2083"/>
      <c r="L36" s="2082"/>
      <c r="M36" s="2082"/>
    </row>
    <row r="37" spans="1:18" ht="18" customHeight="1">
      <c r="A37" s="818"/>
      <c r="B37" s="796"/>
      <c r="C37" s="69"/>
      <c r="D37" s="819"/>
      <c r="E37" s="787" t="s">
        <v>675</v>
      </c>
      <c r="F37" s="788">
        <f ca="1">INDIRECT("'数据-取费表'!r"&amp;$G$1)</f>
        <v>0</v>
      </c>
      <c r="G37" s="2065"/>
      <c r="H37" s="2068"/>
      <c r="I37" s="3435"/>
      <c r="J37" s="2080"/>
      <c r="K37" s="2081"/>
      <c r="L37" s="2080"/>
      <c r="M37" s="2080"/>
    </row>
    <row r="38" spans="1:18" ht="18" customHeight="1">
      <c r="A38" s="806" t="s">
        <v>1879</v>
      </c>
      <c r="B38" s="787" t="s">
        <v>677</v>
      </c>
      <c r="C38" s="53">
        <f ca="1">ROUND(C31*F38,1)</f>
        <v>0</v>
      </c>
      <c r="D38" s="1980" t="s">
        <v>692</v>
      </c>
      <c r="E38" s="787" t="s">
        <v>650</v>
      </c>
      <c r="F38" s="820">
        <f ca="1">INDIRECT("'数据-取费表'!Ak"&amp;$G$1)</f>
        <v>0</v>
      </c>
      <c r="G38" s="2065"/>
      <c r="H38" s="2080"/>
      <c r="I38" s="2084"/>
      <c r="J38" s="1991"/>
      <c r="K38" s="2085"/>
      <c r="L38" s="2080"/>
      <c r="M38" s="2080"/>
    </row>
    <row r="39" spans="1:18" ht="18" customHeight="1">
      <c r="A39" s="806" t="s">
        <v>1880</v>
      </c>
      <c r="B39" s="787" t="s">
        <v>680</v>
      </c>
      <c r="C39" s="53">
        <f ca="1">ROUND(C15*F39,1)</f>
        <v>0</v>
      </c>
      <c r="D39" s="1980" t="s">
        <v>681</v>
      </c>
      <c r="E39" s="787" t="s">
        <v>650</v>
      </c>
      <c r="F39" s="821">
        <f ca="1">INDIRECT("'数据-取费表'!Al"&amp;$G$1)</f>
        <v>0</v>
      </c>
      <c r="G39" s="2065"/>
      <c r="H39" s="2080"/>
      <c r="I39" s="2084"/>
      <c r="J39" s="1991"/>
      <c r="K39" s="2085"/>
      <c r="L39" s="2080"/>
      <c r="M39" s="2080"/>
    </row>
    <row r="40" spans="1:18" ht="18" customHeight="1" thickBot="1">
      <c r="A40" s="2587" t="s">
        <v>1881</v>
      </c>
      <c r="B40" s="2573" t="s">
        <v>667</v>
      </c>
      <c r="C40" s="2571">
        <f ca="1">ROUND(C7*F40,1)</f>
        <v>0</v>
      </c>
      <c r="D40" s="2572" t="s">
        <v>684</v>
      </c>
      <c r="E40" s="2573" t="s">
        <v>650</v>
      </c>
      <c r="F40" s="2569">
        <f ca="1">INDIRECT("'数据-取费表'!Am"&amp;$G$1)</f>
        <v>0</v>
      </c>
      <c r="G40" s="2065"/>
      <c r="H40" s="2080"/>
      <c r="I40" s="2084"/>
      <c r="J40" s="1991"/>
      <c r="K40" s="2086"/>
      <c r="L40" s="2080"/>
      <c r="M40" s="2080"/>
    </row>
    <row r="41" spans="1:18" ht="18" customHeight="1" thickTop="1">
      <c r="A41" s="1832">
        <v>4</v>
      </c>
      <c r="B41" s="1830" t="s">
        <v>693</v>
      </c>
      <c r="C41" s="1356"/>
      <c r="D41" s="1357"/>
      <c r="E41" s="1357"/>
      <c r="F41" s="1358"/>
      <c r="G41" s="2065"/>
      <c r="H41" s="2065"/>
      <c r="I41" s="2065"/>
      <c r="J41" s="2065"/>
      <c r="K41" s="2086"/>
      <c r="L41" s="2065"/>
      <c r="M41" s="2065"/>
    </row>
    <row r="42" spans="1:18" ht="18" customHeight="1">
      <c r="A42" s="806" t="s">
        <v>1878</v>
      </c>
      <c r="B42" s="838" t="s">
        <v>694</v>
      </c>
      <c r="C42" s="832">
        <f ca="1">C7-C32</f>
        <v>0</v>
      </c>
      <c r="D42" s="1982" t="s">
        <v>695</v>
      </c>
      <c r="E42" s="1984"/>
      <c r="F42" s="823"/>
      <c r="G42" s="2065"/>
      <c r="H42" s="2065"/>
      <c r="I42" s="2065"/>
      <c r="J42" s="2065"/>
      <c r="K42" s="2086"/>
      <c r="L42" s="2065"/>
      <c r="M42" s="2065"/>
    </row>
    <row r="43" spans="1:18" ht="18" customHeight="1">
      <c r="A43" s="806" t="s">
        <v>1879</v>
      </c>
      <c r="B43" s="838" t="s">
        <v>712</v>
      </c>
      <c r="C43" s="839">
        <f ca="1">ROUND(C15*F43,0)</f>
        <v>0</v>
      </c>
      <c r="D43" s="1359" t="s">
        <v>713</v>
      </c>
      <c r="E43" s="3160" t="s">
        <v>2969</v>
      </c>
      <c r="F43" s="3161">
        <f ca="1">INDIRECT("'数据-取费表'!j"&amp;$G$1)</f>
        <v>0</v>
      </c>
      <c r="G43" s="2065"/>
      <c r="H43" s="2065"/>
      <c r="I43" s="2065"/>
      <c r="J43" s="2065"/>
      <c r="K43" s="2086"/>
      <c r="L43" s="2065"/>
      <c r="M43" s="2065"/>
    </row>
    <row r="44" spans="1:18" ht="18" customHeight="1">
      <c r="A44" s="806" t="s">
        <v>1880</v>
      </c>
      <c r="B44" s="838" t="s">
        <v>714</v>
      </c>
      <c r="C44" s="1360">
        <f ca="1">C42-C43</f>
        <v>0</v>
      </c>
      <c r="D44" s="466" t="s">
        <v>715</v>
      </c>
      <c r="E44" s="467"/>
      <c r="F44" s="468"/>
      <c r="G44" s="2065"/>
      <c r="H44" s="2065"/>
      <c r="I44" s="2065"/>
      <c r="J44" s="2065"/>
      <c r="K44" s="2086"/>
      <c r="L44" s="2065"/>
      <c r="M44" s="2065"/>
    </row>
    <row r="45" spans="1:18" ht="18" customHeight="1">
      <c r="A45" s="806" t="s">
        <v>1881</v>
      </c>
      <c r="B45" s="1359" t="s">
        <v>716</v>
      </c>
      <c r="C45" s="3069">
        <f ca="1">ROUND(-PV(F45,F46,C44,0),0)</f>
        <v>0</v>
      </c>
      <c r="D45" s="1361" t="s">
        <v>717</v>
      </c>
      <c r="E45" s="809" t="s">
        <v>718</v>
      </c>
      <c r="F45" s="833">
        <f ca="1">INDIRECT("'数据-取费表'!h"&amp;$G$1)</f>
        <v>0</v>
      </c>
      <c r="G45" s="2065"/>
      <c r="H45" s="2065"/>
      <c r="I45" s="2065"/>
      <c r="J45" s="2065"/>
      <c r="K45" s="2086"/>
      <c r="L45" s="2065"/>
      <c r="M45" s="2065"/>
    </row>
    <row r="46" spans="1:18" ht="18" customHeight="1" thickBot="1">
      <c r="A46" s="834"/>
      <c r="B46" s="1362"/>
      <c r="C46" s="1363"/>
      <c r="D46" s="1364"/>
      <c r="E46" s="3162" t="s">
        <v>2972</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2344</v>
      </c>
      <c r="J47" s="2382"/>
      <c r="K47" s="2383"/>
      <c r="L47" s="2384" t="str">
        <f ca="1">IF(M48="住宅",0,IF(L49&gt;J52,L61,J61))</f>
        <v>0</v>
      </c>
      <c r="O47" s="2421" t="s">
        <v>2412</v>
      </c>
      <c r="P47" s="1596"/>
      <c r="Q47" s="1608"/>
      <c r="R47" s="1596"/>
    </row>
    <row r="48" spans="1:18" s="2062" customFormat="1" ht="18" customHeight="1" thickBot="1">
      <c r="A48" s="2087"/>
      <c r="C48" s="2090"/>
      <c r="D48" s="2091"/>
      <c r="E48" s="2091"/>
      <c r="F48" s="2092"/>
      <c r="G48" s="2093"/>
      <c r="I48" s="2385" t="s">
        <v>2345</v>
      </c>
      <c r="J48" s="2390"/>
      <c r="K48" s="2391" t="s">
        <v>2351</v>
      </c>
      <c r="L48" s="2392">
        <f ca="1">INDIRECT("'数据-取费表'!d"&amp;$G$1)</f>
        <v>0</v>
      </c>
      <c r="M48" s="3157" t="str">
        <f>IF(ISNUMBER(FIND("住宅",C1)),"住宅","非住宅")</f>
        <v>非住宅</v>
      </c>
      <c r="O48" s="2422" t="s">
        <v>2377</v>
      </c>
      <c r="P48" s="2423" t="s">
        <v>2378</v>
      </c>
      <c r="Q48" s="2424" t="s">
        <v>2379</v>
      </c>
      <c r="R48" s="2423" t="s">
        <v>2380</v>
      </c>
    </row>
    <row r="49" spans="1:18" s="2062" customFormat="1" ht="18" customHeight="1" thickBot="1">
      <c r="A49" s="2087"/>
      <c r="D49" s="2094"/>
      <c r="E49" s="2095"/>
      <c r="F49" s="2092"/>
      <c r="G49" s="2093"/>
      <c r="H49" s="2096"/>
      <c r="I49" s="2386" t="s">
        <v>2346</v>
      </c>
      <c r="J49" s="2393"/>
      <c r="K49" s="2394" t="s">
        <v>2353</v>
      </c>
      <c r="L49" s="2395">
        <f ca="1">INDIRECT("'数据-取费表'!f"&amp;$G$1)</f>
        <v>0</v>
      </c>
      <c r="O49" s="2425" t="s">
        <v>2381</v>
      </c>
      <c r="P49" s="2426" t="s">
        <v>2407</v>
      </c>
      <c r="Q49" s="2427">
        <f ca="1">C41+J31</f>
        <v>0</v>
      </c>
      <c r="R49" s="2426" t="s">
        <v>2382</v>
      </c>
    </row>
    <row r="50" spans="1:18" s="2062" customFormat="1" ht="18" customHeight="1" thickBot="1">
      <c r="A50" s="2087"/>
      <c r="D50" s="2097"/>
      <c r="E50" s="2097"/>
      <c r="F50" s="2091"/>
      <c r="G50" s="2098"/>
      <c r="H50" s="2096"/>
      <c r="I50" s="2386" t="s">
        <v>2347</v>
      </c>
      <c r="J50" s="2396"/>
      <c r="K50" s="2397" t="s">
        <v>2354</v>
      </c>
      <c r="L50" s="2398"/>
      <c r="O50" s="2425" t="s">
        <v>2383</v>
      </c>
      <c r="P50" s="2426" t="s">
        <v>2408</v>
      </c>
      <c r="Q50" s="2427" t="str">
        <f ca="1">J61</f>
        <v>0</v>
      </c>
      <c r="R50" s="2426" t="s">
        <v>2384</v>
      </c>
    </row>
    <row r="51" spans="1:18" s="2062" customFormat="1" ht="18" customHeight="1" thickBot="1">
      <c r="A51" s="2099"/>
      <c r="D51" s="2097"/>
      <c r="E51" s="2097"/>
      <c r="F51" s="2088"/>
      <c r="H51" s="2096"/>
      <c r="I51" s="2386" t="s">
        <v>2348</v>
      </c>
      <c r="J51" s="2399">
        <f>SUMPRODUCT((I64:I66=J48)*(J63:L63=J49)*(J64:L66))</f>
        <v>0</v>
      </c>
      <c r="K51" s="2397" t="s">
        <v>2355</v>
      </c>
      <c r="L51" s="2398"/>
      <c r="O51" s="2428" t="s">
        <v>2385</v>
      </c>
      <c r="P51" s="2426" t="s">
        <v>2409</v>
      </c>
      <c r="Q51" s="2427">
        <f ca="1">C31</f>
        <v>0</v>
      </c>
      <c r="R51" s="2426" t="s">
        <v>2382</v>
      </c>
    </row>
    <row r="52" spans="1:18" s="2062" customFormat="1" ht="18" customHeight="1" thickBot="1">
      <c r="A52" s="2099"/>
      <c r="F52" s="2088"/>
      <c r="I52" s="2387" t="s">
        <v>2349</v>
      </c>
      <c r="J52" s="2400">
        <f>IF(J50="",J51,J50+J51-YEAR('数据-取费表'!B3))</f>
        <v>0</v>
      </c>
      <c r="K52" s="2386" t="s">
        <v>2356</v>
      </c>
      <c r="L52" s="2401">
        <f ca="1">ROUND(-PV(INDIRECT("'数据-取费表'!h"&amp;$G$1),L49,(C40-C14*J36),0),0)</f>
        <v>0</v>
      </c>
      <c r="O52" s="2428" t="s">
        <v>2386</v>
      </c>
      <c r="P52" s="2426" t="s">
        <v>2387</v>
      </c>
      <c r="Q52" s="2429" t="e">
        <f ca="1">J59</f>
        <v>#VALUE!</v>
      </c>
      <c r="R52" s="2430"/>
    </row>
    <row r="53" spans="1:18" s="2062" customFormat="1" ht="18" customHeight="1" thickBot="1">
      <c r="A53" s="2099"/>
      <c r="F53" s="2088"/>
      <c r="I53" s="2388" t="s">
        <v>2423</v>
      </c>
      <c r="J53" s="2402"/>
      <c r="K53" s="2388" t="s">
        <v>2422</v>
      </c>
      <c r="L53" s="2402"/>
      <c r="O53" s="2428" t="s">
        <v>2388</v>
      </c>
      <c r="P53" s="2426" t="s">
        <v>2389</v>
      </c>
      <c r="Q53" s="2429">
        <f>J53</f>
        <v>0</v>
      </c>
      <c r="R53" s="2430"/>
    </row>
    <row r="54" spans="1:18" s="2062" customFormat="1" ht="43.5" thickBot="1">
      <c r="A54" s="2099"/>
      <c r="I54" s="2389" t="s">
        <v>2350</v>
      </c>
      <c r="J54" s="2403">
        <f ca="1">IF(M48="住宅",J52,IF(J52&gt;L49,L49-'数据-取费表'!B25,J52))</f>
        <v>0</v>
      </c>
      <c r="K54" s="3440"/>
      <c r="L54" s="3441"/>
      <c r="O54" s="2428" t="s">
        <v>2390</v>
      </c>
      <c r="P54" s="2426" t="s">
        <v>2391</v>
      </c>
      <c r="Q54" s="2427">
        <f ca="1">J54</f>
        <v>0</v>
      </c>
      <c r="R54" s="2426" t="s">
        <v>2392</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2393</v>
      </c>
      <c r="P55" s="2426" t="s">
        <v>2410</v>
      </c>
      <c r="Q55" s="2427">
        <f ca="1">Q49+Q50</f>
        <v>0</v>
      </c>
      <c r="R55" s="2430" t="s">
        <v>2394</v>
      </c>
    </row>
    <row r="56" spans="1:18" s="2062" customFormat="1" ht="16.5" thickBot="1">
      <c r="A56" s="2099"/>
      <c r="B56" s="2100"/>
      <c r="C56" s="2100"/>
      <c r="I56" s="3134" t="s">
        <v>2357</v>
      </c>
      <c r="J56" s="3158" t="e">
        <f ca="1">ROUND(IF(J48="钢混",J58/J51,1-(1-2%)*(J51-J58)/J51),3)</f>
        <v>#VALUE!</v>
      </c>
      <c r="K56" s="2404" t="s">
        <v>2358</v>
      </c>
      <c r="L56" s="2405"/>
      <c r="O56" s="2431" t="s">
        <v>2413</v>
      </c>
      <c r="P56" s="1596"/>
      <c r="Q56" s="1608"/>
      <c r="R56" s="1596"/>
    </row>
    <row r="57" spans="1:18" s="2062" customFormat="1" ht="43.5" thickBot="1">
      <c r="A57" s="2099"/>
      <c r="B57" s="2100"/>
      <c r="C57" s="2100"/>
      <c r="I57" s="2406" t="s">
        <v>2359</v>
      </c>
      <c r="J57" s="3157" t="s">
        <v>1680</v>
      </c>
      <c r="K57" s="2386" t="s">
        <v>2364</v>
      </c>
      <c r="L57" s="2395">
        <f ca="1">IF(L49&lt;J52,"——",L49-J52)</f>
        <v>0</v>
      </c>
      <c r="O57" s="2422" t="s">
        <v>2377</v>
      </c>
      <c r="P57" s="2423" t="s">
        <v>2378</v>
      </c>
      <c r="Q57" s="2424" t="s">
        <v>2379</v>
      </c>
      <c r="R57" s="2423" t="s">
        <v>2380</v>
      </c>
    </row>
    <row r="58" spans="1:18" s="2062" customFormat="1" ht="29.25" thickBot="1">
      <c r="A58" s="2099"/>
      <c r="B58" s="2100"/>
      <c r="C58" s="2100"/>
      <c r="I58" s="2407" t="s">
        <v>2360</v>
      </c>
      <c r="J58" s="2409" t="str">
        <f ca="1">IF(OR(M48="住宅",J52&lt;L49,J57="是"),"——",J52-L49)</f>
        <v>——</v>
      </c>
      <c r="K58" s="2386" t="s">
        <v>2365</v>
      </c>
      <c r="L58" s="2395">
        <f ca="1">IF(L49&lt;J52,"——",IF(L56="比较法",L50,IF(L56="基准地价",L51,L52)))</f>
        <v>0</v>
      </c>
      <c r="O58" s="2425" t="s">
        <v>2381</v>
      </c>
      <c r="P58" s="2426" t="s">
        <v>2407</v>
      </c>
      <c r="Q58" s="2427">
        <f ca="1">C41+J31</f>
        <v>0</v>
      </c>
      <c r="R58" s="2426" t="s">
        <v>2382</v>
      </c>
    </row>
    <row r="59" spans="1:18" s="2062" customFormat="1" ht="29.25" thickBot="1">
      <c r="A59" s="2099"/>
      <c r="B59" s="2100"/>
      <c r="C59" s="2100"/>
      <c r="I59" s="2407" t="s">
        <v>2361</v>
      </c>
      <c r="J59" s="3159" t="e">
        <f ca="1">IF(J56&lt;0.4,0.4,J56)</f>
        <v>#VALUE!</v>
      </c>
      <c r="K59" s="2386" t="s">
        <v>2366</v>
      </c>
      <c r="L59" s="2395">
        <f ca="1">IF(ISERROR(POWER(1+L53,L48-L49)*(POWER(1+L53,L49)-1)/(POWER(1+L53,L48)-1)),0,POWER(1+L53,L48-L49)*(POWER(1+L53,L49)-1)/(POWER(1+L53,L48)-1))</f>
        <v>0</v>
      </c>
      <c r="O59" s="2425" t="s">
        <v>2383</v>
      </c>
      <c r="P59" s="2426" t="s">
        <v>2414</v>
      </c>
      <c r="Q59" s="2427" t="e">
        <f ca="1">L61</f>
        <v>#DIV/0!</v>
      </c>
      <c r="R59" s="2430" t="s">
        <v>2416</v>
      </c>
    </row>
    <row r="60" spans="1:18" s="2062" customFormat="1" ht="29.25" thickBot="1">
      <c r="A60" s="2099"/>
      <c r="B60" s="2100"/>
      <c r="C60" s="2100"/>
      <c r="I60" s="2407" t="s">
        <v>2362</v>
      </c>
      <c r="J60" s="2409" t="str">
        <f ca="1">IF(OR(M48="住宅",J52&lt;L49,J57="是"),"——",ROUND(C30*J59,0))</f>
        <v>——</v>
      </c>
      <c r="K60" s="2386" t="s">
        <v>2367</v>
      </c>
      <c r="L60" s="2395">
        <f ca="1">IF(ISERROR(POWER(1+L53,L48-J52)*(POWER(1+L53,J52)-1)/(POWER(1+L53,L48)-1)),0,POWER(1+L53,L48-J52)*(POWER(1+L53,J52)-1)/(POWER(1+L53,L48)-1))</f>
        <v>0</v>
      </c>
      <c r="O60" s="2428" t="s">
        <v>2385</v>
      </c>
      <c r="P60" s="2426" t="s">
        <v>2415</v>
      </c>
      <c r="Q60" s="2427">
        <f>IF(L56="比较法",L50,IF(L56="基准地价",L51,0))</f>
        <v>0</v>
      </c>
      <c r="R60" s="2426" t="s">
        <v>2382</v>
      </c>
    </row>
    <row r="61" spans="1:18" s="2062" customFormat="1" ht="15.75" thickBot="1">
      <c r="A61" s="2099"/>
      <c r="B61" s="2100"/>
      <c r="C61" s="2100"/>
      <c r="I61" s="2408" t="s">
        <v>2363</v>
      </c>
      <c r="J61" s="2410" t="str">
        <f ca="1">IF(OR(M48="住宅",J52&lt;L49,J57="是"),"0",ROUND(J60/(1+J53)^J54,0))</f>
        <v>0</v>
      </c>
      <c r="K61" s="2411" t="s">
        <v>2368</v>
      </c>
      <c r="L61" s="2410" t="e">
        <f ca="1">IF(OR(M48="住宅",L49&lt;J52),0,ROUND(L58*(L59/L60-1),0))</f>
        <v>#DIV/0!</v>
      </c>
      <c r="O61" s="2428" t="s">
        <v>2386</v>
      </c>
      <c r="P61" s="2426" t="s">
        <v>2395</v>
      </c>
      <c r="Q61" s="2429">
        <f>L53</f>
        <v>0</v>
      </c>
      <c r="R61" s="2430"/>
    </row>
    <row r="62" spans="1:18" s="2062" customFormat="1" ht="20.25" thickBot="1">
      <c r="A62" s="2099"/>
      <c r="B62" s="2100"/>
      <c r="C62" s="2100"/>
      <c r="K62" s="2089"/>
      <c r="O62" s="2428" t="s">
        <v>2388</v>
      </c>
      <c r="P62" s="2426" t="s">
        <v>2396</v>
      </c>
      <c r="Q62" s="2427">
        <f ca="1">L59</f>
        <v>0</v>
      </c>
      <c r="R62" s="2430" t="s">
        <v>2397</v>
      </c>
    </row>
    <row r="63" spans="1:18" s="2062" customFormat="1" ht="20.25" thickBot="1">
      <c r="A63" s="2099"/>
      <c r="B63" s="2100"/>
      <c r="C63" s="2100"/>
      <c r="I63" s="2412" t="s">
        <v>2369</v>
      </c>
      <c r="J63" s="2413" t="s">
        <v>2370</v>
      </c>
      <c r="K63" s="2413" t="s">
        <v>2371</v>
      </c>
      <c r="L63" s="2413" t="s">
        <v>2352</v>
      </c>
      <c r="M63" s="3136" t="s">
        <v>2948</v>
      </c>
      <c r="O63" s="2428" t="s">
        <v>2390</v>
      </c>
      <c r="P63" s="2426" t="s">
        <v>2398</v>
      </c>
      <c r="Q63" s="2427">
        <f ca="1">L60</f>
        <v>0</v>
      </c>
      <c r="R63" s="2430" t="s">
        <v>2399</v>
      </c>
    </row>
    <row r="64" spans="1:18" s="2062" customFormat="1" ht="15.75" thickBot="1">
      <c r="A64" s="2099"/>
      <c r="B64" s="2100"/>
      <c r="C64" s="2100"/>
      <c r="I64" s="2412" t="s">
        <v>2372</v>
      </c>
      <c r="J64" s="2413">
        <v>70</v>
      </c>
      <c r="K64" s="2413">
        <v>50</v>
      </c>
      <c r="L64" s="2413">
        <v>80</v>
      </c>
      <c r="M64" s="3137">
        <v>0.02</v>
      </c>
      <c r="O64" s="2425" t="s">
        <v>2393</v>
      </c>
      <c r="P64" s="2426" t="s">
        <v>2410</v>
      </c>
      <c r="Q64" s="2427" t="e">
        <f ca="1">Q58+Q59</f>
        <v>#DIV/0!</v>
      </c>
      <c r="R64" s="2430" t="s">
        <v>2394</v>
      </c>
    </row>
    <row r="65" spans="1:18" s="2062" customFormat="1" ht="16.5" thickBot="1">
      <c r="A65" s="2099"/>
      <c r="B65" s="2100"/>
      <c r="C65" s="2100"/>
      <c r="I65" s="2412" t="s">
        <v>2373</v>
      </c>
      <c r="J65" s="2413">
        <v>50</v>
      </c>
      <c r="K65" s="2413">
        <v>35</v>
      </c>
      <c r="L65" s="2413">
        <v>60</v>
      </c>
      <c r="M65" s="3138">
        <v>0</v>
      </c>
      <c r="O65" s="2431" t="s">
        <v>2417</v>
      </c>
      <c r="P65" s="1596"/>
      <c r="Q65" s="1608"/>
      <c r="R65" s="1596"/>
    </row>
    <row r="66" spans="1:18" s="2062" customFormat="1" ht="15.75" thickBot="1">
      <c r="A66" s="2099"/>
      <c r="B66" s="2100"/>
      <c r="C66" s="2100"/>
      <c r="I66" s="2412" t="s">
        <v>2374</v>
      </c>
      <c r="J66" s="2413">
        <v>40</v>
      </c>
      <c r="K66" s="2413">
        <v>30</v>
      </c>
      <c r="L66" s="2413">
        <v>50</v>
      </c>
      <c r="M66" s="3137">
        <v>0.02</v>
      </c>
      <c r="O66" s="2422" t="s">
        <v>2377</v>
      </c>
      <c r="P66" s="2423" t="s">
        <v>2378</v>
      </c>
      <c r="Q66" s="2424" t="s">
        <v>2379</v>
      </c>
      <c r="R66" s="2423" t="s">
        <v>2380</v>
      </c>
    </row>
    <row r="67" spans="1:18" s="2062" customFormat="1" ht="15.75" thickBot="1">
      <c r="A67" s="2099"/>
      <c r="B67" s="2100"/>
      <c r="C67" s="2100"/>
      <c r="K67" s="2089"/>
      <c r="O67" s="2425" t="s">
        <v>2381</v>
      </c>
      <c r="P67" s="2426" t="s">
        <v>2407</v>
      </c>
      <c r="Q67" s="2427">
        <f ca="1">C41+J31</f>
        <v>0</v>
      </c>
      <c r="R67" s="2426" t="s">
        <v>2382</v>
      </c>
    </row>
    <row r="68" spans="1:18" s="2062" customFormat="1" ht="20.25" thickBot="1">
      <c r="A68" s="2099"/>
      <c r="B68" s="2100"/>
      <c r="C68" s="2100"/>
      <c r="K68" s="2089"/>
      <c r="O68" s="2425" t="s">
        <v>2383</v>
      </c>
      <c r="P68" s="2426" t="s">
        <v>2414</v>
      </c>
      <c r="Q68" s="2427" t="e">
        <f ca="1">L61</f>
        <v>#DIV/0!</v>
      </c>
      <c r="R68" s="2430" t="s">
        <v>2416</v>
      </c>
    </row>
    <row r="69" spans="1:18" s="2062" customFormat="1" ht="21.75" thickBot="1">
      <c r="A69" s="2099"/>
      <c r="B69" s="2100"/>
      <c r="C69" s="2100"/>
      <c r="K69" s="2089"/>
      <c r="O69" s="2428" t="s">
        <v>2385</v>
      </c>
      <c r="P69" s="2426" t="s">
        <v>2415</v>
      </c>
      <c r="Q69" s="2432">
        <f ca="1">L52</f>
        <v>0</v>
      </c>
      <c r="R69" s="2433" t="s">
        <v>2418</v>
      </c>
    </row>
    <row r="70" spans="1:18" s="2062" customFormat="1" ht="20.25" thickBot="1">
      <c r="A70" s="2099"/>
      <c r="B70" s="2100"/>
      <c r="C70" s="2100"/>
      <c r="K70" s="2089"/>
      <c r="O70" s="2428" t="s">
        <v>2386</v>
      </c>
      <c r="P70" s="2434" t="s">
        <v>2400</v>
      </c>
      <c r="Q70" s="2427">
        <f ca="1">ROUND(Q71-Q72*Q73,0)</f>
        <v>0</v>
      </c>
      <c r="R70" s="2430"/>
    </row>
    <row r="71" spans="1:18" s="2062" customFormat="1" ht="15.75" thickBot="1">
      <c r="A71" s="2099"/>
      <c r="B71" s="2100"/>
      <c r="C71" s="2100"/>
      <c r="K71" s="2089"/>
      <c r="O71" s="2428" t="s">
        <v>2401</v>
      </c>
      <c r="P71" s="2434" t="s">
        <v>2402</v>
      </c>
      <c r="Q71" s="2427">
        <f ca="1">C42</f>
        <v>0</v>
      </c>
      <c r="R71" s="2426" t="s">
        <v>2382</v>
      </c>
    </row>
    <row r="72" spans="1:18" s="2062" customFormat="1" ht="15.75" thickBot="1">
      <c r="A72" s="2099"/>
      <c r="B72" s="2100"/>
      <c r="C72" s="2100"/>
      <c r="K72" s="2089"/>
      <c r="O72" s="2428" t="s">
        <v>2403</v>
      </c>
      <c r="P72" s="2434" t="s">
        <v>2404</v>
      </c>
      <c r="Q72" s="2427">
        <f ca="1">C15</f>
        <v>0</v>
      </c>
      <c r="R72" s="2426" t="s">
        <v>2382</v>
      </c>
    </row>
    <row r="73" spans="1:18" s="2062" customFormat="1" ht="15.75" thickBot="1">
      <c r="A73" s="2099"/>
      <c r="B73" s="2100"/>
      <c r="C73" s="2100"/>
      <c r="K73" s="2089"/>
      <c r="O73" s="2428" t="s">
        <v>2405</v>
      </c>
      <c r="P73" s="2434" t="s">
        <v>2406</v>
      </c>
      <c r="Q73" s="2429">
        <f ca="1">F43</f>
        <v>0</v>
      </c>
      <c r="R73" s="2430"/>
    </row>
    <row r="74" spans="1:18" s="2062" customFormat="1" ht="15.75" thickBot="1">
      <c r="A74" s="2099"/>
      <c r="B74" s="2100"/>
      <c r="C74" s="2100"/>
      <c r="K74" s="2089"/>
      <c r="O74" s="2428" t="s">
        <v>2388</v>
      </c>
      <c r="P74" s="2426" t="s">
        <v>2395</v>
      </c>
      <c r="Q74" s="2429">
        <f>L53</f>
        <v>0</v>
      </c>
      <c r="R74" s="2430"/>
    </row>
    <row r="75" spans="1:18" s="2062" customFormat="1" ht="20.25" thickBot="1">
      <c r="A75" s="2099"/>
      <c r="B75" s="2100"/>
      <c r="C75" s="2100"/>
      <c r="K75" s="2089"/>
      <c r="O75" s="2428" t="s">
        <v>2390</v>
      </c>
      <c r="P75" s="2426" t="s">
        <v>2396</v>
      </c>
      <c r="Q75" s="2427">
        <f ca="1">L59</f>
        <v>0</v>
      </c>
      <c r="R75" s="2430" t="s">
        <v>2397</v>
      </c>
    </row>
    <row r="76" spans="1:18" s="2062" customFormat="1" ht="20.25" thickBot="1">
      <c r="A76" s="2099"/>
      <c r="B76" s="2100"/>
      <c r="C76" s="2100"/>
      <c r="K76" s="2089"/>
      <c r="O76" s="2428" t="s">
        <v>2419</v>
      </c>
      <c r="P76" s="2426" t="s">
        <v>2398</v>
      </c>
      <c r="Q76" s="2427">
        <f ca="1">L60</f>
        <v>0</v>
      </c>
      <c r="R76" s="2430" t="s">
        <v>2399</v>
      </c>
    </row>
    <row r="77" spans="1:18" s="2062" customFormat="1" ht="15.75" thickBot="1">
      <c r="A77" s="2099"/>
      <c r="B77" s="2100"/>
      <c r="C77" s="2100"/>
      <c r="K77" s="2089"/>
      <c r="O77" s="2425" t="s">
        <v>2393</v>
      </c>
      <c r="P77" s="2426" t="s">
        <v>2410</v>
      </c>
      <c r="Q77" s="2427" t="e">
        <f ca="1">Q67+Q68</f>
        <v>#DIV/0!</v>
      </c>
      <c r="R77" s="2430" t="s">
        <v>2394</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6" sqref="I6:L6"/>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1" customFormat="1">
      <c r="B1" s="3448" t="s">
        <v>2580</v>
      </c>
      <c r="C1" s="3448"/>
      <c r="D1" s="3448"/>
      <c r="E1" s="3448"/>
      <c r="F1" s="3448"/>
      <c r="G1" s="3447" t="s">
        <v>2581</v>
      </c>
      <c r="H1" s="3447"/>
      <c r="I1" s="3447"/>
      <c r="J1" s="3447"/>
      <c r="K1" s="3447"/>
      <c r="L1" s="3447"/>
      <c r="N1" s="3447" t="s">
        <v>2582</v>
      </c>
      <c r="O1" s="3447"/>
      <c r="P1" s="3447"/>
      <c r="Q1" s="3447"/>
      <c r="R1" s="2682"/>
      <c r="S1" s="3447" t="s">
        <v>2583</v>
      </c>
      <c r="T1" s="3447"/>
      <c r="U1" s="3447"/>
      <c r="V1" s="3447"/>
      <c r="X1" s="3446" t="s">
        <v>2645</v>
      </c>
      <c r="Y1" s="3447"/>
      <c r="Z1" s="3447"/>
      <c r="AA1" s="3447"/>
      <c r="AB1" s="3447"/>
      <c r="AD1" s="3446" t="s">
        <v>2650</v>
      </c>
      <c r="AE1" s="3447"/>
      <c r="AF1" s="3447"/>
      <c r="AG1" s="3447"/>
      <c r="AH1" s="3447"/>
    </row>
    <row r="2" spans="1:34" s="2785" customFormat="1" ht="14.25" thickBot="1">
      <c r="B2" s="2795" t="s">
        <v>2584</v>
      </c>
      <c r="C2" s="2795" t="s">
        <v>2648</v>
      </c>
      <c r="D2" s="2786" t="s">
        <v>1646</v>
      </c>
      <c r="E2" s="2786" t="s">
        <v>1953</v>
      </c>
      <c r="F2" s="2795" t="s">
        <v>2649</v>
      </c>
      <c r="G2" s="2789"/>
      <c r="H2" s="2788"/>
      <c r="I2" s="2795" t="s">
        <v>2963</v>
      </c>
      <c r="J2" s="2786" t="s">
        <v>2965</v>
      </c>
      <c r="K2" s="2786" t="s">
        <v>2966</v>
      </c>
      <c r="L2" s="2795" t="s">
        <v>2967</v>
      </c>
      <c r="N2" s="2795" t="s">
        <v>2584</v>
      </c>
      <c r="O2" s="2786" t="s">
        <v>2964</v>
      </c>
      <c r="P2" s="2786" t="s">
        <v>1953</v>
      </c>
      <c r="Q2" s="2795" t="s">
        <v>2649</v>
      </c>
      <c r="R2" s="2787"/>
      <c r="S2" s="2795" t="s">
        <v>2584</v>
      </c>
      <c r="T2" s="2786" t="s">
        <v>2964</v>
      </c>
      <c r="U2" s="2786" t="s">
        <v>1953</v>
      </c>
      <c r="V2" s="2795" t="s">
        <v>2649</v>
      </c>
      <c r="X2" s="2795" t="s">
        <v>2584</v>
      </c>
      <c r="Y2" s="2795" t="s">
        <v>2648</v>
      </c>
      <c r="Z2" s="2786" t="s">
        <v>1646</v>
      </c>
      <c r="AA2" s="2786" t="s">
        <v>1953</v>
      </c>
      <c r="AB2" s="2795" t="s">
        <v>2649</v>
      </c>
      <c r="AD2" s="2795" t="s">
        <v>2584</v>
      </c>
      <c r="AE2" s="2795" t="s">
        <v>2648</v>
      </c>
      <c r="AF2" s="2786" t="s">
        <v>1646</v>
      </c>
      <c r="AG2" s="2786" t="s">
        <v>1953</v>
      </c>
      <c r="AH2" s="2795" t="s">
        <v>2649</v>
      </c>
    </row>
    <row r="3" spans="1:34" s="2778" customFormat="1" ht="15" thickBot="1">
      <c r="B3" s="2779"/>
      <c r="C3" s="2779"/>
      <c r="D3" s="2780"/>
      <c r="E3" s="2780"/>
      <c r="F3" s="2779"/>
      <c r="G3" s="2784"/>
      <c r="H3" s="2781"/>
      <c r="I3" s="2781"/>
      <c r="J3" s="2781"/>
      <c r="K3" s="2781"/>
      <c r="L3" s="2781"/>
      <c r="N3" s="2784"/>
      <c r="O3" s="2782"/>
      <c r="P3" s="2782"/>
      <c r="Q3" s="2782"/>
      <c r="R3" s="2782"/>
      <c r="S3" s="2784"/>
      <c r="T3" s="2782"/>
      <c r="U3" s="2782"/>
      <c r="V3" s="2782"/>
      <c r="X3" s="2783">
        <f>ROUND(SUMPRODUCT(PRODUCT(1+N3:N$18)),4)</f>
        <v>1.3963000000000001</v>
      </c>
      <c r="Y3" s="2783">
        <f>ROUND(SUMPRODUCT(PRODUCT(1+O3:O$18)),4)</f>
        <v>1.2401</v>
      </c>
      <c r="Z3" s="2783">
        <f t="shared" ref="Z3:Z16" si="0">Y3</f>
        <v>1.2401</v>
      </c>
      <c r="AA3" s="2783">
        <f>ROUND(SUMPRODUCT(PRODUCT(1+P3:P$18)),4)</f>
        <v>1.4508000000000001</v>
      </c>
      <c r="AB3" s="2783">
        <f>ROUND(SUMPRODUCT(PRODUCT(1+Q3:Q$18)),4)</f>
        <v>1.2094</v>
      </c>
      <c r="AD3" s="2703">
        <f>ROUND(AVERAGE(I3:I$19)/100,4)</f>
        <v>2.46E-2</v>
      </c>
      <c r="AE3" s="2703">
        <f>ROUND(AVERAGE(J3:J$19)/100,4)</f>
        <v>1.6E-2</v>
      </c>
      <c r="AF3" s="2703">
        <f t="shared" ref="AF3:AF17" si="1">AE3</f>
        <v>1.6E-2</v>
      </c>
      <c r="AG3" s="2703">
        <f>ROUND(AVERAGE(K3:K$19)/100,4)</f>
        <v>2.75E-2</v>
      </c>
      <c r="AH3" s="2703">
        <f>ROUND(AVERAGE(L3:L$19)/100,4)</f>
        <v>1.37E-2</v>
      </c>
    </row>
    <row r="4" spans="1:34" s="2681" customFormat="1">
      <c r="A4" s="2683" t="s">
        <v>2585</v>
      </c>
      <c r="B4" s="2684"/>
      <c r="C4" s="2684"/>
      <c r="D4" s="2684"/>
      <c r="E4" s="2684"/>
      <c r="F4" s="2684"/>
      <c r="G4" s="3445">
        <v>2017</v>
      </c>
      <c r="H4" s="2685">
        <v>4</v>
      </c>
      <c r="I4" s="2685"/>
      <c r="J4" s="2685"/>
      <c r="K4" s="2685"/>
      <c r="L4" s="2686"/>
      <c r="N4" s="2687"/>
      <c r="O4" s="2682"/>
      <c r="P4" s="2682"/>
      <c r="Q4" s="2682"/>
      <c r="R4" s="2682"/>
      <c r="S4" s="2687"/>
      <c r="T4" s="2682"/>
      <c r="U4" s="2682"/>
      <c r="V4" s="2682"/>
      <c r="X4" s="2783">
        <f>ROUND(SUMPRODUCT(PRODUCT(1+N4:N$18)),4)</f>
        <v>1.3963000000000001</v>
      </c>
      <c r="Y4" s="2783">
        <f>ROUND(SUMPRODUCT(PRODUCT(1+O4:O$18)),4)</f>
        <v>1.2401</v>
      </c>
      <c r="Z4" s="2783">
        <f t="shared" si="0"/>
        <v>1.2401</v>
      </c>
      <c r="AA4" s="2783">
        <f>ROUND(SUMPRODUCT(PRODUCT(1+P4:P$18)),4)</f>
        <v>1.4508000000000001</v>
      </c>
      <c r="AB4" s="2783">
        <f>ROUND(SUMPRODUCT(PRODUCT(1+Q4:Q$18)),4)</f>
        <v>1.2094</v>
      </c>
      <c r="AD4" s="2703">
        <f>ROUND(AVERAGE(I4:I$19)/100,4)</f>
        <v>2.46E-2</v>
      </c>
      <c r="AE4" s="2703">
        <f>ROUND(AVERAGE(J4:J$19)/100,4)</f>
        <v>1.6E-2</v>
      </c>
      <c r="AF4" s="2703">
        <f t="shared" si="1"/>
        <v>1.6E-2</v>
      </c>
      <c r="AG4" s="2703">
        <f>ROUND(AVERAGE(K4:K$19)/100,4)</f>
        <v>2.75E-2</v>
      </c>
      <c r="AH4" s="2703">
        <f>ROUND(AVERAGE(L4:L$19)/100,4)</f>
        <v>1.37E-2</v>
      </c>
    </row>
    <row r="5" spans="1:34" s="3151" customFormat="1">
      <c r="A5" s="3149" t="s">
        <v>2586</v>
      </c>
      <c r="B5" s="2826">
        <f t="shared" ref="B5:C7" si="2">B6*(1+N5)</f>
        <v>429.62688667359998</v>
      </c>
      <c r="C5" s="2826">
        <f t="shared" si="2"/>
        <v>318.97763788800006</v>
      </c>
      <c r="D5" s="2826">
        <f>C5</f>
        <v>318.97763788800006</v>
      </c>
      <c r="E5" s="2826">
        <f t="shared" ref="E5:F7" si="3">E6*(1+P5)</f>
        <v>613.03761713879999</v>
      </c>
      <c r="F5" s="2826">
        <f t="shared" si="3"/>
        <v>278.506175276448</v>
      </c>
      <c r="G5" s="3443"/>
      <c r="H5" s="3150">
        <v>3</v>
      </c>
      <c r="I5" s="2790">
        <f>ROUND(AVERAGE(I6:I19),2)</f>
        <v>2.46</v>
      </c>
      <c r="J5" s="2790">
        <f>ROUND(AVERAGE(J6:J19),2)</f>
        <v>1.6</v>
      </c>
      <c r="K5" s="2790">
        <f>ROUND(AVERAGE(K6:K19),2)</f>
        <v>2.75</v>
      </c>
      <c r="L5" s="2790">
        <f>ROUND(AVERAGE(L6:L19),2)</f>
        <v>1.37</v>
      </c>
      <c r="N5" s="2792">
        <f>I5/100</f>
        <v>2.46E-2</v>
      </c>
      <c r="O5" s="2792">
        <f t="shared" ref="O5:O6" si="4">J5/100</f>
        <v>1.6E-2</v>
      </c>
      <c r="P5" s="2792">
        <f t="shared" ref="P5:P6" si="5">K5/100</f>
        <v>2.75E-2</v>
      </c>
      <c r="Q5" s="2792">
        <f t="shared" ref="Q5:Q6" si="6">L5/100</f>
        <v>1.37E-2</v>
      </c>
      <c r="R5" s="3152"/>
      <c r="S5" s="3153"/>
      <c r="T5" s="3152"/>
      <c r="U5" s="3152"/>
      <c r="V5" s="3152"/>
      <c r="W5" s="2793" t="s">
        <v>2646</v>
      </c>
      <c r="X5" s="3154">
        <f>ROUND(SUMPRODUCT(PRODUCT(1+N5:N$18)),4)</f>
        <v>1.3963000000000001</v>
      </c>
      <c r="Y5" s="3154">
        <f>ROUND(SUMPRODUCT(PRODUCT(1+O5:O$18)),4)</f>
        <v>1.2401</v>
      </c>
      <c r="Z5" s="3154">
        <f t="shared" si="0"/>
        <v>1.2401</v>
      </c>
      <c r="AA5" s="3154">
        <f>ROUND(SUMPRODUCT(PRODUCT(1+P5:P$18)),4)</f>
        <v>1.4508000000000001</v>
      </c>
      <c r="AB5" s="3154">
        <f>ROUND(SUMPRODUCT(PRODUCT(1+Q5:Q$18)),4)</f>
        <v>1.2094</v>
      </c>
      <c r="AD5" s="3155">
        <f>ROUND(AVERAGE(I5:I$19)/100,4)</f>
        <v>2.46E-2</v>
      </c>
      <c r="AE5" s="3155">
        <f>ROUND(AVERAGE(J5:J$19)/100,4)</f>
        <v>1.6E-2</v>
      </c>
      <c r="AF5" s="3155">
        <f t="shared" si="1"/>
        <v>1.6E-2</v>
      </c>
      <c r="AG5" s="3155">
        <f>ROUND(AVERAGE(K5:K$19)/100,4)</f>
        <v>2.75E-2</v>
      </c>
      <c r="AH5" s="3155">
        <f>ROUND(AVERAGE(L5:L$19)/100,4)</f>
        <v>1.37E-2</v>
      </c>
    </row>
    <row r="6" spans="1:34" s="2681" customFormat="1">
      <c r="A6" s="2683" t="s">
        <v>2587</v>
      </c>
      <c r="B6" s="2698">
        <f t="shared" si="2"/>
        <v>419.31181600000002</v>
      </c>
      <c r="C6" s="2698">
        <f t="shared" si="2"/>
        <v>313.95436800000004</v>
      </c>
      <c r="D6" s="2698">
        <f>C6</f>
        <v>313.95436800000004</v>
      </c>
      <c r="E6" s="2698">
        <f t="shared" si="3"/>
        <v>596.63028431999999</v>
      </c>
      <c r="F6" s="2698">
        <f t="shared" si="3"/>
        <v>274.74220703999998</v>
      </c>
      <c r="G6" s="3443"/>
      <c r="H6" s="2689">
        <v>2</v>
      </c>
      <c r="I6" s="2689">
        <v>3.4</v>
      </c>
      <c r="J6" s="2689">
        <v>2</v>
      </c>
      <c r="K6" s="2689">
        <v>3.82</v>
      </c>
      <c r="L6" s="2700">
        <v>1.68</v>
      </c>
      <c r="N6" s="2693">
        <f>I6/100</f>
        <v>3.4000000000000002E-2</v>
      </c>
      <c r="O6" s="2694">
        <f t="shared" si="4"/>
        <v>0.02</v>
      </c>
      <c r="P6" s="2694">
        <f t="shared" si="5"/>
        <v>3.8199999999999998E-2</v>
      </c>
      <c r="Q6" s="2694">
        <f t="shared" si="6"/>
        <v>1.6799999999999999E-2</v>
      </c>
      <c r="R6" s="2682"/>
      <c r="S6" s="2687"/>
      <c r="T6" s="2682"/>
      <c r="U6" s="2682"/>
      <c r="V6" s="2682"/>
      <c r="X6" s="2783">
        <f>ROUND(SUMPRODUCT(PRODUCT(1+N6:N$18)),4)</f>
        <v>1.3628</v>
      </c>
      <c r="Y6" s="2783">
        <f>ROUND(SUMPRODUCT(PRODUCT(1+O6:O$18)),4)</f>
        <v>1.2205999999999999</v>
      </c>
      <c r="Z6" s="2783">
        <f t="shared" si="0"/>
        <v>1.2205999999999999</v>
      </c>
      <c r="AA6" s="2783">
        <f>ROUND(SUMPRODUCT(PRODUCT(1+P6:P$18)),4)</f>
        <v>1.4118999999999999</v>
      </c>
      <c r="AB6" s="2783">
        <f>ROUND(SUMPRODUCT(PRODUCT(1+Q6:Q$18)),4)</f>
        <v>1.1930000000000001</v>
      </c>
      <c r="AD6" s="2703">
        <f>ROUND(AVERAGE(I6:I$19)/100,4)</f>
        <v>2.46E-2</v>
      </c>
      <c r="AE6" s="2703">
        <f>ROUND(AVERAGE(J6:J$19)/100,4)</f>
        <v>1.6E-2</v>
      </c>
      <c r="AF6" s="2703">
        <f t="shared" si="1"/>
        <v>1.6E-2</v>
      </c>
      <c r="AG6" s="2703">
        <f>ROUND(AVERAGE(K6:K$19)/100,4)</f>
        <v>2.75E-2</v>
      </c>
      <c r="AH6" s="2703">
        <f>ROUND(AVERAGE(L6:L$19)/100,4)</f>
        <v>1.37E-2</v>
      </c>
    </row>
    <row r="7" spans="1:34" s="2791" customFormat="1" ht="13.5" thickBot="1">
      <c r="A7" s="2683" t="s">
        <v>2588</v>
      </c>
      <c r="B7" s="2698">
        <f t="shared" si="2"/>
        <v>405.524</v>
      </c>
      <c r="C7" s="2698">
        <f t="shared" si="2"/>
        <v>307.79840000000002</v>
      </c>
      <c r="D7" s="2698">
        <f>C7</f>
        <v>307.79840000000002</v>
      </c>
      <c r="E7" s="2698">
        <f t="shared" si="3"/>
        <v>574.67759999999998</v>
      </c>
      <c r="F7" s="2698">
        <f t="shared" si="3"/>
        <v>270.20280000000002</v>
      </c>
      <c r="G7" s="3444"/>
      <c r="H7" s="2688">
        <v>1</v>
      </c>
      <c r="I7" s="2688">
        <v>3.45</v>
      </c>
      <c r="J7" s="2688">
        <v>1.92</v>
      </c>
      <c r="K7" s="2688">
        <v>3.92</v>
      </c>
      <c r="L7" s="2699">
        <v>1.58</v>
      </c>
      <c r="M7" s="2692"/>
      <c r="N7" s="2693">
        <f>I7/100</f>
        <v>3.4500000000000003E-2</v>
      </c>
      <c r="O7" s="2694">
        <f t="shared" ref="O7" si="7">J7/100</f>
        <v>1.9199999999999998E-2</v>
      </c>
      <c r="P7" s="2694">
        <f t="shared" ref="P7" si="8">K7/100</f>
        <v>3.9199999999999999E-2</v>
      </c>
      <c r="Q7" s="2694">
        <f t="shared" ref="Q7" si="9">L7/100</f>
        <v>1.5800000000000002E-2</v>
      </c>
      <c r="R7" s="2695"/>
      <c r="S7" s="2701">
        <f>B7/B8-1</f>
        <v>3.4499999999999975E-2</v>
      </c>
      <c r="T7" s="2702">
        <f>C7/C8-1</f>
        <v>1.9200000000000106E-2</v>
      </c>
      <c r="U7" s="2702">
        <f>E7/E8-1</f>
        <v>3.9199999999999902E-2</v>
      </c>
      <c r="V7" s="2702">
        <f>F7/F8-1</f>
        <v>1.5800000000000036E-2</v>
      </c>
      <c r="W7" s="2692"/>
      <c r="X7" s="2783">
        <f>ROUND(SUMPRODUCT(PRODUCT(1+N7:N$18)),4)</f>
        <v>1.3180000000000001</v>
      </c>
      <c r="Y7" s="2783">
        <f>ROUND(SUMPRODUCT(PRODUCT(1+O7:O$18)),4)</f>
        <v>1.1966000000000001</v>
      </c>
      <c r="Z7" s="2783">
        <f t="shared" si="0"/>
        <v>1.1966000000000001</v>
      </c>
      <c r="AA7" s="2783">
        <f>ROUND(SUMPRODUCT(PRODUCT(1+P7:P$18)),4)</f>
        <v>1.36</v>
      </c>
      <c r="AB7" s="2783">
        <f>ROUND(SUMPRODUCT(PRODUCT(1+Q7:Q$18)),4)</f>
        <v>1.1733</v>
      </c>
      <c r="AC7" s="2692"/>
      <c r="AD7" s="2703">
        <f>ROUND(AVERAGE(I7:I$19)/100,4)</f>
        <v>2.3900000000000001E-2</v>
      </c>
      <c r="AE7" s="2703">
        <f>ROUND(AVERAGE(J7:J$19)/100,4)</f>
        <v>1.5699999999999999E-2</v>
      </c>
      <c r="AF7" s="2703">
        <f t="shared" si="1"/>
        <v>1.5699999999999999E-2</v>
      </c>
      <c r="AG7" s="2703">
        <f>ROUND(AVERAGE(K7:K$19)/100,4)</f>
        <v>2.6599999999999999E-2</v>
      </c>
      <c r="AH7" s="2703">
        <f>ROUND(AVERAGE(L7:L$19)/100,4)</f>
        <v>1.34E-2</v>
      </c>
    </row>
    <row r="8" spans="1:34">
      <c r="A8" s="2683" t="s">
        <v>972</v>
      </c>
      <c r="B8" s="2690">
        <v>392</v>
      </c>
      <c r="C8" s="2690">
        <v>302</v>
      </c>
      <c r="D8" s="2690">
        <f>C8</f>
        <v>302</v>
      </c>
      <c r="E8" s="2690">
        <v>553</v>
      </c>
      <c r="F8" s="2691">
        <v>266</v>
      </c>
      <c r="G8" s="3445">
        <v>2016</v>
      </c>
      <c r="H8" s="2685">
        <v>4</v>
      </c>
      <c r="I8" s="2685">
        <v>4.5599999999999996</v>
      </c>
      <c r="J8" s="2685">
        <v>2.15</v>
      </c>
      <c r="K8" s="2685">
        <v>5.32</v>
      </c>
      <c r="L8" s="2686">
        <v>1.57</v>
      </c>
      <c r="N8" s="2693">
        <f>I8/100</f>
        <v>4.5599999999999995E-2</v>
      </c>
      <c r="O8" s="2694">
        <f t="shared" ref="O8:Q23" si="10">J8/100</f>
        <v>2.1499999999999998E-2</v>
      </c>
      <c r="P8" s="2694">
        <f t="shared" si="10"/>
        <v>5.3200000000000004E-2</v>
      </c>
      <c r="Q8" s="2694">
        <f t="shared" si="10"/>
        <v>1.5700000000000002E-2</v>
      </c>
      <c r="R8" s="2695"/>
      <c r="S8" s="2696"/>
      <c r="T8" s="2697"/>
      <c r="U8" s="2697"/>
      <c r="V8" s="2697"/>
      <c r="X8" s="2783">
        <f>ROUND(SUMPRODUCT(PRODUCT(1+N8:N$18)),4)</f>
        <v>1.274</v>
      </c>
      <c r="Y8" s="2783">
        <f>ROUND(SUMPRODUCT(PRODUCT(1+O8:O$18)),4)</f>
        <v>1.1740999999999999</v>
      </c>
      <c r="Z8" s="2783">
        <f t="shared" si="0"/>
        <v>1.1740999999999999</v>
      </c>
      <c r="AA8" s="2783">
        <f>ROUND(SUMPRODUCT(PRODUCT(1+P8:P$18)),4)</f>
        <v>1.3087</v>
      </c>
      <c r="AB8" s="2783">
        <f>ROUND(SUMPRODUCT(PRODUCT(1+Q8:Q$18)),4)</f>
        <v>1.1551</v>
      </c>
      <c r="AD8" s="2703">
        <f>ROUND(AVERAGE(I8:I$19)/100,4)</f>
        <v>2.3E-2</v>
      </c>
      <c r="AE8" s="2703">
        <f>ROUND(AVERAGE(J8:J$19)/100,4)</f>
        <v>1.55E-2</v>
      </c>
      <c r="AF8" s="2703">
        <f t="shared" si="1"/>
        <v>1.55E-2</v>
      </c>
      <c r="AG8" s="2703">
        <f>ROUND(AVERAGE(K8:K$19)/100,4)</f>
        <v>2.5600000000000001E-2</v>
      </c>
      <c r="AH8" s="2703">
        <f>ROUND(AVERAGE(L8:L$19)/100,4)</f>
        <v>1.32E-2</v>
      </c>
    </row>
    <row r="9" spans="1:34">
      <c r="A9" s="2683" t="s">
        <v>971</v>
      </c>
      <c r="B9" s="2698">
        <f t="shared" ref="B9:C11" si="11">B8/(1+N8)</f>
        <v>374.90436113236416</v>
      </c>
      <c r="C9" s="2698">
        <f t="shared" si="11"/>
        <v>295.64366128242779</v>
      </c>
      <c r="D9" s="2698">
        <f t="shared" ref="D9:D68" si="12">C9</f>
        <v>295.64366128242779</v>
      </c>
      <c r="E9" s="2698">
        <f t="shared" ref="E9:F11" si="13">E8/(1+P8)</f>
        <v>525.06646410938095</v>
      </c>
      <c r="F9" s="2698">
        <f t="shared" si="13"/>
        <v>261.88835286009646</v>
      </c>
      <c r="G9" s="3443"/>
      <c r="H9" s="2688">
        <v>3</v>
      </c>
      <c r="I9" s="2688">
        <v>4.12</v>
      </c>
      <c r="J9" s="2688">
        <v>2</v>
      </c>
      <c r="K9" s="2688">
        <v>4.79</v>
      </c>
      <c r="L9" s="2699">
        <v>1.97</v>
      </c>
      <c r="N9" s="2693">
        <f t="shared" ref="N9:Q43" si="14">I9/100</f>
        <v>4.1200000000000001E-2</v>
      </c>
      <c r="O9" s="2694">
        <f t="shared" si="10"/>
        <v>0.02</v>
      </c>
      <c r="P9" s="2694">
        <f t="shared" si="10"/>
        <v>4.7899999999999998E-2</v>
      </c>
      <c r="Q9" s="2694">
        <f t="shared" si="10"/>
        <v>1.9699999999999999E-2</v>
      </c>
      <c r="R9" s="2695"/>
      <c r="S9" s="2693"/>
      <c r="T9" s="2694"/>
      <c r="U9" s="2694"/>
      <c r="V9" s="2694"/>
      <c r="X9" s="2783">
        <f>ROUND(SUMPRODUCT(PRODUCT(1+N9:N$18)),4)</f>
        <v>1.2184999999999999</v>
      </c>
      <c r="Y9" s="2783">
        <f>ROUND(SUMPRODUCT(PRODUCT(1+O9:O$18)),4)</f>
        <v>1.1494</v>
      </c>
      <c r="Z9" s="2783">
        <f t="shared" si="0"/>
        <v>1.1494</v>
      </c>
      <c r="AA9" s="2783">
        <f>ROUND(SUMPRODUCT(PRODUCT(1+P9:P$18)),4)</f>
        <v>1.2425999999999999</v>
      </c>
      <c r="AB9" s="2783">
        <f>ROUND(SUMPRODUCT(PRODUCT(1+Q9:Q$18)),4)</f>
        <v>1.1372</v>
      </c>
      <c r="AD9" s="2703">
        <f>ROUND(AVERAGE(I9:I$19)/100,4)</f>
        <v>2.0899999999999998E-2</v>
      </c>
      <c r="AE9" s="2703">
        <f>ROUND(AVERAGE(J9:J$19)/100,4)</f>
        <v>1.49E-2</v>
      </c>
      <c r="AF9" s="2703">
        <f t="shared" si="1"/>
        <v>1.49E-2</v>
      </c>
      <c r="AG9" s="2703">
        <f>ROUND(AVERAGE(K9:K$19)/100,4)</f>
        <v>2.3099999999999999E-2</v>
      </c>
      <c r="AH9" s="2703">
        <f>ROUND(AVERAGE(L9:L$19)/100,4)</f>
        <v>1.2999999999999999E-2</v>
      </c>
    </row>
    <row r="10" spans="1:34">
      <c r="A10" s="2683" t="s">
        <v>961</v>
      </c>
      <c r="B10" s="2698">
        <f t="shared" si="11"/>
        <v>360.06949782209392</v>
      </c>
      <c r="C10" s="2698">
        <f t="shared" si="11"/>
        <v>289.84672674747821</v>
      </c>
      <c r="D10" s="2698">
        <f t="shared" si="12"/>
        <v>289.84672674747821</v>
      </c>
      <c r="E10" s="2698">
        <f t="shared" si="13"/>
        <v>501.06543001181495</v>
      </c>
      <c r="F10" s="2698">
        <f t="shared" si="13"/>
        <v>256.82882500744967</v>
      </c>
      <c r="G10" s="3443"/>
      <c r="H10" s="2689">
        <v>2</v>
      </c>
      <c r="I10" s="2689">
        <v>3.85</v>
      </c>
      <c r="J10" s="2689">
        <v>1.95</v>
      </c>
      <c r="K10" s="2689">
        <v>4.4800000000000004</v>
      </c>
      <c r="L10" s="2700">
        <v>1.41</v>
      </c>
      <c r="N10" s="2693">
        <f t="shared" si="14"/>
        <v>3.85E-2</v>
      </c>
      <c r="O10" s="2694">
        <f t="shared" si="10"/>
        <v>1.95E-2</v>
      </c>
      <c r="P10" s="2694">
        <f t="shared" si="10"/>
        <v>4.4800000000000006E-2</v>
      </c>
      <c r="Q10" s="2694">
        <f t="shared" si="10"/>
        <v>1.41E-2</v>
      </c>
      <c r="R10" s="2695"/>
      <c r="S10" s="2693"/>
      <c r="T10" s="2694"/>
      <c r="U10" s="2694"/>
      <c r="V10" s="2694"/>
      <c r="X10" s="2783">
        <f>ROUND(SUMPRODUCT(PRODUCT(1+N10:N$18)),4)</f>
        <v>1.1702999999999999</v>
      </c>
      <c r="Y10" s="2783">
        <f>ROUND(SUMPRODUCT(PRODUCT(1+O10:O$18)),4)</f>
        <v>1.1269</v>
      </c>
      <c r="Z10" s="2783">
        <f t="shared" si="0"/>
        <v>1.1269</v>
      </c>
      <c r="AA10" s="2783">
        <f>ROUND(SUMPRODUCT(PRODUCT(1+P10:P$18)),4)</f>
        <v>1.1858</v>
      </c>
      <c r="AB10" s="2783">
        <f>ROUND(SUMPRODUCT(PRODUCT(1+Q10:Q$18)),4)</f>
        <v>1.1152</v>
      </c>
      <c r="AD10" s="2703">
        <f>ROUND(AVERAGE(I10:I$19)/100,4)</f>
        <v>1.89E-2</v>
      </c>
      <c r="AE10" s="2703">
        <f>ROUND(AVERAGE(J10:J$19)/100,4)</f>
        <v>1.44E-2</v>
      </c>
      <c r="AF10" s="2703">
        <f t="shared" si="1"/>
        <v>1.44E-2</v>
      </c>
      <c r="AG10" s="2703">
        <f>ROUND(AVERAGE(K10:K$19)/100,4)</f>
        <v>2.06E-2</v>
      </c>
      <c r="AH10" s="2703">
        <f>ROUND(AVERAGE(L10:L$19)/100,4)</f>
        <v>1.23E-2</v>
      </c>
    </row>
    <row r="11" spans="1:34" ht="13.5" thickBot="1">
      <c r="A11" s="2683" t="s">
        <v>970</v>
      </c>
      <c r="B11" s="2698">
        <f t="shared" si="11"/>
        <v>346.720748986128</v>
      </c>
      <c r="C11" s="2698">
        <f t="shared" si="11"/>
        <v>284.30282172386285</v>
      </c>
      <c r="D11" s="2698">
        <f t="shared" si="12"/>
        <v>284.30282172386285</v>
      </c>
      <c r="E11" s="2698">
        <f t="shared" si="13"/>
        <v>479.58023546306947</v>
      </c>
      <c r="F11" s="2698">
        <f t="shared" si="13"/>
        <v>253.25788877571213</v>
      </c>
      <c r="G11" s="3444"/>
      <c r="H11" s="2688">
        <v>1</v>
      </c>
      <c r="I11" s="2688">
        <v>4.09</v>
      </c>
      <c r="J11" s="2688">
        <v>2.93</v>
      </c>
      <c r="K11" s="2688">
        <v>4.54</v>
      </c>
      <c r="L11" s="2699">
        <v>1.48</v>
      </c>
      <c r="N11" s="2693">
        <f t="shared" si="14"/>
        <v>4.0899999999999999E-2</v>
      </c>
      <c r="O11" s="2694">
        <f t="shared" si="10"/>
        <v>2.9300000000000003E-2</v>
      </c>
      <c r="P11" s="2694">
        <f t="shared" si="10"/>
        <v>4.5400000000000003E-2</v>
      </c>
      <c r="Q11" s="2694">
        <f t="shared" si="10"/>
        <v>1.4800000000000001E-2</v>
      </c>
      <c r="R11" s="2695"/>
      <c r="S11" s="2701">
        <f>B11/B12-1</f>
        <v>4.1203450408792808E-2</v>
      </c>
      <c r="T11" s="2702">
        <f>C11/C12-1</f>
        <v>2.6363977342465095E-2</v>
      </c>
      <c r="U11" s="2702">
        <f>E11/E12-1</f>
        <v>4.4837114298626357E-2</v>
      </c>
      <c r="V11" s="2702">
        <f>F11/F12-1</f>
        <v>1.7099954922538574E-2</v>
      </c>
      <c r="X11" s="2783">
        <f>ROUND(SUMPRODUCT(PRODUCT(1+N11:N$18)),4)</f>
        <v>1.1269</v>
      </c>
      <c r="Y11" s="2783">
        <f>ROUND(SUMPRODUCT(PRODUCT(1+O11:O$18)),4)</f>
        <v>1.1052999999999999</v>
      </c>
      <c r="Z11" s="2783">
        <f t="shared" si="0"/>
        <v>1.1052999999999999</v>
      </c>
      <c r="AA11" s="2783">
        <f>ROUND(SUMPRODUCT(PRODUCT(1+P11:P$18)),4)</f>
        <v>1.1349</v>
      </c>
      <c r="AB11" s="2783">
        <f>ROUND(SUMPRODUCT(PRODUCT(1+Q11:Q$18)),4)</f>
        <v>1.0996999999999999</v>
      </c>
      <c r="AD11" s="2703">
        <f>ROUND(AVERAGE(I11:I$19)/100,4)</f>
        <v>1.67E-2</v>
      </c>
      <c r="AE11" s="2703">
        <f>ROUND(AVERAGE(J11:J$19)/100,4)</f>
        <v>1.38E-2</v>
      </c>
      <c r="AF11" s="2703">
        <f t="shared" si="1"/>
        <v>1.38E-2</v>
      </c>
      <c r="AG11" s="2703">
        <f>ROUND(AVERAGE(K11:K$19)/100,4)</f>
        <v>1.7899999999999999E-2</v>
      </c>
      <c r="AH11" s="2703">
        <f>ROUND(AVERAGE(L11:L$19)/100,4)</f>
        <v>1.21E-2</v>
      </c>
    </row>
    <row r="12" spans="1:34" ht="13.5" thickBot="1">
      <c r="A12" s="2683" t="s">
        <v>969</v>
      </c>
      <c r="B12" s="2690">
        <v>333</v>
      </c>
      <c r="C12" s="2690">
        <v>277</v>
      </c>
      <c r="D12" s="2690">
        <f t="shared" si="12"/>
        <v>277</v>
      </c>
      <c r="E12" s="2690">
        <v>459</v>
      </c>
      <c r="F12" s="2691">
        <v>249</v>
      </c>
      <c r="G12" s="3442">
        <v>2015</v>
      </c>
      <c r="H12" s="2704">
        <v>4</v>
      </c>
      <c r="I12" s="2704">
        <v>1.63</v>
      </c>
      <c r="J12" s="2704">
        <v>1.1100000000000001</v>
      </c>
      <c r="K12" s="2704">
        <v>1.77</v>
      </c>
      <c r="L12" s="2705">
        <v>1.89</v>
      </c>
      <c r="N12" s="2706">
        <f t="shared" si="14"/>
        <v>1.6299999999999999E-2</v>
      </c>
      <c r="O12" s="2707">
        <f t="shared" si="10"/>
        <v>1.11E-2</v>
      </c>
      <c r="P12" s="2707">
        <f t="shared" si="10"/>
        <v>1.77E-2</v>
      </c>
      <c r="Q12" s="2707">
        <f t="shared" si="10"/>
        <v>1.89E-2</v>
      </c>
      <c r="R12" s="2695"/>
      <c r="X12" s="2783">
        <f>ROUND(SUMPRODUCT(PRODUCT(1+N12:N$18)),4)</f>
        <v>1.0826</v>
      </c>
      <c r="Y12" s="2783">
        <f>ROUND(SUMPRODUCT(PRODUCT(1+O12:O$18)),4)</f>
        <v>1.0738000000000001</v>
      </c>
      <c r="Z12" s="2783">
        <f t="shared" si="0"/>
        <v>1.0738000000000001</v>
      </c>
      <c r="AA12" s="2783">
        <f>ROUND(SUMPRODUCT(PRODUCT(1+P12:P$18)),4)</f>
        <v>1.0855999999999999</v>
      </c>
      <c r="AB12" s="2783">
        <f>ROUND(SUMPRODUCT(PRODUCT(1+Q12:Q$18)),4)</f>
        <v>1.0837000000000001</v>
      </c>
      <c r="AD12" s="2703">
        <f>ROUND(AVERAGE(I12:I$19)/100,4)</f>
        <v>1.37E-2</v>
      </c>
      <c r="AE12" s="2703">
        <f>ROUND(AVERAGE(J12:J$19)/100,4)</f>
        <v>1.1900000000000001E-2</v>
      </c>
      <c r="AF12" s="2703">
        <f t="shared" si="1"/>
        <v>1.1900000000000001E-2</v>
      </c>
      <c r="AG12" s="2703">
        <f>ROUND(AVERAGE(K12:K$19)/100,4)</f>
        <v>1.4500000000000001E-2</v>
      </c>
      <c r="AH12" s="2703">
        <f>ROUND(AVERAGE(L12:L$19)/100,4)</f>
        <v>1.18E-2</v>
      </c>
    </row>
    <row r="13" spans="1:34">
      <c r="A13" s="2683" t="s">
        <v>968</v>
      </c>
      <c r="B13" s="2698">
        <f t="shared" ref="B13:C15" si="15">B12/(1+N12)</f>
        <v>327.65915576109415</v>
      </c>
      <c r="C13" s="2698">
        <f t="shared" si="15"/>
        <v>273.95905449510434</v>
      </c>
      <c r="D13" s="2698">
        <f t="shared" si="12"/>
        <v>273.95905449510434</v>
      </c>
      <c r="E13" s="2698">
        <f t="shared" ref="E13:F15" si="16">E12/(1+P12)</f>
        <v>451.01699911565294</v>
      </c>
      <c r="F13" s="2698">
        <f t="shared" si="16"/>
        <v>244.38119540681129</v>
      </c>
      <c r="G13" s="3443"/>
      <c r="H13" s="2709">
        <v>3</v>
      </c>
      <c r="I13" s="2709">
        <v>1.65</v>
      </c>
      <c r="J13" s="2709">
        <v>0.92</v>
      </c>
      <c r="K13" s="2709">
        <v>1.88</v>
      </c>
      <c r="L13" s="2710">
        <v>1.26</v>
      </c>
      <c r="N13" s="2693">
        <f t="shared" si="14"/>
        <v>1.6500000000000001E-2</v>
      </c>
      <c r="O13" s="2711">
        <f t="shared" si="10"/>
        <v>9.1999999999999998E-3</v>
      </c>
      <c r="P13" s="2711">
        <f t="shared" si="10"/>
        <v>1.8799999999999997E-2</v>
      </c>
      <c r="Q13" s="2711">
        <f t="shared" si="10"/>
        <v>1.26E-2</v>
      </c>
      <c r="R13" s="2695"/>
      <c r="S13" s="2693"/>
      <c r="T13" s="2694"/>
      <c r="U13" s="2694"/>
      <c r="V13" s="2694"/>
      <c r="X13" s="2783">
        <f>ROUND(SUMPRODUCT(PRODUCT(1+N13:N$18)),4)</f>
        <v>1.0651999999999999</v>
      </c>
      <c r="Y13" s="2783">
        <f>ROUND(SUMPRODUCT(PRODUCT(1+O13:O$18)),4)</f>
        <v>1.0621</v>
      </c>
      <c r="Z13" s="2783">
        <f t="shared" si="0"/>
        <v>1.0621</v>
      </c>
      <c r="AA13" s="2783">
        <f>ROUND(SUMPRODUCT(PRODUCT(1+P13:P$18)),4)</f>
        <v>1.0668</v>
      </c>
      <c r="AB13" s="2783">
        <f>ROUND(SUMPRODUCT(PRODUCT(1+Q13:Q$18)),4)</f>
        <v>1.0636000000000001</v>
      </c>
      <c r="AD13" s="2703">
        <f>ROUND(AVERAGE(I13:I$19)/100,4)</f>
        <v>1.3299999999999999E-2</v>
      </c>
      <c r="AE13" s="2703">
        <f>ROUND(AVERAGE(J13:J$19)/100,4)</f>
        <v>1.2E-2</v>
      </c>
      <c r="AF13" s="2703">
        <f t="shared" si="1"/>
        <v>1.2E-2</v>
      </c>
      <c r="AG13" s="2703">
        <f>ROUND(AVERAGE(K13:K$19)/100,4)</f>
        <v>1.4E-2</v>
      </c>
      <c r="AH13" s="2703">
        <f>ROUND(AVERAGE(L13:L$19)/100,4)</f>
        <v>1.0800000000000001E-2</v>
      </c>
    </row>
    <row r="14" spans="1:34">
      <c r="A14" s="2683" t="s">
        <v>967</v>
      </c>
      <c r="B14" s="2698">
        <f t="shared" si="15"/>
        <v>322.34053690220776</v>
      </c>
      <c r="C14" s="2698">
        <f t="shared" si="15"/>
        <v>271.46160770422546</v>
      </c>
      <c r="D14" s="2698">
        <f t="shared" si="12"/>
        <v>271.46160770422546</v>
      </c>
      <c r="E14" s="2698">
        <f t="shared" si="16"/>
        <v>442.69434542172456</v>
      </c>
      <c r="F14" s="2698">
        <f t="shared" si="16"/>
        <v>241.34030753190925</v>
      </c>
      <c r="G14" s="3443"/>
      <c r="H14" s="2689">
        <v>2</v>
      </c>
      <c r="I14" s="2689">
        <v>0.77</v>
      </c>
      <c r="J14" s="2689">
        <v>0.69</v>
      </c>
      <c r="K14" s="2689">
        <v>0.8</v>
      </c>
      <c r="L14" s="2700">
        <v>0.88</v>
      </c>
      <c r="N14" s="2693">
        <f t="shared" si="14"/>
        <v>7.7000000000000002E-3</v>
      </c>
      <c r="O14" s="2711">
        <f t="shared" si="10"/>
        <v>6.8999999999999999E-3</v>
      </c>
      <c r="P14" s="2711">
        <f t="shared" si="10"/>
        <v>8.0000000000000002E-3</v>
      </c>
      <c r="Q14" s="2711">
        <f t="shared" si="10"/>
        <v>8.8000000000000005E-3</v>
      </c>
      <c r="R14" s="2695"/>
      <c r="S14" s="2693"/>
      <c r="T14" s="2694"/>
      <c r="U14" s="2694"/>
      <c r="V14" s="2694"/>
      <c r="X14" s="2783">
        <f>ROUND(SUMPRODUCT(PRODUCT(1+N14:N$18)),4)</f>
        <v>1.048</v>
      </c>
      <c r="Y14" s="2783">
        <f>ROUND(SUMPRODUCT(PRODUCT(1+O14:O$18)),4)</f>
        <v>1.0524</v>
      </c>
      <c r="Z14" s="2783">
        <f t="shared" si="0"/>
        <v>1.0524</v>
      </c>
      <c r="AA14" s="2783">
        <f>ROUND(SUMPRODUCT(PRODUCT(1+P14:P$18)),4)</f>
        <v>1.0470999999999999</v>
      </c>
      <c r="AB14" s="2783">
        <f>ROUND(SUMPRODUCT(PRODUCT(1+Q14:Q$18)),4)</f>
        <v>1.0504</v>
      </c>
      <c r="AD14" s="2703">
        <f>ROUND(AVERAGE(I14:I$19)/100,4)</f>
        <v>1.2800000000000001E-2</v>
      </c>
      <c r="AE14" s="2703">
        <f>ROUND(AVERAGE(J14:J$19)/100,4)</f>
        <v>1.2500000000000001E-2</v>
      </c>
      <c r="AF14" s="2703">
        <f t="shared" si="1"/>
        <v>1.2500000000000001E-2</v>
      </c>
      <c r="AG14" s="2703">
        <f>ROUND(AVERAGE(K14:K$19)/100,4)</f>
        <v>1.32E-2</v>
      </c>
      <c r="AH14" s="2703">
        <f>ROUND(AVERAGE(L14:L$19)/100,4)</f>
        <v>1.0500000000000001E-2</v>
      </c>
    </row>
    <row r="15" spans="1:34">
      <c r="A15" s="2683" t="s">
        <v>966</v>
      </c>
      <c r="B15" s="2698">
        <f t="shared" si="15"/>
        <v>319.87748030386797</v>
      </c>
      <c r="C15" s="2698">
        <f t="shared" si="15"/>
        <v>269.60135833173649</v>
      </c>
      <c r="D15" s="2698">
        <f t="shared" si="12"/>
        <v>269.60135833173649</v>
      </c>
      <c r="E15" s="2698">
        <f t="shared" si="16"/>
        <v>439.18089823583784</v>
      </c>
      <c r="F15" s="2698">
        <f t="shared" si="16"/>
        <v>239.23503918706311</v>
      </c>
      <c r="G15" s="3444"/>
      <c r="H15" s="2688">
        <v>1</v>
      </c>
      <c r="I15" s="2688">
        <v>0.51</v>
      </c>
      <c r="J15" s="2688">
        <v>0.54</v>
      </c>
      <c r="K15" s="2688">
        <v>0.48</v>
      </c>
      <c r="L15" s="2699">
        <v>0.93</v>
      </c>
      <c r="N15" s="2701">
        <f t="shared" si="14"/>
        <v>5.1000000000000004E-3</v>
      </c>
      <c r="O15" s="2702">
        <f t="shared" si="10"/>
        <v>5.4000000000000003E-3</v>
      </c>
      <c r="P15" s="2702">
        <f t="shared" si="10"/>
        <v>4.7999999999999996E-3</v>
      </c>
      <c r="Q15" s="2702">
        <f t="shared" si="10"/>
        <v>9.300000000000001E-3</v>
      </c>
      <c r="R15" s="2695"/>
      <c r="S15" s="2701">
        <f>B15/B16-1</f>
        <v>5.9040261127922822E-3</v>
      </c>
      <c r="T15" s="2702">
        <f>C15/C16-1</f>
        <v>5.9752176557332781E-3</v>
      </c>
      <c r="U15" s="2702">
        <f>E15/E16-1</f>
        <v>4.9906138119859556E-3</v>
      </c>
      <c r="V15" s="2702">
        <f>F15/F16-1</f>
        <v>9.4305450930933787E-3</v>
      </c>
      <c r="X15" s="2783">
        <f>ROUND(SUMPRODUCT(PRODUCT(1+N15:N$18)),4)</f>
        <v>1.0399</v>
      </c>
      <c r="Y15" s="2783">
        <f>ROUND(SUMPRODUCT(PRODUCT(1+O15:O$18)),4)</f>
        <v>1.0451999999999999</v>
      </c>
      <c r="Z15" s="2783">
        <f t="shared" si="0"/>
        <v>1.0451999999999999</v>
      </c>
      <c r="AA15" s="2783">
        <f>ROUND(SUMPRODUCT(PRODUCT(1+P15:P$18)),4)</f>
        <v>1.0387999999999999</v>
      </c>
      <c r="AB15" s="2783">
        <f>ROUND(SUMPRODUCT(PRODUCT(1+Q15:Q$18)),4)</f>
        <v>1.0411999999999999</v>
      </c>
      <c r="AD15" s="2703">
        <f>ROUND(AVERAGE(I15:I$19)/100,4)</f>
        <v>1.38E-2</v>
      </c>
      <c r="AE15" s="2703">
        <f>ROUND(AVERAGE(J15:J$19)/100,4)</f>
        <v>1.3599999999999999E-2</v>
      </c>
      <c r="AF15" s="2703">
        <f t="shared" si="1"/>
        <v>1.3599999999999999E-2</v>
      </c>
      <c r="AG15" s="2703">
        <f>ROUND(AVERAGE(K15:K$19)/100,4)</f>
        <v>1.4200000000000001E-2</v>
      </c>
      <c r="AH15" s="2703">
        <f>ROUND(AVERAGE(L15:L$19)/100,4)</f>
        <v>1.0800000000000001E-2</v>
      </c>
    </row>
    <row r="16" spans="1:34" ht="13.5" thickBot="1">
      <c r="A16" s="2683" t="s">
        <v>965</v>
      </c>
      <c r="B16" s="2712">
        <v>318</v>
      </c>
      <c r="C16" s="2712">
        <v>268</v>
      </c>
      <c r="D16" s="2712">
        <f t="shared" si="12"/>
        <v>268</v>
      </c>
      <c r="E16" s="2712">
        <v>437</v>
      </c>
      <c r="F16" s="2713">
        <v>237</v>
      </c>
      <c r="G16" s="3442">
        <v>2014</v>
      </c>
      <c r="H16" s="2704">
        <v>4</v>
      </c>
      <c r="I16" s="2704">
        <v>0.21</v>
      </c>
      <c r="J16" s="2704">
        <v>0.41</v>
      </c>
      <c r="K16" s="2704">
        <v>0.12</v>
      </c>
      <c r="L16" s="2705">
        <v>0.89</v>
      </c>
      <c r="N16" s="2693">
        <f t="shared" si="14"/>
        <v>2.0999999999999999E-3</v>
      </c>
      <c r="O16" s="2694">
        <f t="shared" si="10"/>
        <v>4.0999999999999995E-3</v>
      </c>
      <c r="P16" s="2694">
        <f t="shared" si="10"/>
        <v>1.1999999999999999E-3</v>
      </c>
      <c r="Q16" s="2694">
        <f t="shared" si="10"/>
        <v>8.8999999999999999E-3</v>
      </c>
      <c r="R16" s="2695"/>
      <c r="S16" s="2696"/>
      <c r="T16" s="2697"/>
      <c r="U16" s="2697"/>
      <c r="V16" s="2697"/>
      <c r="X16" s="2783">
        <f>ROUND(SUMPRODUCT(PRODUCT(1+N16:N$18)),4)</f>
        <v>1.0347</v>
      </c>
      <c r="Y16" s="2783">
        <f>ROUND(SUMPRODUCT(PRODUCT(1+O16:O$18)),4)</f>
        <v>1.0395000000000001</v>
      </c>
      <c r="Z16" s="2783">
        <f t="shared" si="0"/>
        <v>1.0395000000000001</v>
      </c>
      <c r="AA16" s="2783">
        <f>ROUND(SUMPRODUCT(PRODUCT(1+P16:P$18)),4)</f>
        <v>1.0338000000000001</v>
      </c>
      <c r="AB16" s="2783">
        <f>ROUND(SUMPRODUCT(PRODUCT(1+Q16:Q$18)),4)</f>
        <v>1.0316000000000001</v>
      </c>
      <c r="AD16" s="2703">
        <f>ROUND(AVERAGE(I16:I$19)/100,4)</f>
        <v>1.6E-2</v>
      </c>
      <c r="AE16" s="2703">
        <f>ROUND(AVERAGE(J16:J$19)/100,4)</f>
        <v>1.5599999999999999E-2</v>
      </c>
      <c r="AF16" s="2703">
        <f t="shared" si="1"/>
        <v>1.5599999999999999E-2</v>
      </c>
      <c r="AG16" s="2703">
        <f>ROUND(AVERAGE(K16:K$19)/100,4)</f>
        <v>1.66E-2</v>
      </c>
      <c r="AH16" s="2703">
        <f>ROUND(AVERAGE(L16:L$19)/100,4)</f>
        <v>1.12E-2</v>
      </c>
    </row>
    <row r="17" spans="1:34">
      <c r="A17" s="2683" t="s">
        <v>964</v>
      </c>
      <c r="B17" s="2698">
        <f t="shared" ref="B17:C19" si="17">B16/(1+N16)</f>
        <v>317.33359944117353</v>
      </c>
      <c r="C17" s="2698">
        <f t="shared" si="17"/>
        <v>266.90568668459315</v>
      </c>
      <c r="D17" s="2698">
        <f t="shared" si="12"/>
        <v>266.90568668459315</v>
      </c>
      <c r="E17" s="2698">
        <f t="shared" ref="E17:F19" si="18">E16/(1+P16)</f>
        <v>436.47622852576905</v>
      </c>
      <c r="F17" s="2698">
        <f t="shared" si="18"/>
        <v>234.90930716622066</v>
      </c>
      <c r="G17" s="3443"/>
      <c r="H17" s="2714">
        <v>3</v>
      </c>
      <c r="I17" s="2714">
        <v>0.83</v>
      </c>
      <c r="J17" s="2714">
        <v>1.47</v>
      </c>
      <c r="K17" s="2714">
        <v>0.65</v>
      </c>
      <c r="L17" s="2715">
        <v>0.72</v>
      </c>
      <c r="N17" s="2693">
        <f t="shared" si="14"/>
        <v>8.3000000000000001E-3</v>
      </c>
      <c r="O17" s="2694">
        <f t="shared" si="10"/>
        <v>1.47E-2</v>
      </c>
      <c r="P17" s="2694">
        <f t="shared" si="10"/>
        <v>6.5000000000000006E-3</v>
      </c>
      <c r="Q17" s="2694">
        <f t="shared" si="10"/>
        <v>7.1999999999999998E-3</v>
      </c>
      <c r="R17" s="2695"/>
      <c r="S17" s="2693"/>
      <c r="T17" s="2694"/>
      <c r="U17" s="2694"/>
      <c r="V17" s="2694"/>
      <c r="X17" s="2783">
        <f>ROUND(SUMPRODUCT(PRODUCT(1+N17:N$18)),4)</f>
        <v>1.0325</v>
      </c>
      <c r="Y17" s="2783">
        <f>ROUND(SUMPRODUCT(PRODUCT(1+O17:O$18)),4)</f>
        <v>1.0353000000000001</v>
      </c>
      <c r="Z17" s="2783">
        <f t="shared" ref="Z17:Z18" si="19">Y17</f>
        <v>1.0353000000000001</v>
      </c>
      <c r="AA17" s="2783">
        <f>ROUND(SUMPRODUCT(PRODUCT(1+P17:P$18)),4)</f>
        <v>1.0326</v>
      </c>
      <c r="AB17" s="2783">
        <f>ROUND(SUMPRODUCT(PRODUCT(1+Q17:Q$18)),4)</f>
        <v>1.0225</v>
      </c>
      <c r="AD17" s="2703">
        <f>ROUND(AVERAGE(I17:I$19)/100,4)</f>
        <v>2.07E-2</v>
      </c>
      <c r="AE17" s="2703">
        <f>ROUND(AVERAGE(J17:J$19)/100,4)</f>
        <v>1.95E-2</v>
      </c>
      <c r="AF17" s="2703">
        <f t="shared" si="1"/>
        <v>1.95E-2</v>
      </c>
      <c r="AG17" s="2703">
        <f>ROUND(AVERAGE(K17:K$19)/100,4)</f>
        <v>2.1700000000000001E-2</v>
      </c>
      <c r="AH17" s="2703">
        <f>ROUND(AVERAGE(L17:L$19)/100,4)</f>
        <v>1.2E-2</v>
      </c>
    </row>
    <row r="18" spans="1:34" ht="13.5" thickBot="1">
      <c r="A18" s="2683" t="s">
        <v>963</v>
      </c>
      <c r="B18" s="2698">
        <f t="shared" si="17"/>
        <v>314.72141172386546</v>
      </c>
      <c r="C18" s="2698">
        <f t="shared" si="17"/>
        <v>263.03901319069001</v>
      </c>
      <c r="D18" s="2698">
        <f t="shared" si="12"/>
        <v>263.03901319069001</v>
      </c>
      <c r="E18" s="2698">
        <f t="shared" si="18"/>
        <v>433.65745506782821</v>
      </c>
      <c r="F18" s="2698">
        <f t="shared" si="18"/>
        <v>233.23005080045735</v>
      </c>
      <c r="G18" s="3443"/>
      <c r="H18" s="2704">
        <v>2</v>
      </c>
      <c r="I18" s="2704">
        <v>2.4</v>
      </c>
      <c r="J18" s="2704">
        <v>2.0299999999999998</v>
      </c>
      <c r="K18" s="2704">
        <v>2.59</v>
      </c>
      <c r="L18" s="2705">
        <v>1.52</v>
      </c>
      <c r="N18" s="2693">
        <f t="shared" si="14"/>
        <v>2.4E-2</v>
      </c>
      <c r="O18" s="2694">
        <f t="shared" si="10"/>
        <v>2.0299999999999999E-2</v>
      </c>
      <c r="P18" s="2694">
        <f t="shared" si="10"/>
        <v>2.5899999999999999E-2</v>
      </c>
      <c r="Q18" s="2694">
        <f t="shared" si="10"/>
        <v>1.52E-2</v>
      </c>
      <c r="R18" s="2695"/>
      <c r="S18" s="2693"/>
      <c r="T18" s="2694"/>
      <c r="U18" s="2694"/>
      <c r="V18" s="2694"/>
      <c r="X18" s="2783">
        <f>1+N18</f>
        <v>1.024</v>
      </c>
      <c r="Y18" s="2783">
        <f>1+O18</f>
        <v>1.0203</v>
      </c>
      <c r="Z18" s="2783">
        <f t="shared" si="19"/>
        <v>1.0203</v>
      </c>
      <c r="AA18" s="2783">
        <f>1+P18</f>
        <v>1.0259</v>
      </c>
      <c r="AB18" s="2783">
        <f>1+Q18</f>
        <v>1.0152000000000001</v>
      </c>
      <c r="AD18" s="2703">
        <f>ROUND(AVERAGE(I18:I$19)/100,4)</f>
        <v>2.69E-2</v>
      </c>
      <c r="AE18" s="2703">
        <f>ROUND(AVERAGE(J18:J$19)/100,4)</f>
        <v>2.1899999999999999E-2</v>
      </c>
      <c r="AF18" s="2703">
        <f t="shared" ref="AF18" si="20">AE18</f>
        <v>2.1899999999999999E-2</v>
      </c>
      <c r="AG18" s="2703">
        <f>ROUND(AVERAGE(K18:K$19)/100,4)</f>
        <v>2.9399999999999999E-2</v>
      </c>
      <c r="AH18" s="2703">
        <f>ROUND(AVERAGE(L18:L$19)/100,4)</f>
        <v>1.44E-2</v>
      </c>
    </row>
    <row r="19" spans="1:34" s="2720" customFormat="1" ht="13.5" thickBot="1">
      <c r="A19" s="2716" t="s">
        <v>962</v>
      </c>
      <c r="B19" s="2717">
        <f t="shared" si="17"/>
        <v>307.34512863658733</v>
      </c>
      <c r="C19" s="2717">
        <f t="shared" si="17"/>
        <v>257.80556031626975</v>
      </c>
      <c r="D19" s="2717">
        <f t="shared" si="12"/>
        <v>257.80556031626975</v>
      </c>
      <c r="E19" s="2717">
        <f t="shared" si="18"/>
        <v>422.70928459677179</v>
      </c>
      <c r="F19" s="2717">
        <f t="shared" si="18"/>
        <v>229.73803270336617</v>
      </c>
      <c r="G19" s="3444"/>
      <c r="H19" s="2718">
        <v>1</v>
      </c>
      <c r="I19" s="2718">
        <v>2.97</v>
      </c>
      <c r="J19" s="2718">
        <v>2.34</v>
      </c>
      <c r="K19" s="2718">
        <v>3.28</v>
      </c>
      <c r="L19" s="2719">
        <v>1.36</v>
      </c>
      <c r="N19" s="2721">
        <f t="shared" si="14"/>
        <v>2.9700000000000001E-2</v>
      </c>
      <c r="O19" s="2722">
        <f t="shared" si="10"/>
        <v>2.3399999999999997E-2</v>
      </c>
      <c r="P19" s="2722">
        <f t="shared" si="10"/>
        <v>3.2799999999999996E-2</v>
      </c>
      <c r="Q19" s="2722">
        <f t="shared" si="10"/>
        <v>1.3600000000000001E-2</v>
      </c>
      <c r="R19" s="2723"/>
      <c r="S19" s="2724">
        <f>B19/B20-1</f>
        <v>2.7910129219355539E-2</v>
      </c>
      <c r="T19" s="2725">
        <f>C19/C20-1</f>
        <v>2.3037937762975247E-2</v>
      </c>
      <c r="U19" s="2725">
        <f>E19/E20-1</f>
        <v>3.3519033243940788E-2</v>
      </c>
      <c r="V19" s="2725">
        <f>F19/F20-1</f>
        <v>1.2061818076502862E-2</v>
      </c>
      <c r="W19" s="2794" t="s">
        <v>2647</v>
      </c>
      <c r="X19" s="2796">
        <v>1</v>
      </c>
      <c r="Y19" s="2796">
        <v>1</v>
      </c>
      <c r="Z19" s="2796">
        <v>1</v>
      </c>
      <c r="AA19" s="2796">
        <v>1</v>
      </c>
      <c r="AB19" s="2796">
        <v>1</v>
      </c>
      <c r="AD19" s="3040">
        <f>I19/100</f>
        <v>2.9700000000000001E-2</v>
      </c>
      <c r="AE19" s="3040">
        <f>J19/100</f>
        <v>2.3399999999999997E-2</v>
      </c>
      <c r="AF19" s="3040">
        <f>AE19</f>
        <v>2.3399999999999997E-2</v>
      </c>
      <c r="AG19" s="3040">
        <f>K19/100</f>
        <v>3.2799999999999996E-2</v>
      </c>
      <c r="AH19" s="3040">
        <f>L19/100</f>
        <v>1.3600000000000001E-2</v>
      </c>
    </row>
    <row r="20" spans="1:34" ht="13.5" thickBot="1">
      <c r="A20" s="2683" t="s">
        <v>2589</v>
      </c>
      <c r="B20" s="2690">
        <v>299</v>
      </c>
      <c r="C20" s="2690">
        <v>252</v>
      </c>
      <c r="D20" s="2690">
        <f t="shared" si="12"/>
        <v>252</v>
      </c>
      <c r="E20" s="2690">
        <v>409</v>
      </c>
      <c r="F20" s="2691">
        <v>227</v>
      </c>
      <c r="G20" s="3449">
        <v>2013</v>
      </c>
      <c r="H20" s="2726">
        <v>4</v>
      </c>
      <c r="I20" s="2726">
        <v>1.83</v>
      </c>
      <c r="J20" s="2726">
        <v>1.68</v>
      </c>
      <c r="K20" s="2726">
        <v>1.97</v>
      </c>
      <c r="L20" s="2727">
        <v>0.87</v>
      </c>
      <c r="N20" s="2706">
        <f t="shared" si="14"/>
        <v>1.83E-2</v>
      </c>
      <c r="O20" s="2707">
        <f t="shared" si="10"/>
        <v>1.6799999999999999E-2</v>
      </c>
      <c r="P20" s="2707">
        <f t="shared" si="10"/>
        <v>1.9699999999999999E-2</v>
      </c>
      <c r="Q20" s="2707">
        <f t="shared" si="10"/>
        <v>8.6999999999999994E-3</v>
      </c>
      <c r="R20" s="2695"/>
      <c r="S20" s="2696"/>
      <c r="T20" s="2697"/>
      <c r="U20" s="2697"/>
      <c r="V20" s="2697"/>
      <c r="X20" s="2697"/>
      <c r="Y20" s="2697"/>
      <c r="Z20" s="2697"/>
    </row>
    <row r="21" spans="1:34">
      <c r="A21" s="2683" t="s">
        <v>2590</v>
      </c>
      <c r="B21" s="2698">
        <f t="shared" ref="B21:C23" si="21">B20/(1+N20)</f>
        <v>293.62663262299913</v>
      </c>
      <c r="C21" s="2698">
        <f t="shared" si="21"/>
        <v>247.83634933123525</v>
      </c>
      <c r="D21" s="2698">
        <f t="shared" si="12"/>
        <v>247.83634933123525</v>
      </c>
      <c r="E21" s="2698">
        <f t="shared" ref="E21:F23" si="22">E20/(1+P20)</f>
        <v>401.09836226341076</v>
      </c>
      <c r="F21" s="2698">
        <f t="shared" si="22"/>
        <v>225.04213343908003</v>
      </c>
      <c r="G21" s="3450"/>
      <c r="H21" s="2709">
        <v>3</v>
      </c>
      <c r="I21" s="2709">
        <v>1.86</v>
      </c>
      <c r="J21" s="2709">
        <v>1.72</v>
      </c>
      <c r="K21" s="2709">
        <v>1.98</v>
      </c>
      <c r="L21" s="2710">
        <v>0.88</v>
      </c>
      <c r="N21" s="2693">
        <f t="shared" si="14"/>
        <v>1.8600000000000002E-2</v>
      </c>
      <c r="O21" s="2711">
        <f t="shared" si="10"/>
        <v>1.72E-2</v>
      </c>
      <c r="P21" s="2711">
        <f t="shared" si="10"/>
        <v>1.9799999999999998E-2</v>
      </c>
      <c r="Q21" s="2711">
        <f t="shared" si="10"/>
        <v>8.8000000000000005E-3</v>
      </c>
      <c r="R21" s="2695"/>
      <c r="S21" s="2693"/>
      <c r="T21" s="2694"/>
      <c r="U21" s="2694"/>
      <c r="V21" s="2694"/>
    </row>
    <row r="22" spans="1:34">
      <c r="A22" s="2683" t="s">
        <v>2591</v>
      </c>
      <c r="B22" s="2698">
        <f t="shared" si="21"/>
        <v>288.2649053828776</v>
      </c>
      <c r="C22" s="2698">
        <f t="shared" si="21"/>
        <v>243.64564425013293</v>
      </c>
      <c r="D22" s="2698">
        <f t="shared" si="12"/>
        <v>243.64564425013293</v>
      </c>
      <c r="E22" s="2698">
        <f t="shared" si="22"/>
        <v>393.31080825986544</v>
      </c>
      <c r="F22" s="2698">
        <f t="shared" si="22"/>
        <v>223.07903790551154</v>
      </c>
      <c r="G22" s="3450"/>
      <c r="H22" s="2689">
        <v>2</v>
      </c>
      <c r="I22" s="2689">
        <v>2.04</v>
      </c>
      <c r="J22" s="2689">
        <v>2.33</v>
      </c>
      <c r="K22" s="2689">
        <v>2.0699999999999998</v>
      </c>
      <c r="L22" s="2700">
        <v>0.69</v>
      </c>
      <c r="N22" s="2693">
        <f t="shared" si="14"/>
        <v>2.0400000000000001E-2</v>
      </c>
      <c r="O22" s="2711">
        <f t="shared" si="10"/>
        <v>2.3300000000000001E-2</v>
      </c>
      <c r="P22" s="2711">
        <f t="shared" si="10"/>
        <v>2.07E-2</v>
      </c>
      <c r="Q22" s="2711">
        <f t="shared" si="10"/>
        <v>6.8999999999999999E-3</v>
      </c>
      <c r="R22" s="2695"/>
      <c r="S22" s="2693"/>
      <c r="T22" s="2694"/>
      <c r="U22" s="2694"/>
      <c r="V22" s="2694"/>
      <c r="X22" s="2797"/>
      <c r="Y22" s="2799"/>
    </row>
    <row r="23" spans="1:34">
      <c r="A23" s="2683" t="s">
        <v>2592</v>
      </c>
      <c r="B23" s="2698">
        <f t="shared" si="21"/>
        <v>282.50186729015837</v>
      </c>
      <c r="C23" s="2698">
        <f t="shared" si="21"/>
        <v>238.09796174155468</v>
      </c>
      <c r="D23" s="2698">
        <f t="shared" si="12"/>
        <v>238.09796174155468</v>
      </c>
      <c r="E23" s="2698">
        <f t="shared" si="22"/>
        <v>385.33438646014054</v>
      </c>
      <c r="F23" s="2698">
        <f t="shared" si="22"/>
        <v>221.55034055567739</v>
      </c>
      <c r="G23" s="3451"/>
      <c r="H23" s="2688">
        <v>1</v>
      </c>
      <c r="I23" s="2688">
        <v>1.67</v>
      </c>
      <c r="J23" s="2688">
        <v>1.31</v>
      </c>
      <c r="K23" s="2688">
        <v>1.85</v>
      </c>
      <c r="L23" s="2699">
        <v>0.96</v>
      </c>
      <c r="N23" s="2701">
        <f t="shared" si="14"/>
        <v>1.67E-2</v>
      </c>
      <c r="O23" s="2702">
        <f t="shared" si="10"/>
        <v>1.3100000000000001E-2</v>
      </c>
      <c r="P23" s="2702">
        <f t="shared" si="10"/>
        <v>1.8500000000000003E-2</v>
      </c>
      <c r="Q23" s="2702">
        <f t="shared" si="10"/>
        <v>9.5999999999999992E-3</v>
      </c>
      <c r="R23" s="2695"/>
      <c r="S23" s="2701">
        <f>B23/B24-1</f>
        <v>1.6193767230785472E-2</v>
      </c>
      <c r="T23" s="2702">
        <f>C23/C24-1</f>
        <v>1.7512657015190891E-2</v>
      </c>
      <c r="U23" s="2702">
        <f>E23/E24-1</f>
        <v>1.6713420739157048E-2</v>
      </c>
      <c r="V23" s="2702">
        <f>F23/F24-1</f>
        <v>7.0470025258062563E-3</v>
      </c>
      <c r="X23" s="2798"/>
      <c r="Y23" s="2703"/>
      <c r="Z23" s="2703"/>
    </row>
    <row r="24" spans="1:34" ht="13.5" thickBot="1">
      <c r="A24" s="2683" t="s">
        <v>2593</v>
      </c>
      <c r="B24" s="2728">
        <v>278</v>
      </c>
      <c r="C24" s="2728">
        <v>234</v>
      </c>
      <c r="D24" s="2728">
        <f t="shared" si="12"/>
        <v>234</v>
      </c>
      <c r="E24" s="2728">
        <v>379</v>
      </c>
      <c r="F24" s="2729">
        <v>220</v>
      </c>
      <c r="G24" s="3442">
        <v>2012</v>
      </c>
      <c r="H24" s="2704">
        <v>4</v>
      </c>
      <c r="I24" s="2704">
        <v>0.91</v>
      </c>
      <c r="J24" s="2704">
        <v>0.68</v>
      </c>
      <c r="K24" s="2704">
        <v>0.98</v>
      </c>
      <c r="L24" s="2705">
        <v>0.9</v>
      </c>
      <c r="N24" s="2693">
        <f t="shared" si="14"/>
        <v>9.1000000000000004E-3</v>
      </c>
      <c r="O24" s="2694">
        <f t="shared" si="14"/>
        <v>6.8000000000000005E-3</v>
      </c>
      <c r="P24" s="2694">
        <f t="shared" si="14"/>
        <v>9.7999999999999997E-3</v>
      </c>
      <c r="Q24" s="2694">
        <f t="shared" si="14"/>
        <v>9.0000000000000011E-3</v>
      </c>
      <c r="R24" s="2695"/>
      <c r="S24" s="2696"/>
      <c r="T24" s="2697"/>
      <c r="U24" s="2697"/>
      <c r="V24" s="2697"/>
      <c r="X24" s="2697"/>
      <c r="Y24" s="2697"/>
      <c r="Z24" s="2697"/>
    </row>
    <row r="25" spans="1:34">
      <c r="A25" s="2683" t="s">
        <v>2594</v>
      </c>
      <c r="B25" s="2698">
        <f>B24/(1+N24)</f>
        <v>275.49301357645425</v>
      </c>
      <c r="C25" s="2698">
        <f>C24/(1+O24)</f>
        <v>232.41954707985698</v>
      </c>
      <c r="D25" s="2698">
        <f t="shared" si="12"/>
        <v>232.41954707985698</v>
      </c>
      <c r="E25" s="2698">
        <f t="shared" ref="E25:F27" si="23">E24/(1+P24)</f>
        <v>375.32184591008121</v>
      </c>
      <c r="F25" s="2698">
        <f t="shared" si="23"/>
        <v>218.03766105054513</v>
      </c>
      <c r="G25" s="3443"/>
      <c r="H25" s="2709">
        <v>3</v>
      </c>
      <c r="I25" s="2709">
        <v>0.09</v>
      </c>
      <c r="J25" s="2709">
        <v>0.28999999999999998</v>
      </c>
      <c r="K25" s="2709">
        <v>-0.01</v>
      </c>
      <c r="L25" s="2710">
        <v>0.57999999999999996</v>
      </c>
      <c r="N25" s="2693">
        <f t="shared" si="14"/>
        <v>8.9999999999999998E-4</v>
      </c>
      <c r="O25" s="2694">
        <f t="shared" si="14"/>
        <v>2.8999999999999998E-3</v>
      </c>
      <c r="P25" s="2694">
        <f t="shared" si="14"/>
        <v>-1E-4</v>
      </c>
      <c r="Q25" s="2694">
        <f t="shared" si="14"/>
        <v>5.7999999999999996E-3</v>
      </c>
      <c r="R25" s="2695"/>
      <c r="S25" s="2693"/>
      <c r="T25" s="2694"/>
      <c r="U25" s="2694"/>
      <c r="V25" s="2694"/>
    </row>
    <row r="26" spans="1:34">
      <c r="A26" s="2683" t="s">
        <v>2595</v>
      </c>
      <c r="B26" s="2698">
        <f>B25/(1+N25)</f>
        <v>275.24529281292263</v>
      </c>
      <c r="C26" s="2698">
        <f>C25/(1+O25)</f>
        <v>231.74747938962707</v>
      </c>
      <c r="D26" s="2698">
        <f t="shared" si="12"/>
        <v>231.74747938962707</v>
      </c>
      <c r="E26" s="2698">
        <f t="shared" si="23"/>
        <v>375.35938184826603</v>
      </c>
      <c r="F26" s="2698">
        <f t="shared" si="23"/>
        <v>216.78033510692495</v>
      </c>
      <c r="G26" s="3443"/>
      <c r="H26" s="2689">
        <v>2</v>
      </c>
      <c r="I26" s="2689">
        <v>0.02</v>
      </c>
      <c r="J26" s="2689">
        <v>0.12</v>
      </c>
      <c r="K26" s="2689">
        <v>-0.08</v>
      </c>
      <c r="L26" s="2700">
        <v>1.24</v>
      </c>
      <c r="N26" s="2693">
        <f t="shared" si="14"/>
        <v>2.0000000000000001E-4</v>
      </c>
      <c r="O26" s="2694">
        <f t="shared" si="14"/>
        <v>1.1999999999999999E-3</v>
      </c>
      <c r="P26" s="2694">
        <f t="shared" si="14"/>
        <v>-8.0000000000000004E-4</v>
      </c>
      <c r="Q26" s="2694">
        <f t="shared" si="14"/>
        <v>1.24E-2</v>
      </c>
      <c r="R26" s="2695"/>
      <c r="S26" s="2693"/>
      <c r="T26" s="2694"/>
      <c r="U26" s="2694"/>
      <c r="V26" s="2694"/>
    </row>
    <row r="27" spans="1:34" ht="13.5" thickBot="1">
      <c r="A27" s="2683" t="s">
        <v>2596</v>
      </c>
      <c r="B27" s="2698">
        <f>B26/(1+N26)</f>
        <v>275.19025476197027</v>
      </c>
      <c r="C27" s="2730">
        <v>232</v>
      </c>
      <c r="D27" s="2730">
        <f t="shared" si="12"/>
        <v>232</v>
      </c>
      <c r="E27" s="2698">
        <f t="shared" si="23"/>
        <v>375.65990977608692</v>
      </c>
      <c r="F27" s="2698">
        <f t="shared" si="23"/>
        <v>214.12518283971252</v>
      </c>
      <c r="G27" s="3444"/>
      <c r="H27" s="2688">
        <v>1</v>
      </c>
      <c r="I27" s="2688">
        <v>0.02</v>
      </c>
      <c r="J27" s="2688">
        <v>0.13</v>
      </c>
      <c r="K27" s="2688">
        <v>-0.04</v>
      </c>
      <c r="L27" s="2699">
        <v>0.46</v>
      </c>
      <c r="N27" s="2693">
        <f t="shared" si="14"/>
        <v>2.0000000000000001E-4</v>
      </c>
      <c r="O27" s="2694">
        <f t="shared" si="14"/>
        <v>1.2999999999999999E-3</v>
      </c>
      <c r="P27" s="2694">
        <f t="shared" si="14"/>
        <v>-4.0000000000000002E-4</v>
      </c>
      <c r="Q27" s="2694">
        <f t="shared" si="14"/>
        <v>4.5999999999999999E-3</v>
      </c>
      <c r="R27" s="2695"/>
      <c r="S27" s="2701">
        <f>B27/B28-1</f>
        <v>6.9183549807361189E-4</v>
      </c>
      <c r="T27" s="2702">
        <f>C27/C28-1</f>
        <v>0</v>
      </c>
      <c r="U27" s="2702">
        <f>E27/E28-1</f>
        <v>-9.0449527636460303E-4</v>
      </c>
      <c r="V27" s="2702">
        <f>F27/F28-1</f>
        <v>5.2825485432512753E-3</v>
      </c>
      <c r="X27" s="2703"/>
      <c r="Y27" s="2703"/>
      <c r="Z27" s="2703"/>
    </row>
    <row r="28" spans="1:34" ht="13.5" thickBot="1">
      <c r="A28" s="2683" t="s">
        <v>2597</v>
      </c>
      <c r="B28" s="2690">
        <v>275</v>
      </c>
      <c r="C28" s="2690">
        <v>232</v>
      </c>
      <c r="D28" s="2690">
        <f t="shared" si="12"/>
        <v>232</v>
      </c>
      <c r="E28" s="2690">
        <v>376</v>
      </c>
      <c r="F28" s="2691">
        <v>213</v>
      </c>
      <c r="G28" s="3442">
        <v>2011</v>
      </c>
      <c r="H28" s="2704">
        <v>4</v>
      </c>
      <c r="I28" s="2704">
        <v>-0.2</v>
      </c>
      <c r="J28" s="2704">
        <v>0.04</v>
      </c>
      <c r="K28" s="2704">
        <v>-0.34</v>
      </c>
      <c r="L28" s="2705">
        <v>0.46</v>
      </c>
      <c r="N28" s="2706">
        <f t="shared" si="14"/>
        <v>-2E-3</v>
      </c>
      <c r="O28" s="2707">
        <f t="shared" si="14"/>
        <v>4.0000000000000002E-4</v>
      </c>
      <c r="P28" s="2707">
        <f t="shared" si="14"/>
        <v>-3.4000000000000002E-3</v>
      </c>
      <c r="Q28" s="2707">
        <f t="shared" si="14"/>
        <v>4.5999999999999999E-3</v>
      </c>
      <c r="R28" s="2695"/>
      <c r="S28" s="2696"/>
      <c r="T28" s="2697"/>
      <c r="U28" s="2697"/>
      <c r="V28" s="2697"/>
      <c r="X28" s="2697"/>
      <c r="Y28" s="2697"/>
      <c r="Z28" s="2697"/>
    </row>
    <row r="29" spans="1:34">
      <c r="A29" s="2683" t="s">
        <v>2598</v>
      </c>
      <c r="B29" s="2698">
        <f t="shared" ref="B29:C31" si="24">B28/(1+N28)</f>
        <v>275.55110220440883</v>
      </c>
      <c r="C29" s="2698">
        <f t="shared" si="24"/>
        <v>231.90723710515795</v>
      </c>
      <c r="D29" s="2698">
        <f t="shared" si="12"/>
        <v>231.90723710515795</v>
      </c>
      <c r="E29" s="2698">
        <f t="shared" ref="E29:F31" si="25">E28/(1+P28)</f>
        <v>377.28276138872161</v>
      </c>
      <c r="F29" s="2698">
        <f t="shared" si="25"/>
        <v>212.02468644236512</v>
      </c>
      <c r="G29" s="3443">
        <v>2011</v>
      </c>
      <c r="H29" s="2709">
        <v>3</v>
      </c>
      <c r="I29" s="2709">
        <v>0.13</v>
      </c>
      <c r="J29" s="2709">
        <v>0.75</v>
      </c>
      <c r="K29" s="2709">
        <v>-0.08</v>
      </c>
      <c r="L29" s="2710">
        <v>0.53</v>
      </c>
      <c r="N29" s="2693">
        <f t="shared" si="14"/>
        <v>1.2999999999999999E-3</v>
      </c>
      <c r="O29" s="2711">
        <f t="shared" si="14"/>
        <v>7.4999999999999997E-3</v>
      </c>
      <c r="P29" s="2711">
        <f t="shared" si="14"/>
        <v>-8.0000000000000004E-4</v>
      </c>
      <c r="Q29" s="2711">
        <f t="shared" si="14"/>
        <v>5.3E-3</v>
      </c>
      <c r="R29" s="2695"/>
      <c r="S29" s="2693"/>
      <c r="T29" s="2694"/>
      <c r="U29" s="2694"/>
      <c r="V29" s="2694"/>
    </row>
    <row r="30" spans="1:34">
      <c r="A30" s="2683" t="s">
        <v>2599</v>
      </c>
      <c r="B30" s="2698">
        <f t="shared" si="24"/>
        <v>275.19335084830601</v>
      </c>
      <c r="C30" s="2698">
        <f t="shared" si="24"/>
        <v>230.18088050139744</v>
      </c>
      <c r="D30" s="2698">
        <f t="shared" si="12"/>
        <v>230.18088050139744</v>
      </c>
      <c r="E30" s="2698">
        <f t="shared" si="25"/>
        <v>377.58482925212331</v>
      </c>
      <c r="F30" s="2698">
        <f t="shared" si="25"/>
        <v>210.90687997847917</v>
      </c>
      <c r="G30" s="3443">
        <v>2011</v>
      </c>
      <c r="H30" s="2689">
        <v>2</v>
      </c>
      <c r="I30" s="2689">
        <v>-0.4</v>
      </c>
      <c r="J30" s="2689">
        <v>0.17</v>
      </c>
      <c r="K30" s="2689">
        <v>-0.57999999999999996</v>
      </c>
      <c r="L30" s="2700">
        <v>-0.2</v>
      </c>
      <c r="N30" s="2693">
        <f t="shared" si="14"/>
        <v>-4.0000000000000001E-3</v>
      </c>
      <c r="O30" s="2711">
        <f t="shared" si="14"/>
        <v>1.7000000000000001E-3</v>
      </c>
      <c r="P30" s="2711">
        <f t="shared" si="14"/>
        <v>-5.7999999999999996E-3</v>
      </c>
      <c r="Q30" s="2711">
        <f t="shared" si="14"/>
        <v>-2E-3</v>
      </c>
      <c r="R30" s="2695"/>
      <c r="S30" s="2693"/>
      <c r="T30" s="2694"/>
      <c r="U30" s="2694"/>
      <c r="V30" s="2694"/>
    </row>
    <row r="31" spans="1:34" ht="13.5" thickBot="1">
      <c r="A31" s="2683" t="s">
        <v>2600</v>
      </c>
      <c r="B31" s="2698">
        <f t="shared" si="24"/>
        <v>276.29854502841971</v>
      </c>
      <c r="C31" s="2698">
        <f t="shared" si="24"/>
        <v>229.79023709833027</v>
      </c>
      <c r="D31" s="2698">
        <f t="shared" si="12"/>
        <v>229.79023709833027</v>
      </c>
      <c r="E31" s="2698">
        <f t="shared" si="25"/>
        <v>379.78759731655936</v>
      </c>
      <c r="F31" s="2698">
        <f t="shared" si="25"/>
        <v>211.32953905659235</v>
      </c>
      <c r="G31" s="3444">
        <v>2011</v>
      </c>
      <c r="H31" s="2688">
        <v>1</v>
      </c>
      <c r="I31" s="2688">
        <v>2.65</v>
      </c>
      <c r="J31" s="2688">
        <v>3.76</v>
      </c>
      <c r="K31" s="2688">
        <v>1.89</v>
      </c>
      <c r="L31" s="2699">
        <v>7.95</v>
      </c>
      <c r="N31" s="2701">
        <f t="shared" si="14"/>
        <v>2.6499999999999999E-2</v>
      </c>
      <c r="O31" s="2702">
        <f t="shared" si="14"/>
        <v>3.7599999999999995E-2</v>
      </c>
      <c r="P31" s="2702">
        <f t="shared" si="14"/>
        <v>1.89E-2</v>
      </c>
      <c r="Q31" s="2702">
        <f t="shared" si="14"/>
        <v>7.9500000000000001E-2</v>
      </c>
      <c r="R31" s="2695"/>
      <c r="S31" s="2701">
        <f>B31/B32-1</f>
        <v>2.713213765211786E-2</v>
      </c>
      <c r="T31" s="2702">
        <f>C31/C32-1</f>
        <v>3.9774828499231862E-2</v>
      </c>
      <c r="U31" s="2702">
        <f>E31/E32-1</f>
        <v>1.8197311840641772E-2</v>
      </c>
      <c r="V31" s="2702">
        <f>F31/F32-1</f>
        <v>7.8211933962205826E-2</v>
      </c>
      <c r="X31" s="2703"/>
      <c r="Y31" s="2703"/>
      <c r="Z31" s="2703"/>
    </row>
    <row r="32" spans="1:34" ht="13.5" thickBot="1">
      <c r="A32" s="2683" t="s">
        <v>2601</v>
      </c>
      <c r="B32" s="2690">
        <v>269</v>
      </c>
      <c r="C32" s="2690">
        <v>221</v>
      </c>
      <c r="D32" s="2690">
        <f t="shared" si="12"/>
        <v>221</v>
      </c>
      <c r="E32" s="2690">
        <v>373</v>
      </c>
      <c r="F32" s="2691">
        <v>196</v>
      </c>
      <c r="G32" s="3442">
        <v>2010</v>
      </c>
      <c r="H32" s="2704">
        <v>4</v>
      </c>
      <c r="I32" s="2704">
        <v>5.72</v>
      </c>
      <c r="J32" s="2704">
        <v>6.57</v>
      </c>
      <c r="K32" s="2704">
        <v>5.72</v>
      </c>
      <c r="L32" s="2705">
        <v>2.72</v>
      </c>
      <c r="N32" s="2693">
        <f t="shared" si="14"/>
        <v>5.7200000000000001E-2</v>
      </c>
      <c r="O32" s="2694">
        <f t="shared" si="14"/>
        <v>6.5700000000000008E-2</v>
      </c>
      <c r="P32" s="2694">
        <f t="shared" si="14"/>
        <v>5.7200000000000001E-2</v>
      </c>
      <c r="Q32" s="2694">
        <f t="shared" si="14"/>
        <v>2.7200000000000002E-2</v>
      </c>
      <c r="R32" s="2695"/>
      <c r="S32" s="2696"/>
      <c r="T32" s="2697"/>
      <c r="U32" s="2697"/>
      <c r="V32" s="2697"/>
      <c r="X32" s="2697"/>
      <c r="Y32" s="2697"/>
      <c r="Z32" s="2697"/>
    </row>
    <row r="33" spans="1:26">
      <c r="A33" s="2683" t="s">
        <v>2602</v>
      </c>
      <c r="B33" s="2698">
        <f t="shared" ref="B33:C35" si="26">B32/(1+N32)</f>
        <v>254.44570563753314</v>
      </c>
      <c r="C33" s="2698">
        <f t="shared" si="26"/>
        <v>207.37543398705074</v>
      </c>
      <c r="D33" s="2698">
        <f t="shared" si="12"/>
        <v>207.37543398705074</v>
      </c>
      <c r="E33" s="2698">
        <f t="shared" ref="E33:F35" si="27">E32/(1+P32)</f>
        <v>352.81876655315932</v>
      </c>
      <c r="F33" s="2698">
        <f t="shared" si="27"/>
        <v>190.809968847352</v>
      </c>
      <c r="G33" s="3443">
        <v>2010</v>
      </c>
      <c r="H33" s="2709">
        <v>3</v>
      </c>
      <c r="I33" s="2709">
        <v>4.7300000000000004</v>
      </c>
      <c r="J33" s="2709">
        <v>3.9</v>
      </c>
      <c r="K33" s="2709">
        <v>5.03</v>
      </c>
      <c r="L33" s="2710">
        <v>4.21</v>
      </c>
      <c r="N33" s="2693">
        <f t="shared" si="14"/>
        <v>4.7300000000000002E-2</v>
      </c>
      <c r="O33" s="2694">
        <f t="shared" si="14"/>
        <v>3.9E-2</v>
      </c>
      <c r="P33" s="2694">
        <f t="shared" si="14"/>
        <v>5.0300000000000004E-2</v>
      </c>
      <c r="Q33" s="2694">
        <f t="shared" si="14"/>
        <v>4.2099999999999999E-2</v>
      </c>
      <c r="R33" s="2695"/>
      <c r="S33" s="2693"/>
      <c r="T33" s="2694"/>
      <c r="U33" s="2694"/>
      <c r="V33" s="2694"/>
    </row>
    <row r="34" spans="1:26">
      <c r="A34" s="2683" t="s">
        <v>2603</v>
      </c>
      <c r="B34" s="2698">
        <f t="shared" si="26"/>
        <v>242.95398227588385</v>
      </c>
      <c r="C34" s="2698">
        <f t="shared" si="26"/>
        <v>199.59137053614126</v>
      </c>
      <c r="D34" s="2698">
        <f t="shared" si="12"/>
        <v>199.59137053614126</v>
      </c>
      <c r="E34" s="2698">
        <f t="shared" si="27"/>
        <v>335.92189522342125</v>
      </c>
      <c r="F34" s="2698">
        <f t="shared" si="27"/>
        <v>183.10139991109489</v>
      </c>
      <c r="G34" s="3443">
        <v>2010</v>
      </c>
      <c r="H34" s="2689">
        <v>2</v>
      </c>
      <c r="I34" s="2689">
        <v>4.6900000000000004</v>
      </c>
      <c r="J34" s="2689">
        <v>3.55</v>
      </c>
      <c r="K34" s="2689">
        <v>5.07</v>
      </c>
      <c r="L34" s="2700">
        <v>4.2300000000000004</v>
      </c>
      <c r="N34" s="2693">
        <f t="shared" si="14"/>
        <v>4.6900000000000004E-2</v>
      </c>
      <c r="O34" s="2694">
        <f t="shared" si="14"/>
        <v>3.5499999999999997E-2</v>
      </c>
      <c r="P34" s="2694">
        <f t="shared" si="14"/>
        <v>5.0700000000000002E-2</v>
      </c>
      <c r="Q34" s="2694">
        <f t="shared" si="14"/>
        <v>4.2300000000000004E-2</v>
      </c>
      <c r="R34" s="2695"/>
      <c r="S34" s="2693"/>
      <c r="T34" s="2694"/>
      <c r="U34" s="2694"/>
      <c r="V34" s="2694"/>
    </row>
    <row r="35" spans="1:26" ht="13.5" thickBot="1">
      <c r="A35" s="2683" t="s">
        <v>2604</v>
      </c>
      <c r="B35" s="2698">
        <f t="shared" si="26"/>
        <v>232.06990378821649</v>
      </c>
      <c r="C35" s="2698">
        <f t="shared" si="26"/>
        <v>192.74878854286936</v>
      </c>
      <c r="D35" s="2698">
        <f t="shared" si="12"/>
        <v>192.74878854286936</v>
      </c>
      <c r="E35" s="2698">
        <f t="shared" si="27"/>
        <v>319.71247284992984</v>
      </c>
      <c r="F35" s="2698">
        <f t="shared" si="27"/>
        <v>175.67053622862409</v>
      </c>
      <c r="G35" s="3444">
        <v>2010</v>
      </c>
      <c r="H35" s="2688">
        <v>1</v>
      </c>
      <c r="I35" s="2688">
        <v>5.4</v>
      </c>
      <c r="J35" s="2688">
        <v>3.2</v>
      </c>
      <c r="K35" s="2688">
        <v>6.16</v>
      </c>
      <c r="L35" s="2699">
        <v>4.51</v>
      </c>
      <c r="N35" s="2693">
        <f t="shared" si="14"/>
        <v>5.4000000000000006E-2</v>
      </c>
      <c r="O35" s="2694">
        <f t="shared" si="14"/>
        <v>3.2000000000000001E-2</v>
      </c>
      <c r="P35" s="2694">
        <f t="shared" si="14"/>
        <v>6.1600000000000002E-2</v>
      </c>
      <c r="Q35" s="2694">
        <f t="shared" si="14"/>
        <v>4.5100000000000001E-2</v>
      </c>
      <c r="R35" s="2695"/>
      <c r="S35" s="2701">
        <f>B35/B36-1</f>
        <v>5.4863199037347599E-2</v>
      </c>
      <c r="T35" s="2702">
        <f>C35/C36-1</f>
        <v>3.0742184721226584E-2</v>
      </c>
      <c r="U35" s="2702">
        <f>E35/E36-1</f>
        <v>6.2167683886810154E-2</v>
      </c>
      <c r="V35" s="2702">
        <f>F35/F36-1</f>
        <v>4.5657953741810031E-2</v>
      </c>
      <c r="X35" s="2703"/>
      <c r="Y35" s="2703"/>
      <c r="Z35" s="2703"/>
    </row>
    <row r="36" spans="1:26" ht="13.5" thickBot="1">
      <c r="A36" s="2683" t="s">
        <v>2605</v>
      </c>
      <c r="B36" s="2690">
        <v>220</v>
      </c>
      <c r="C36" s="2690">
        <v>187</v>
      </c>
      <c r="D36" s="2690">
        <f t="shared" si="12"/>
        <v>187</v>
      </c>
      <c r="E36" s="2690">
        <v>301</v>
      </c>
      <c r="F36" s="2691">
        <v>168</v>
      </c>
      <c r="G36" s="3442">
        <v>2009</v>
      </c>
      <c r="H36" s="2704">
        <v>4</v>
      </c>
      <c r="I36" s="2704">
        <v>2.2999999999999998</v>
      </c>
      <c r="J36" s="2704">
        <v>1.04</v>
      </c>
      <c r="K36" s="2704">
        <v>2.84</v>
      </c>
      <c r="L36" s="2705">
        <v>0.67</v>
      </c>
      <c r="N36" s="2706">
        <f t="shared" si="14"/>
        <v>2.3E-2</v>
      </c>
      <c r="O36" s="2707">
        <f t="shared" si="14"/>
        <v>1.04E-2</v>
      </c>
      <c r="P36" s="2707">
        <f t="shared" si="14"/>
        <v>2.8399999999999998E-2</v>
      </c>
      <c r="Q36" s="2707">
        <f t="shared" si="14"/>
        <v>6.7000000000000002E-3</v>
      </c>
      <c r="R36" s="2695"/>
      <c r="S36" s="2696"/>
      <c r="T36" s="2697"/>
      <c r="U36" s="2697"/>
      <c r="V36" s="2697"/>
      <c r="X36" s="2697"/>
      <c r="Y36" s="2697"/>
      <c r="Z36" s="2697"/>
    </row>
    <row r="37" spans="1:26">
      <c r="A37" s="2683" t="s">
        <v>2606</v>
      </c>
      <c r="B37" s="2698">
        <f t="shared" ref="B37:C39" si="28">B36/(1+N36)</f>
        <v>215.05376344086022</v>
      </c>
      <c r="C37" s="2698">
        <f t="shared" si="28"/>
        <v>185.0752177355503</v>
      </c>
      <c r="D37" s="2698">
        <f t="shared" si="12"/>
        <v>185.0752177355503</v>
      </c>
      <c r="E37" s="2698">
        <f t="shared" ref="E37:F39" si="29">E36/(1+P36)</f>
        <v>292.68767016725008</v>
      </c>
      <c r="F37" s="2698">
        <f t="shared" si="29"/>
        <v>166.88189132810174</v>
      </c>
      <c r="G37" s="3443">
        <v>2009</v>
      </c>
      <c r="H37" s="2709">
        <v>3</v>
      </c>
      <c r="I37" s="2709">
        <v>2.1</v>
      </c>
      <c r="J37" s="2709">
        <v>1.86</v>
      </c>
      <c r="K37" s="2709">
        <v>2.29</v>
      </c>
      <c r="L37" s="2710">
        <v>0.85</v>
      </c>
      <c r="N37" s="2693">
        <f t="shared" si="14"/>
        <v>2.1000000000000001E-2</v>
      </c>
      <c r="O37" s="2711">
        <f t="shared" si="14"/>
        <v>1.8600000000000002E-2</v>
      </c>
      <c r="P37" s="2711">
        <f t="shared" si="14"/>
        <v>2.29E-2</v>
      </c>
      <c r="Q37" s="2711">
        <f t="shared" si="14"/>
        <v>8.5000000000000006E-3</v>
      </c>
      <c r="R37" s="2695"/>
      <c r="S37" s="2693"/>
      <c r="T37" s="2694"/>
      <c r="U37" s="2694"/>
      <c r="V37" s="2694"/>
    </row>
    <row r="38" spans="1:26">
      <c r="A38" s="2683" t="s">
        <v>2607</v>
      </c>
      <c r="B38" s="2698">
        <f t="shared" si="28"/>
        <v>210.630522469011</v>
      </c>
      <c r="C38" s="2698">
        <f t="shared" si="28"/>
        <v>181.69567812247232</v>
      </c>
      <c r="D38" s="2698">
        <f t="shared" si="12"/>
        <v>181.69567812247232</v>
      </c>
      <c r="E38" s="2698">
        <f t="shared" si="29"/>
        <v>286.13517466736738</v>
      </c>
      <c r="F38" s="2698">
        <f t="shared" si="29"/>
        <v>165.47535084591149</v>
      </c>
      <c r="G38" s="3443">
        <v>2009</v>
      </c>
      <c r="H38" s="2689">
        <v>2</v>
      </c>
      <c r="I38" s="2689">
        <v>0.86</v>
      </c>
      <c r="J38" s="2689">
        <v>-1.1299999999999999</v>
      </c>
      <c r="K38" s="2689">
        <v>1.79</v>
      </c>
      <c r="L38" s="2700">
        <v>-2.0699999999999998</v>
      </c>
      <c r="N38" s="2693">
        <f t="shared" si="14"/>
        <v>8.6E-3</v>
      </c>
      <c r="O38" s="2711">
        <f t="shared" si="14"/>
        <v>-1.1299999999999999E-2</v>
      </c>
      <c r="P38" s="2711">
        <f t="shared" si="14"/>
        <v>1.7899999999999999E-2</v>
      </c>
      <c r="Q38" s="2711">
        <f t="shared" si="14"/>
        <v>-2.07E-2</v>
      </c>
      <c r="R38" s="2695"/>
      <c r="S38" s="2693"/>
      <c r="T38" s="2694"/>
      <c r="U38" s="2694"/>
      <c r="V38" s="2694"/>
    </row>
    <row r="39" spans="1:26">
      <c r="A39" s="2683" t="s">
        <v>2608</v>
      </c>
      <c r="B39" s="2698">
        <f t="shared" si="28"/>
        <v>208.83454537875372</v>
      </c>
      <c r="C39" s="2698">
        <f t="shared" si="28"/>
        <v>183.77230517090351</v>
      </c>
      <c r="D39" s="2698">
        <f t="shared" si="12"/>
        <v>183.77230517090351</v>
      </c>
      <c r="E39" s="2698">
        <f t="shared" si="29"/>
        <v>281.10342338870947</v>
      </c>
      <c r="F39" s="2698">
        <f t="shared" si="29"/>
        <v>168.97309388942256</v>
      </c>
      <c r="G39" s="3444">
        <v>2009</v>
      </c>
      <c r="H39" s="2688">
        <v>1</v>
      </c>
      <c r="I39" s="2688">
        <v>-2.64</v>
      </c>
      <c r="J39" s="2688">
        <v>-2.5299999999999998</v>
      </c>
      <c r="K39" s="2688">
        <v>-3.02</v>
      </c>
      <c r="L39" s="2699">
        <v>1.52</v>
      </c>
      <c r="N39" s="2701">
        <f t="shared" si="14"/>
        <v>-2.64E-2</v>
      </c>
      <c r="O39" s="2702">
        <f t="shared" si="14"/>
        <v>-2.53E-2</v>
      </c>
      <c r="P39" s="2702">
        <f t="shared" si="14"/>
        <v>-3.0200000000000001E-2</v>
      </c>
      <c r="Q39" s="2702">
        <f t="shared" si="14"/>
        <v>1.52E-2</v>
      </c>
      <c r="R39" s="2695"/>
      <c r="S39" s="2701">
        <f>B39/B40-1</f>
        <v>-2.4137638417038754E-2</v>
      </c>
      <c r="T39" s="2702">
        <f>C39/C40-1</f>
        <v>-2.248773845264096E-2</v>
      </c>
      <c r="U39" s="2702">
        <f>E39/E40-1</f>
        <v>-2.7323794502735366E-2</v>
      </c>
      <c r="V39" s="2702">
        <f>F39/F40-1</f>
        <v>1.7910204153148035E-2</v>
      </c>
      <c r="X39" s="2703"/>
      <c r="Y39" s="2703"/>
      <c r="Z39" s="2703"/>
    </row>
    <row r="40" spans="1:26" ht="13.5" thickBot="1">
      <c r="A40" s="2683" t="s">
        <v>2609</v>
      </c>
      <c r="B40" s="2728">
        <v>214</v>
      </c>
      <c r="C40" s="2728">
        <v>188</v>
      </c>
      <c r="D40" s="2728">
        <f t="shared" si="12"/>
        <v>188</v>
      </c>
      <c r="E40" s="2728">
        <v>289</v>
      </c>
      <c r="F40" s="2729">
        <v>166</v>
      </c>
      <c r="G40" s="3442">
        <v>2008</v>
      </c>
      <c r="H40" s="2704">
        <v>4</v>
      </c>
      <c r="I40" s="2704">
        <v>1.73</v>
      </c>
      <c r="J40" s="2704">
        <v>0.03</v>
      </c>
      <c r="K40" s="2704">
        <v>2.59</v>
      </c>
      <c r="L40" s="2705">
        <v>-1.66</v>
      </c>
      <c r="N40" s="2693">
        <f t="shared" si="14"/>
        <v>1.7299999999999999E-2</v>
      </c>
      <c r="O40" s="2694">
        <f t="shared" si="14"/>
        <v>2.9999999999999997E-4</v>
      </c>
      <c r="P40" s="2694">
        <f t="shared" si="14"/>
        <v>2.5899999999999999E-2</v>
      </c>
      <c r="Q40" s="2694">
        <f t="shared" si="14"/>
        <v>-1.66E-2</v>
      </c>
      <c r="R40" s="2695"/>
      <c r="S40" s="2696"/>
      <c r="T40" s="2697"/>
      <c r="U40" s="2697"/>
      <c r="V40" s="2697"/>
      <c r="X40" s="2697"/>
      <c r="Y40" s="2697"/>
      <c r="Z40" s="2697"/>
    </row>
    <row r="41" spans="1:26">
      <c r="A41" s="2683" t="s">
        <v>2610</v>
      </c>
      <c r="B41" s="2698">
        <f t="shared" ref="B41:C43" si="30">B40/(1+N40)</f>
        <v>210.36075887152265</v>
      </c>
      <c r="C41" s="2698">
        <f t="shared" si="30"/>
        <v>187.94361691492554</v>
      </c>
      <c r="D41" s="2698">
        <f t="shared" si="12"/>
        <v>187.94361691492554</v>
      </c>
      <c r="E41" s="2698">
        <f t="shared" ref="E41:F43" si="31">E40/(1+P40)</f>
        <v>281.70386977288234</v>
      </c>
      <c r="F41" s="2698">
        <f t="shared" si="31"/>
        <v>168.80211511083994</v>
      </c>
      <c r="G41" s="3443">
        <v>2008</v>
      </c>
      <c r="H41" s="2709">
        <v>3</v>
      </c>
      <c r="I41" s="2709">
        <v>1.96</v>
      </c>
      <c r="J41" s="2709">
        <v>2.36</v>
      </c>
      <c r="K41" s="2709">
        <v>1.82</v>
      </c>
      <c r="L41" s="2710">
        <v>2.2200000000000002</v>
      </c>
      <c r="N41" s="2693">
        <f t="shared" si="14"/>
        <v>1.9599999999999999E-2</v>
      </c>
      <c r="O41" s="2694">
        <f t="shared" si="14"/>
        <v>2.3599999999999999E-2</v>
      </c>
      <c r="P41" s="2694">
        <f t="shared" si="14"/>
        <v>1.8200000000000001E-2</v>
      </c>
      <c r="Q41" s="2694">
        <f t="shared" si="14"/>
        <v>2.2200000000000001E-2</v>
      </c>
      <c r="R41" s="2695"/>
      <c r="S41" s="2693"/>
      <c r="T41" s="2694"/>
      <c r="U41" s="2694"/>
      <c r="V41" s="2694"/>
    </row>
    <row r="42" spans="1:26">
      <c r="A42" s="2683" t="s">
        <v>2611</v>
      </c>
      <c r="B42" s="2698">
        <f t="shared" si="30"/>
        <v>206.31694671589116</v>
      </c>
      <c r="C42" s="2698">
        <f t="shared" si="30"/>
        <v>183.61041121036101</v>
      </c>
      <c r="D42" s="2698">
        <f t="shared" si="12"/>
        <v>183.61041121036101</v>
      </c>
      <c r="E42" s="2698">
        <f t="shared" si="31"/>
        <v>276.66850301795557</v>
      </c>
      <c r="F42" s="2698">
        <f t="shared" si="31"/>
        <v>165.1360938278614</v>
      </c>
      <c r="G42" s="3443">
        <v>2008</v>
      </c>
      <c r="H42" s="2689">
        <v>2</v>
      </c>
      <c r="I42" s="2689">
        <v>4.93</v>
      </c>
      <c r="J42" s="2689">
        <v>7.38</v>
      </c>
      <c r="K42" s="2689">
        <v>3.98</v>
      </c>
      <c r="L42" s="2700">
        <v>6.86</v>
      </c>
      <c r="N42" s="2693">
        <f t="shared" si="14"/>
        <v>4.9299999999999997E-2</v>
      </c>
      <c r="O42" s="2694">
        <f t="shared" si="14"/>
        <v>7.3800000000000004E-2</v>
      </c>
      <c r="P42" s="2694">
        <f t="shared" si="14"/>
        <v>3.9800000000000002E-2</v>
      </c>
      <c r="Q42" s="2694">
        <f t="shared" si="14"/>
        <v>6.8600000000000008E-2</v>
      </c>
      <c r="R42" s="2695"/>
      <c r="S42" s="2693"/>
      <c r="T42" s="2694"/>
      <c r="U42" s="2694"/>
      <c r="V42" s="2694"/>
    </row>
    <row r="43" spans="1:26" s="2734" customFormat="1" ht="13.5" thickBot="1">
      <c r="A43" s="2683" t="s">
        <v>2612</v>
      </c>
      <c r="B43" s="2731">
        <f t="shared" si="30"/>
        <v>196.62341248059772</v>
      </c>
      <c r="C43" s="2731">
        <f t="shared" si="30"/>
        <v>170.99125648199012</v>
      </c>
      <c r="D43" s="2731">
        <f t="shared" si="12"/>
        <v>170.99125648199012</v>
      </c>
      <c r="E43" s="2731">
        <f t="shared" si="31"/>
        <v>266.07857570490052</v>
      </c>
      <c r="F43" s="2731">
        <f t="shared" si="31"/>
        <v>154.53499328828505</v>
      </c>
      <c r="G43" s="3444">
        <v>2008</v>
      </c>
      <c r="H43" s="2732">
        <v>1</v>
      </c>
      <c r="I43" s="2732">
        <v>4.1399999999999997</v>
      </c>
      <c r="J43" s="2732">
        <v>3.45</v>
      </c>
      <c r="K43" s="2732">
        <v>4.95</v>
      </c>
      <c r="L43" s="2733">
        <v>4.82</v>
      </c>
      <c r="N43" s="2735">
        <f t="shared" si="14"/>
        <v>4.1399999999999999E-2</v>
      </c>
      <c r="O43" s="2736">
        <f t="shared" si="14"/>
        <v>3.4500000000000003E-2</v>
      </c>
      <c r="P43" s="2736">
        <f t="shared" si="14"/>
        <v>4.9500000000000002E-2</v>
      </c>
      <c r="Q43" s="2736">
        <f t="shared" si="14"/>
        <v>4.82E-2</v>
      </c>
      <c r="R43" s="2737"/>
      <c r="S43" s="2735">
        <f>B43/B44-1</f>
        <v>4.5869215322328349E-2</v>
      </c>
      <c r="T43" s="2736">
        <f>C43/C44-1</f>
        <v>3.6310645345394743E-2</v>
      </c>
      <c r="U43" s="2736">
        <f>E43/E44-1</f>
        <v>4.7553447657088688E-2</v>
      </c>
      <c r="V43" s="2736">
        <f>F43/F44-1</f>
        <v>4.4155360055980086E-2</v>
      </c>
      <c r="X43" s="2738"/>
      <c r="Y43" s="2738"/>
      <c r="Z43" s="2738"/>
    </row>
    <row r="44" spans="1:26" ht="13.5" thickBot="1">
      <c r="A44" s="2683" t="s">
        <v>2613</v>
      </c>
      <c r="B44" s="2690">
        <v>188</v>
      </c>
      <c r="C44" s="2690">
        <v>165</v>
      </c>
      <c r="D44" s="2690">
        <f t="shared" si="12"/>
        <v>165</v>
      </c>
      <c r="E44" s="2690">
        <v>254</v>
      </c>
      <c r="F44" s="2691">
        <v>148</v>
      </c>
      <c r="G44" s="3442">
        <v>2007</v>
      </c>
      <c r="H44" s="2739">
        <v>4</v>
      </c>
      <c r="I44" s="2739">
        <v>5.51</v>
      </c>
      <c r="J44" s="2739">
        <v>4.8899999999999997</v>
      </c>
      <c r="K44" s="2739">
        <v>6.43</v>
      </c>
      <c r="L44" s="2740">
        <v>5.36</v>
      </c>
      <c r="N44" s="2741">
        <f t="shared" ref="N44:O47" si="32">B44/B45-1</f>
        <v>4.1339718365245526E-2</v>
      </c>
      <c r="O44" s="2742">
        <f t="shared" si="32"/>
        <v>4.0324492593776018E-2</v>
      </c>
      <c r="P44" s="2742">
        <f t="shared" ref="P44:Q47" si="33">E44/E45-1</f>
        <v>6.1625555347990968E-2</v>
      </c>
      <c r="Q44" s="2742">
        <f t="shared" si="33"/>
        <v>4.6757569250590603E-2</v>
      </c>
      <c r="R44" s="2695"/>
      <c r="S44" s="2696"/>
      <c r="T44" s="2697"/>
      <c r="U44" s="2697"/>
      <c r="V44" s="2697"/>
      <c r="X44" s="2697"/>
      <c r="Y44" s="2697"/>
      <c r="Z44" s="2697"/>
    </row>
    <row r="45" spans="1:26">
      <c r="A45" s="2683" t="s">
        <v>2614</v>
      </c>
      <c r="B45" s="2698">
        <f t="shared" ref="B45:C47" si="34">B46+(B$44-B$48)*I45/SUM(I$44:I$47)</f>
        <v>180.5366651097618</v>
      </c>
      <c r="C45" s="2698">
        <f t="shared" si="34"/>
        <v>158.60435967302453</v>
      </c>
      <c r="D45" s="2698">
        <f t="shared" si="12"/>
        <v>158.60435967302453</v>
      </c>
      <c r="E45" s="2698">
        <f t="shared" ref="E45:F47" si="35">E46+(E$44-E$48)*K45/SUM(K$44:K$47)</f>
        <v>239.25573260785075</v>
      </c>
      <c r="F45" s="2698">
        <f t="shared" si="35"/>
        <v>141.38899430740037</v>
      </c>
      <c r="G45" s="3443">
        <v>2007</v>
      </c>
      <c r="H45" s="2709">
        <v>3</v>
      </c>
      <c r="I45" s="2709">
        <v>8.65</v>
      </c>
      <c r="J45" s="2709">
        <v>8.06</v>
      </c>
      <c r="K45" s="2709">
        <v>9.94</v>
      </c>
      <c r="L45" s="2710">
        <v>5.8</v>
      </c>
      <c r="N45" s="2741">
        <f t="shared" si="32"/>
        <v>6.940217571740015E-2</v>
      </c>
      <c r="O45" s="2742">
        <f t="shared" si="32"/>
        <v>7.1197482471153428E-2</v>
      </c>
      <c r="P45" s="2742">
        <f t="shared" si="33"/>
        <v>0.10529679922579582</v>
      </c>
      <c r="Q45" s="2742">
        <f t="shared" si="33"/>
        <v>5.3292245059512133E-2</v>
      </c>
      <c r="R45" s="2695"/>
      <c r="S45" s="2693"/>
      <c r="T45" s="2694"/>
      <c r="U45" s="2694"/>
      <c r="V45" s="2694"/>
      <c r="X45" s="2743"/>
      <c r="Y45" s="2743"/>
      <c r="Z45" s="2743"/>
    </row>
    <row r="46" spans="1:26">
      <c r="A46" s="2683" t="s">
        <v>2615</v>
      </c>
      <c r="B46" s="2698">
        <f t="shared" si="34"/>
        <v>168.82017748715555</v>
      </c>
      <c r="C46" s="2698">
        <f t="shared" si="34"/>
        <v>148.06267029972753</v>
      </c>
      <c r="D46" s="2698">
        <f t="shared" si="12"/>
        <v>148.06267029972753</v>
      </c>
      <c r="E46" s="2698">
        <f t="shared" si="35"/>
        <v>216.46288379323747</v>
      </c>
      <c r="F46" s="2698">
        <f t="shared" si="35"/>
        <v>134.23529411764704</v>
      </c>
      <c r="G46" s="3443">
        <v>2007</v>
      </c>
      <c r="H46" s="2689">
        <v>2</v>
      </c>
      <c r="I46" s="2689">
        <v>3.67</v>
      </c>
      <c r="J46" s="2689">
        <v>2.3199999999999998</v>
      </c>
      <c r="K46" s="2689">
        <v>5.0199999999999996</v>
      </c>
      <c r="L46" s="2700">
        <v>6.71</v>
      </c>
      <c r="N46" s="2741">
        <f t="shared" si="32"/>
        <v>3.0339138143848032E-2</v>
      </c>
      <c r="O46" s="2742">
        <f t="shared" si="32"/>
        <v>2.0922341588790472E-2</v>
      </c>
      <c r="P46" s="2742">
        <f t="shared" si="33"/>
        <v>5.6164796592717003E-2</v>
      </c>
      <c r="Q46" s="2742">
        <f t="shared" si="33"/>
        <v>6.5704536723887319E-2</v>
      </c>
      <c r="R46" s="2695"/>
      <c r="S46" s="2693"/>
      <c r="T46" s="2694"/>
      <c r="U46" s="2694"/>
      <c r="V46" s="2694"/>
      <c r="X46" s="2743"/>
      <c r="Y46" s="2743"/>
      <c r="Z46" s="2743"/>
    </row>
    <row r="47" spans="1:26">
      <c r="A47" s="2683" t="s">
        <v>2616</v>
      </c>
      <c r="B47" s="2698">
        <f t="shared" si="34"/>
        <v>163.84913591779542</v>
      </c>
      <c r="C47" s="2698">
        <f t="shared" si="34"/>
        <v>145.0283378746594</v>
      </c>
      <c r="D47" s="2698">
        <f t="shared" si="12"/>
        <v>145.0283378746594</v>
      </c>
      <c r="E47" s="2698">
        <f t="shared" si="35"/>
        <v>204.95180722891567</v>
      </c>
      <c r="F47" s="2698">
        <f t="shared" si="35"/>
        <v>125.95920303605313</v>
      </c>
      <c r="G47" s="3444">
        <v>2007</v>
      </c>
      <c r="H47" s="2688">
        <v>1</v>
      </c>
      <c r="I47" s="2688">
        <v>3.58</v>
      </c>
      <c r="J47" s="2688">
        <v>3.08</v>
      </c>
      <c r="K47" s="2688">
        <v>4.34</v>
      </c>
      <c r="L47" s="2699">
        <v>3.21</v>
      </c>
      <c r="N47" s="2744">
        <f t="shared" si="32"/>
        <v>3.0497710174814063E-2</v>
      </c>
      <c r="O47" s="2745">
        <f t="shared" si="32"/>
        <v>2.8569772160704998E-2</v>
      </c>
      <c r="P47" s="2745">
        <f t="shared" si="33"/>
        <v>5.1034908866234296E-2</v>
      </c>
      <c r="Q47" s="2745">
        <f t="shared" si="33"/>
        <v>3.245248390207478E-2</v>
      </c>
      <c r="R47" s="2695"/>
      <c r="S47" s="2701">
        <f>B47/B48-1</f>
        <v>3.0497710174814063E-2</v>
      </c>
      <c r="T47" s="2702">
        <f>C47/C48-1</f>
        <v>2.8569772160704998E-2</v>
      </c>
      <c r="U47" s="2702">
        <f>E47/E48-1</f>
        <v>5.1034908866234296E-2</v>
      </c>
      <c r="V47" s="2702">
        <f>F47/F48-1</f>
        <v>3.245248390207478E-2</v>
      </c>
      <c r="X47" s="2743"/>
      <c r="Y47" s="2743"/>
      <c r="Z47" s="2743"/>
    </row>
    <row r="48" spans="1:26" ht="13.5" thickBot="1">
      <c r="A48" s="2683" t="s">
        <v>2617</v>
      </c>
      <c r="B48" s="2712">
        <v>159</v>
      </c>
      <c r="C48" s="2712">
        <v>141</v>
      </c>
      <c r="D48" s="2712">
        <f t="shared" si="12"/>
        <v>141</v>
      </c>
      <c r="E48" s="2712">
        <v>195</v>
      </c>
      <c r="F48" s="2713">
        <v>122</v>
      </c>
      <c r="G48" s="3442">
        <v>2006</v>
      </c>
      <c r="H48" s="2704">
        <v>4</v>
      </c>
      <c r="I48" s="2704">
        <v>3.79</v>
      </c>
      <c r="J48" s="2704">
        <v>2.21</v>
      </c>
      <c r="K48" s="2704">
        <v>5.65</v>
      </c>
      <c r="L48" s="2705">
        <v>5.41</v>
      </c>
      <c r="N48" s="2741">
        <f t="shared" ref="N48:O51" si="36">I48/SUM(I$48:I$51)*(B$48/B$52-1)</f>
        <v>7.245466462748526E-2</v>
      </c>
      <c r="O48" s="2742">
        <f t="shared" si="36"/>
        <v>2.3237230038062766E-2</v>
      </c>
      <c r="P48" s="2742">
        <f t="shared" ref="P48:Q51" si="37">K48/SUM(K$48:K$51)*(E$48/E$52-1)</f>
        <v>0.16146893866323722</v>
      </c>
      <c r="Q48" s="2742">
        <f t="shared" si="37"/>
        <v>5.0755230321793784E-2</v>
      </c>
      <c r="R48" s="2695"/>
      <c r="S48" s="2696"/>
      <c r="T48" s="2697"/>
      <c r="U48" s="2697"/>
      <c r="V48" s="2697"/>
      <c r="X48" s="2743"/>
      <c r="Y48" s="2743"/>
      <c r="Z48" s="2743"/>
    </row>
    <row r="49" spans="1:26">
      <c r="A49" s="2683" t="s">
        <v>2618</v>
      </c>
      <c r="B49" s="2698">
        <f t="shared" ref="B49:C51" si="38">B50+(B$48-B$52)*I49/SUM(I$48:I$51)</f>
        <v>149.00125628140702</v>
      </c>
      <c r="C49" s="2698">
        <f t="shared" si="38"/>
        <v>137.95592286501378</v>
      </c>
      <c r="D49" s="2698">
        <f t="shared" si="12"/>
        <v>137.95592286501378</v>
      </c>
      <c r="E49" s="2698">
        <f t="shared" ref="E49:F51" si="39">E50+(E$48-E$52)*K49/SUM(K$48:K$51)</f>
        <v>169.97231450719823</v>
      </c>
      <c r="F49" s="2698">
        <f t="shared" si="39"/>
        <v>116.21390374331551</v>
      </c>
      <c r="G49" s="3443">
        <v>2006</v>
      </c>
      <c r="H49" s="2709">
        <v>3</v>
      </c>
      <c r="I49" s="2709">
        <v>0.92</v>
      </c>
      <c r="J49" s="2709">
        <v>1.08</v>
      </c>
      <c r="K49" s="2709">
        <v>0.73</v>
      </c>
      <c r="L49" s="2710">
        <v>1.08</v>
      </c>
      <c r="N49" s="2741">
        <f t="shared" si="36"/>
        <v>1.7587939698492462E-2</v>
      </c>
      <c r="O49" s="2742">
        <f t="shared" si="36"/>
        <v>1.1355750425840628E-2</v>
      </c>
      <c r="P49" s="2742">
        <f t="shared" si="37"/>
        <v>2.0862358446754544E-2</v>
      </c>
      <c r="Q49" s="2742">
        <f t="shared" si="37"/>
        <v>1.0132282578103011E-2</v>
      </c>
      <c r="R49" s="2695"/>
      <c r="S49" s="2693"/>
      <c r="T49" s="2694"/>
      <c r="U49" s="2694"/>
      <c r="V49" s="2694"/>
      <c r="X49" s="2743"/>
      <c r="Y49" s="2743"/>
      <c r="Z49" s="2743"/>
    </row>
    <row r="50" spans="1:26">
      <c r="A50" s="2683" t="s">
        <v>2619</v>
      </c>
      <c r="B50" s="2698">
        <f t="shared" si="38"/>
        <v>146.57412060301507</v>
      </c>
      <c r="C50" s="2698">
        <f t="shared" si="38"/>
        <v>136.46831955922866</v>
      </c>
      <c r="D50" s="2698">
        <f t="shared" si="12"/>
        <v>136.46831955922866</v>
      </c>
      <c r="E50" s="2698">
        <f t="shared" si="39"/>
        <v>166.73864894795128</v>
      </c>
      <c r="F50" s="2698">
        <f t="shared" si="39"/>
        <v>115.05882352941177</v>
      </c>
      <c r="G50" s="3443">
        <v>2006</v>
      </c>
      <c r="H50" s="2689">
        <v>2</v>
      </c>
      <c r="I50" s="2689">
        <v>0.96</v>
      </c>
      <c r="J50" s="2689">
        <v>0.25</v>
      </c>
      <c r="K50" s="2689">
        <v>1.9</v>
      </c>
      <c r="L50" s="2700">
        <v>0.95</v>
      </c>
      <c r="N50" s="2741">
        <f t="shared" si="36"/>
        <v>1.8352632728861701E-2</v>
      </c>
      <c r="O50" s="2742">
        <f t="shared" si="36"/>
        <v>2.6286459319075526E-3</v>
      </c>
      <c r="P50" s="2742">
        <f t="shared" si="37"/>
        <v>5.4299289107991269E-2</v>
      </c>
      <c r="Q50" s="2742">
        <f t="shared" si="37"/>
        <v>8.9126559714794995E-3</v>
      </c>
      <c r="R50" s="2695"/>
      <c r="S50" s="2693"/>
      <c r="T50" s="2694"/>
      <c r="U50" s="2694"/>
      <c r="V50" s="2694"/>
      <c r="X50" s="2743"/>
      <c r="Y50" s="2743"/>
      <c r="Z50" s="2743"/>
    </row>
    <row r="51" spans="1:26">
      <c r="A51" s="2683" t="s">
        <v>2620</v>
      </c>
      <c r="B51" s="2698">
        <f t="shared" si="38"/>
        <v>144.04145728643215</v>
      </c>
      <c r="C51" s="2698">
        <f t="shared" si="38"/>
        <v>136.12396694214877</v>
      </c>
      <c r="D51" s="2698">
        <f t="shared" si="12"/>
        <v>136.12396694214877</v>
      </c>
      <c r="E51" s="2698">
        <f t="shared" si="39"/>
        <v>158.32225913621264</v>
      </c>
      <c r="F51" s="2698">
        <f t="shared" si="39"/>
        <v>114.04278074866311</v>
      </c>
      <c r="G51" s="3444">
        <v>2006</v>
      </c>
      <c r="H51" s="2688">
        <v>1</v>
      </c>
      <c r="I51" s="2688">
        <v>2.29</v>
      </c>
      <c r="J51" s="2688">
        <v>3.72</v>
      </c>
      <c r="K51" s="2688">
        <v>0.75</v>
      </c>
      <c r="L51" s="2699">
        <v>0.04</v>
      </c>
      <c r="N51" s="2744">
        <f t="shared" si="36"/>
        <v>4.3778675988638847E-2</v>
      </c>
      <c r="O51" s="2745">
        <f t="shared" si="36"/>
        <v>3.9114251466784385E-2</v>
      </c>
      <c r="P51" s="2745">
        <f t="shared" si="37"/>
        <v>2.1433929911049188E-2</v>
      </c>
      <c r="Q51" s="2745">
        <f t="shared" si="37"/>
        <v>3.7526972511492629E-4</v>
      </c>
      <c r="R51" s="2695"/>
      <c r="S51" s="2701">
        <f>B51/B52-1</f>
        <v>4.3778675988638716E-2</v>
      </c>
      <c r="T51" s="2702">
        <f>C51/C52-1</f>
        <v>3.91142514667846E-2</v>
      </c>
      <c r="U51" s="2702">
        <f>E51/E52-1</f>
        <v>2.143392991104931E-2</v>
      </c>
      <c r="V51" s="2702">
        <f>F51/F52-1</f>
        <v>3.7526972511492396E-4</v>
      </c>
      <c r="X51" s="2743"/>
      <c r="Y51" s="2743"/>
      <c r="Z51" s="2743"/>
    </row>
    <row r="52" spans="1:26" ht="13.5" thickBot="1">
      <c r="A52" s="2683" t="s">
        <v>2621</v>
      </c>
      <c r="B52" s="2712">
        <v>138</v>
      </c>
      <c r="C52" s="2712">
        <v>131</v>
      </c>
      <c r="D52" s="2712">
        <f t="shared" si="12"/>
        <v>131</v>
      </c>
      <c r="E52" s="2712">
        <v>155</v>
      </c>
      <c r="F52" s="2713">
        <v>114</v>
      </c>
      <c r="G52" s="3442">
        <v>2005</v>
      </c>
      <c r="H52" s="2704">
        <v>4</v>
      </c>
      <c r="I52" s="2704">
        <v>3.29</v>
      </c>
      <c r="J52" s="2704">
        <v>1.44</v>
      </c>
      <c r="K52" s="2704">
        <v>0.66</v>
      </c>
      <c r="L52" s="2705">
        <v>7.78</v>
      </c>
      <c r="N52" s="2741">
        <f t="shared" ref="N52:O55" si="40">I52/SUM(I$52:I$55)*(B$52/B$56-1)</f>
        <v>9.9404603216919935E-2</v>
      </c>
      <c r="O52" s="2742">
        <f t="shared" si="40"/>
        <v>4.7636550760861554E-2</v>
      </c>
      <c r="P52" s="2742">
        <f t="shared" ref="P52:Q55" si="41">K52/SUM(K$52:K$55)*(E$52/E$56-1)</f>
        <v>8.3756345177664976E-2</v>
      </c>
      <c r="Q52" s="2742">
        <f t="shared" si="41"/>
        <v>5.2148766661559584E-2</v>
      </c>
      <c r="R52" s="2695"/>
      <c r="S52" s="2696"/>
      <c r="T52" s="2697"/>
      <c r="U52" s="2697"/>
      <c r="V52" s="2697"/>
      <c r="X52" s="2743"/>
      <c r="Y52" s="2743"/>
      <c r="Z52" s="2743"/>
    </row>
    <row r="53" spans="1:26">
      <c r="A53" s="2683" t="s">
        <v>2622</v>
      </c>
      <c r="B53" s="2698">
        <f t="shared" ref="B53:C55" si="42">B54+(B$52-B$56)*I53/SUM(I$52:I$55)</f>
        <v>125.9720430107527</v>
      </c>
      <c r="C53" s="2698">
        <f t="shared" si="42"/>
        <v>125.1883408071749</v>
      </c>
      <c r="D53" s="2698">
        <f t="shared" si="12"/>
        <v>125.1883408071749</v>
      </c>
      <c r="E53" s="2698">
        <f t="shared" ref="E53:F55" si="43">E54+(E$52-E$56)*K53/SUM(K$52:K$55)</f>
        <v>144.61421319796952</v>
      </c>
      <c r="F53" s="2698">
        <f t="shared" si="43"/>
        <v>108.42008196721311</v>
      </c>
      <c r="G53" s="3443">
        <v>2005</v>
      </c>
      <c r="H53" s="2709">
        <v>3</v>
      </c>
      <c r="I53" s="2709">
        <v>0.46</v>
      </c>
      <c r="J53" s="2709">
        <v>0.32</v>
      </c>
      <c r="K53" s="2709">
        <v>0.42</v>
      </c>
      <c r="L53" s="2710">
        <v>0.64</v>
      </c>
      <c r="N53" s="2741">
        <f t="shared" si="40"/>
        <v>1.3898515951301874E-2</v>
      </c>
      <c r="O53" s="2742">
        <f t="shared" si="40"/>
        <v>1.0585900169080346E-2</v>
      </c>
      <c r="P53" s="2742">
        <f t="shared" si="41"/>
        <v>5.3299492385786795E-2</v>
      </c>
      <c r="Q53" s="2742">
        <f t="shared" si="41"/>
        <v>4.2898728359123568E-3</v>
      </c>
      <c r="R53" s="2695"/>
      <c r="S53" s="2693"/>
      <c r="T53" s="2694"/>
      <c r="U53" s="2694"/>
      <c r="V53" s="2694"/>
      <c r="X53" s="2743"/>
      <c r="Y53" s="2743"/>
      <c r="Z53" s="2743"/>
    </row>
    <row r="54" spans="1:26">
      <c r="A54" s="2683" t="s">
        <v>2623</v>
      </c>
      <c r="B54" s="2698">
        <f t="shared" si="42"/>
        <v>124.29032258064517</v>
      </c>
      <c r="C54" s="2698">
        <f t="shared" si="42"/>
        <v>123.8968609865471</v>
      </c>
      <c r="D54" s="2698">
        <f t="shared" si="12"/>
        <v>123.8968609865471</v>
      </c>
      <c r="E54" s="2698">
        <f t="shared" si="43"/>
        <v>138.00507614213197</v>
      </c>
      <c r="F54" s="2698">
        <f t="shared" si="43"/>
        <v>107.96106557377048</v>
      </c>
      <c r="G54" s="3443">
        <v>2005</v>
      </c>
      <c r="H54" s="2689">
        <v>2</v>
      </c>
      <c r="I54" s="2689">
        <v>0.47</v>
      </c>
      <c r="J54" s="2689">
        <v>0.1</v>
      </c>
      <c r="K54" s="2689">
        <v>0.52</v>
      </c>
      <c r="L54" s="2700">
        <v>0.79</v>
      </c>
      <c r="N54" s="2741">
        <f t="shared" si="40"/>
        <v>1.420065760241713E-2</v>
      </c>
      <c r="O54" s="2742">
        <f t="shared" si="40"/>
        <v>3.3080938028376083E-3</v>
      </c>
      <c r="P54" s="2742">
        <f t="shared" si="41"/>
        <v>6.598984771573603E-2</v>
      </c>
      <c r="Q54" s="2742">
        <f t="shared" si="41"/>
        <v>5.2953117818293153E-3</v>
      </c>
      <c r="R54" s="2695"/>
      <c r="S54" s="2693"/>
      <c r="T54" s="2694"/>
      <c r="U54" s="2694"/>
      <c r="V54" s="2694"/>
      <c r="X54" s="2743"/>
      <c r="Y54" s="2743"/>
      <c r="Z54" s="2743"/>
    </row>
    <row r="55" spans="1:26">
      <c r="A55" s="2683" t="s">
        <v>2624</v>
      </c>
      <c r="B55" s="2698">
        <f t="shared" si="42"/>
        <v>122.57204301075269</v>
      </c>
      <c r="C55" s="2698">
        <f t="shared" si="42"/>
        <v>123.4932735426009</v>
      </c>
      <c r="D55" s="2698">
        <f t="shared" si="12"/>
        <v>123.4932735426009</v>
      </c>
      <c r="E55" s="2698">
        <f t="shared" si="43"/>
        <v>129.82233502538071</v>
      </c>
      <c r="F55" s="2698">
        <f t="shared" si="43"/>
        <v>107.39446721311475</v>
      </c>
      <c r="G55" s="3444">
        <v>2005</v>
      </c>
      <c r="H55" s="2688">
        <v>1</v>
      </c>
      <c r="I55" s="2688">
        <v>0.43</v>
      </c>
      <c r="J55" s="2688">
        <v>0.37</v>
      </c>
      <c r="K55" s="2688">
        <v>0.37</v>
      </c>
      <c r="L55" s="2699">
        <v>0.55000000000000004</v>
      </c>
      <c r="N55" s="2744">
        <f t="shared" si="40"/>
        <v>1.2992090997956099E-2</v>
      </c>
      <c r="O55" s="2745">
        <f t="shared" si="40"/>
        <v>1.2239947070499151E-2</v>
      </c>
      <c r="P55" s="2745">
        <f t="shared" si="41"/>
        <v>4.6954314720812178E-2</v>
      </c>
      <c r="Q55" s="2745">
        <f t="shared" si="41"/>
        <v>3.6866094683621815E-3</v>
      </c>
      <c r="R55" s="2695"/>
      <c r="S55" s="2701">
        <f>B55/B56-1</f>
        <v>1.2992090997956174E-2</v>
      </c>
      <c r="T55" s="2702">
        <f>C55/C56-1</f>
        <v>1.2239947070499246E-2</v>
      </c>
      <c r="U55" s="2702">
        <f>E55/E56-1</f>
        <v>4.695431472081224E-2</v>
      </c>
      <c r="V55" s="2702">
        <f>F55/F56-1</f>
        <v>3.6866094683620787E-3</v>
      </c>
      <c r="X55" s="2743"/>
      <c r="Y55" s="2743"/>
      <c r="Z55" s="2743"/>
    </row>
    <row r="56" spans="1:26" ht="13.5" thickBot="1">
      <c r="A56" s="2683" t="s">
        <v>2625</v>
      </c>
      <c r="B56" s="2728">
        <v>121</v>
      </c>
      <c r="C56" s="2728">
        <v>122</v>
      </c>
      <c r="D56" s="2728">
        <f t="shared" si="12"/>
        <v>122</v>
      </c>
      <c r="E56" s="2728">
        <v>124</v>
      </c>
      <c r="F56" s="2729">
        <v>107</v>
      </c>
      <c r="G56" s="3442">
        <v>2004</v>
      </c>
      <c r="H56" s="2704">
        <v>4</v>
      </c>
      <c r="I56" s="2704">
        <v>0.33</v>
      </c>
      <c r="J56" s="2704">
        <v>0.5</v>
      </c>
      <c r="K56" s="2704">
        <v>0.5</v>
      </c>
      <c r="L56" s="2705">
        <v>0</v>
      </c>
      <c r="N56" s="2741">
        <f t="shared" ref="N56:O59" si="44">I56/SUM(I$56:I$59)*(B$56/B$60-1)</f>
        <v>1.3391770148526898E-2</v>
      </c>
      <c r="O56" s="2742">
        <f t="shared" si="44"/>
        <v>1.063264221158958E-2</v>
      </c>
      <c r="P56" s="2742">
        <f t="shared" ref="P56:Q59" si="45">K56/SUM(K$56:K$59)*(E$56/E$60-1)</f>
        <v>2.2244466688911134E-2</v>
      </c>
      <c r="Q56" s="2742">
        <f t="shared" si="45"/>
        <v>0</v>
      </c>
      <c r="R56" s="2695"/>
      <c r="S56" s="2696"/>
      <c r="T56" s="2697"/>
      <c r="U56" s="2697"/>
      <c r="V56" s="2697"/>
      <c r="X56" s="2743"/>
      <c r="Y56" s="2743"/>
      <c r="Z56" s="2743"/>
    </row>
    <row r="57" spans="1:26">
      <c r="A57" s="2683" t="s">
        <v>2626</v>
      </c>
      <c r="B57" s="2698">
        <f t="shared" ref="B57:C59" si="46">B58+(B$56-B$60)*I57/SUM(I$56:I$59)</f>
        <v>119.51351351351352</v>
      </c>
      <c r="C57" s="2698">
        <f t="shared" si="46"/>
        <v>120.7878787878788</v>
      </c>
      <c r="D57" s="2698">
        <f t="shared" si="12"/>
        <v>120.7878787878788</v>
      </c>
      <c r="E57" s="2698">
        <f t="shared" ref="E57:F59" si="47">E58+(E$56-E$60)*K57/SUM(K$56:K$59)</f>
        <v>121.5975975975976</v>
      </c>
      <c r="F57" s="2698">
        <f t="shared" si="47"/>
        <v>107</v>
      </c>
      <c r="G57" s="3443">
        <v>2004</v>
      </c>
      <c r="H57" s="2709">
        <v>3</v>
      </c>
      <c r="I57" s="2709">
        <v>0.56000000000000005</v>
      </c>
      <c r="J57" s="2709">
        <v>0.8</v>
      </c>
      <c r="K57" s="2709">
        <v>0.83</v>
      </c>
      <c r="L57" s="2710">
        <v>0.06</v>
      </c>
      <c r="N57" s="2741">
        <f t="shared" si="44"/>
        <v>2.2725428130833527E-2</v>
      </c>
      <c r="O57" s="2742">
        <f t="shared" si="44"/>
        <v>1.7012227538543329E-2</v>
      </c>
      <c r="P57" s="2742">
        <f t="shared" si="45"/>
        <v>3.6925814703592477E-2</v>
      </c>
      <c r="Q57" s="2742">
        <f t="shared" si="45"/>
        <v>2.8846153846153744E-2</v>
      </c>
      <c r="R57" s="2695"/>
      <c r="S57" s="2693"/>
      <c r="T57" s="2694"/>
      <c r="U57" s="2694"/>
      <c r="V57" s="2694"/>
      <c r="X57" s="2743"/>
      <c r="Y57" s="2743"/>
      <c r="Z57" s="2743"/>
    </row>
    <row r="58" spans="1:26">
      <c r="A58" s="2683" t="s">
        <v>2627</v>
      </c>
      <c r="B58" s="2698">
        <f t="shared" si="46"/>
        <v>116.99099099099099</v>
      </c>
      <c r="C58" s="2698">
        <f t="shared" si="46"/>
        <v>118.84848484848486</v>
      </c>
      <c r="D58" s="2698">
        <f t="shared" si="12"/>
        <v>118.84848484848486</v>
      </c>
      <c r="E58" s="2698">
        <f t="shared" si="47"/>
        <v>117.60960960960961</v>
      </c>
      <c r="F58" s="2698">
        <f t="shared" si="47"/>
        <v>104</v>
      </c>
      <c r="G58" s="3443">
        <v>2004</v>
      </c>
      <c r="H58" s="2689">
        <v>2</v>
      </c>
      <c r="I58" s="2689">
        <v>1</v>
      </c>
      <c r="J58" s="2689">
        <v>1.5</v>
      </c>
      <c r="K58" s="2689">
        <v>1.5</v>
      </c>
      <c r="L58" s="2700">
        <v>0</v>
      </c>
      <c r="N58" s="2741">
        <f t="shared" si="44"/>
        <v>4.0581121662202721E-2</v>
      </c>
      <c r="O58" s="2742">
        <f t="shared" si="44"/>
        <v>3.1897926634768738E-2</v>
      </c>
      <c r="P58" s="2742">
        <f t="shared" si="45"/>
        <v>6.6733400066733395E-2</v>
      </c>
      <c r="Q58" s="2742">
        <f t="shared" si="45"/>
        <v>0</v>
      </c>
      <c r="R58" s="2695"/>
      <c r="S58" s="2693"/>
      <c r="T58" s="2694"/>
      <c r="U58" s="2694"/>
      <c r="V58" s="2694"/>
      <c r="X58" s="2743"/>
      <c r="Y58" s="2743"/>
      <c r="Z58" s="2743"/>
    </row>
    <row r="59" spans="1:26" s="2734" customFormat="1" ht="13.5" thickBot="1">
      <c r="A59" s="2683" t="s">
        <v>2628</v>
      </c>
      <c r="B59" s="2731">
        <f t="shared" si="46"/>
        <v>112.48648648648648</v>
      </c>
      <c r="C59" s="2731">
        <f t="shared" si="46"/>
        <v>115.21212121212122</v>
      </c>
      <c r="D59" s="2731">
        <f t="shared" si="12"/>
        <v>115.21212121212122</v>
      </c>
      <c r="E59" s="2731">
        <f t="shared" si="47"/>
        <v>110.4024024024024</v>
      </c>
      <c r="F59" s="2731">
        <f t="shared" si="47"/>
        <v>104</v>
      </c>
      <c r="G59" s="3444">
        <v>2004</v>
      </c>
      <c r="H59" s="2732">
        <v>1</v>
      </c>
      <c r="I59" s="2732">
        <v>0.33</v>
      </c>
      <c r="J59" s="2732">
        <v>0.5</v>
      </c>
      <c r="K59" s="2732">
        <v>0.5</v>
      </c>
      <c r="L59" s="2733">
        <v>0</v>
      </c>
      <c r="N59" s="2746">
        <f t="shared" si="44"/>
        <v>1.3391770148526898E-2</v>
      </c>
      <c r="O59" s="2747">
        <f t="shared" si="44"/>
        <v>1.063264221158958E-2</v>
      </c>
      <c r="P59" s="2747">
        <f t="shared" si="45"/>
        <v>2.2244466688911134E-2</v>
      </c>
      <c r="Q59" s="2747">
        <f t="shared" si="45"/>
        <v>0</v>
      </c>
      <c r="R59" s="2737"/>
      <c r="S59" s="2735">
        <f>B59/B60-1</f>
        <v>1.3391770148526883E-2</v>
      </c>
      <c r="T59" s="2736">
        <f>C59/C60-1</f>
        <v>1.063264221158966E-2</v>
      </c>
      <c r="U59" s="2736">
        <f>E59/E60-1</f>
        <v>2.2244466688911224E-2</v>
      </c>
      <c r="V59" s="2736">
        <f>F59/F60-1</f>
        <v>0</v>
      </c>
      <c r="X59" s="2748"/>
      <c r="Y59" s="2748"/>
      <c r="Z59" s="2748"/>
    </row>
    <row r="60" spans="1:26" ht="13.5" thickBot="1">
      <c r="A60" s="2683" t="s">
        <v>2629</v>
      </c>
      <c r="B60" s="2749">
        <v>111</v>
      </c>
      <c r="C60" s="2749">
        <v>114</v>
      </c>
      <c r="D60" s="2749">
        <f t="shared" si="12"/>
        <v>114</v>
      </c>
      <c r="E60" s="2749">
        <v>108</v>
      </c>
      <c r="F60" s="2750">
        <v>104</v>
      </c>
      <c r="G60" s="3442">
        <v>2003</v>
      </c>
      <c r="H60" s="2739">
        <v>4</v>
      </c>
      <c r="I60" s="2751"/>
      <c r="J60" s="2751"/>
      <c r="K60" s="2751"/>
      <c r="L60" s="2751"/>
      <c r="N60" s="2752"/>
      <c r="O60" s="2751"/>
      <c r="P60" s="2751"/>
      <c r="Q60" s="2751"/>
      <c r="S60" s="2752"/>
      <c r="T60" s="2751"/>
      <c r="U60" s="2751"/>
      <c r="V60" s="2751"/>
      <c r="X60" s="2743"/>
      <c r="Y60" s="2743"/>
      <c r="Z60" s="2743"/>
    </row>
    <row r="61" spans="1:26">
      <c r="A61" s="2683" t="s">
        <v>2630</v>
      </c>
      <c r="B61" s="2753">
        <f t="shared" ref="B61:C63" si="48">B62+(B$60-B$64)/4</f>
        <v>109.75</v>
      </c>
      <c r="C61" s="2753">
        <f t="shared" si="48"/>
        <v>112.25</v>
      </c>
      <c r="D61" s="2753">
        <f t="shared" si="12"/>
        <v>112.25</v>
      </c>
      <c r="E61" s="2753">
        <f t="shared" ref="E61:F63" si="49">E62+(E$60-E$64)/4</f>
        <v>107.25</v>
      </c>
      <c r="F61" s="2753">
        <f t="shared" si="49"/>
        <v>103.5</v>
      </c>
      <c r="G61" s="3443">
        <v>2003</v>
      </c>
      <c r="H61" s="2709">
        <v>3</v>
      </c>
      <c r="I61" s="2751"/>
      <c r="J61" s="2751"/>
      <c r="K61" s="2751"/>
      <c r="L61" s="2751"/>
      <c r="X61" s="2743"/>
      <c r="Y61" s="2743"/>
      <c r="Z61" s="2743"/>
    </row>
    <row r="62" spans="1:26">
      <c r="A62" s="2683" t="s">
        <v>2631</v>
      </c>
      <c r="B62" s="2753">
        <f t="shared" si="48"/>
        <v>108.5</v>
      </c>
      <c r="C62" s="2753">
        <f t="shared" si="48"/>
        <v>110.5</v>
      </c>
      <c r="D62" s="2753">
        <f t="shared" si="12"/>
        <v>110.5</v>
      </c>
      <c r="E62" s="2753">
        <f t="shared" si="49"/>
        <v>106.5</v>
      </c>
      <c r="F62" s="2753">
        <f t="shared" si="49"/>
        <v>103</v>
      </c>
      <c r="G62" s="3443">
        <v>2003</v>
      </c>
      <c r="H62" s="2689">
        <v>2</v>
      </c>
      <c r="I62" s="2751"/>
      <c r="J62" s="2751"/>
      <c r="K62" s="2751"/>
      <c r="L62" s="2751"/>
      <c r="X62" s="2743"/>
      <c r="Y62" s="2743"/>
      <c r="Z62" s="2743"/>
    </row>
    <row r="63" spans="1:26" ht="13.5" thickBot="1">
      <c r="A63" s="2683" t="s">
        <v>2632</v>
      </c>
      <c r="B63" s="2753">
        <f t="shared" si="48"/>
        <v>107.25</v>
      </c>
      <c r="C63" s="2753">
        <f t="shared" si="48"/>
        <v>108.75</v>
      </c>
      <c r="D63" s="2753">
        <f t="shared" si="12"/>
        <v>108.75</v>
      </c>
      <c r="E63" s="2753">
        <f t="shared" si="49"/>
        <v>105.75</v>
      </c>
      <c r="F63" s="2753">
        <f t="shared" si="49"/>
        <v>102.5</v>
      </c>
      <c r="G63" s="3444">
        <v>2003</v>
      </c>
      <c r="H63" s="2754">
        <v>1</v>
      </c>
      <c r="I63" s="2751"/>
      <c r="J63" s="2751"/>
      <c r="K63" s="2751"/>
      <c r="L63" s="2751"/>
      <c r="S63" s="2693"/>
      <c r="T63" s="2694"/>
      <c r="U63" s="2694"/>
      <c r="X63" s="2743"/>
      <c r="Y63" s="2743"/>
      <c r="Z63" s="2743"/>
    </row>
    <row r="64" spans="1:26" ht="13.5" thickBot="1">
      <c r="A64" s="2683" t="s">
        <v>2633</v>
      </c>
      <c r="B64" s="2755">
        <v>106</v>
      </c>
      <c r="C64" s="2755">
        <v>107</v>
      </c>
      <c r="D64" s="2755">
        <f t="shared" si="12"/>
        <v>107</v>
      </c>
      <c r="E64" s="2755">
        <v>105</v>
      </c>
      <c r="F64" s="2756">
        <v>102</v>
      </c>
      <c r="G64" s="3442">
        <v>2002</v>
      </c>
      <c r="H64" s="2704">
        <v>4</v>
      </c>
      <c r="I64" s="2751"/>
      <c r="J64" s="2751"/>
      <c r="K64" s="2751"/>
      <c r="L64" s="2751"/>
      <c r="N64" s="2752"/>
      <c r="O64" s="2751"/>
      <c r="P64" s="2751"/>
      <c r="Q64" s="2751"/>
      <c r="S64" s="2752"/>
      <c r="T64" s="2751"/>
      <c r="U64" s="2751"/>
      <c r="V64" s="2751"/>
      <c r="X64" s="2743"/>
      <c r="Y64" s="2743"/>
      <c r="Z64" s="2743"/>
    </row>
    <row r="65" spans="1:26">
      <c r="A65" s="2683" t="s">
        <v>2634</v>
      </c>
      <c r="B65" s="2753">
        <f t="shared" ref="B65:C67" si="50">B66+(B$64-B$68)/4</f>
        <v>105</v>
      </c>
      <c r="C65" s="2753">
        <f t="shared" si="50"/>
        <v>106</v>
      </c>
      <c r="D65" s="2753">
        <f t="shared" si="12"/>
        <v>106</v>
      </c>
      <c r="E65" s="2753">
        <f t="shared" ref="E65:F67" si="51">E66+(E$64-E$68)/4</f>
        <v>104.5</v>
      </c>
      <c r="F65" s="2753">
        <f t="shared" si="51"/>
        <v>101.5</v>
      </c>
      <c r="G65" s="3443">
        <v>2002</v>
      </c>
      <c r="H65" s="2709">
        <v>3</v>
      </c>
      <c r="I65" s="2751"/>
      <c r="J65" s="2751"/>
      <c r="K65" s="2751"/>
      <c r="L65" s="2751"/>
      <c r="X65" s="2743"/>
      <c r="Y65" s="2743"/>
      <c r="Z65" s="2743"/>
    </row>
    <row r="66" spans="1:26">
      <c r="A66" s="2683" t="s">
        <v>2635</v>
      </c>
      <c r="B66" s="2753">
        <f t="shared" si="50"/>
        <v>104</v>
      </c>
      <c r="C66" s="2753">
        <f t="shared" si="50"/>
        <v>105</v>
      </c>
      <c r="D66" s="2753">
        <f t="shared" si="12"/>
        <v>105</v>
      </c>
      <c r="E66" s="2753">
        <f t="shared" si="51"/>
        <v>104</v>
      </c>
      <c r="F66" s="2753">
        <f t="shared" si="51"/>
        <v>101</v>
      </c>
      <c r="G66" s="3443">
        <v>2002</v>
      </c>
      <c r="H66" s="2689">
        <v>2</v>
      </c>
      <c r="I66" s="2751"/>
      <c r="J66" s="2751"/>
      <c r="K66" s="2751"/>
      <c r="L66" s="2751"/>
      <c r="X66" s="2743"/>
      <c r="Y66" s="2743"/>
      <c r="Z66" s="2743"/>
    </row>
    <row r="67" spans="1:26" s="2720" customFormat="1" ht="13.5" thickBot="1">
      <c r="A67" s="2716" t="s">
        <v>2636</v>
      </c>
      <c r="B67" s="2757">
        <f t="shared" si="50"/>
        <v>103</v>
      </c>
      <c r="C67" s="2757">
        <f t="shared" si="50"/>
        <v>104</v>
      </c>
      <c r="D67" s="2757">
        <f t="shared" si="12"/>
        <v>104</v>
      </c>
      <c r="E67" s="2757">
        <f t="shared" si="51"/>
        <v>103.5</v>
      </c>
      <c r="F67" s="2757">
        <f t="shared" si="51"/>
        <v>100.5</v>
      </c>
      <c r="G67" s="3444">
        <v>2002</v>
      </c>
      <c r="H67" s="2758">
        <v>1</v>
      </c>
      <c r="I67" s="2759"/>
      <c r="J67" s="2759"/>
      <c r="K67" s="2759"/>
      <c r="L67" s="2759"/>
      <c r="N67" s="2760"/>
      <c r="S67" s="2760"/>
      <c r="X67" s="2761"/>
      <c r="Y67" s="2761"/>
      <c r="Z67" s="2761"/>
    </row>
    <row r="68" spans="1:26" ht="13.5" thickBot="1">
      <c r="B68" s="2762">
        <v>102</v>
      </c>
      <c r="C68" s="2763">
        <v>103</v>
      </c>
      <c r="D68" s="2763">
        <f t="shared" si="12"/>
        <v>103</v>
      </c>
      <c r="E68" s="2763">
        <v>103</v>
      </c>
      <c r="F68" s="2764">
        <v>100</v>
      </c>
      <c r="I68" s="2751"/>
      <c r="J68" s="2751"/>
      <c r="K68" s="2751"/>
      <c r="L68" s="2751"/>
      <c r="N68" s="2752"/>
      <c r="O68" s="2751"/>
      <c r="P68" s="2751"/>
      <c r="Q68" s="2751"/>
      <c r="S68" s="2752"/>
      <c r="T68" s="2751"/>
      <c r="U68" s="2751"/>
      <c r="V68" s="2751"/>
      <c r="X68" s="2697"/>
      <c r="Y68" s="2697"/>
      <c r="Z68" s="2697"/>
    </row>
    <row r="70" spans="1:26" s="2766" customFormat="1">
      <c r="A70" s="2765" t="s">
        <v>2637</v>
      </c>
      <c r="G70" s="2767"/>
      <c r="N70" s="2767"/>
      <c r="S70" s="2767"/>
    </row>
    <row r="71" spans="1:26" s="2766" customFormat="1">
      <c r="A71" s="2766" t="s">
        <v>2638</v>
      </c>
      <c r="G71" s="2767"/>
      <c r="N71" s="2767"/>
      <c r="S71" s="2767"/>
    </row>
    <row r="72" spans="1:26" s="2766" customFormat="1">
      <c r="A72" s="2766" t="s">
        <v>2639</v>
      </c>
      <c r="G72" s="2767"/>
      <c r="I72" s="2768"/>
      <c r="J72" s="2768"/>
      <c r="K72" s="2768"/>
      <c r="L72" s="2768"/>
      <c r="N72" s="2769"/>
      <c r="O72" s="2768"/>
      <c r="P72" s="2768"/>
      <c r="Q72" s="2768"/>
      <c r="S72" s="2769"/>
      <c r="T72" s="2768"/>
      <c r="U72" s="2768"/>
      <c r="V72" s="2768"/>
    </row>
    <row r="73" spans="1:26" s="2766" customFormat="1">
      <c r="A73" s="2766" t="s">
        <v>2640</v>
      </c>
      <c r="G73" s="2767"/>
      <c r="N73" s="2767"/>
      <c r="S73" s="2767"/>
    </row>
    <row r="80" spans="1:26" ht="13.5" thickBot="1"/>
    <row r="81" spans="14:22" s="2692" customFormat="1">
      <c r="N81" s="2708"/>
      <c r="S81" s="2770" t="s">
        <v>2641</v>
      </c>
      <c r="T81" s="2771" t="s">
        <v>2642</v>
      </c>
      <c r="U81" s="2771" t="s">
        <v>2643</v>
      </c>
      <c r="V81" s="2771" t="s">
        <v>2644</v>
      </c>
    </row>
    <row r="82" spans="14:22" s="2692" customFormat="1">
      <c r="N82" s="2696"/>
      <c r="O82" s="2697"/>
      <c r="P82" s="2697"/>
      <c r="Q82" s="2697"/>
      <c r="S82" s="2772">
        <v>2006</v>
      </c>
      <c r="T82" s="2773">
        <v>15.1</v>
      </c>
      <c r="U82" s="2773">
        <v>7.43</v>
      </c>
      <c r="V82" s="2773">
        <v>26.26</v>
      </c>
    </row>
    <row r="83" spans="14:22" s="2692" customFormat="1">
      <c r="N83" s="2696"/>
      <c r="O83" s="2697"/>
      <c r="P83" s="2697"/>
      <c r="Q83" s="2697"/>
      <c r="S83" s="2775">
        <v>2005</v>
      </c>
      <c r="T83" s="2774">
        <v>13.9</v>
      </c>
      <c r="U83" s="2774">
        <v>7.49</v>
      </c>
      <c r="V83" s="2774">
        <v>24.92</v>
      </c>
    </row>
    <row r="84" spans="14:22" s="2692" customFormat="1">
      <c r="N84" s="2696"/>
      <c r="O84" s="2697"/>
      <c r="P84" s="2697"/>
      <c r="Q84" s="2697"/>
      <c r="S84" s="2772">
        <v>2004</v>
      </c>
      <c r="T84" s="2773">
        <v>9.48</v>
      </c>
      <c r="U84" s="2773">
        <v>7.2</v>
      </c>
      <c r="V84" s="2773">
        <v>14.68</v>
      </c>
    </row>
    <row r="85" spans="14:22" s="2692" customFormat="1">
      <c r="N85" s="2696"/>
      <c r="O85" s="2697"/>
      <c r="P85" s="2697"/>
      <c r="Q85" s="2697"/>
      <c r="S85" s="2775">
        <v>2003</v>
      </c>
      <c r="T85" s="2774">
        <v>4.5</v>
      </c>
      <c r="U85" s="2774">
        <v>6.12</v>
      </c>
      <c r="V85" s="2774">
        <v>2.34</v>
      </c>
    </row>
    <row r="86" spans="14:22" s="2692" customFormat="1" ht="13.5" thickBot="1">
      <c r="N86" s="2696"/>
      <c r="O86" s="2697"/>
      <c r="P86" s="2697"/>
      <c r="Q86" s="2697"/>
      <c r="S86" s="2776">
        <v>2002</v>
      </c>
      <c r="T86" s="2777">
        <v>3.59</v>
      </c>
      <c r="U86" s="2777">
        <v>4.54</v>
      </c>
      <c r="V86" s="2777">
        <v>2.5499999999999998</v>
      </c>
    </row>
    <row r="87" spans="14:22" s="2692" customFormat="1">
      <c r="N87" s="2696"/>
      <c r="O87" s="2697"/>
      <c r="P87" s="2697"/>
      <c r="Q87" s="2697"/>
      <c r="S87" s="2708"/>
    </row>
    <row r="88" spans="14:22" s="2692" customFormat="1">
      <c r="N88" s="2696"/>
      <c r="O88" s="2697"/>
      <c r="P88" s="2697"/>
      <c r="Q88" s="2697"/>
      <c r="S88" s="2708"/>
    </row>
    <row r="89" spans="14:22" s="2692" customFormat="1">
      <c r="N89" s="2696"/>
      <c r="O89" s="2697"/>
      <c r="P89" s="2697"/>
      <c r="Q89" s="2697"/>
      <c r="S89" s="2708"/>
    </row>
    <row r="90" spans="14:22" s="2692" customFormat="1">
      <c r="N90" s="2696"/>
      <c r="O90" s="2697"/>
      <c r="P90" s="2697"/>
      <c r="Q90" s="2697"/>
      <c r="S90" s="2708"/>
    </row>
    <row r="91" spans="14:22" s="2692" customFormat="1">
      <c r="N91" s="2696"/>
      <c r="O91" s="2697"/>
      <c r="P91" s="2697"/>
      <c r="Q91" s="2697"/>
      <c r="S91" s="2708"/>
    </row>
    <row r="92" spans="14:22" s="2692" customFormat="1">
      <c r="N92" s="2696"/>
      <c r="O92" s="2697"/>
      <c r="P92" s="2697"/>
      <c r="Q92" s="2697"/>
      <c r="S92" s="2708"/>
    </row>
    <row r="93" spans="14:22" s="2692" customFormat="1">
      <c r="N93" s="2696"/>
      <c r="O93" s="2697"/>
      <c r="P93" s="2697"/>
      <c r="Q93" s="2697"/>
      <c r="S93" s="2708"/>
    </row>
    <row r="94" spans="14:22" s="2692" customFormat="1">
      <c r="N94" s="2696"/>
      <c r="O94" s="2697"/>
      <c r="P94" s="2697"/>
      <c r="Q94" s="2697"/>
      <c r="S94" s="2708"/>
    </row>
    <row r="95" spans="14:22" s="2692" customFormat="1">
      <c r="N95" s="2696"/>
      <c r="O95" s="2697"/>
      <c r="P95" s="2697"/>
      <c r="Q95" s="2697"/>
      <c r="S95" s="2708"/>
    </row>
    <row r="96" spans="14:22" s="2692" customFormat="1">
      <c r="N96" s="2696"/>
      <c r="O96" s="2697"/>
      <c r="P96" s="2697"/>
      <c r="Q96" s="2697"/>
      <c r="S96" s="2708"/>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25" workbookViewId="0">
      <selection activeCell="C10" sqref="C10:D10"/>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466</v>
      </c>
      <c r="B1" s="2840"/>
      <c r="C1" s="2107"/>
      <c r="D1" s="2107"/>
      <c r="E1" s="2107"/>
      <c r="F1" s="2107"/>
      <c r="G1" s="2107"/>
      <c r="H1" s="2107"/>
      <c r="I1" s="2107"/>
      <c r="J1" s="2107"/>
      <c r="K1" s="425">
        <f>MATCH(B1,'数据-取费表'!A6:A16,0)+5</f>
        <v>8</v>
      </c>
    </row>
    <row r="2" spans="1:31" s="2044" customFormat="1" ht="18" customHeight="1">
      <c r="A2" s="2104" t="s">
        <v>467</v>
      </c>
      <c r="B2" s="2108">
        <f ca="1">C36</f>
        <v>30168</v>
      </c>
      <c r="C2" s="2107"/>
      <c r="D2" s="2107"/>
      <c r="E2" s="2107"/>
      <c r="F2" s="2107"/>
      <c r="G2" s="2107"/>
      <c r="H2" s="2107"/>
      <c r="I2" s="2107"/>
      <c r="J2" s="2107"/>
      <c r="K2" s="2107"/>
    </row>
    <row r="3" spans="1:31" s="2044" customFormat="1" ht="18" customHeight="1">
      <c r="A3" s="2109" t="s">
        <v>1686</v>
      </c>
      <c r="B3" s="2110">
        <f ca="1">ROUND(B2*10000/IF(B1="",'数据-汇总表'!E3,INDIRECT("'数据-取费表'!K"&amp;$K$1)),0)</f>
        <v>2774</v>
      </c>
      <c r="C3" s="2107"/>
      <c r="D3" s="2107"/>
      <c r="E3" s="2107"/>
      <c r="F3" s="2107"/>
      <c r="G3" s="2107"/>
      <c r="H3" s="2107"/>
      <c r="I3" s="2107"/>
      <c r="J3" s="2107"/>
      <c r="K3" s="2107"/>
    </row>
    <row r="4" spans="1:31" s="2044" customFormat="1" ht="18" customHeight="1">
      <c r="A4" s="429" t="s">
        <v>468</v>
      </c>
      <c r="B4" s="430">
        <f ca="1">ROUND(B2*10000/IF(B1="",'数据-汇总表'!D3,INDIRECT("'数据-取费表'!R"&amp;$K$1)),0)</f>
        <v>4161</v>
      </c>
      <c r="C4" s="431"/>
      <c r="D4" s="425"/>
      <c r="E4" s="425"/>
      <c r="F4" s="425"/>
      <c r="G4" s="425"/>
      <c r="H4" s="425"/>
      <c r="I4" s="425"/>
      <c r="J4" s="425"/>
      <c r="K4" s="425"/>
    </row>
    <row r="5" spans="1:31" s="2044" customFormat="1" ht="18" customHeight="1" thickBot="1">
      <c r="A5" s="432"/>
      <c r="B5" s="433">
        <f ca="1">ROUND(B2/(IF(B1="",'数据-汇总表'!D3,INDIRECT("'数据-取费表'!R"&amp;$K$1))/666.67),0)</f>
        <v>277</v>
      </c>
      <c r="C5" s="434" t="s">
        <v>469</v>
      </c>
      <c r="D5" s="425"/>
      <c r="E5" s="425"/>
      <c r="F5" s="425"/>
      <c r="G5" s="425"/>
      <c r="H5" s="425"/>
      <c r="I5" s="425"/>
      <c r="J5" s="425"/>
      <c r="K5" s="425"/>
    </row>
    <row r="6" spans="1:31" s="2114" customFormat="1" ht="16.5" customHeight="1">
      <c r="A6" s="2859" t="s">
        <v>1844</v>
      </c>
      <c r="B6" s="2860"/>
      <c r="C6" s="2861">
        <f ca="1">SUM(C10:K10)</f>
        <v>70010</v>
      </c>
      <c r="D6" s="2860"/>
      <c r="E6" s="2860"/>
      <c r="F6" s="2860"/>
      <c r="G6" s="2860"/>
      <c r="H6" s="2860"/>
      <c r="I6" s="2860"/>
      <c r="J6" s="2860"/>
      <c r="K6" s="2862"/>
    </row>
    <row r="7" spans="1:31" s="2116" customFormat="1" ht="15">
      <c r="A7" s="2863" t="s">
        <v>470</v>
      </c>
      <c r="B7" s="2864" t="s">
        <v>471</v>
      </c>
      <c r="C7" s="439" t="s">
        <v>3007</v>
      </c>
      <c r="D7" s="439" t="s">
        <v>3009</v>
      </c>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1847</v>
      </c>
      <c r="B8" s="261" t="s">
        <v>472</v>
      </c>
      <c r="C8" s="2865">
        <f>'不动产比较法-住宅'!B3</f>
        <v>6228</v>
      </c>
      <c r="D8" s="2865">
        <f ca="1">不动产收益法!B3</f>
        <v>10410</v>
      </c>
      <c r="E8" s="2865"/>
      <c r="F8" s="2865"/>
      <c r="G8" s="2865"/>
      <c r="H8" s="2865"/>
      <c r="I8" s="2865"/>
      <c r="J8" s="2865"/>
      <c r="K8" s="2866"/>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1848</v>
      </c>
      <c r="B9" s="261" t="s">
        <v>473</v>
      </c>
      <c r="C9" s="444">
        <f>SUMIF('数据-汇总表'!$C19:$C33,'剩余法-待开发'!C7,'数据-汇总表'!$E19:$E33)</f>
        <v>103322.66</v>
      </c>
      <c r="D9" s="444">
        <f>SUMIF('数据-汇总表'!$C19:$C33,'剩余法-待开发'!D7,'数据-汇总表'!$E19:$E33)</f>
        <v>5438.03</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7" t="s">
        <v>1849</v>
      </c>
      <c r="B10" s="2853" t="s">
        <v>474</v>
      </c>
      <c r="C10" s="3060">
        <f>'不动产比较法-住宅'!B2</f>
        <v>64349</v>
      </c>
      <c r="D10" s="3060">
        <f ca="1">不动产收益法!B2</f>
        <v>5661</v>
      </c>
      <c r="E10" s="3060"/>
      <c r="F10" s="2868"/>
      <c r="G10" s="2868"/>
      <c r="H10" s="2868"/>
      <c r="I10" s="2868"/>
      <c r="J10" s="2868"/>
      <c r="K10" s="2869"/>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70" t="s">
        <v>1845</v>
      </c>
      <c r="B11" s="2860"/>
      <c r="C11" s="2860"/>
      <c r="D11" s="2860"/>
      <c r="E11" s="2860"/>
      <c r="F11" s="2860"/>
      <c r="G11" s="2860"/>
      <c r="H11" s="2860"/>
      <c r="I11" s="2860"/>
      <c r="J11" s="2860"/>
      <c r="K11" s="2862"/>
    </row>
    <row r="12" spans="1:31" s="2088" customFormat="1" ht="13.5" customHeight="1">
      <c r="A12" s="2871" t="s">
        <v>470</v>
      </c>
      <c r="B12" s="2843" t="s">
        <v>471</v>
      </c>
      <c r="C12" s="2872" t="s">
        <v>475</v>
      </c>
      <c r="D12" s="2839" t="s">
        <v>476</v>
      </c>
      <c r="E12" s="2839" t="s">
        <v>477</v>
      </c>
      <c r="F12" s="2839" t="s">
        <v>478</v>
      </c>
      <c r="G12" s="2843"/>
      <c r="H12" s="2844"/>
      <c r="I12" s="2844"/>
      <c r="J12" s="2844"/>
      <c r="K12" s="2845"/>
    </row>
    <row r="13" spans="1:31" s="2119" customFormat="1" ht="13.5" customHeight="1">
      <c r="A13" s="2873" t="s">
        <v>1850</v>
      </c>
      <c r="B13" s="2874" t="s">
        <v>479</v>
      </c>
      <c r="C13" s="453">
        <f ca="1">IF(B1="",'数据-取费表'!P16,INDIRECT("'数据-取费表'!p"&amp;$K$1)+INDIRECT("'数据-取费表'!t"&amp;$K$1))</f>
        <v>15226</v>
      </c>
      <c r="D13" s="2875"/>
      <c r="E13" s="2876"/>
      <c r="F13" s="2877"/>
      <c r="G13" s="2843"/>
      <c r="H13" s="2844"/>
      <c r="I13" s="2844"/>
      <c r="J13" s="2844"/>
      <c r="K13" s="2845"/>
    </row>
    <row r="14" spans="1:31" s="2119" customFormat="1" ht="13.5" customHeight="1">
      <c r="A14" s="2873" t="s">
        <v>1851</v>
      </c>
      <c r="B14" s="2874" t="s">
        <v>480</v>
      </c>
      <c r="C14" s="53">
        <f ca="1">ROUND(C13*F14,0)</f>
        <v>761</v>
      </c>
      <c r="D14" s="2875"/>
      <c r="E14" s="2876"/>
      <c r="F14" s="2878">
        <f>'数据-取费表'!B33</f>
        <v>0.05</v>
      </c>
      <c r="G14" s="2843" t="s">
        <v>481</v>
      </c>
      <c r="H14" s="2844"/>
      <c r="I14" s="2844"/>
      <c r="J14" s="2844"/>
      <c r="K14" s="2845"/>
    </row>
    <row r="15" spans="1:31" s="2119" customFormat="1" ht="13.5" customHeight="1">
      <c r="A15" s="2873" t="s">
        <v>1852</v>
      </c>
      <c r="B15" s="2874" t="s">
        <v>482</v>
      </c>
      <c r="C15" s="53">
        <f ca="1">ROUND(IF(B1="",SUMIF('数据-取费表'!C:C,"住宅",'数据-取费表'!P:P)*F15,IF(INDIRECT("'数据-取费表'!c"&amp;$K$1)="住宅",INDIRECT("'数据-取费表'!P"&amp;$K$1)*F15,0)),0)</f>
        <v>723</v>
      </c>
      <c r="D15" s="2875"/>
      <c r="E15" s="2876"/>
      <c r="F15" s="2878">
        <f>'数据-取费表'!B34</f>
        <v>0.05</v>
      </c>
      <c r="G15" s="2843" t="s">
        <v>483</v>
      </c>
      <c r="H15" s="2844"/>
      <c r="I15" s="2844"/>
      <c r="J15" s="2844"/>
      <c r="K15" s="2845"/>
    </row>
    <row r="16" spans="1:31" s="2120" customFormat="1" ht="13.5" customHeight="1">
      <c r="A16" s="2873" t="s">
        <v>1853</v>
      </c>
      <c r="B16" s="2874" t="s">
        <v>484</v>
      </c>
      <c r="C16" s="53">
        <f ca="1">ROUND(D16*E16/10000,0)</f>
        <v>2175</v>
      </c>
      <c r="D16" s="2875">
        <f ca="1">IF(B1="",'数据-汇总表'!E3,INDIRECT("'数据-取费表'!K"&amp;$K$1)+INDIRECT("'数据-取费表'!S"&amp;$K$1))</f>
        <v>108760.69</v>
      </c>
      <c r="E16" s="53">
        <f>'数据-取费表'!B35</f>
        <v>200</v>
      </c>
      <c r="F16" s="2878"/>
      <c r="G16" s="2843"/>
      <c r="H16" s="2844"/>
      <c r="I16" s="2844"/>
      <c r="J16" s="2844"/>
      <c r="K16" s="2845"/>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3" t="s">
        <v>1854</v>
      </c>
      <c r="B17" s="2874" t="s">
        <v>485</v>
      </c>
      <c r="C17" s="2879">
        <f ca="1">ROUND(C13*F17,0)</f>
        <v>228</v>
      </c>
      <c r="D17" s="478"/>
      <c r="E17" s="2879"/>
      <c r="F17" s="2880">
        <f>'数据-取费表'!B36</f>
        <v>1.4999999999999999E-2</v>
      </c>
      <c r="G17" s="261" t="s">
        <v>486</v>
      </c>
      <c r="H17" s="2846"/>
      <c r="I17" s="2846"/>
      <c r="J17" s="2846"/>
      <c r="K17" s="279"/>
    </row>
    <row r="18" spans="1:14" s="2119" customFormat="1" ht="13.5" customHeight="1">
      <c r="A18" s="2881" t="s">
        <v>1855</v>
      </c>
      <c r="B18" s="2882" t="s">
        <v>487</v>
      </c>
      <c r="C18" s="2883">
        <f ca="1">SUM(C13:C17)</f>
        <v>19113</v>
      </c>
      <c r="D18" s="2884"/>
      <c r="E18" s="471"/>
      <c r="F18" s="471"/>
      <c r="G18" s="2847" t="s">
        <v>2432</v>
      </c>
      <c r="H18" s="2848"/>
      <c r="I18" s="2848"/>
      <c r="J18" s="2848"/>
      <c r="K18" s="2849"/>
    </row>
    <row r="19" spans="1:14" s="2119" customFormat="1" ht="13.5" customHeight="1">
      <c r="A19" s="2881" t="s">
        <v>1856</v>
      </c>
      <c r="B19" s="2882" t="s">
        <v>488</v>
      </c>
      <c r="C19" s="2839">
        <f ca="1">ROUND(D19*E19/10000,0)</f>
        <v>0</v>
      </c>
      <c r="D19" s="2885">
        <f ca="1">D16</f>
        <v>108760.69</v>
      </c>
      <c r="E19" s="2839">
        <f>'数据-取费表'!B32</f>
        <v>0</v>
      </c>
      <c r="F19" s="471"/>
      <c r="G19" s="2843" t="s">
        <v>489</v>
      </c>
      <c r="H19" s="2844"/>
      <c r="I19" s="2848"/>
      <c r="J19" s="2848"/>
      <c r="K19" s="2849"/>
    </row>
    <row r="20" spans="1:14" s="2119" customFormat="1" ht="13.5" customHeight="1">
      <c r="A20" s="2881" t="s">
        <v>1857</v>
      </c>
      <c r="B20" s="2882" t="s">
        <v>490</v>
      </c>
      <c r="C20" s="2839">
        <f ca="1">C21+C22-IF(B1="",'数据-取费表'!B29,IF(G20="已全部缴纳",C21+C22,H20))</f>
        <v>1439</v>
      </c>
      <c r="D20" s="2885"/>
      <c r="E20" s="2839"/>
      <c r="F20" s="2886"/>
      <c r="G20" s="3120"/>
      <c r="H20" s="2841"/>
      <c r="I20" s="2842" t="s">
        <v>2657</v>
      </c>
      <c r="J20" s="2848"/>
      <c r="K20" s="2849"/>
    </row>
    <row r="21" spans="1:14" s="2119" customFormat="1" ht="13.5" customHeight="1">
      <c r="A21" s="2873" t="s">
        <v>1858</v>
      </c>
      <c r="B21" s="2874" t="s">
        <v>491</v>
      </c>
      <c r="C21" s="53">
        <f ca="1">ROUND(D21*E21/10000,0)</f>
        <v>1385</v>
      </c>
      <c r="D21" s="2875">
        <f ca="1">IF(B1="",'数据-汇总表'!E5,IF(INDIRECT("'数据-取费表'!c"&amp;$K$1)="住宅",INDIRECT("'数据-取费表'!k"&amp;$K$1),0))</f>
        <v>103322.66</v>
      </c>
      <c r="E21" s="53">
        <f>'数据-取费表'!B27</f>
        <v>134</v>
      </c>
      <c r="F21" s="2878"/>
      <c r="G21" s="26"/>
      <c r="H21" s="51"/>
      <c r="I21" s="51"/>
      <c r="J21" s="51"/>
      <c r="K21" s="2850"/>
    </row>
    <row r="22" spans="1:14" s="2119" customFormat="1" ht="13.5" customHeight="1">
      <c r="A22" s="2873" t="s">
        <v>1859</v>
      </c>
      <c r="B22" s="2874" t="s">
        <v>492</v>
      </c>
      <c r="C22" s="53">
        <f ca="1">ROUND(D22*E22/10000,0)</f>
        <v>54</v>
      </c>
      <c r="D22" s="2875">
        <f ca="1">IF(B1="",'数据-汇总表'!E6,IF(INDIRECT("'数据-取费表'!c"&amp;$K$1)="住宅",INDIRECT("'数据-取费表'!s"&amp;$K$1),INDIRECT("'数据-取费表'!k"&amp;$K$1)+INDIRECT("'数据-取费表'!s"&amp;$K$1)))</f>
        <v>5438.0299999999988</v>
      </c>
      <c r="E22" s="53">
        <f>'数据-取费表'!B28</f>
        <v>99</v>
      </c>
      <c r="F22" s="2878"/>
      <c r="G22" s="26"/>
      <c r="H22" s="51"/>
      <c r="I22" s="51"/>
      <c r="J22" s="51"/>
      <c r="K22" s="2850"/>
    </row>
    <row r="23" spans="1:14" s="2119" customFormat="1" ht="13.5" customHeight="1">
      <c r="A23" s="2881" t="s">
        <v>1860</v>
      </c>
      <c r="B23" s="3066" t="s">
        <v>2840</v>
      </c>
      <c r="C23" s="2883">
        <f ca="1">ROUND((C18+C19+C20)*F23,0)</f>
        <v>411</v>
      </c>
      <c r="D23" s="471"/>
      <c r="E23" s="471"/>
      <c r="F23" s="2887">
        <f>'数据-取费表'!B37</f>
        <v>0.02</v>
      </c>
      <c r="G23" s="2843" t="s">
        <v>2433</v>
      </c>
      <c r="H23" s="2844"/>
      <c r="I23" s="2844"/>
      <c r="J23" s="2844"/>
      <c r="K23" s="2845"/>
      <c r="L23" s="2121"/>
      <c r="M23" s="2121"/>
      <c r="N23" s="2121"/>
    </row>
    <row r="24" spans="1:14" s="2119" customFormat="1" ht="13.5" customHeight="1">
      <c r="A24" s="2881" t="s">
        <v>1861</v>
      </c>
      <c r="B24" s="3066" t="s">
        <v>2843</v>
      </c>
      <c r="C24" s="2883">
        <f ca="1">ROUND(C6*F24,0)</f>
        <v>1400</v>
      </c>
      <c r="D24" s="478"/>
      <c r="E24" s="476"/>
      <c r="F24" s="2887">
        <f>'数据-取费表'!B38</f>
        <v>0.02</v>
      </c>
      <c r="G24" s="2852" t="s">
        <v>499</v>
      </c>
      <c r="H24" s="2846"/>
      <c r="I24" s="2846"/>
      <c r="J24" s="2846"/>
      <c r="K24" s="279"/>
      <c r="L24" s="2121"/>
      <c r="M24" s="2121"/>
      <c r="N24" s="2121"/>
    </row>
    <row r="25" spans="1:14" s="2122" customFormat="1" ht="13.5" customHeight="1">
      <c r="A25" s="2881" t="s">
        <v>1862</v>
      </c>
      <c r="B25" s="3066" t="s">
        <v>2841</v>
      </c>
      <c r="C25" s="470">
        <f>ROUND(F25/(1+'数据-取费表'!C42),4)</f>
        <v>3.8399999999999997E-2</v>
      </c>
      <c r="D25" s="465" t="s">
        <v>2835</v>
      </c>
      <c r="E25" s="472"/>
      <c r="F25" s="2887">
        <f>'数据-取费表'!B48+'数据-取费表'!B49</f>
        <v>4.0500000000000001E-2</v>
      </c>
      <c r="G25" s="2851" t="s">
        <v>2291</v>
      </c>
      <c r="H25" s="2844"/>
      <c r="I25" s="2844"/>
      <c r="J25" s="2844"/>
      <c r="K25" s="2845"/>
    </row>
    <row r="26" spans="1:14" s="2121" customFormat="1" ht="13.5" customHeight="1">
      <c r="A26" s="2881" t="s">
        <v>1863</v>
      </c>
      <c r="B26" s="3067" t="s">
        <v>2842</v>
      </c>
      <c r="C26" s="2888">
        <f ca="1">C28</f>
        <v>1062</v>
      </c>
      <c r="D26" s="470">
        <f ca="1">C27</f>
        <v>0.10100000000000001</v>
      </c>
      <c r="E26" s="472" t="s">
        <v>495</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8"/>
      <c r="I26" s="2848"/>
      <c r="J26" s="2848"/>
      <c r="K26" s="2849"/>
    </row>
    <row r="27" spans="1:14" s="2123" customFormat="1" ht="13.5" customHeight="1">
      <c r="A27" s="806" t="s">
        <v>1858</v>
      </c>
      <c r="B27" s="2889" t="s">
        <v>496</v>
      </c>
      <c r="C27" s="2890">
        <f ca="1">ROUND(IF('数据-取费表'!B22&lt;=1,(1+C25)*F26*'数据-取费表'!B24,(1+C25)*(POWER((1+F26),'数据-取费表'!B24)-1)),4)</f>
        <v>0.10100000000000001</v>
      </c>
      <c r="D27" s="475"/>
      <c r="E27" s="476"/>
      <c r="F27" s="477"/>
      <c r="G27" s="2599" t="str">
        <f>IF('数据-取费表'!B22&lt;=1,"（1+取得税费率/(1+5%)）×年利率×建设期","（1+取得税费率）/(1+5%)×((1+年利率)^建设期-1)")</f>
        <v>（1+取得税费率）/(1+5%)×((1+年利率)^建设期-1)</v>
      </c>
      <c r="H27" s="2846"/>
      <c r="I27" s="2846"/>
      <c r="J27" s="2846"/>
      <c r="K27" s="279"/>
    </row>
    <row r="28" spans="1:14" s="2123" customFormat="1" ht="13.5" customHeight="1">
      <c r="A28" s="806" t="s">
        <v>1859</v>
      </c>
      <c r="B28" s="2889" t="s">
        <v>2844</v>
      </c>
      <c r="C28" s="2891">
        <f ca="1">ROUND(IF('数据-取费表'!B22&lt;=1,(C18+C19+C20+C23+C24)*F26*'数据-取费表'!B24/2,(C18+C19+C20+C23+C24)*(POWER((1+F26),'数据-取费表'!B24/2)-1)),0)</f>
        <v>1062</v>
      </c>
      <c r="D28" s="475"/>
      <c r="E28" s="476"/>
      <c r="F28" s="477"/>
      <c r="G28" s="2599" t="str">
        <f>IF('数据-取费表'!B22&lt;=1,"（1）-（4）项×年利率×建设期÷2","（1）-（4）项×((1+年利率)^(建设期÷2)-1)")</f>
        <v>（1）-（4）项×((1+年利率)^(建设期÷2)-1)</v>
      </c>
      <c r="H28" s="2846"/>
      <c r="I28" s="2846"/>
      <c r="J28" s="2846"/>
      <c r="K28" s="279"/>
    </row>
    <row r="29" spans="1:14" s="2123" customFormat="1" ht="13.5" customHeight="1">
      <c r="A29" s="2892" t="s">
        <v>1864</v>
      </c>
      <c r="B29" s="2882" t="s">
        <v>497</v>
      </c>
      <c r="C29" s="2883">
        <f ca="1">ROUND(C6*F29/(1+'数据-取费表'!C42),0)</f>
        <v>4158</v>
      </c>
      <c r="D29" s="471"/>
      <c r="E29" s="471"/>
      <c r="F29" s="3068">
        <f>'数据-取费表'!B41</f>
        <v>6.2719999999999998E-2</v>
      </c>
      <c r="G29" s="2852" t="s">
        <v>498</v>
      </c>
      <c r="H29" s="2844"/>
      <c r="I29" s="2844"/>
      <c r="J29" s="2844"/>
      <c r="K29" s="2845"/>
    </row>
    <row r="30" spans="1:14" s="2124" customFormat="1" ht="13.5" customHeight="1">
      <c r="A30" s="1639" t="s">
        <v>1865</v>
      </c>
      <c r="B30" s="2893" t="s">
        <v>500</v>
      </c>
      <c r="C30" s="2888">
        <f ca="1">C31</f>
        <v>27583</v>
      </c>
      <c r="D30" s="480">
        <f ca="1">C32</f>
        <v>0.1394</v>
      </c>
      <c r="E30" s="472" t="s">
        <v>495</v>
      </c>
      <c r="F30" s="474"/>
      <c r="G30" s="2843" t="s">
        <v>501</v>
      </c>
      <c r="H30" s="2844"/>
      <c r="I30" s="2844"/>
      <c r="J30" s="2844"/>
      <c r="K30" s="2845"/>
    </row>
    <row r="31" spans="1:14" s="2123" customFormat="1" ht="13.5" customHeight="1">
      <c r="A31" s="806" t="s">
        <v>1858</v>
      </c>
      <c r="B31" s="2889"/>
      <c r="C31" s="453">
        <f ca="1">C18+C19+C20+C23+C24+C26+C29</f>
        <v>27583</v>
      </c>
      <c r="D31" s="475"/>
      <c r="E31" s="476"/>
      <c r="F31" s="477"/>
      <c r="G31" s="261"/>
      <c r="H31" s="2846"/>
      <c r="I31" s="2846"/>
      <c r="J31" s="2846"/>
      <c r="K31" s="279"/>
    </row>
    <row r="32" spans="1:14" s="2123" customFormat="1" ht="13.5" customHeight="1">
      <c r="A32" s="806" t="s">
        <v>1859</v>
      </c>
      <c r="B32" s="2889"/>
      <c r="C32" s="53">
        <f ca="1">ROUND(C25+D26,4)</f>
        <v>0.1394</v>
      </c>
      <c r="D32" s="475"/>
      <c r="E32" s="476"/>
      <c r="F32" s="477"/>
      <c r="G32" s="261"/>
      <c r="H32" s="2846"/>
      <c r="I32" s="2846"/>
      <c r="J32" s="2846"/>
      <c r="K32" s="279"/>
    </row>
    <row r="33" spans="1:11" s="2125" customFormat="1" ht="13.5" customHeight="1">
      <c r="A33" s="3065" t="s">
        <v>2839</v>
      </c>
      <c r="B33" s="3063" t="s">
        <v>2837</v>
      </c>
      <c r="C33" s="481">
        <f ca="1">C35</f>
        <v>3354</v>
      </c>
      <c r="D33" s="470">
        <f ca="1">C34</f>
        <v>0.15579999999999999</v>
      </c>
      <c r="E33" s="472" t="s">
        <v>495</v>
      </c>
      <c r="F33" s="482">
        <f ca="1">IF(B1="",'数据-取费表'!Q16,INDIRECT("'数据-取费表'!q"&amp;$K$1))</f>
        <v>0.15</v>
      </c>
      <c r="G33" s="2847"/>
      <c r="H33" s="2848"/>
      <c r="I33" s="2848"/>
      <c r="J33" s="2848"/>
      <c r="K33" s="2849"/>
    </row>
    <row r="34" spans="1:11" s="2126" customFormat="1" ht="13.5" customHeight="1">
      <c r="A34" s="378" t="s">
        <v>1858</v>
      </c>
      <c r="B34" s="2894" t="s">
        <v>502</v>
      </c>
      <c r="C34" s="475">
        <f ca="1">ROUND((1+C25)*F33,4)</f>
        <v>0.15579999999999999</v>
      </c>
      <c r="D34" s="475"/>
      <c r="E34" s="476"/>
      <c r="F34" s="483"/>
      <c r="G34" s="261" t="s">
        <v>2292</v>
      </c>
      <c r="H34" s="2846"/>
      <c r="I34" s="2846"/>
      <c r="J34" s="2846"/>
      <c r="K34" s="279"/>
    </row>
    <row r="35" spans="1:11" s="2126" customFormat="1" ht="13.5" customHeight="1" thickBot="1">
      <c r="A35" s="1640" t="s">
        <v>1859</v>
      </c>
      <c r="B35" s="3064" t="s">
        <v>2845</v>
      </c>
      <c r="C35" s="1632">
        <f ca="1">ROUND((C18+C19+C20+C23+C24)*F33,0)</f>
        <v>3354</v>
      </c>
      <c r="D35" s="1633"/>
      <c r="E35" s="2895"/>
      <c r="F35" s="1634"/>
      <c r="G35" s="2853"/>
      <c r="H35" s="2854"/>
      <c r="I35" s="2854"/>
      <c r="J35" s="2854"/>
      <c r="K35" s="2855"/>
    </row>
    <row r="36" spans="1:11" s="2088" customFormat="1" ht="13.5" customHeight="1" thickBot="1">
      <c r="A36" s="284" t="s">
        <v>1846</v>
      </c>
      <c r="B36" s="2857"/>
      <c r="C36" s="2896">
        <f ca="1">ROUND((C6-C30-C33)/(1+D30+D33),0)</f>
        <v>30168</v>
      </c>
      <c r="D36" s="2857"/>
      <c r="E36" s="2857"/>
      <c r="F36" s="2857"/>
      <c r="G36" s="2856" t="s">
        <v>2846</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大业信托有限责任公司：</v>
      </c>
    </row>
    <row r="4" spans="1:4" ht="37.5">
      <c r="A4" s="1794" t="str">
        <f>"受贵公司委托，我公司对"&amp;项目基本情况!K2&amp;项目基本情况!B9&amp;"进行了预评估。"</f>
        <v>受贵公司委托，我公司对沈阳市沈阳市浑南区香堤路197号出让国有建设用地使用权抵押价格进行了预评估。</v>
      </c>
    </row>
    <row r="5" spans="1:4" ht="18.75">
      <c r="A5" s="1797" t="s">
        <v>1907</v>
      </c>
    </row>
    <row r="6" spans="1:4" ht="112.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沈阳颐和城地产开发有限公司使用的、位于沈阳市沈阳市浑南区香堤路197号出让国有建设用地使用权。根据《国有建设用地使用权出让合同》[电子监管号：2101122013B03485]及附件，估价对象（分摊）出让国有建设用地使用权面积为72507.13平方米。根据《不动产权证书》[辽（2017）沈阳市不动产权第9000184号]，估价对象规划建筑面积为108760.69平方米。</v>
      </c>
    </row>
    <row r="7" spans="1:4" ht="56.25">
      <c r="A7" s="1798" t="s">
        <v>2753</v>
      </c>
    </row>
    <row r="8" spans="1:4" ht="18.75">
      <c r="A8" s="1797" t="s">
        <v>1908</v>
      </c>
    </row>
    <row r="9" spans="1:4" ht="93.75">
      <c r="A9" s="1799" t="str">
        <f>IF(项目基本情况!B8="抵押",IF(项目基本情况!B5=项目基本情况!B6,定义!C51,定义!B51),定义!D51)</f>
        <v>沈阳颐和城地产开发有限公司拟使用沈阳市沈阳市浑南区香堤路197号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2017年10月10日（评估专业人员勘察现场之日）</v>
      </c>
    </row>
    <row r="12" spans="1:4" ht="18.75">
      <c r="A12" s="1800" t="s">
        <v>2027</v>
      </c>
    </row>
    <row r="13" spans="1:4" ht="18.75">
      <c r="A13" s="1794" t="s">
        <v>2947</v>
      </c>
    </row>
    <row r="14" spans="1:4" ht="37.5">
      <c r="A14" s="1794" t="str">
        <f>"根据"&amp;项目基本情况!F12&amp;"，本次评估估价对象证载（地类）用途为"&amp;项目基本情况!B12&amp;"。"</f>
        <v>根据《不动产权证书》[辽（2017）沈阳市不动产权第9000184号]，本次评估估价对象证载（地类）用途为城镇住宅用地和其他商服用地。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2075</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2101122013B03485]及附件，估价对象（分摊）出让国有建设用地使用权面积为72507.13平方米。根据《不动产权证书》[辽（2017）沈阳市不动产权第9000184号]，估价对象规划建筑面积为108760.69平方米。</v>
      </c>
    </row>
    <row r="21" spans="1:1" ht="18.75">
      <c r="A21" s="1794" t="s">
        <v>2076</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辽（2017）沈阳市不动产权第9000184号]证载土地终止日期为住宅2084年7月27日、商业2054年7月27日。截至估价期日，出让国有建设用地使用权剩余土地使用年限为住宅66.84年，商业36.90年。</v>
      </c>
    </row>
    <row r="23" spans="1:1" ht="18.75">
      <c r="A23" s="1794" t="str">
        <f>IF(项目基本情况!B16="出让","本次评估设定估价对象剩余土地使用年限为"&amp;项目基本情况!D20&amp;"。","")</f>
        <v>本次评估设定估价对象剩余土地使用年限为住宅66.84年，商业36.90年。</v>
      </c>
    </row>
    <row r="24" spans="1:1" ht="18.75">
      <c r="A24" s="1794" t="s">
        <v>2077</v>
      </c>
    </row>
    <row r="25" spans="1:1" ht="93.75">
      <c r="A25" s="1794" t="str">
        <f>定义!C53</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住宅、商业，剩余土地使用年限为住宅66.84年，商业36.90年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56" zoomScale="80" zoomScaleNormal="80" workbookViewId="0">
      <selection activeCell="M21" sqref="M21"/>
    </sheetView>
  </sheetViews>
  <sheetFormatPr defaultRowHeight="14.25"/>
  <cols>
    <col min="1" max="1" width="10.5" style="1340" customWidth="1"/>
    <col min="2" max="2" width="15.75" style="1340" customWidth="1"/>
    <col min="3" max="3" width="15.125" style="1340" customWidth="1"/>
    <col min="4" max="4" width="12.25" style="1340" customWidth="1"/>
    <col min="5" max="5" width="15.75" style="1340" customWidth="1"/>
    <col min="6" max="6" width="12.25" style="1340" customWidth="1"/>
    <col min="7" max="7" width="16.1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0" t="s">
        <v>720</v>
      </c>
      <c r="C1" s="2651" t="s">
        <v>721</v>
      </c>
      <c r="D1" s="2652" t="s">
        <v>3007</v>
      </c>
      <c r="E1" s="2653"/>
      <c r="F1" s="2838" t="s">
        <v>3019</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49">
        <f>ROUND(B3*D3/10000,0)</f>
        <v>64349</v>
      </c>
      <c r="C2" s="2130"/>
      <c r="D2" s="2130"/>
      <c r="E2" s="2130"/>
      <c r="F2" s="2204"/>
      <c r="G2" s="2130"/>
      <c r="H2" s="2130"/>
      <c r="I2" s="2130"/>
      <c r="J2" s="2130"/>
      <c r="K2" s="2205"/>
      <c r="L2" s="2206"/>
      <c r="M2" s="2207"/>
      <c r="N2" s="2207"/>
      <c r="O2" s="2207"/>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6228</v>
      </c>
      <c r="C3" s="855" t="s">
        <v>723</v>
      </c>
      <c r="D3" s="854">
        <f>SUMIF('数据-汇总表'!$C19:$C33,D1,'数据-汇总表'!$E19:$E33)</f>
        <v>103322.66</v>
      </c>
      <c r="E3" s="2130"/>
      <c r="F3" s="2204"/>
      <c r="G3" s="2130"/>
      <c r="H3" s="2130"/>
      <c r="I3" s="2130"/>
      <c r="J3" s="2130"/>
      <c r="K3" s="2205"/>
      <c r="L3" s="2206"/>
      <c r="M3" s="2207"/>
      <c r="N3" s="2207"/>
      <c r="O3" s="2207"/>
      <c r="P3" s="1606"/>
      <c r="Q3" s="1606"/>
      <c r="R3" s="1606"/>
      <c r="S3" s="1606"/>
      <c r="T3" s="1606"/>
      <c r="U3" s="1606"/>
      <c r="V3" s="1606"/>
      <c r="W3" s="1606"/>
      <c r="X3" s="1606"/>
      <c r="Y3" s="1606"/>
      <c r="Z3" s="1606"/>
      <c r="AA3" s="1606"/>
      <c r="AB3" s="1606"/>
      <c r="AC3" s="1608"/>
    </row>
    <row r="4" spans="1:29" ht="15">
      <c r="A4" s="515" t="s">
        <v>522</v>
      </c>
      <c r="B4" s="516"/>
      <c r="C4" s="3366" t="s">
        <v>523</v>
      </c>
      <c r="D4" s="3367"/>
      <c r="E4" s="3403" t="s">
        <v>524</v>
      </c>
      <c r="F4" s="3404"/>
      <c r="G4" s="3366" t="s">
        <v>525</v>
      </c>
      <c r="H4" s="3367"/>
      <c r="I4" s="3366" t="s">
        <v>526</v>
      </c>
      <c r="J4" s="3367"/>
      <c r="K4" s="856" t="s">
        <v>527</v>
      </c>
      <c r="L4" s="2136"/>
      <c r="M4" s="2137"/>
      <c r="N4" s="2137"/>
      <c r="O4" s="2137"/>
      <c r="P4" s="3368" t="s">
        <v>528</v>
      </c>
      <c r="Q4" s="3369"/>
      <c r="R4" s="3374" t="s">
        <v>524</v>
      </c>
      <c r="S4" s="3375"/>
      <c r="T4" s="3374" t="s">
        <v>525</v>
      </c>
      <c r="U4" s="3375"/>
      <c r="V4" s="3361" t="s">
        <v>526</v>
      </c>
      <c r="W4" s="3361"/>
      <c r="X4" s="1571"/>
      <c r="Y4" s="3374" t="s">
        <v>528</v>
      </c>
      <c r="Z4" s="3375"/>
      <c r="AA4" s="3363" t="s">
        <v>524</v>
      </c>
      <c r="AB4" s="3363" t="s">
        <v>525</v>
      </c>
      <c r="AC4" s="3363" t="s">
        <v>526</v>
      </c>
    </row>
    <row r="5" spans="1:29" ht="15">
      <c r="A5" s="518"/>
      <c r="B5" s="519"/>
      <c r="C5" s="3384" t="s">
        <v>2933</v>
      </c>
      <c r="D5" s="3383"/>
      <c r="E5" s="3456" t="s">
        <v>3109</v>
      </c>
      <c r="F5" s="3406"/>
      <c r="G5" s="3382" t="s">
        <v>3108</v>
      </c>
      <c r="H5" s="3383"/>
      <c r="I5" s="3382" t="s">
        <v>3107</v>
      </c>
      <c r="J5" s="3383"/>
      <c r="K5" s="857"/>
      <c r="L5" s="2136"/>
      <c r="M5" s="2137"/>
      <c r="N5" s="2137"/>
      <c r="O5" s="2137"/>
      <c r="P5" s="3370"/>
      <c r="Q5" s="3371"/>
      <c r="R5" s="3376"/>
      <c r="S5" s="3377"/>
      <c r="T5" s="3376"/>
      <c r="U5" s="3377"/>
      <c r="V5" s="3361"/>
      <c r="W5" s="3361"/>
      <c r="X5" s="1571"/>
      <c r="Y5" s="3376"/>
      <c r="Z5" s="3377"/>
      <c r="AA5" s="3364"/>
      <c r="AB5" s="3364"/>
      <c r="AC5" s="3364"/>
    </row>
    <row r="6" spans="1:29" ht="15.75" thickBot="1">
      <c r="A6" s="520"/>
      <c r="B6" s="521"/>
      <c r="C6" s="3400" t="s">
        <v>2937</v>
      </c>
      <c r="D6" s="3381"/>
      <c r="E6" s="3455" t="s">
        <v>3059</v>
      </c>
      <c r="F6" s="3402"/>
      <c r="G6" s="3380" t="s">
        <v>3102</v>
      </c>
      <c r="H6" s="3381"/>
      <c r="I6" s="3380" t="s">
        <v>3103</v>
      </c>
      <c r="J6" s="3381"/>
      <c r="K6" s="857" t="s">
        <v>529</v>
      </c>
      <c r="L6" s="2136"/>
      <c r="M6" s="2137"/>
      <c r="N6" s="2137"/>
      <c r="O6" s="2137"/>
      <c r="P6" s="3372"/>
      <c r="Q6" s="3373"/>
      <c r="R6" s="3376"/>
      <c r="S6" s="3377"/>
      <c r="T6" s="3378"/>
      <c r="U6" s="3379"/>
      <c r="V6" s="3361"/>
      <c r="W6" s="3361"/>
      <c r="X6" s="1571"/>
      <c r="Y6" s="3378"/>
      <c r="Z6" s="3379"/>
      <c r="AA6" s="3365"/>
      <c r="AB6" s="3365"/>
      <c r="AC6" s="3365"/>
    </row>
    <row r="7" spans="1:29" s="1223" customFormat="1" ht="15.75" thickBot="1">
      <c r="A7" s="2943"/>
      <c r="B7" s="2950" t="s">
        <v>530</v>
      </c>
      <c r="C7" s="522">
        <f>'数据-取费表'!B2</f>
        <v>43018</v>
      </c>
      <c r="D7" s="523">
        <v>100</v>
      </c>
      <c r="E7" s="524">
        <f>C7</f>
        <v>43018</v>
      </c>
      <c r="F7" s="525">
        <f>SUMIF(58:58,YEAR(E7)&amp;"-"&amp;MONTH(E7),59:59)</f>
        <v>100</v>
      </c>
      <c r="G7" s="526">
        <f>C7</f>
        <v>43018</v>
      </c>
      <c r="H7" s="523">
        <f>SUMIF(58:58,YEAR(G7)&amp;"-"&amp;MONTH(G7),59:59)</f>
        <v>100</v>
      </c>
      <c r="I7" s="526">
        <f>C7</f>
        <v>43018</v>
      </c>
      <c r="J7" s="523">
        <f>SUMIF(58:58,YEAR(I7)&amp;"-"&amp;MONTH(I7),59:59)</f>
        <v>100</v>
      </c>
      <c r="K7" s="858"/>
      <c r="L7" s="2138"/>
      <c r="M7" s="2139"/>
      <c r="N7" s="2139"/>
      <c r="O7" s="2139"/>
      <c r="P7" s="3393" t="s">
        <v>531</v>
      </c>
      <c r="Q7" s="3395"/>
      <c r="R7" s="1572" t="s">
        <v>13</v>
      </c>
      <c r="S7" s="1573">
        <f t="shared" ref="S7:S15" si="0">F7</f>
        <v>100</v>
      </c>
      <c r="T7" s="1572" t="s">
        <v>13</v>
      </c>
      <c r="U7" s="1573">
        <f t="shared" ref="U7:U15" si="1">H7</f>
        <v>100</v>
      </c>
      <c r="V7" s="1572" t="s">
        <v>13</v>
      </c>
      <c r="W7" s="1573">
        <f t="shared" ref="W7:W15" si="2">J7</f>
        <v>100</v>
      </c>
      <c r="X7" s="1574"/>
      <c r="Y7" s="3393" t="s">
        <v>531</v>
      </c>
      <c r="Z7" s="3394"/>
      <c r="AA7" s="1575">
        <f>D7/F7</f>
        <v>1</v>
      </c>
      <c r="AB7" s="1575">
        <f>D7/H7</f>
        <v>1</v>
      </c>
      <c r="AC7" s="1575">
        <f>D7/J7</f>
        <v>1</v>
      </c>
    </row>
    <row r="8" spans="1:29" s="1223" customFormat="1" ht="15.75" thickBot="1">
      <c r="A8" s="2944"/>
      <c r="B8" s="2951" t="s">
        <v>532</v>
      </c>
      <c r="C8" s="528" t="s">
        <v>577</v>
      </c>
      <c r="D8" s="523">
        <v>100</v>
      </c>
      <c r="E8" s="859" t="s">
        <v>3014</v>
      </c>
      <c r="F8" s="525">
        <f>SUMIF(61:61,E8,62:62)-SUMIF(61:61,C8,62:62)+100</f>
        <v>100</v>
      </c>
      <c r="G8" s="528" t="s">
        <v>3014</v>
      </c>
      <c r="H8" s="523">
        <f>SUMIF(61:61,G8,62:62)-SUMIF(61:61,C8,62:62)+100</f>
        <v>100</v>
      </c>
      <c r="I8" s="859" t="s">
        <v>3014</v>
      </c>
      <c r="J8" s="523">
        <f>SUMIF(61:61,I8,62:62)-SUMIF(61:61,C8,62:62)+100</f>
        <v>100</v>
      </c>
      <c r="K8" s="858"/>
      <c r="L8" s="2138"/>
      <c r="M8" s="2139"/>
      <c r="N8" s="2139"/>
      <c r="O8" s="2139"/>
      <c r="P8" s="3393" t="s">
        <v>534</v>
      </c>
      <c r="Q8" s="3394"/>
      <c r="R8" s="1572" t="s">
        <v>13</v>
      </c>
      <c r="S8" s="1573">
        <f t="shared" si="0"/>
        <v>100</v>
      </c>
      <c r="T8" s="1572" t="s">
        <v>13</v>
      </c>
      <c r="U8" s="1573">
        <f t="shared" si="1"/>
        <v>100</v>
      </c>
      <c r="V8" s="1572" t="s">
        <v>13</v>
      </c>
      <c r="W8" s="1573">
        <f t="shared" si="2"/>
        <v>100</v>
      </c>
      <c r="X8" s="1574"/>
      <c r="Y8" s="3393" t="s">
        <v>534</v>
      </c>
      <c r="Z8" s="3394"/>
      <c r="AA8" s="1575">
        <f t="shared" ref="AA8:AA46" si="3">D8/F8</f>
        <v>1</v>
      </c>
      <c r="AB8" s="1575">
        <f t="shared" ref="AB8:AB46" si="4">D8/H8</f>
        <v>1</v>
      </c>
      <c r="AC8" s="1575">
        <f t="shared" ref="AC8:AC46" si="5">D8/J8</f>
        <v>1</v>
      </c>
    </row>
    <row r="9" spans="1:29" s="1223" customFormat="1" ht="15">
      <c r="A9" s="2945"/>
      <c r="B9" s="2952" t="s">
        <v>2762</v>
      </c>
      <c r="C9" s="3169" t="s">
        <v>3060</v>
      </c>
      <c r="D9" s="254">
        <v>100</v>
      </c>
      <c r="E9" s="861" t="s">
        <v>924</v>
      </c>
      <c r="F9" s="862">
        <f>SUMIF(63:63,E9,64:64)-SUMIF(63:63,C9,64:64)+100</f>
        <v>100</v>
      </c>
      <c r="G9" s="863" t="s">
        <v>924</v>
      </c>
      <c r="H9" s="254">
        <f>SUMIF(63:63,G9,64:64)-SUMIF(63:63,C9,64:64)+100</f>
        <v>100</v>
      </c>
      <c r="I9" s="863" t="s">
        <v>924</v>
      </c>
      <c r="J9" s="254">
        <f>SUMIF(63:63,I9,64:64)-SUMIF(63:63,C9,64:64)+100</f>
        <v>100</v>
      </c>
      <c r="K9" s="858"/>
      <c r="L9" s="2138"/>
      <c r="M9" s="2139"/>
      <c r="N9" s="2139"/>
      <c r="O9" s="2140"/>
      <c r="P9" s="3360" t="s">
        <v>536</v>
      </c>
      <c r="Q9" s="1154" t="str">
        <f t="shared" ref="Q9:Q15" si="6">B9</f>
        <v>用途</v>
      </c>
      <c r="R9" s="1572" t="s">
        <v>8</v>
      </c>
      <c r="S9" s="1573">
        <f t="shared" si="0"/>
        <v>100</v>
      </c>
      <c r="T9" s="1572" t="s">
        <v>8</v>
      </c>
      <c r="U9" s="1573">
        <f t="shared" si="1"/>
        <v>100</v>
      </c>
      <c r="V9" s="1572" t="s">
        <v>8</v>
      </c>
      <c r="W9" s="1573">
        <f t="shared" si="2"/>
        <v>100</v>
      </c>
      <c r="X9" s="1574"/>
      <c r="Y9" s="3306" t="s">
        <v>537</v>
      </c>
      <c r="Z9" s="1153" t="str">
        <f t="shared" ref="Z9:Z15" si="7">Q9</f>
        <v>用途</v>
      </c>
      <c r="AA9" s="1575">
        <f t="shared" si="3"/>
        <v>1</v>
      </c>
      <c r="AB9" s="1575">
        <f t="shared" si="4"/>
        <v>1</v>
      </c>
      <c r="AC9" s="1575">
        <f t="shared" si="5"/>
        <v>1</v>
      </c>
    </row>
    <row r="10" spans="1:29" s="1341" customFormat="1" ht="27">
      <c r="A10" s="2946"/>
      <c r="B10" s="2951" t="s">
        <v>2763</v>
      </c>
      <c r="C10" s="864" t="s">
        <v>3061</v>
      </c>
      <c r="D10" s="255">
        <v>100</v>
      </c>
      <c r="E10" s="865" t="s">
        <v>3061</v>
      </c>
      <c r="F10" s="866">
        <f>SUMIF(65:65,E10,66:66)-SUMIF(65:65,C10,66:66)+100</f>
        <v>100</v>
      </c>
      <c r="G10" s="864" t="s">
        <v>3061</v>
      </c>
      <c r="H10" s="255">
        <f>SUMIF(65:65,G10,66:66)-SUMIF(65:65,C10,66:66)+100</f>
        <v>100</v>
      </c>
      <c r="I10" s="864" t="s">
        <v>3061</v>
      </c>
      <c r="J10" s="255">
        <f>SUMIF(65:65,I10,66:66)-SUMIF(65:65,C10,66:66)+100</f>
        <v>100</v>
      </c>
      <c r="K10" s="867"/>
      <c r="L10" s="2141"/>
      <c r="M10" s="2181"/>
      <c r="N10" s="2181"/>
      <c r="O10" s="2142"/>
      <c r="P10" s="3360"/>
      <c r="Q10" s="1154" t="str">
        <f t="shared" si="6"/>
        <v>土地使用年限（年）</v>
      </c>
      <c r="R10" s="1572" t="s">
        <v>8</v>
      </c>
      <c r="S10" s="1573">
        <f t="shared" si="0"/>
        <v>100</v>
      </c>
      <c r="T10" s="1572" t="s">
        <v>8</v>
      </c>
      <c r="U10" s="1573">
        <f t="shared" si="1"/>
        <v>100</v>
      </c>
      <c r="V10" s="1572" t="s">
        <v>8</v>
      </c>
      <c r="W10" s="1573">
        <f t="shared" si="2"/>
        <v>100</v>
      </c>
      <c r="X10" s="1574"/>
      <c r="Y10" s="3306"/>
      <c r="Z10" s="1153" t="str">
        <f t="shared" si="7"/>
        <v>土地使用年限（年）</v>
      </c>
      <c r="AA10" s="1575">
        <f t="shared" si="3"/>
        <v>1</v>
      </c>
      <c r="AB10" s="1575">
        <f t="shared" si="4"/>
        <v>1</v>
      </c>
      <c r="AC10" s="1575">
        <f t="shared" si="5"/>
        <v>1</v>
      </c>
    </row>
    <row r="11" spans="1:29" ht="15.75" thickBot="1">
      <c r="A11" s="2947"/>
      <c r="B11" s="2951" t="s">
        <v>2764</v>
      </c>
      <c r="C11" s="536">
        <v>1.5</v>
      </c>
      <c r="D11" s="255">
        <v>100</v>
      </c>
      <c r="E11" s="537">
        <v>1.5</v>
      </c>
      <c r="F11" s="866">
        <f>LOOKUP(E11,68:68,69:69)-LOOKUP(C11,68:68,69:69)+100</f>
        <v>100</v>
      </c>
      <c r="G11" s="536">
        <v>1.1000000000000001</v>
      </c>
      <c r="H11" s="255">
        <f>LOOKUP(G11,68:68,69:69)-LOOKUP(C11,68:68,69:69)+100</f>
        <v>100</v>
      </c>
      <c r="I11" s="536">
        <v>0.88</v>
      </c>
      <c r="J11" s="255">
        <f>LOOKUP(I11,68:68,69:69)-LOOKUP(C11,68:68,69:69)+100</f>
        <v>101</v>
      </c>
      <c r="K11" s="867">
        <v>1</v>
      </c>
      <c r="L11" s="2143"/>
      <c r="M11" s="2137"/>
      <c r="N11" s="2137"/>
      <c r="O11" s="2144"/>
      <c r="P11" s="3360"/>
      <c r="Q11" s="1154" t="str">
        <f t="shared" si="6"/>
        <v>容积率</v>
      </c>
      <c r="R11" s="1572" t="s">
        <v>11</v>
      </c>
      <c r="S11" s="1573">
        <f t="shared" si="0"/>
        <v>100</v>
      </c>
      <c r="T11" s="1572" t="s">
        <v>11</v>
      </c>
      <c r="U11" s="1573">
        <f t="shared" si="1"/>
        <v>100</v>
      </c>
      <c r="V11" s="1572" t="s">
        <v>11</v>
      </c>
      <c r="W11" s="1573">
        <f t="shared" si="2"/>
        <v>101</v>
      </c>
      <c r="X11" s="1574"/>
      <c r="Y11" s="3306"/>
      <c r="Z11" s="1153" t="str">
        <f t="shared" si="7"/>
        <v>容积率</v>
      </c>
      <c r="AA11" s="1575">
        <f t="shared" si="3"/>
        <v>1</v>
      </c>
      <c r="AB11" s="1575">
        <f t="shared" si="4"/>
        <v>1</v>
      </c>
      <c r="AC11" s="1575">
        <f t="shared" si="5"/>
        <v>0.99009900990099009</v>
      </c>
    </row>
    <row r="12" spans="1:29" s="1223" customFormat="1" ht="15" hidden="1">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60"/>
      <c r="Q12" s="1154">
        <f t="shared" si="6"/>
        <v>111</v>
      </c>
      <c r="R12" s="1572" t="s">
        <v>11</v>
      </c>
      <c r="S12" s="1573">
        <f t="shared" si="0"/>
        <v>100</v>
      </c>
      <c r="T12" s="1572" t="s">
        <v>11</v>
      </c>
      <c r="U12" s="1573">
        <f t="shared" si="1"/>
        <v>100</v>
      </c>
      <c r="V12" s="1572" t="s">
        <v>11</v>
      </c>
      <c r="W12" s="1573">
        <f t="shared" si="2"/>
        <v>100</v>
      </c>
      <c r="X12" s="1574"/>
      <c r="Y12" s="3306"/>
      <c r="Z12" s="1153">
        <f t="shared" si="7"/>
        <v>111</v>
      </c>
      <c r="AA12" s="1575">
        <f>D12/F12</f>
        <v>1</v>
      </c>
      <c r="AB12" s="1575">
        <f>D12/H12</f>
        <v>1</v>
      </c>
      <c r="AC12" s="1575">
        <f>D12/J12</f>
        <v>1</v>
      </c>
    </row>
    <row r="13" spans="1:29" ht="15" hidden="1">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60"/>
      <c r="Q13" s="1154">
        <f t="shared" si="6"/>
        <v>111</v>
      </c>
      <c r="R13" s="1572" t="s">
        <v>11</v>
      </c>
      <c r="S13" s="1573">
        <f t="shared" si="0"/>
        <v>100</v>
      </c>
      <c r="T13" s="1572" t="s">
        <v>11</v>
      </c>
      <c r="U13" s="1573">
        <f t="shared" si="1"/>
        <v>100</v>
      </c>
      <c r="V13" s="1572" t="s">
        <v>11</v>
      </c>
      <c r="W13" s="1573">
        <f t="shared" si="2"/>
        <v>100</v>
      </c>
      <c r="X13" s="1574"/>
      <c r="Y13" s="3306"/>
      <c r="Z13" s="1153">
        <f t="shared" si="7"/>
        <v>111</v>
      </c>
      <c r="AA13" s="1575">
        <f t="shared" si="3"/>
        <v>1</v>
      </c>
      <c r="AB13" s="1575">
        <f t="shared" si="4"/>
        <v>1</v>
      </c>
      <c r="AC13" s="1575">
        <f t="shared" si="5"/>
        <v>1</v>
      </c>
    </row>
    <row r="14" spans="1:29" ht="15.75" hidden="1"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60"/>
      <c r="Q14" s="1154">
        <f t="shared" si="6"/>
        <v>111</v>
      </c>
      <c r="R14" s="1572" t="s">
        <v>11</v>
      </c>
      <c r="S14" s="1573">
        <f t="shared" si="0"/>
        <v>100</v>
      </c>
      <c r="T14" s="1572" t="s">
        <v>11</v>
      </c>
      <c r="U14" s="1573">
        <f t="shared" si="1"/>
        <v>100</v>
      </c>
      <c r="V14" s="1572" t="s">
        <v>11</v>
      </c>
      <c r="W14" s="1573">
        <f t="shared" si="2"/>
        <v>100</v>
      </c>
      <c r="X14" s="1574"/>
      <c r="Y14" s="3306"/>
      <c r="Z14" s="1153">
        <f t="shared" si="7"/>
        <v>111</v>
      </c>
      <c r="AA14" s="1575">
        <f t="shared" si="3"/>
        <v>1</v>
      </c>
      <c r="AB14" s="1575">
        <f t="shared" si="4"/>
        <v>1</v>
      </c>
      <c r="AC14" s="1575">
        <f t="shared" si="5"/>
        <v>1</v>
      </c>
    </row>
    <row r="15" spans="1:29" ht="99.75">
      <c r="A15" s="2941" t="s">
        <v>2760</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45"/>
      <c r="M15" s="2137"/>
      <c r="N15" s="2137"/>
      <c r="O15" s="2144"/>
      <c r="P15" s="3396" t="s">
        <v>541</v>
      </c>
      <c r="Q15" s="1576" t="str">
        <f t="shared" si="6"/>
        <v>居住社区成熟度</v>
      </c>
      <c r="R15" s="1577" t="s">
        <v>11</v>
      </c>
      <c r="S15" s="1578">
        <f t="shared" si="0"/>
        <v>100</v>
      </c>
      <c r="T15" s="1577" t="s">
        <v>11</v>
      </c>
      <c r="U15" s="1578">
        <f t="shared" si="1"/>
        <v>100</v>
      </c>
      <c r="V15" s="1577" t="s">
        <v>11</v>
      </c>
      <c r="W15" s="1578">
        <f t="shared" si="2"/>
        <v>100</v>
      </c>
      <c r="X15" s="1571"/>
      <c r="Y15" s="3396" t="s">
        <v>541</v>
      </c>
      <c r="Z15" s="1579" t="str">
        <f t="shared" si="7"/>
        <v>居住社区成熟度</v>
      </c>
      <c r="AA15" s="1580">
        <f t="shared" si="3"/>
        <v>1</v>
      </c>
      <c r="AB15" s="1580">
        <f t="shared" si="4"/>
        <v>1</v>
      </c>
      <c r="AC15" s="1580">
        <f t="shared" si="5"/>
        <v>1</v>
      </c>
    </row>
    <row r="16" spans="1:29" ht="15">
      <c r="A16" s="535"/>
      <c r="B16" s="872"/>
      <c r="C16" s="579" t="s">
        <v>3024</v>
      </c>
      <c r="D16" s="558"/>
      <c r="E16" s="559" t="s">
        <v>3024</v>
      </c>
      <c r="F16" s="560"/>
      <c r="G16" s="561" t="s">
        <v>3024</v>
      </c>
      <c r="H16" s="562"/>
      <c r="I16" s="559" t="s">
        <v>3024</v>
      </c>
      <c r="J16" s="558"/>
      <c r="K16" s="873"/>
      <c r="L16" s="2145"/>
      <c r="M16" s="2137"/>
      <c r="N16" s="2137"/>
      <c r="O16" s="2144"/>
      <c r="P16" s="3397"/>
      <c r="Q16" s="1576"/>
      <c r="R16" s="1577"/>
      <c r="S16" s="1578"/>
      <c r="T16" s="1577"/>
      <c r="U16" s="1578"/>
      <c r="V16" s="1577"/>
      <c r="W16" s="1578"/>
      <c r="X16" s="1571"/>
      <c r="Y16" s="3397"/>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5"/>
      <c r="M17" s="2137"/>
      <c r="N17" s="2137"/>
      <c r="O17" s="2144"/>
      <c r="P17" s="3397"/>
      <c r="Q17" s="1576" t="str">
        <f>B17</f>
        <v>交通便捷度</v>
      </c>
      <c r="R17" s="1577" t="s">
        <v>11</v>
      </c>
      <c r="S17" s="1578">
        <f>F17</f>
        <v>100</v>
      </c>
      <c r="T17" s="1577" t="s">
        <v>11</v>
      </c>
      <c r="U17" s="1578">
        <f>H17</f>
        <v>100</v>
      </c>
      <c r="V17" s="1577" t="s">
        <v>11</v>
      </c>
      <c r="W17" s="1578">
        <f>J17</f>
        <v>100</v>
      </c>
      <c r="X17" s="1571"/>
      <c r="Y17" s="3397"/>
      <c r="Z17" s="1579" t="str">
        <f>Q17</f>
        <v>交通便捷度</v>
      </c>
      <c r="AA17" s="1580">
        <f t="shared" si="3"/>
        <v>1</v>
      </c>
      <c r="AB17" s="1580">
        <f t="shared" si="4"/>
        <v>1</v>
      </c>
      <c r="AC17" s="1580">
        <f t="shared" si="5"/>
        <v>1</v>
      </c>
    </row>
    <row r="18" spans="1:29" ht="15">
      <c r="A18" s="535"/>
      <c r="B18" s="598"/>
      <c r="C18" s="876" t="s">
        <v>3024</v>
      </c>
      <c r="D18" s="562"/>
      <c r="E18" s="571" t="s">
        <v>3024</v>
      </c>
      <c r="F18" s="566"/>
      <c r="G18" s="572" t="s">
        <v>3024</v>
      </c>
      <c r="H18" s="558"/>
      <c r="I18" s="571" t="s">
        <v>3024</v>
      </c>
      <c r="J18" s="558"/>
      <c r="K18" s="873"/>
      <c r="L18" s="2145"/>
      <c r="M18" s="2137"/>
      <c r="N18" s="2137"/>
      <c r="O18" s="2144"/>
      <c r="P18" s="3397"/>
      <c r="Q18" s="1576"/>
      <c r="R18" s="1577"/>
      <c r="S18" s="1578"/>
      <c r="T18" s="1577"/>
      <c r="U18" s="1578"/>
      <c r="V18" s="1577"/>
      <c r="W18" s="1578"/>
      <c r="X18" s="1571"/>
      <c r="Y18" s="3397"/>
      <c r="Z18" s="1579"/>
      <c r="AA18" s="1580">
        <v>1</v>
      </c>
      <c r="AB18" s="1580">
        <v>1</v>
      </c>
      <c r="AC18" s="1580">
        <v>1</v>
      </c>
    </row>
    <row r="19" spans="1:29" ht="42.75">
      <c r="A19" s="535"/>
      <c r="B19" s="2627" t="s">
        <v>2550</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5"/>
      <c r="M19" s="2137"/>
      <c r="N19" s="2137"/>
      <c r="O19" s="2144"/>
      <c r="P19" s="3397"/>
      <c r="Q19" s="1576" t="str">
        <f>B19</f>
        <v>公共配套设施</v>
      </c>
      <c r="R19" s="1577" t="s">
        <v>11</v>
      </c>
      <c r="S19" s="1578">
        <f>F19</f>
        <v>100</v>
      </c>
      <c r="T19" s="1577" t="s">
        <v>11</v>
      </c>
      <c r="U19" s="1578">
        <f>H19</f>
        <v>100</v>
      </c>
      <c r="V19" s="1577" t="s">
        <v>11</v>
      </c>
      <c r="W19" s="1578">
        <f>J19</f>
        <v>100</v>
      </c>
      <c r="X19" s="1571"/>
      <c r="Y19" s="3397"/>
      <c r="Z19" s="1579" t="str">
        <f>Q19</f>
        <v>公共配套设施</v>
      </c>
      <c r="AA19" s="1580">
        <f t="shared" si="3"/>
        <v>1</v>
      </c>
      <c r="AB19" s="1580">
        <f t="shared" si="4"/>
        <v>1</v>
      </c>
      <c r="AC19" s="1580">
        <f t="shared" si="5"/>
        <v>1</v>
      </c>
    </row>
    <row r="20" spans="1:29" ht="15">
      <c r="A20" s="535"/>
      <c r="B20" s="598"/>
      <c r="C20" s="579" t="s">
        <v>3024</v>
      </c>
      <c r="D20" s="558"/>
      <c r="E20" s="559" t="s">
        <v>3024</v>
      </c>
      <c r="F20" s="560"/>
      <c r="G20" s="561" t="s">
        <v>3024</v>
      </c>
      <c r="H20" s="558"/>
      <c r="I20" s="559" t="s">
        <v>3024</v>
      </c>
      <c r="J20" s="558"/>
      <c r="K20" s="873"/>
      <c r="L20" s="2145"/>
      <c r="M20" s="2137"/>
      <c r="N20" s="2137"/>
      <c r="O20" s="2144"/>
      <c r="P20" s="3397"/>
      <c r="Q20" s="1576"/>
      <c r="R20" s="1577"/>
      <c r="S20" s="1578"/>
      <c r="T20" s="1577"/>
      <c r="U20" s="1578"/>
      <c r="V20" s="1577"/>
      <c r="W20" s="1578"/>
      <c r="X20" s="1571"/>
      <c r="Y20" s="3397"/>
      <c r="Z20" s="1579"/>
      <c r="AA20" s="1580">
        <v>1</v>
      </c>
      <c r="AB20" s="1580">
        <v>1</v>
      </c>
      <c r="AC20" s="1580">
        <v>1</v>
      </c>
    </row>
    <row r="21" spans="1:29" ht="28.5">
      <c r="A21" s="535"/>
      <c r="B21" s="2620" t="s">
        <v>2562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5"/>
      <c r="M21" s="2137"/>
      <c r="N21" s="2137"/>
      <c r="O21" s="2144"/>
      <c r="P21" s="3397"/>
      <c r="Q21" s="2606" t="str">
        <f>B21</f>
        <v>基础设施水平</v>
      </c>
      <c r="R21" s="1577" t="s">
        <v>11</v>
      </c>
      <c r="S21" s="1578">
        <f>F21</f>
        <v>100</v>
      </c>
      <c r="T21" s="1577" t="s">
        <v>11</v>
      </c>
      <c r="U21" s="1578">
        <f>H21</f>
        <v>100</v>
      </c>
      <c r="V21" s="1577" t="s">
        <v>11</v>
      </c>
      <c r="W21" s="1578">
        <f>J21</f>
        <v>100</v>
      </c>
      <c r="X21" s="2608"/>
      <c r="Y21" s="3397"/>
      <c r="Z21" s="2607" t="str">
        <f>Q21</f>
        <v>基础设施水平</v>
      </c>
      <c r="AA21" s="1580">
        <f t="shared" ref="AA21" si="8">D21/F21</f>
        <v>1</v>
      </c>
      <c r="AB21" s="1580">
        <f t="shared" ref="AB21" si="9">D21/H21</f>
        <v>1</v>
      </c>
      <c r="AC21" s="1580">
        <f t="shared" ref="AC21" si="10">D21/J21</f>
        <v>1</v>
      </c>
    </row>
    <row r="22" spans="1:29" ht="15">
      <c r="A22" s="535"/>
      <c r="B22" s="925"/>
      <c r="C22" s="876" t="s">
        <v>3027</v>
      </c>
      <c r="D22" s="558"/>
      <c r="E22" s="579" t="s">
        <v>3027</v>
      </c>
      <c r="F22" s="560"/>
      <c r="G22" s="579" t="s">
        <v>3027</v>
      </c>
      <c r="H22" s="558"/>
      <c r="I22" s="579" t="s">
        <v>3027</v>
      </c>
      <c r="J22" s="558"/>
      <c r="K22" s="2626"/>
      <c r="L22" s="2145"/>
      <c r="M22" s="2137"/>
      <c r="N22" s="2137"/>
      <c r="O22" s="2144"/>
      <c r="P22" s="3397"/>
      <c r="Q22" s="2606"/>
      <c r="R22" s="1577"/>
      <c r="S22" s="1578"/>
      <c r="T22" s="1577"/>
      <c r="U22" s="1578"/>
      <c r="V22" s="1577"/>
      <c r="W22" s="1578"/>
      <c r="X22" s="2608"/>
      <c r="Y22" s="3397"/>
      <c r="Z22" s="2607"/>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5"/>
      <c r="M23" s="2137"/>
      <c r="N23" s="2137"/>
      <c r="O23" s="2144"/>
      <c r="P23" s="3397"/>
      <c r="Q23" s="1576" t="str">
        <f>B23</f>
        <v>自然及人文环境</v>
      </c>
      <c r="R23" s="1577" t="s">
        <v>11</v>
      </c>
      <c r="S23" s="1578">
        <f>F23</f>
        <v>100</v>
      </c>
      <c r="T23" s="1577" t="s">
        <v>11</v>
      </c>
      <c r="U23" s="1578">
        <f>H23</f>
        <v>100</v>
      </c>
      <c r="V23" s="1577" t="s">
        <v>11</v>
      </c>
      <c r="W23" s="1578">
        <f>J23</f>
        <v>100</v>
      </c>
      <c r="X23" s="1571"/>
      <c r="Y23" s="3397"/>
      <c r="Z23" s="1579" t="str">
        <f>Q23</f>
        <v>自然及人文环境</v>
      </c>
      <c r="AA23" s="1580">
        <f t="shared" si="3"/>
        <v>1</v>
      </c>
      <c r="AB23" s="1580">
        <f t="shared" si="4"/>
        <v>1</v>
      </c>
      <c r="AC23" s="1580">
        <f t="shared" si="5"/>
        <v>1</v>
      </c>
    </row>
    <row r="24" spans="1:29" ht="15">
      <c r="A24" s="535"/>
      <c r="B24" s="598"/>
      <c r="C24" s="579" t="s">
        <v>3026</v>
      </c>
      <c r="D24" s="558"/>
      <c r="E24" s="559" t="s">
        <v>3026</v>
      </c>
      <c r="F24" s="560"/>
      <c r="G24" s="561" t="s">
        <v>3026</v>
      </c>
      <c r="H24" s="558"/>
      <c r="I24" s="559" t="s">
        <v>3026</v>
      </c>
      <c r="J24" s="558"/>
      <c r="K24" s="873"/>
      <c r="L24" s="2145"/>
      <c r="M24" s="2137"/>
      <c r="N24" s="2137"/>
      <c r="O24" s="2144"/>
      <c r="P24" s="3397"/>
      <c r="Q24" s="1576"/>
      <c r="R24" s="1577"/>
      <c r="S24" s="1578"/>
      <c r="T24" s="1577"/>
      <c r="U24" s="1578"/>
      <c r="V24" s="1577"/>
      <c r="W24" s="1578"/>
      <c r="X24" s="1571"/>
      <c r="Y24" s="3397"/>
      <c r="Z24" s="1579"/>
      <c r="AA24" s="1580">
        <v>1</v>
      </c>
      <c r="AB24" s="1580">
        <v>1</v>
      </c>
      <c r="AC24" s="1580">
        <v>1</v>
      </c>
    </row>
    <row r="25" spans="1:29" ht="15" hidden="1">
      <c r="A25" s="535"/>
      <c r="B25" s="1898" t="s">
        <v>2258</v>
      </c>
      <c r="C25" s="577"/>
      <c r="D25" s="543">
        <v>100</v>
      </c>
      <c r="E25" s="877"/>
      <c r="F25" s="578">
        <f>SUMIF(86:86,E25,87:87)-SUMIF(86:86,C25,87:87)+100</f>
        <v>100</v>
      </c>
      <c r="G25" s="602"/>
      <c r="H25" s="543">
        <f>SUMIF(86:86,G25,87:87)-SUMIF(86:86,C25,87:87)+100</f>
        <v>100</v>
      </c>
      <c r="I25" s="877"/>
      <c r="J25" s="543">
        <f>SUMIF(86:86,I25,87:87)-SUMIF(86:86,C25,87:87)+100</f>
        <v>100</v>
      </c>
      <c r="K25" s="867"/>
      <c r="L25" s="2145"/>
      <c r="M25" s="2137"/>
      <c r="N25" s="2137"/>
      <c r="O25" s="2144"/>
      <c r="P25" s="3397"/>
      <c r="Q25" s="1576" t="str">
        <f t="shared" ref="Q25:Q46" si="11">B25</f>
        <v>楼层-1</v>
      </c>
      <c r="R25" s="1577" t="s">
        <v>11</v>
      </c>
      <c r="S25" s="1578">
        <f>F25</f>
        <v>100</v>
      </c>
      <c r="T25" s="1577" t="s">
        <v>11</v>
      </c>
      <c r="U25" s="1578">
        <f>H25</f>
        <v>100</v>
      </c>
      <c r="V25" s="1577" t="s">
        <v>11</v>
      </c>
      <c r="W25" s="1578">
        <f>J25</f>
        <v>100</v>
      </c>
      <c r="X25" s="1571"/>
      <c r="Y25" s="3397"/>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5"/>
      <c r="M26" s="2137"/>
      <c r="N26" s="2137"/>
      <c r="O26" s="2144"/>
      <c r="P26" s="3397"/>
      <c r="Q26" s="1576" t="str">
        <f t="shared" si="11"/>
        <v>朝向</v>
      </c>
      <c r="R26" s="1577" t="s">
        <v>11</v>
      </c>
      <c r="S26" s="1578">
        <f>F26</f>
        <v>100</v>
      </c>
      <c r="T26" s="1577" t="s">
        <v>11</v>
      </c>
      <c r="U26" s="1578">
        <f>H26</f>
        <v>100</v>
      </c>
      <c r="V26" s="1577" t="s">
        <v>11</v>
      </c>
      <c r="W26" s="1578">
        <f>J26</f>
        <v>100</v>
      </c>
      <c r="X26" s="1571"/>
      <c r="Y26" s="3397"/>
      <c r="Z26" s="1579" t="str">
        <f>Q26</f>
        <v>朝向</v>
      </c>
      <c r="AA26" s="1580">
        <f t="shared" si="3"/>
        <v>1</v>
      </c>
      <c r="AB26" s="1580">
        <f t="shared" si="4"/>
        <v>1</v>
      </c>
      <c r="AC26" s="1580">
        <f t="shared" si="5"/>
        <v>1</v>
      </c>
    </row>
    <row r="27" spans="1:29" s="1223" customFormat="1" ht="15.75" thickBot="1">
      <c r="A27" s="539"/>
      <c r="B27" s="540" t="s">
        <v>725</v>
      </c>
      <c r="C27" s="3170" t="s">
        <v>3100</v>
      </c>
      <c r="D27" s="878">
        <v>100</v>
      </c>
      <c r="E27" s="3185" t="s">
        <v>3101</v>
      </c>
      <c r="F27" s="879">
        <f>SUMIF(90:90,E27,91:91)-SUMIF(90:90,C27,91:91)+100</f>
        <v>101</v>
      </c>
      <c r="G27" s="3186" t="s">
        <v>3100</v>
      </c>
      <c r="H27" s="878">
        <f>SUMIF(90:90,G27,91:91)-SUMIF(90:90,C27,91:91)+100</f>
        <v>100</v>
      </c>
      <c r="I27" s="3185" t="s">
        <v>3100</v>
      </c>
      <c r="J27" s="878">
        <f>SUMIF(90:90,I27,91:91)-SUMIF(90:90,C27,91:91)+100</f>
        <v>100</v>
      </c>
      <c r="K27" s="868"/>
      <c r="L27" s="2138"/>
      <c r="M27" s="2139"/>
      <c r="N27" s="2139"/>
      <c r="O27" s="2140"/>
      <c r="P27" s="3397"/>
      <c r="Q27" s="1154" t="str">
        <f t="shared" si="11"/>
        <v>道路级别</v>
      </c>
      <c r="R27" s="1572" t="s">
        <v>11</v>
      </c>
      <c r="S27" s="1573">
        <f>F27</f>
        <v>101</v>
      </c>
      <c r="T27" s="1572" t="s">
        <v>11</v>
      </c>
      <c r="U27" s="1573">
        <f>H27</f>
        <v>100</v>
      </c>
      <c r="V27" s="1572" t="s">
        <v>11</v>
      </c>
      <c r="W27" s="1573">
        <f>J27</f>
        <v>100</v>
      </c>
      <c r="X27" s="1574"/>
      <c r="Y27" s="3397"/>
      <c r="Z27" s="1153" t="str">
        <f>Q27</f>
        <v>道路级别</v>
      </c>
      <c r="AA27" s="1580">
        <f>D27/F27</f>
        <v>0.99009900990099009</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97"/>
      <c r="Q28" s="1576">
        <f t="shared" si="11"/>
        <v>111</v>
      </c>
      <c r="R28" s="1577" t="s">
        <v>11</v>
      </c>
      <c r="S28" s="1578">
        <f t="shared" ref="S28:S46" si="12">F28</f>
        <v>100</v>
      </c>
      <c r="T28" s="1577" t="s">
        <v>11</v>
      </c>
      <c r="U28" s="1578">
        <f t="shared" ref="U28:U46" si="13">H28</f>
        <v>100</v>
      </c>
      <c r="V28" s="1577" t="s">
        <v>11</v>
      </c>
      <c r="W28" s="1578">
        <f t="shared" ref="W28:W46" si="14">J28</f>
        <v>100</v>
      </c>
      <c r="X28" s="1571"/>
      <c r="Y28" s="3397"/>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97"/>
      <c r="Q29" s="1576">
        <f t="shared" si="11"/>
        <v>111</v>
      </c>
      <c r="R29" s="1577" t="s">
        <v>11</v>
      </c>
      <c r="S29" s="1578">
        <f t="shared" si="12"/>
        <v>100</v>
      </c>
      <c r="T29" s="1577" t="s">
        <v>11</v>
      </c>
      <c r="U29" s="1578">
        <f t="shared" si="13"/>
        <v>100</v>
      </c>
      <c r="V29" s="1577" t="s">
        <v>11</v>
      </c>
      <c r="W29" s="1578">
        <f t="shared" si="14"/>
        <v>100</v>
      </c>
      <c r="X29" s="1571"/>
      <c r="Y29" s="3397"/>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97"/>
      <c r="Q30" s="1576">
        <f t="shared" si="11"/>
        <v>111</v>
      </c>
      <c r="R30" s="1577" t="s">
        <v>11</v>
      </c>
      <c r="S30" s="1578">
        <f t="shared" si="12"/>
        <v>100</v>
      </c>
      <c r="T30" s="1577" t="s">
        <v>11</v>
      </c>
      <c r="U30" s="1578">
        <f t="shared" si="13"/>
        <v>100</v>
      </c>
      <c r="V30" s="1577" t="s">
        <v>11</v>
      </c>
      <c r="W30" s="1578">
        <f t="shared" si="14"/>
        <v>100</v>
      </c>
      <c r="X30" s="1571"/>
      <c r="Y30" s="3397"/>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97"/>
      <c r="Q31" s="1576">
        <f t="shared" si="11"/>
        <v>111</v>
      </c>
      <c r="R31" s="1577" t="s">
        <v>11</v>
      </c>
      <c r="S31" s="1578">
        <f t="shared" si="12"/>
        <v>100</v>
      </c>
      <c r="T31" s="1577" t="s">
        <v>11</v>
      </c>
      <c r="U31" s="1578">
        <f t="shared" si="13"/>
        <v>100</v>
      </c>
      <c r="V31" s="1577" t="s">
        <v>11</v>
      </c>
      <c r="W31" s="1578">
        <f t="shared" si="14"/>
        <v>100</v>
      </c>
      <c r="X31" s="1571"/>
      <c r="Y31" s="3397"/>
      <c r="Z31" s="1579">
        <f t="shared" si="15"/>
        <v>111</v>
      </c>
      <c r="AA31" s="1580">
        <f t="shared" si="3"/>
        <v>1</v>
      </c>
      <c r="AB31" s="1580">
        <f t="shared" si="4"/>
        <v>1</v>
      </c>
      <c r="AC31" s="1580">
        <f t="shared" si="5"/>
        <v>1</v>
      </c>
    </row>
    <row r="32" spans="1:29" ht="15">
      <c r="A32" s="2938" t="s">
        <v>2761</v>
      </c>
      <c r="B32" s="172" t="s">
        <v>726</v>
      </c>
      <c r="C32" s="881" t="s">
        <v>3066</v>
      </c>
      <c r="D32" s="600">
        <v>100</v>
      </c>
      <c r="E32" s="882" t="s">
        <v>3066</v>
      </c>
      <c r="F32" s="578">
        <f>SUMIF(100:100,E32,101:101)-SUMIF(100:100,C32,101:101)+100</f>
        <v>100</v>
      </c>
      <c r="G32" s="881" t="s">
        <v>3066</v>
      </c>
      <c r="H32" s="600">
        <f>SUMIF(100:100,G32,101:101)-SUMIF(100:100,C32,101:101)+100</f>
        <v>100</v>
      </c>
      <c r="I32" s="882" t="s">
        <v>3066</v>
      </c>
      <c r="J32" s="543">
        <f>SUMIF(100:100,I32,101:101)-SUMIF(100:100,C32,101:101)+100</f>
        <v>100</v>
      </c>
      <c r="K32" s="867"/>
      <c r="L32" s="2145"/>
      <c r="M32" s="2137"/>
      <c r="N32" s="2137"/>
      <c r="O32" s="2144"/>
      <c r="P32" s="3398" t="s">
        <v>551</v>
      </c>
      <c r="Q32" s="1576" t="str">
        <f t="shared" si="11"/>
        <v>建筑类型</v>
      </c>
      <c r="R32" s="1577" t="s">
        <v>11</v>
      </c>
      <c r="S32" s="1578">
        <f t="shared" si="12"/>
        <v>100</v>
      </c>
      <c r="T32" s="1577" t="s">
        <v>11</v>
      </c>
      <c r="U32" s="1578">
        <f t="shared" si="13"/>
        <v>100</v>
      </c>
      <c r="V32" s="1577" t="s">
        <v>11</v>
      </c>
      <c r="W32" s="1578">
        <f t="shared" si="14"/>
        <v>100</v>
      </c>
      <c r="X32" s="1571"/>
      <c r="Y32" s="3399" t="s">
        <v>551</v>
      </c>
      <c r="Z32" s="1579" t="str">
        <f t="shared" si="15"/>
        <v>建筑类型</v>
      </c>
      <c r="AA32" s="1580">
        <f t="shared" si="3"/>
        <v>1</v>
      </c>
      <c r="AB32" s="1580">
        <f t="shared" si="4"/>
        <v>1</v>
      </c>
      <c r="AC32" s="1580">
        <f t="shared" si="5"/>
        <v>1</v>
      </c>
    </row>
    <row r="33" spans="1:29" s="1342" customFormat="1" ht="15">
      <c r="A33" s="606"/>
      <c r="B33" s="530" t="s">
        <v>727</v>
      </c>
      <c r="C33" s="883">
        <f>'数据-基础表'!B3</f>
        <v>108760.69</v>
      </c>
      <c r="D33" s="255">
        <v>100</v>
      </c>
      <c r="E33" s="537">
        <v>420000</v>
      </c>
      <c r="F33" s="866">
        <f>LOOKUP(E33,103:103,104:104)-LOOKUP(C33,103:103,104:104)+100</f>
        <v>101</v>
      </c>
      <c r="G33" s="536">
        <v>12982</v>
      </c>
      <c r="H33" s="255">
        <f>LOOKUP(G33,103:103,104:104)-LOOKUP(C33,103:103,104:104)+100</f>
        <v>100</v>
      </c>
      <c r="I33" s="537">
        <v>1660000</v>
      </c>
      <c r="J33" s="255">
        <f>LOOKUP(I33,103:103,104:104)-LOOKUP(C33,103:103,104:104)+100</f>
        <v>105</v>
      </c>
      <c r="K33" s="868"/>
      <c r="L33" s="2143"/>
      <c r="M33" s="2174"/>
      <c r="N33" s="2174"/>
      <c r="O33" s="2146"/>
      <c r="P33" s="3399"/>
      <c r="Q33" s="1609" t="str">
        <f t="shared" si="11"/>
        <v>项目建筑规模</v>
      </c>
      <c r="R33" s="1581" t="s">
        <v>11</v>
      </c>
      <c r="S33" s="1582">
        <f t="shared" si="12"/>
        <v>101</v>
      </c>
      <c r="T33" s="1581" t="s">
        <v>11</v>
      </c>
      <c r="U33" s="1582">
        <f t="shared" si="13"/>
        <v>100</v>
      </c>
      <c r="V33" s="1581" t="s">
        <v>11</v>
      </c>
      <c r="W33" s="1582">
        <f t="shared" si="14"/>
        <v>105</v>
      </c>
      <c r="X33" s="1583"/>
      <c r="Y33" s="3399"/>
      <c r="Z33" s="1584" t="str">
        <f t="shared" si="15"/>
        <v>项目建筑规模</v>
      </c>
      <c r="AA33" s="1580">
        <f t="shared" si="3"/>
        <v>0.99009900990099009</v>
      </c>
      <c r="AB33" s="1580">
        <f t="shared" si="4"/>
        <v>1</v>
      </c>
      <c r="AC33" s="1580">
        <f t="shared" si="5"/>
        <v>0.95238095238095233</v>
      </c>
    </row>
    <row r="34" spans="1:29" ht="15">
      <c r="A34" s="597"/>
      <c r="B34" s="530" t="s">
        <v>728</v>
      </c>
      <c r="C34" s="884" t="s">
        <v>3016</v>
      </c>
      <c r="D34" s="543">
        <v>100</v>
      </c>
      <c r="E34" s="885" t="s">
        <v>3016</v>
      </c>
      <c r="F34" s="578">
        <f>SUMIF(105:105,E34,106:106)-SUMIF(105:105,C34,106:106)+100</f>
        <v>100</v>
      </c>
      <c r="G34" s="884" t="s">
        <v>3016</v>
      </c>
      <c r="H34" s="543">
        <f>SUMIF(105:105,G34,106:106)-SUMIF(105:105,C34,106:106)+100</f>
        <v>100</v>
      </c>
      <c r="I34" s="885" t="s">
        <v>3016</v>
      </c>
      <c r="J34" s="543">
        <f>SUMIF(105:105,I34,106:106)-SUMIF(105:105,C34,106:106)+100</f>
        <v>100</v>
      </c>
      <c r="K34" s="867"/>
      <c r="L34" s="2145"/>
      <c r="M34" s="2137"/>
      <c r="N34" s="2137"/>
      <c r="O34" s="2144"/>
      <c r="P34" s="3399"/>
      <c r="Q34" s="1576" t="str">
        <f t="shared" si="11"/>
        <v>建筑结构</v>
      </c>
      <c r="R34" s="1577" t="s">
        <v>11</v>
      </c>
      <c r="S34" s="1578">
        <f t="shared" si="12"/>
        <v>100</v>
      </c>
      <c r="T34" s="1577" t="s">
        <v>11</v>
      </c>
      <c r="U34" s="1578">
        <f t="shared" si="13"/>
        <v>100</v>
      </c>
      <c r="V34" s="1577" t="s">
        <v>11</v>
      </c>
      <c r="W34" s="1578">
        <f t="shared" si="14"/>
        <v>100</v>
      </c>
      <c r="X34" s="1571"/>
      <c r="Y34" s="3399"/>
      <c r="Z34" s="1579" t="str">
        <f t="shared" si="15"/>
        <v>建筑结构</v>
      </c>
      <c r="AA34" s="1580">
        <f t="shared" si="3"/>
        <v>1</v>
      </c>
      <c r="AB34" s="1580">
        <f t="shared" si="4"/>
        <v>1</v>
      </c>
      <c r="AC34" s="1580">
        <f t="shared" si="5"/>
        <v>1</v>
      </c>
    </row>
    <row r="35" spans="1:29" ht="15">
      <c r="A35" s="597"/>
      <c r="B35" s="530" t="s">
        <v>729</v>
      </c>
      <c r="C35" s="602" t="s">
        <v>3082</v>
      </c>
      <c r="D35" s="543">
        <v>100</v>
      </c>
      <c r="E35" s="877" t="s">
        <v>3082</v>
      </c>
      <c r="F35" s="578">
        <f>SUMIF(107:107,E35,108:108)-SUMIF(107:107,C35,108:108)+100</f>
        <v>100</v>
      </c>
      <c r="G35" s="602" t="s">
        <v>3082</v>
      </c>
      <c r="H35" s="543">
        <f>SUMIF(107:107,G35,108:108)-SUMIF(107:107,C35,108:108)+100</f>
        <v>100</v>
      </c>
      <c r="I35" s="877" t="s">
        <v>3082</v>
      </c>
      <c r="J35" s="543">
        <f>SUMIF(107:107,I35,108:108)-SUMIF(107:107,C35,108:108)+100</f>
        <v>100</v>
      </c>
      <c r="K35" s="867"/>
      <c r="L35" s="2145"/>
      <c r="M35" s="2137"/>
      <c r="N35" s="2137"/>
      <c r="O35" s="2144"/>
      <c r="P35" s="3399"/>
      <c r="Q35" s="1576" t="str">
        <f t="shared" si="11"/>
        <v>建筑品质</v>
      </c>
      <c r="R35" s="1577" t="s">
        <v>11</v>
      </c>
      <c r="S35" s="1578">
        <f t="shared" si="12"/>
        <v>100</v>
      </c>
      <c r="T35" s="1577" t="s">
        <v>11</v>
      </c>
      <c r="U35" s="1578">
        <f t="shared" si="13"/>
        <v>100</v>
      </c>
      <c r="V35" s="1577" t="s">
        <v>11</v>
      </c>
      <c r="W35" s="1578">
        <f t="shared" si="14"/>
        <v>100</v>
      </c>
      <c r="X35" s="1571"/>
      <c r="Y35" s="3399"/>
      <c r="Z35" s="1579" t="str">
        <f t="shared" si="15"/>
        <v>建筑品质</v>
      </c>
      <c r="AA35" s="1580">
        <f t="shared" si="3"/>
        <v>1</v>
      </c>
      <c r="AB35" s="1580">
        <f t="shared" si="4"/>
        <v>1</v>
      </c>
      <c r="AC35" s="1580">
        <f t="shared" si="5"/>
        <v>1</v>
      </c>
    </row>
    <row r="36" spans="1:29" ht="15">
      <c r="A36" s="597"/>
      <c r="B36" s="530" t="s">
        <v>730</v>
      </c>
      <c r="C36" s="602" t="s">
        <v>3085</v>
      </c>
      <c r="D36" s="543">
        <v>100</v>
      </c>
      <c r="E36" s="877" t="s">
        <v>3085</v>
      </c>
      <c r="F36" s="578">
        <f>SUMIF(109:109,E36,110:110)-SUMIF(109:109,C36,110:110)+100</f>
        <v>100</v>
      </c>
      <c r="G36" s="602" t="s">
        <v>3085</v>
      </c>
      <c r="H36" s="543">
        <f>SUMIF(109:109,G36,110:110)-SUMIF(109:109,C36,110:110)+100</f>
        <v>100</v>
      </c>
      <c r="I36" s="877" t="s">
        <v>3085</v>
      </c>
      <c r="J36" s="543">
        <f>SUMIF(109:109,I36,110:110)-SUMIF(109:109,C36,110:110)+100</f>
        <v>100</v>
      </c>
      <c r="K36" s="867"/>
      <c r="L36" s="2145"/>
      <c r="M36" s="2137"/>
      <c r="N36" s="2137"/>
      <c r="O36" s="2144"/>
      <c r="P36" s="3399"/>
      <c r="Q36" s="1576" t="str">
        <f t="shared" si="11"/>
        <v>公共部分装修</v>
      </c>
      <c r="R36" s="1577" t="s">
        <v>11</v>
      </c>
      <c r="S36" s="1578">
        <f t="shared" si="12"/>
        <v>100</v>
      </c>
      <c r="T36" s="1577" t="s">
        <v>11</v>
      </c>
      <c r="U36" s="1578">
        <f t="shared" si="13"/>
        <v>100</v>
      </c>
      <c r="V36" s="1577" t="s">
        <v>11</v>
      </c>
      <c r="W36" s="1578">
        <f t="shared" si="14"/>
        <v>100</v>
      </c>
      <c r="X36" s="1571"/>
      <c r="Y36" s="3399"/>
      <c r="Z36" s="1579" t="str">
        <f t="shared" si="15"/>
        <v>公共部分装修</v>
      </c>
      <c r="AA36" s="1580">
        <f t="shared" si="3"/>
        <v>1</v>
      </c>
      <c r="AB36" s="1580">
        <f t="shared" si="4"/>
        <v>1</v>
      </c>
      <c r="AC36" s="1580">
        <f t="shared" si="5"/>
        <v>1</v>
      </c>
    </row>
    <row r="37" spans="1:29" s="1223" customFormat="1" ht="15" hidden="1">
      <c r="A37" s="603"/>
      <c r="B37" s="530" t="s">
        <v>731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38"/>
      <c r="M37" s="2139"/>
      <c r="N37" s="2139"/>
      <c r="O37" s="2140"/>
      <c r="P37" s="3399"/>
      <c r="Q37" s="1154" t="str">
        <f t="shared" si="11"/>
        <v>成新度</v>
      </c>
      <c r="R37" s="1572" t="s">
        <v>11</v>
      </c>
      <c r="S37" s="1573">
        <f t="shared" si="12"/>
        <v>100</v>
      </c>
      <c r="T37" s="1572" t="s">
        <v>11</v>
      </c>
      <c r="U37" s="1573">
        <f t="shared" si="13"/>
        <v>100</v>
      </c>
      <c r="V37" s="1572" t="s">
        <v>11</v>
      </c>
      <c r="W37" s="1573">
        <f t="shared" si="14"/>
        <v>100</v>
      </c>
      <c r="X37" s="1574"/>
      <c r="Y37" s="3399"/>
      <c r="Z37" s="1153" t="str">
        <f t="shared" si="15"/>
        <v>成新度</v>
      </c>
      <c r="AA37" s="1575">
        <f t="shared" si="3"/>
        <v>1</v>
      </c>
      <c r="AB37" s="1575">
        <f t="shared" si="4"/>
        <v>1</v>
      </c>
      <c r="AC37" s="1575">
        <f t="shared" si="5"/>
        <v>1</v>
      </c>
    </row>
    <row r="38" spans="1:29" ht="15">
      <c r="A38" s="597"/>
      <c r="B38" s="530" t="s">
        <v>732</v>
      </c>
      <c r="C38" s="602" t="s">
        <v>3090</v>
      </c>
      <c r="D38" s="543">
        <v>100</v>
      </c>
      <c r="E38" s="877" t="s">
        <v>3090</v>
      </c>
      <c r="F38" s="578">
        <f>SUMIF(114:114,E38,115:115)-SUMIF(114:114,C38,115:115)+100</f>
        <v>100</v>
      </c>
      <c r="G38" s="602" t="s">
        <v>3090</v>
      </c>
      <c r="H38" s="543">
        <f>SUMIF(114:114,G38,115:115)-SUMIF(114:114,C38,115:115)+100</f>
        <v>100</v>
      </c>
      <c r="I38" s="877" t="s">
        <v>3090</v>
      </c>
      <c r="J38" s="543">
        <f>SUMIF(114:114,I38,115:115)-SUMIF(114:114,C38,115:115)+100</f>
        <v>100</v>
      </c>
      <c r="K38" s="867"/>
      <c r="L38" s="2145"/>
      <c r="M38" s="2137"/>
      <c r="N38" s="2137"/>
      <c r="O38" s="2144"/>
      <c r="P38" s="3399" t="s">
        <v>551</v>
      </c>
      <c r="Q38" s="1576" t="str">
        <f t="shared" si="11"/>
        <v>物业管理</v>
      </c>
      <c r="R38" s="1577" t="s">
        <v>11</v>
      </c>
      <c r="S38" s="1578">
        <f t="shared" si="12"/>
        <v>100</v>
      </c>
      <c r="T38" s="1577" t="s">
        <v>11</v>
      </c>
      <c r="U38" s="1578">
        <f t="shared" si="13"/>
        <v>100</v>
      </c>
      <c r="V38" s="1577" t="s">
        <v>11</v>
      </c>
      <c r="W38" s="1578">
        <f t="shared" si="14"/>
        <v>100</v>
      </c>
      <c r="X38" s="1571"/>
      <c r="Y38" s="3399" t="s">
        <v>551</v>
      </c>
      <c r="Z38" s="1579" t="str">
        <f t="shared" si="15"/>
        <v>物业管理</v>
      </c>
      <c r="AA38" s="1580">
        <f t="shared" si="3"/>
        <v>1</v>
      </c>
      <c r="AB38" s="1580">
        <f t="shared" si="4"/>
        <v>1</v>
      </c>
      <c r="AC38" s="1580">
        <f t="shared" si="5"/>
        <v>1</v>
      </c>
    </row>
    <row r="39" spans="1:29" ht="15">
      <c r="A39" s="597"/>
      <c r="B39" s="1898" t="s">
        <v>2568</v>
      </c>
      <c r="C39" s="602" t="s">
        <v>3027</v>
      </c>
      <c r="D39" s="543">
        <v>100</v>
      </c>
      <c r="E39" s="877" t="s">
        <v>3027</v>
      </c>
      <c r="F39" s="578">
        <f>SUMIF(116:116,E39,117:117)-SUMIF(116:116,C39,117:117)+100</f>
        <v>100</v>
      </c>
      <c r="G39" s="602" t="s">
        <v>3027</v>
      </c>
      <c r="H39" s="543">
        <f>SUMIF(116:116,G39,117:117)-SUMIF(116:116,C39,117:117)+100</f>
        <v>100</v>
      </c>
      <c r="I39" s="877" t="s">
        <v>3027</v>
      </c>
      <c r="J39" s="543">
        <f>SUMIF(116:116,I39,117:117)-SUMIF(116:116,C39,117:117)+100</f>
        <v>100</v>
      </c>
      <c r="K39" s="867"/>
      <c r="L39" s="2145"/>
      <c r="M39" s="2137"/>
      <c r="N39" s="2137"/>
      <c r="O39" s="2144"/>
      <c r="P39" s="3399"/>
      <c r="Q39" s="1576" t="str">
        <f t="shared" si="11"/>
        <v>市政基础设施</v>
      </c>
      <c r="R39" s="1577" t="s">
        <v>11</v>
      </c>
      <c r="S39" s="1578">
        <f t="shared" si="12"/>
        <v>100</v>
      </c>
      <c r="T39" s="1577" t="s">
        <v>11</v>
      </c>
      <c r="U39" s="1578">
        <f t="shared" si="13"/>
        <v>100</v>
      </c>
      <c r="V39" s="1577" t="s">
        <v>11</v>
      </c>
      <c r="W39" s="1578">
        <f t="shared" si="14"/>
        <v>100</v>
      </c>
      <c r="X39" s="1571"/>
      <c r="Y39" s="3399"/>
      <c r="Z39" s="1579" t="str">
        <f t="shared" si="15"/>
        <v>市政基础设施</v>
      </c>
      <c r="AA39" s="1580">
        <f t="shared" si="3"/>
        <v>1</v>
      </c>
      <c r="AB39" s="1580">
        <f t="shared" si="4"/>
        <v>1</v>
      </c>
      <c r="AC39" s="1580">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5"/>
      <c r="M40" s="2137"/>
      <c r="N40" s="2137"/>
      <c r="O40" s="2144"/>
      <c r="P40" s="3399"/>
      <c r="Q40" s="1576" t="str">
        <f t="shared" si="11"/>
        <v>房型</v>
      </c>
      <c r="R40" s="1577" t="s">
        <v>11</v>
      </c>
      <c r="S40" s="1578">
        <f t="shared" si="12"/>
        <v>100</v>
      </c>
      <c r="T40" s="1577" t="s">
        <v>11</v>
      </c>
      <c r="U40" s="1578">
        <f t="shared" si="13"/>
        <v>100</v>
      </c>
      <c r="V40" s="1577" t="s">
        <v>11</v>
      </c>
      <c r="W40" s="1578">
        <f t="shared" si="14"/>
        <v>100</v>
      </c>
      <c r="X40" s="1571"/>
      <c r="Y40" s="3399"/>
      <c r="Z40" s="1579" t="str">
        <f t="shared" si="15"/>
        <v>房型</v>
      </c>
      <c r="AA40" s="1580">
        <f t="shared" si="3"/>
        <v>1</v>
      </c>
      <c r="AB40" s="1580">
        <f t="shared" si="4"/>
        <v>1</v>
      </c>
      <c r="AC40" s="1580">
        <f t="shared" si="5"/>
        <v>1</v>
      </c>
    </row>
    <row r="41" spans="1:29" s="1342" customFormat="1" ht="28.5">
      <c r="A41" s="606"/>
      <c r="B41" s="530" t="s">
        <v>734</v>
      </c>
      <c r="C41" s="883" t="s">
        <v>3062</v>
      </c>
      <c r="D41" s="255">
        <v>100</v>
      </c>
      <c r="E41" s="537" t="s">
        <v>3062</v>
      </c>
      <c r="F41" s="866">
        <f>SUMIF(120:120,E41,121:121)-SUMIF(120:120,C41,121:121)+100</f>
        <v>100</v>
      </c>
      <c r="G41" s="536" t="s">
        <v>3062</v>
      </c>
      <c r="H41" s="255">
        <f>SUMIF(120:120,G41,121:121)-SUMIF(120:120,C41,121:121)+100</f>
        <v>100</v>
      </c>
      <c r="I41" s="589" t="s">
        <v>3062</v>
      </c>
      <c r="J41" s="543">
        <f>SUMIF(120:120,I41,121:121)-SUMIF(120:120,C41,121:121)+100</f>
        <v>100</v>
      </c>
      <c r="K41" s="868"/>
      <c r="L41" s="2143"/>
      <c r="M41" s="2174"/>
      <c r="N41" s="2174"/>
      <c r="O41" s="2146"/>
      <c r="P41" s="3399"/>
      <c r="Q41" s="1609" t="str">
        <f t="shared" si="11"/>
        <v>单套/主力户型建筑面积</v>
      </c>
      <c r="R41" s="1581" t="s">
        <v>11</v>
      </c>
      <c r="S41" s="1582">
        <f t="shared" si="12"/>
        <v>100</v>
      </c>
      <c r="T41" s="1581" t="s">
        <v>11</v>
      </c>
      <c r="U41" s="1582">
        <f t="shared" si="13"/>
        <v>100</v>
      </c>
      <c r="V41" s="1581" t="s">
        <v>11</v>
      </c>
      <c r="W41" s="1582">
        <f t="shared" si="14"/>
        <v>100</v>
      </c>
      <c r="X41" s="1583"/>
      <c r="Y41" s="3399"/>
      <c r="Z41" s="1584" t="str">
        <f t="shared" si="15"/>
        <v>单套/主力户型建筑面积</v>
      </c>
      <c r="AA41" s="1580">
        <f t="shared" si="3"/>
        <v>1</v>
      </c>
      <c r="AB41" s="1580">
        <f t="shared" si="4"/>
        <v>1</v>
      </c>
      <c r="AC41" s="1580">
        <f t="shared" si="5"/>
        <v>1</v>
      </c>
    </row>
    <row r="42" spans="1:29" ht="15.75" thickBot="1">
      <c r="A42" s="597"/>
      <c r="B42" s="530" t="s">
        <v>735</v>
      </c>
      <c r="C42" s="602" t="s">
        <v>3088</v>
      </c>
      <c r="D42" s="543">
        <v>100</v>
      </c>
      <c r="E42" s="877" t="s">
        <v>3088</v>
      </c>
      <c r="F42" s="578">
        <f>SUMIF(122:122,E42,123:123)-SUMIF(122:122,C42,123:123)+100</f>
        <v>100</v>
      </c>
      <c r="G42" s="602" t="s">
        <v>3088</v>
      </c>
      <c r="H42" s="543">
        <f>SUMIF(122:122,G42,123:123)-SUMIF(122:122,C42,123:123)+100</f>
        <v>100</v>
      </c>
      <c r="I42" s="877" t="s">
        <v>3088</v>
      </c>
      <c r="J42" s="543">
        <f>SUMIF(122:122,I42,123:123)-SUMIF(122:122,C42,123:123)+100</f>
        <v>100</v>
      </c>
      <c r="K42" s="867"/>
      <c r="L42" s="2145"/>
      <c r="M42" s="2137"/>
      <c r="N42" s="2137"/>
      <c r="O42" s="2144"/>
      <c r="P42" s="3399"/>
      <c r="Q42" s="1576" t="str">
        <f t="shared" si="11"/>
        <v>内部装修</v>
      </c>
      <c r="R42" s="1577" t="s">
        <v>11</v>
      </c>
      <c r="S42" s="1578">
        <f t="shared" si="12"/>
        <v>100</v>
      </c>
      <c r="T42" s="1577" t="s">
        <v>11</v>
      </c>
      <c r="U42" s="1578">
        <f t="shared" si="13"/>
        <v>100</v>
      </c>
      <c r="V42" s="1577" t="s">
        <v>11</v>
      </c>
      <c r="W42" s="1578">
        <f t="shared" si="14"/>
        <v>100</v>
      </c>
      <c r="X42" s="1571"/>
      <c r="Y42" s="3399"/>
      <c r="Z42" s="1579" t="str">
        <f t="shared" si="15"/>
        <v>内部装修</v>
      </c>
      <c r="AA42" s="1580">
        <f t="shared" si="3"/>
        <v>1</v>
      </c>
      <c r="AB42" s="1580">
        <f t="shared" si="4"/>
        <v>1</v>
      </c>
      <c r="AC42" s="1580">
        <f t="shared" si="5"/>
        <v>1</v>
      </c>
    </row>
    <row r="43" spans="1:29" ht="27" hidden="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5"/>
      <c r="M43" s="2137"/>
      <c r="N43" s="2137"/>
      <c r="O43" s="2144"/>
      <c r="P43" s="3399"/>
      <c r="Q43" s="1576" t="str">
        <f t="shared" si="11"/>
        <v>内部装修维护情况</v>
      </c>
      <c r="R43" s="1577" t="s">
        <v>11</v>
      </c>
      <c r="S43" s="1578">
        <f t="shared" si="12"/>
        <v>100</v>
      </c>
      <c r="T43" s="1577" t="s">
        <v>11</v>
      </c>
      <c r="U43" s="1578">
        <f t="shared" si="13"/>
        <v>100</v>
      </c>
      <c r="V43" s="1577" t="s">
        <v>11</v>
      </c>
      <c r="W43" s="1578">
        <f t="shared" si="14"/>
        <v>100</v>
      </c>
      <c r="X43" s="1571"/>
      <c r="Y43" s="3399"/>
      <c r="Z43" s="1579" t="str">
        <f t="shared" si="15"/>
        <v>内部装修维护情况</v>
      </c>
      <c r="AA43" s="1580">
        <f t="shared" si="3"/>
        <v>1</v>
      </c>
      <c r="AB43" s="1580">
        <f t="shared" si="4"/>
        <v>1</v>
      </c>
      <c r="AC43" s="1580">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8"/>
      <c r="M44" s="2139"/>
      <c r="N44" s="2139"/>
      <c r="O44" s="2140"/>
      <c r="P44" s="3399"/>
      <c r="Q44" s="1154">
        <f t="shared" si="11"/>
        <v>111</v>
      </c>
      <c r="R44" s="1572" t="s">
        <v>11</v>
      </c>
      <c r="S44" s="1573">
        <f t="shared" si="12"/>
        <v>100</v>
      </c>
      <c r="T44" s="1572" t="s">
        <v>11</v>
      </c>
      <c r="U44" s="1573">
        <f t="shared" si="13"/>
        <v>100</v>
      </c>
      <c r="V44" s="1572" t="s">
        <v>11</v>
      </c>
      <c r="W44" s="1573">
        <f t="shared" si="14"/>
        <v>100</v>
      </c>
      <c r="X44" s="1574"/>
      <c r="Y44" s="3399"/>
      <c r="Z44" s="1153">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99"/>
      <c r="Q45" s="1576">
        <f t="shared" si="11"/>
        <v>111</v>
      </c>
      <c r="R45" s="1577" t="s">
        <v>11</v>
      </c>
      <c r="S45" s="1578">
        <f t="shared" si="12"/>
        <v>100</v>
      </c>
      <c r="T45" s="1577" t="s">
        <v>11</v>
      </c>
      <c r="U45" s="1578">
        <f t="shared" si="13"/>
        <v>100</v>
      </c>
      <c r="V45" s="1577" t="s">
        <v>11</v>
      </c>
      <c r="W45" s="1578">
        <f t="shared" si="14"/>
        <v>100</v>
      </c>
      <c r="X45" s="1571"/>
      <c r="Y45" s="3399"/>
      <c r="Z45" s="1579">
        <f t="shared" si="15"/>
        <v>111</v>
      </c>
      <c r="AA45" s="1580">
        <f t="shared" si="3"/>
        <v>1</v>
      </c>
      <c r="AB45" s="1580">
        <f t="shared" si="4"/>
        <v>1</v>
      </c>
      <c r="AC45" s="1580">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54"/>
      <c r="Q46" s="1576">
        <f t="shared" si="11"/>
        <v>111</v>
      </c>
      <c r="R46" s="1577" t="s">
        <v>10</v>
      </c>
      <c r="S46" s="1578">
        <f t="shared" si="12"/>
        <v>100</v>
      </c>
      <c r="T46" s="1577" t="s">
        <v>10</v>
      </c>
      <c r="U46" s="1578">
        <f t="shared" si="13"/>
        <v>100</v>
      </c>
      <c r="V46" s="1577" t="s">
        <v>10</v>
      </c>
      <c r="W46" s="1578">
        <f t="shared" si="14"/>
        <v>100</v>
      </c>
      <c r="X46" s="1571"/>
      <c r="Y46" s="3454"/>
      <c r="Z46" s="1579">
        <f t="shared" si="15"/>
        <v>111</v>
      </c>
      <c r="AA46" s="1580">
        <f t="shared" si="3"/>
        <v>1</v>
      </c>
      <c r="AB46" s="1580">
        <f t="shared" si="4"/>
        <v>1</v>
      </c>
      <c r="AC46" s="1580">
        <f t="shared" si="5"/>
        <v>1</v>
      </c>
    </row>
    <row r="47" spans="1:29" ht="15">
      <c r="A47" s="610" t="s">
        <v>737</v>
      </c>
      <c r="B47" s="890"/>
      <c r="C47" s="2654" t="s">
        <v>9</v>
      </c>
      <c r="D47" s="2655"/>
      <c r="E47" s="2656">
        <f>ROUND(6600*0.98,0)</f>
        <v>6468</v>
      </c>
      <c r="F47" s="2657"/>
      <c r="G47" s="2658">
        <f>ROUND(6400*0.995,0)</f>
        <v>6368</v>
      </c>
      <c r="H47" s="2659"/>
      <c r="I47" s="2656">
        <f>ROUND(6400*0.99,0)</f>
        <v>6336</v>
      </c>
      <c r="J47" s="2659"/>
      <c r="K47" s="1610"/>
      <c r="L47" s="2147"/>
      <c r="M47" s="2148"/>
      <c r="N47" s="2137"/>
      <c r="O47" s="2148"/>
      <c r="P47" s="3360" t="str">
        <f>A47</f>
        <v>成交单价（元/平方米）</v>
      </c>
      <c r="Q47" s="3360"/>
      <c r="R47" s="3453">
        <f>E47</f>
        <v>6468</v>
      </c>
      <c r="S47" s="3453"/>
      <c r="T47" s="3453">
        <f>G47</f>
        <v>6368</v>
      </c>
      <c r="U47" s="3453"/>
      <c r="V47" s="3453">
        <f>I47</f>
        <v>6336</v>
      </c>
      <c r="W47" s="3453"/>
      <c r="X47" s="1563"/>
      <c r="Y47" s="1585"/>
      <c r="Z47" s="1563"/>
      <c r="AA47" s="1563"/>
      <c r="AB47" s="1563"/>
      <c r="AC47" s="1563"/>
    </row>
    <row r="48" spans="1:29" ht="15.75" thickBot="1">
      <c r="A48" s="618" t="s">
        <v>2766</v>
      </c>
      <c r="B48" s="891"/>
      <c r="C48" s="2660">
        <f>R49</f>
        <v>6228</v>
      </c>
      <c r="D48" s="2661"/>
      <c r="E48" s="2662">
        <f>R48</f>
        <v>6341</v>
      </c>
      <c r="F48" s="2662"/>
      <c r="G48" s="2660">
        <f>T48</f>
        <v>6368</v>
      </c>
      <c r="H48" s="2661"/>
      <c r="I48" s="2662">
        <f>V48</f>
        <v>5975</v>
      </c>
      <c r="J48" s="2661"/>
      <c r="K48" s="1611"/>
      <c r="L48" s="2147"/>
      <c r="M48" s="2148"/>
      <c r="N48" s="2148"/>
      <c r="O48" s="2148"/>
      <c r="P48" s="3360" t="str">
        <f>A48</f>
        <v>比较价格（元/平方米）</v>
      </c>
      <c r="Q48" s="3360"/>
      <c r="R48" s="3453">
        <f>IF(F1="售价",ROUND(PRODUCT(R47,AA7:AA46),0),ROUND(PRODUCT(R47,AA7:AA46),1))</f>
        <v>6341</v>
      </c>
      <c r="S48" s="3453"/>
      <c r="T48" s="3453">
        <f>IF(F1="售价",ROUND(PRODUCT(T47,AB7:AB46),0),ROUND(PRODUCT(T47,AB7:AB46),1))</f>
        <v>6368</v>
      </c>
      <c r="U48" s="3453"/>
      <c r="V48" s="3453">
        <f>IF(F1="售价",ROUND(PRODUCT(V47,AC7:AC46),0),ROUND(PRODUCT(V47,AC7:AC46),1))</f>
        <v>5975</v>
      </c>
      <c r="W48" s="3453"/>
      <c r="X48" s="1563"/>
      <c r="Y48" s="1563"/>
      <c r="Z48" s="1563"/>
      <c r="AA48" s="1563"/>
      <c r="AB48" s="1563"/>
      <c r="AC48" s="1563"/>
    </row>
    <row r="49" spans="1:29" ht="15.75" thickBot="1">
      <c r="A49" s="624" t="s">
        <v>2939</v>
      </c>
      <c r="B49" s="625"/>
      <c r="C49" s="2663">
        <f>R49</f>
        <v>6228</v>
      </c>
      <c r="D49" s="2663"/>
      <c r="E49" s="2663"/>
      <c r="F49" s="2663"/>
      <c r="G49" s="2663"/>
      <c r="H49" s="2663"/>
      <c r="I49" s="2663"/>
      <c r="J49" s="2663"/>
      <c r="K49" s="1612"/>
      <c r="L49" s="2147"/>
      <c r="M49" s="2148"/>
      <c r="N49" s="2148"/>
      <c r="O49" s="2148"/>
      <c r="P49" s="3357" t="str">
        <f>A49</f>
        <v>估价对象XX用房的比较价格（楼面单价，元/平方米）</v>
      </c>
      <c r="Q49" s="3358"/>
      <c r="R49" s="3452">
        <f>IF(F1="售价",ROUND(AVERAGE(R48:V48),0),ROUND(AVERAGE(R48:V48),1))</f>
        <v>6228</v>
      </c>
      <c r="S49" s="3452"/>
      <c r="T49" s="3452"/>
      <c r="U49" s="3452"/>
      <c r="V49" s="3452"/>
      <c r="W49" s="3452"/>
      <c r="X49" s="1563"/>
      <c r="Y49" s="1563"/>
      <c r="Z49" s="1563"/>
      <c r="AA49" s="1563"/>
      <c r="AB49" s="1563"/>
      <c r="AC49" s="1563"/>
    </row>
    <row r="50" spans="1:29">
      <c r="A50" s="2148"/>
      <c r="B50" s="2148"/>
      <c r="C50" s="2148"/>
      <c r="D50" s="2148"/>
      <c r="E50" s="2148">
        <v>8000</v>
      </c>
      <c r="F50" s="2148"/>
      <c r="G50" s="2148">
        <v>6400</v>
      </c>
      <c r="H50" s="2148"/>
      <c r="I50" s="2148">
        <v>6400</v>
      </c>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2.0028386689796562E-2</v>
      </c>
      <c r="F52" s="630" t="str">
        <f>IF(OR(E52&gt;=0.3,E52&lt;=-0.3),"超过30%","")</f>
        <v/>
      </c>
      <c r="G52" s="629">
        <f>IF(G47&lt;G48,G48/G47-1,G47/G48-1)</f>
        <v>0</v>
      </c>
      <c r="H52" s="630" t="str">
        <f>IF(OR(G52&gt;=0.3,G52&lt;=-0.3),"超过30%","")</f>
        <v/>
      </c>
      <c r="I52" s="629">
        <f>IF(I47&lt;I48,I48/I47-1,I47/I48-1)</f>
        <v>6.0418410041841009E-2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4.2580034694843505E-3</v>
      </c>
      <c r="F53" s="630" t="str">
        <f>IF(OR(E53&gt;=0.2,E53&lt;=-0.2),"超过20%","")</f>
        <v/>
      </c>
      <c r="G53" s="629">
        <f>IF(G48&lt;I48,I48/G48-1,G48/I48-1)</f>
        <v>6.5774058577405814E-2</v>
      </c>
      <c r="H53" s="630" t="str">
        <f>IF(OR(G53&gt;=0.2,G53&lt;=-0.2),"超过20%","")</f>
        <v/>
      </c>
      <c r="I53" s="629">
        <f>IF(I48&lt;E48,E48/I48-1,I48/E48-1)</f>
        <v>6.1255230125522919E-2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560</v>
      </c>
      <c r="D54" s="631"/>
      <c r="E54" s="629">
        <f>IF(E47&lt;G47,G47/E47-1,E47/G47-1)</f>
        <v>1.5703517587939642E-2</v>
      </c>
      <c r="F54" s="630" t="str">
        <f>IF(OR(E54&gt;=0.3,E54&lt;=-0.3),"超过30%","")</f>
        <v/>
      </c>
      <c r="G54" s="629">
        <f>IF(G47&lt;I47,I47/G47-1,G47/I47-1)</f>
        <v>5.050505050504972E-3</v>
      </c>
      <c r="H54" s="630" t="str">
        <f>IF(OR(G54&gt;=0.3,G54&lt;=-0.3),"超过30%","")</f>
        <v/>
      </c>
      <c r="I54" s="629">
        <f>IF(I47&lt;E47,E47/I47-1,I47/E47-1)</f>
        <v>2.0833333333333259E-2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8" t="s">
        <v>575</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530</v>
      </c>
      <c r="B58" s="649"/>
      <c r="C58" s="2835"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c r="E59" s="653"/>
      <c r="F59" s="653"/>
      <c r="G59" s="653"/>
      <c r="H59" s="653"/>
      <c r="I59" s="653"/>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3"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3"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3"/>
      <c r="F64" s="1613"/>
      <c r="G64" s="1613"/>
      <c r="H64" s="1613"/>
      <c r="I64" s="1613"/>
      <c r="J64" s="1613"/>
      <c r="K64" s="1613"/>
      <c r="L64" s="1613"/>
      <c r="M64" s="1614"/>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v>
      </c>
      <c r="I67" s="685" t="str">
        <f t="shared" si="18"/>
        <v>（含）-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2" customFormat="1" ht="15.75" hidden="1"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hidden="1"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hidden="1"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hidden="1"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hidden="1"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hidden="1"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ht="15" thickTop="1">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2561</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2562</v>
      </c>
      <c r="C82" s="2625" t="s">
        <v>2563</v>
      </c>
      <c r="D82" s="2625" t="s">
        <v>2564</v>
      </c>
      <c r="E82" s="2625" t="s">
        <v>2565</v>
      </c>
      <c r="F82" s="2625" t="s">
        <v>2566</v>
      </c>
      <c r="G82" s="2625" t="s">
        <v>2567</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hidden="1" thickTop="1">
      <c r="A86" s="712"/>
      <c r="B86" s="1899" t="s">
        <v>2259</v>
      </c>
      <c r="C86" s="691"/>
      <c r="D86" s="691"/>
      <c r="E86" s="691"/>
      <c r="F86" s="691"/>
      <c r="G86" s="691"/>
      <c r="H86" s="691"/>
      <c r="I86" s="691"/>
      <c r="J86" s="691"/>
      <c r="K86" s="691"/>
      <c r="L86" s="893"/>
      <c r="M86" s="894"/>
      <c r="N86" s="2165"/>
      <c r="O86" s="2165"/>
      <c r="P86" s="2168"/>
      <c r="Q86" s="2161"/>
      <c r="R86" s="1996"/>
      <c r="S86" s="1996"/>
      <c r="T86" s="1996"/>
      <c r="U86" s="1996"/>
      <c r="V86" s="1996"/>
      <c r="W86" s="1996"/>
      <c r="X86" s="1996"/>
      <c r="Y86" s="1996"/>
      <c r="Z86" s="1996"/>
      <c r="AA86" s="1996"/>
      <c r="AB86" s="1996"/>
      <c r="AC86" s="1996"/>
    </row>
    <row r="87" spans="1:29" s="1223" customFormat="1" ht="15.75" hidden="1"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3" customFormat="1" ht="15.75" hidden="1" thickTop="1">
      <c r="A88" s="712"/>
      <c r="B88" s="676" t="s">
        <v>747</v>
      </c>
      <c r="C88" s="691"/>
      <c r="D88" s="691"/>
      <c r="E88" s="691"/>
      <c r="F88" s="895"/>
      <c r="G88" s="691"/>
      <c r="H88" s="691"/>
      <c r="I88" s="691"/>
      <c r="J88" s="691"/>
      <c r="K88" s="691"/>
      <c r="L88" s="691"/>
      <c r="M88" s="894"/>
      <c r="N88" s="2165"/>
      <c r="O88" s="2165"/>
      <c r="P88" s="2168"/>
      <c r="Q88" s="2161"/>
      <c r="R88" s="1996"/>
      <c r="S88" s="1996"/>
      <c r="T88" s="1996"/>
      <c r="U88" s="1996"/>
      <c r="V88" s="1996"/>
      <c r="W88" s="1996"/>
      <c r="X88" s="1996"/>
      <c r="Y88" s="1996"/>
      <c r="Z88" s="1996"/>
      <c r="AA88" s="1996"/>
      <c r="AB88" s="1996"/>
      <c r="AC88" s="1996"/>
    </row>
    <row r="89" spans="1:29" s="1223" customFormat="1" ht="15.75" hidden="1"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2" customFormat="1" ht="15.75" thickTop="1">
      <c r="A90" s="690"/>
      <c r="B90" s="676" t="str">
        <f>B27</f>
        <v>道路级别</v>
      </c>
      <c r="C90" s="3167" t="s">
        <v>3029</v>
      </c>
      <c r="D90" s="3167" t="s">
        <v>3030</v>
      </c>
      <c r="E90" s="3167" t="s">
        <v>3032</v>
      </c>
      <c r="F90" s="3167" t="s">
        <v>3034</v>
      </c>
      <c r="G90" s="3167" t="s">
        <v>3036</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695">
        <v>100</v>
      </c>
      <c r="D91" s="695">
        <v>99</v>
      </c>
      <c r="E91" s="695">
        <v>98</v>
      </c>
      <c r="F91" s="695">
        <v>97</v>
      </c>
      <c r="G91" s="695">
        <v>96</v>
      </c>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hidden="1"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hidden="1"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hidden="1"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hidden="1"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hidden="1"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hidden="1"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hidden="1"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hidden="1"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ht="15" thickTop="1">
      <c r="A100" s="667" t="s">
        <v>552</v>
      </c>
      <c r="B100" s="668" t="s">
        <v>748</v>
      </c>
      <c r="C100" s="3166" t="s">
        <v>3063</v>
      </c>
      <c r="D100" s="3166" t="s">
        <v>3064</v>
      </c>
      <c r="E100" s="3166" t="s">
        <v>3065</v>
      </c>
      <c r="F100" s="3166" t="s">
        <v>3067</v>
      </c>
      <c r="G100" s="3166" t="s">
        <v>3068</v>
      </c>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749</v>
      </c>
      <c r="C102" s="711" t="str">
        <f>C103&amp;"(含)"&amp;"-"&amp;D103</f>
        <v>0(含)-300000</v>
      </c>
      <c r="D102" s="711" t="str">
        <f t="shared" ref="D102:L102" si="23">D103&amp;"(含)"&amp;"-"&amp;E103</f>
        <v>300000(含)-600000</v>
      </c>
      <c r="E102" s="711" t="str">
        <f t="shared" si="23"/>
        <v>600000(含)-900000</v>
      </c>
      <c r="F102" s="711" t="str">
        <f t="shared" si="23"/>
        <v>900000(含)-1200000</v>
      </c>
      <c r="G102" s="711" t="str">
        <f t="shared" si="23"/>
        <v>1200000(含)-1500000</v>
      </c>
      <c r="H102" s="711" t="str">
        <f t="shared" si="23"/>
        <v>1500000(含)-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v>0</v>
      </c>
      <c r="D103" s="733">
        <v>300000</v>
      </c>
      <c r="E103" s="733">
        <v>600000</v>
      </c>
      <c r="F103" s="733">
        <v>900000</v>
      </c>
      <c r="G103" s="733">
        <v>1200000</v>
      </c>
      <c r="H103" s="733">
        <v>1500000</v>
      </c>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v>100</v>
      </c>
      <c r="D104" s="674">
        <v>101</v>
      </c>
      <c r="E104" s="674">
        <v>102</v>
      </c>
      <c r="F104" s="674">
        <v>103</v>
      </c>
      <c r="G104" s="674">
        <v>104</v>
      </c>
      <c r="H104" s="674">
        <v>105</v>
      </c>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3167" t="s">
        <v>3069</v>
      </c>
      <c r="D105" s="3167" t="s">
        <v>3070</v>
      </c>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3168" t="s">
        <v>3081</v>
      </c>
      <c r="D107" s="3168" t="s">
        <v>3083</v>
      </c>
      <c r="E107" s="3168" t="s">
        <v>3084</v>
      </c>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3167" t="s">
        <v>3086</v>
      </c>
      <c r="D109" s="3167" t="s">
        <v>3087</v>
      </c>
      <c r="E109" s="3167" t="s">
        <v>3089</v>
      </c>
      <c r="F109" s="721"/>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9"/>
      <c r="O110" s="2169"/>
      <c r="P110" s="2168"/>
      <c r="Q110" s="2161"/>
      <c r="R110" s="2148"/>
      <c r="S110" s="2148"/>
      <c r="T110" s="2148"/>
      <c r="U110" s="2148"/>
      <c r="V110" s="2148"/>
      <c r="W110" s="2148"/>
      <c r="X110" s="2148"/>
      <c r="Y110" s="2148"/>
      <c r="Z110" s="2148"/>
      <c r="AA110" s="2148"/>
      <c r="AB110" s="2148"/>
      <c r="AC110" s="2148"/>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2"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3167" t="s">
        <v>3091</v>
      </c>
      <c r="D114" s="3167" t="s">
        <v>3092</v>
      </c>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2560</v>
      </c>
      <c r="C116" s="3167" t="s">
        <v>3093</v>
      </c>
      <c r="D116" s="3167" t="s">
        <v>3094</v>
      </c>
      <c r="E116" s="3167" t="s">
        <v>3095</v>
      </c>
      <c r="F116" s="3167" t="s">
        <v>3096</v>
      </c>
      <c r="G116" s="3167" t="s">
        <v>3097</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hidden="1" thickTop="1">
      <c r="A118" s="738"/>
      <c r="B118" s="676" t="s">
        <v>755</v>
      </c>
      <c r="C118" s="721"/>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hidden="1"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9"/>
      <c r="O119" s="2169"/>
      <c r="P119" s="2168"/>
      <c r="Q119" s="2161"/>
      <c r="R119" s="2148"/>
      <c r="S119" s="2148"/>
      <c r="T119" s="2148"/>
      <c r="U119" s="2148"/>
      <c r="V119" s="2148"/>
      <c r="W119" s="2148"/>
      <c r="X119" s="2148"/>
      <c r="Y119" s="2148"/>
      <c r="Z119" s="2148"/>
      <c r="AA119" s="2148"/>
      <c r="AB119" s="2148"/>
      <c r="AC119" s="2148"/>
    </row>
    <row r="120" spans="1:29" s="1342" customFormat="1" ht="28.5" thickTop="1">
      <c r="A120" s="731"/>
      <c r="B120" s="676" t="s">
        <v>734</v>
      </c>
      <c r="C120" s="691" t="s">
        <v>3062</v>
      </c>
      <c r="D120" s="691" t="s">
        <v>3098</v>
      </c>
      <c r="E120" s="691" t="s">
        <v>3099</v>
      </c>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695">
        <v>100</v>
      </c>
      <c r="D121" s="674">
        <v>98</v>
      </c>
      <c r="E121" s="674">
        <v>96</v>
      </c>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3167" t="s">
        <v>3086</v>
      </c>
      <c r="D122" s="3167" t="s">
        <v>3087</v>
      </c>
      <c r="E122" s="3167" t="s">
        <v>3089</v>
      </c>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hidden="1"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hidden="1"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hidden="1"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hidden="1"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hidden="1"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hidden="1"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hidden="1"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hidden="1"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ht="15" thickTop="1">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2260</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2261</v>
      </c>
      <c r="C137" s="1922"/>
      <c r="D137" s="1922"/>
      <c r="E137" s="1922"/>
      <c r="F137" s="1922"/>
      <c r="G137" s="1923"/>
      <c r="H137" s="1924"/>
      <c r="I137" s="1925" t="s">
        <v>2262</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2263</v>
      </c>
      <c r="D138" s="1928" t="s">
        <v>2264</v>
      </c>
      <c r="E138" s="1929" t="s">
        <v>2265</v>
      </c>
      <c r="F138" s="1930" t="s">
        <v>2266</v>
      </c>
      <c r="G138" s="1928" t="s">
        <v>2267</v>
      </c>
      <c r="H138" s="1931" t="s">
        <v>2268</v>
      </c>
      <c r="I138" s="1932"/>
      <c r="J138" s="1928" t="s">
        <v>2269</v>
      </c>
      <c r="K138" s="1931" t="s">
        <v>2270</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2271</v>
      </c>
      <c r="E139" s="1902">
        <v>100</v>
      </c>
      <c r="F139" s="1903">
        <v>102.5</v>
      </c>
      <c r="G139" s="1933" t="s">
        <v>2272</v>
      </c>
      <c r="H139" s="1904">
        <v>105</v>
      </c>
      <c r="I139" s="1934" t="s">
        <v>2273</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2274</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2275</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2276</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2277</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2278</v>
      </c>
      <c r="E144" s="1908">
        <v>102</v>
      </c>
      <c r="F144" s="1914">
        <v>100</v>
      </c>
      <c r="G144" s="1937" t="s">
        <v>2278</v>
      </c>
      <c r="H144" s="1910">
        <v>105</v>
      </c>
      <c r="I144" s="1936" t="s">
        <v>2277</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2279</v>
      </c>
      <c r="C145" s="1915">
        <f>ROUND(MAX(C139:C144)/MIN(C139:C144)-1,3)</f>
        <v>7.2999999999999995E-2</v>
      </c>
      <c r="D145" s="1939"/>
      <c r="E145" s="1939"/>
      <c r="F145" s="1940" t="s">
        <v>2280</v>
      </c>
      <c r="G145" s="1941"/>
      <c r="H145" s="1942"/>
      <c r="I145" s="1943" t="s">
        <v>2277</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2289</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2290</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B34" zoomScale="80" zoomScaleNormal="80" workbookViewId="0">
      <selection activeCell="C36" sqref="C36:C38"/>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1727</v>
      </c>
      <c r="B1" s="741"/>
      <c r="C1" s="776" t="s">
        <v>3009</v>
      </c>
      <c r="D1" s="3163" t="s">
        <v>3018</v>
      </c>
      <c r="E1" s="2414" t="s">
        <v>2376</v>
      </c>
      <c r="F1" s="2415">
        <f ca="1">J53</f>
        <v>34.81</v>
      </c>
      <c r="G1" s="777">
        <f>MATCH(C1,'数据-取费表'!A6:A16,0)+5</f>
        <v>7</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1728</v>
      </c>
      <c r="B2" s="778">
        <f ca="1">C40+J29+L46</f>
        <v>5661</v>
      </c>
      <c r="C2" s="2060"/>
      <c r="D2" s="2058"/>
      <c r="E2" s="2059"/>
      <c r="F2" s="2059"/>
      <c r="G2" s="1594"/>
      <c r="H2" s="2060"/>
      <c r="I2" s="2060"/>
      <c r="J2" s="2060"/>
      <c r="K2" s="2061"/>
      <c r="L2" s="2060"/>
      <c r="M2" s="2060"/>
    </row>
    <row r="3" spans="1:33" ht="18" customHeight="1" thickBot="1">
      <c r="A3" s="836" t="s">
        <v>1729</v>
      </c>
      <c r="B3" s="837">
        <f ca="1">IF(ISERROR(B2*10000/F43),0,ROUND(B2*10000/F43,0))</f>
        <v>10410</v>
      </c>
      <c r="C3" s="2060"/>
      <c r="D3" s="2058"/>
      <c r="E3" s="2059"/>
      <c r="F3" s="2059"/>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2461</v>
      </c>
      <c r="C5" s="55">
        <f ca="1">C6+C10+C12</f>
        <v>337</v>
      </c>
      <c r="D5" s="2523" t="s">
        <v>2464</v>
      </c>
      <c r="E5" s="2517"/>
      <c r="F5" s="2518"/>
      <c r="G5" s="1596"/>
      <c r="H5" s="784">
        <v>1</v>
      </c>
      <c r="I5" s="785" t="s">
        <v>2461</v>
      </c>
      <c r="J5" s="55">
        <f ca="1">J6+J10+J12</f>
        <v>0</v>
      </c>
      <c r="K5" s="2523" t="s">
        <v>2464</v>
      </c>
      <c r="L5" s="2517"/>
      <c r="M5" s="2518"/>
    </row>
    <row r="6" spans="1:33" ht="18" customHeight="1">
      <c r="A6" s="1833" t="s">
        <v>1826</v>
      </c>
      <c r="B6" s="3436" t="s">
        <v>2466</v>
      </c>
      <c r="C6" s="786">
        <f ca="1">ROUND(F6*F8*F7*(1-F9)/10000,0)</f>
        <v>337</v>
      </c>
      <c r="D6" s="2524" t="s">
        <v>2465</v>
      </c>
      <c r="E6" s="787" t="s">
        <v>1740</v>
      </c>
      <c r="F6" s="788">
        <f ca="1">INDIRECT("'数据-取费表'!u"&amp;$G$1)</f>
        <v>2</v>
      </c>
      <c r="G6" s="1596"/>
      <c r="H6" s="2531" t="s">
        <v>2472</v>
      </c>
      <c r="I6" s="3436" t="s">
        <v>2466</v>
      </c>
      <c r="J6" s="786">
        <f ca="1">ROUND(M6*M8*M7*(1-M9)/10000,0)</f>
        <v>0</v>
      </c>
      <c r="K6" s="344" t="s">
        <v>1739</v>
      </c>
      <c r="L6" s="787" t="s">
        <v>1740</v>
      </c>
      <c r="M6" s="788">
        <f ca="1">INDIRECT("'数据-取费表'!z"&amp;$G$1)</f>
        <v>0</v>
      </c>
    </row>
    <row r="7" spans="1:33" ht="18" customHeight="1">
      <c r="A7" s="2527"/>
      <c r="B7" s="3437"/>
      <c r="C7" s="791"/>
      <c r="D7" s="792"/>
      <c r="E7" s="787" t="s">
        <v>1741</v>
      </c>
      <c r="F7" s="788">
        <f ca="1">IF(INDIRECT("'数据-取费表'!ah"&amp;$G$1)="",INDIRECT("'数据-取费表'!k"&amp;$G$1),INDIRECT("'数据-取费表'!ah"&amp;$G$1))</f>
        <v>5438.03</v>
      </c>
      <c r="G7" s="1596"/>
      <c r="H7" s="2516"/>
      <c r="I7" s="3437"/>
      <c r="J7" s="791"/>
      <c r="K7" s="792"/>
      <c r="L7" s="787" t="s">
        <v>1741</v>
      </c>
      <c r="M7" s="788">
        <f ca="1">F7</f>
        <v>5438.03</v>
      </c>
    </row>
    <row r="8" spans="1:33" ht="18" customHeight="1">
      <c r="A8" s="2520"/>
      <c r="B8" s="3438"/>
      <c r="C8" s="791"/>
      <c r="D8" s="792"/>
      <c r="E8" s="787" t="s">
        <v>1742</v>
      </c>
      <c r="F8" s="788">
        <f ca="1">INDIRECT("'数据-取费表'!ai"&amp;$G$1)</f>
        <v>365</v>
      </c>
      <c r="G8" s="1596"/>
      <c r="H8" s="2516"/>
      <c r="I8" s="3438"/>
      <c r="J8" s="791"/>
      <c r="K8" s="792"/>
      <c r="L8" s="787" t="s">
        <v>1742</v>
      </c>
      <c r="M8" s="788">
        <f ca="1">INDIRECT("'数据-取费表'!ai"&amp;$G$1)</f>
        <v>365</v>
      </c>
    </row>
    <row r="9" spans="1:33" ht="18" customHeight="1">
      <c r="A9" s="789"/>
      <c r="B9" s="3439"/>
      <c r="C9" s="791"/>
      <c r="D9" s="792"/>
      <c r="E9" s="787" t="s">
        <v>1743</v>
      </c>
      <c r="F9" s="797">
        <f ca="1">INDIRECT("'数据-取费表'!w"&amp;$G$1)</f>
        <v>0.15</v>
      </c>
      <c r="G9" s="1596"/>
      <c r="H9" s="2532"/>
      <c r="I9" s="3438"/>
      <c r="J9" s="791"/>
      <c r="K9" s="792"/>
      <c r="L9" s="798" t="s">
        <v>1743</v>
      </c>
      <c r="M9" s="799">
        <f ca="1">INDIRECT("'数据-取费表'!ab"&amp;$G$1)</f>
        <v>0</v>
      </c>
    </row>
    <row r="10" spans="1:33" ht="18" customHeight="1">
      <c r="A10" s="1833" t="s">
        <v>2470</v>
      </c>
      <c r="B10" s="2521" t="s">
        <v>2462</v>
      </c>
      <c r="C10" s="802">
        <f ca="1">ROUND(IF(F10="押一",F6*F8*F7/12*F11,IF(F10="押二",F6*F8*F7/12*2*F11,IF(F10="押三",F6*F8*F7/12*3*F11,C11*F11)))/10000,0)</f>
        <v>0</v>
      </c>
      <c r="D10" s="2528" t="s">
        <v>2469</v>
      </c>
      <c r="E10" s="2525" t="s">
        <v>2467</v>
      </c>
      <c r="F10" s="2648" t="s">
        <v>3015</v>
      </c>
      <c r="G10" s="1596"/>
      <c r="H10" s="2588" t="s">
        <v>2473</v>
      </c>
      <c r="I10" s="2593" t="s">
        <v>2462</v>
      </c>
      <c r="J10" s="786">
        <f ca="1">ROUND(IF(M10="押一",M6*M8*M7/12*M11,IF(M10="押二",M6*M8*M7/12*2*M11,IF(M10="押三",M6*M8*M7/12*3*M11,J11*M11)))/10000,0)</f>
        <v>0</v>
      </c>
      <c r="K10" s="2528" t="s">
        <v>2469</v>
      </c>
      <c r="L10" s="2525" t="s">
        <v>2467</v>
      </c>
      <c r="M10" s="2648"/>
    </row>
    <row r="11" spans="1:33" ht="18" customHeight="1">
      <c r="A11" s="793"/>
      <c r="B11" s="2522" t="s">
        <v>2577</v>
      </c>
      <c r="C11" s="2526"/>
      <c r="D11" s="792"/>
      <c r="E11" s="2525" t="s">
        <v>2468</v>
      </c>
      <c r="F11" s="799">
        <f ca="1">'数据-取费表'!B39</f>
        <v>1.4999999999999999E-2</v>
      </c>
      <c r="G11" s="1596"/>
      <c r="H11" s="2589"/>
      <c r="I11" s="2522" t="s">
        <v>2577</v>
      </c>
      <c r="J11" s="2526"/>
      <c r="K11" s="2590"/>
      <c r="L11" s="2525" t="s">
        <v>2468</v>
      </c>
      <c r="M11" s="2519">
        <f ca="1">'数据-取费表'!B39</f>
        <v>1.4999999999999999E-2</v>
      </c>
    </row>
    <row r="12" spans="1:33" ht="18" customHeight="1" thickBot="1">
      <c r="A12" s="2564" t="s">
        <v>2471</v>
      </c>
      <c r="B12" s="2565" t="s">
        <v>2463</v>
      </c>
      <c r="C12" s="2566"/>
      <c r="D12" s="2567"/>
      <c r="E12" s="2568"/>
      <c r="F12" s="2569"/>
      <c r="G12" s="1596"/>
      <c r="H12" s="2578" t="s">
        <v>2474</v>
      </c>
      <c r="I12" s="2591" t="s">
        <v>2463</v>
      </c>
      <c r="J12" s="2592"/>
      <c r="K12" s="2567"/>
      <c r="L12" s="2568"/>
      <c r="M12" s="2581"/>
    </row>
    <row r="13" spans="1:33" ht="18" customHeight="1" thickTop="1">
      <c r="A13" s="1832">
        <v>2</v>
      </c>
      <c r="B13" s="1830" t="s">
        <v>1744</v>
      </c>
      <c r="C13" s="795">
        <f ca="1">ROUND(C29*F13,0)</f>
        <v>1277</v>
      </c>
      <c r="D13" s="1837" t="s">
        <v>2299</v>
      </c>
      <c r="E13" s="1837" t="s">
        <v>1746</v>
      </c>
      <c r="F13" s="2563">
        <f ca="1">INDIRECT("'数据-取费表'!y"&amp;$G$1)</f>
        <v>1</v>
      </c>
      <c r="G13" s="1596"/>
      <c r="H13" s="1832">
        <v>2</v>
      </c>
      <c r="I13" s="1830" t="s">
        <v>1744</v>
      </c>
      <c r="J13" s="1822">
        <f ca="1">ROUND(J14*J15,0)</f>
        <v>0</v>
      </c>
      <c r="K13" s="1824" t="s">
        <v>1745</v>
      </c>
      <c r="L13" s="2579"/>
      <c r="M13" s="2580"/>
    </row>
    <row r="14" spans="1:33" ht="18" customHeight="1">
      <c r="A14" s="1652" t="s">
        <v>1886</v>
      </c>
      <c r="B14" s="787" t="s">
        <v>646</v>
      </c>
      <c r="C14" s="807">
        <f ca="1">INDIRECT("'数据-取费表'!m"&amp;$G$1)+INDIRECT("'数据-取费表'!t"&amp;$G$1)</f>
        <v>761</v>
      </c>
      <c r="D14" s="1982" t="s">
        <v>1747</v>
      </c>
      <c r="E14" s="1983"/>
      <c r="F14" s="808"/>
      <c r="G14" s="1596"/>
      <c r="H14" s="1653" t="s">
        <v>1832</v>
      </c>
      <c r="I14" s="2234" t="s">
        <v>2832</v>
      </c>
      <c r="J14" s="53">
        <f ca="1">C29</f>
        <v>1277</v>
      </c>
      <c r="K14" s="26"/>
      <c r="L14" s="804"/>
      <c r="M14" s="805"/>
    </row>
    <row r="15" spans="1:33" s="2067" customFormat="1" ht="18" customHeight="1" thickBot="1">
      <c r="A15" s="1652" t="s">
        <v>1887</v>
      </c>
      <c r="B15" s="787" t="s">
        <v>648</v>
      </c>
      <c r="C15" s="53">
        <f ca="1">ROUND(C14*F15,0)</f>
        <v>38</v>
      </c>
      <c r="D15" s="809" t="s">
        <v>1748</v>
      </c>
      <c r="E15" s="809" t="s">
        <v>1749</v>
      </c>
      <c r="F15" s="810">
        <f>'数据-取费表'!B33</f>
        <v>0.05</v>
      </c>
      <c r="G15" s="1597"/>
      <c r="H15" s="2578" t="s">
        <v>1891</v>
      </c>
      <c r="I15" s="2573" t="s">
        <v>1746</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2" t="s">
        <v>1750</v>
      </c>
      <c r="I16" s="1830" t="s">
        <v>1751</v>
      </c>
      <c r="J16" s="795">
        <f ca="1">ROUND(J17+J22+J23+J24,0)</f>
        <v>41</v>
      </c>
      <c r="K16" s="1824" t="s">
        <v>1752</v>
      </c>
      <c r="L16" s="2513"/>
      <c r="M16" s="2518"/>
    </row>
    <row r="17" spans="1:33" s="2067" customFormat="1" ht="18" customHeight="1">
      <c r="A17" s="1652" t="s">
        <v>1889</v>
      </c>
      <c r="B17" s="787" t="s">
        <v>654</v>
      </c>
      <c r="C17" s="53">
        <f ca="1">ROUND(F17*(F43+INDIRECT("'数据-取费表'!S"&amp;$G$1))/10000,0)</f>
        <v>109</v>
      </c>
      <c r="D17" s="787" t="s">
        <v>1753</v>
      </c>
      <c r="E17" s="787" t="s">
        <v>1754</v>
      </c>
      <c r="F17" s="56">
        <f>'数据-取费表'!B35</f>
        <v>200</v>
      </c>
      <c r="G17" s="1597"/>
      <c r="H17" s="1653" t="s">
        <v>1832</v>
      </c>
      <c r="I17" s="787" t="s">
        <v>657</v>
      </c>
      <c r="J17" s="53">
        <f ca="1">ROUND(IF(项目基本情况!B11="自然人",J5*M17,J18+J19+J20),0)</f>
        <v>15</v>
      </c>
      <c r="K17" s="2512" t="s">
        <v>1755</v>
      </c>
      <c r="L17" s="2511" t="s">
        <v>1756</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2" t="s">
        <v>1890</v>
      </c>
      <c r="B18" s="787" t="s">
        <v>660</v>
      </c>
      <c r="C18" s="53">
        <f ca="1">ROUND(C14*F18,0)</f>
        <v>11</v>
      </c>
      <c r="D18" s="787" t="s">
        <v>1748</v>
      </c>
      <c r="E18" s="787" t="s">
        <v>1749</v>
      </c>
      <c r="F18" s="812">
        <f>'数据-取费表'!B36</f>
        <v>1.4999999999999999E-2</v>
      </c>
      <c r="G18" s="1597"/>
      <c r="H18" s="1652" t="s">
        <v>1886</v>
      </c>
      <c r="I18" s="787" t="s">
        <v>1757</v>
      </c>
      <c r="J18" s="53">
        <f ca="1">ROUND(J5*M18/1.05,1)</f>
        <v>0</v>
      </c>
      <c r="K18" s="2511" t="s">
        <v>1758</v>
      </c>
      <c r="L18" s="787" t="s">
        <v>1749</v>
      </c>
      <c r="M18" s="812">
        <f>'数据-取费表'!B41</f>
        <v>6.2719999999999998E-2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3" t="s">
        <v>1832</v>
      </c>
      <c r="B19" s="787" t="s">
        <v>663</v>
      </c>
      <c r="C19" s="53">
        <f ca="1">SUM(C14:C18)</f>
        <v>919</v>
      </c>
      <c r="D19" s="261" t="s">
        <v>1759</v>
      </c>
      <c r="E19" s="1985"/>
      <c r="F19" s="56"/>
      <c r="G19" s="1596"/>
      <c r="H19" s="1652" t="s">
        <v>1887</v>
      </c>
      <c r="I19" s="787" t="s">
        <v>1760</v>
      </c>
      <c r="J19" s="53">
        <f ca="1">IF(K19="按租金收入计税",ROUND(J5*M19,1),ROUND(C29*F33*0.7,1))</f>
        <v>10.7</v>
      </c>
      <c r="K19" s="814" t="s">
        <v>666</v>
      </c>
      <c r="L19" s="787" t="s">
        <v>1749</v>
      </c>
      <c r="M19" s="812">
        <f>IF(K19="按租金收入计税",'数据-取费表'!B51,'数据-取费表'!B50)</f>
        <v>1.2E-2</v>
      </c>
    </row>
    <row r="20" spans="1:33" s="2067" customFormat="1" ht="18" customHeight="1">
      <c r="A20" s="1653" t="s">
        <v>1891</v>
      </c>
      <c r="B20" s="787" t="s">
        <v>667</v>
      </c>
      <c r="C20" s="53">
        <f ca="1">ROUND(C19*F20,0)</f>
        <v>18</v>
      </c>
      <c r="D20" s="815" t="s">
        <v>1761</v>
      </c>
      <c r="E20" s="787" t="s">
        <v>1749</v>
      </c>
      <c r="F20" s="812">
        <f>'数据-取费表'!B37</f>
        <v>0.02</v>
      </c>
      <c r="G20" s="1597"/>
      <c r="H20" s="1655" t="s">
        <v>1882</v>
      </c>
      <c r="I20" s="344" t="s">
        <v>1762</v>
      </c>
      <c r="J20" s="54">
        <f ca="1">ROUND(M20*M21/10000,0)</f>
        <v>4</v>
      </c>
      <c r="K20" s="817" t="s">
        <v>1763</v>
      </c>
      <c r="L20" s="787" t="s">
        <v>1764</v>
      </c>
      <c r="M20" s="643">
        <f>'数据-取费表'!B52</f>
        <v>10.5</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3" t="s">
        <v>1892</v>
      </c>
      <c r="B21" s="787" t="s">
        <v>1765</v>
      </c>
      <c r="C21" s="53" t="s">
        <v>1766</v>
      </c>
      <c r="D21" s="815" t="s">
        <v>2300</v>
      </c>
      <c r="E21" s="787" t="s">
        <v>1767</v>
      </c>
      <c r="F21" s="812">
        <f>'数据-取费表'!B38</f>
        <v>0.02</v>
      </c>
      <c r="G21" s="1597"/>
      <c r="H21" s="2533"/>
      <c r="I21" s="796"/>
      <c r="J21" s="69"/>
      <c r="K21" s="819"/>
      <c r="L21" s="787" t="s">
        <v>1768</v>
      </c>
      <c r="M21" s="788">
        <f ca="1">INDIRECT("'数据-取费表'!r"&amp;$G$1)</f>
        <v>3625.35</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3" t="s">
        <v>1893</v>
      </c>
      <c r="B22" s="787" t="s">
        <v>1769</v>
      </c>
      <c r="C22" s="53"/>
      <c r="D22" s="2599" t="str">
        <f>IF(F23&lt;=1,"单利计息。","复利计息。")&amp;"建造成本、管理费用、销售费用产生的利息。"</f>
        <v>复利计息。建造成本、管理费用、销售费用产生的利息。</v>
      </c>
      <c r="E22" s="1985"/>
      <c r="F22" s="56"/>
      <c r="G22" s="1596"/>
      <c r="H22" s="1653" t="s">
        <v>1891</v>
      </c>
      <c r="I22" s="787" t="s">
        <v>1770</v>
      </c>
      <c r="J22" s="53">
        <f ca="1">ROUND(J14*M22,0)</f>
        <v>26</v>
      </c>
      <c r="K22" s="2511" t="s">
        <v>1771</v>
      </c>
      <c r="L22" s="787" t="s">
        <v>1749</v>
      </c>
      <c r="M22" s="820">
        <f ca="1">INDIRECT("'数据-取费表'!Ak"&amp;$G$1)</f>
        <v>0.02</v>
      </c>
    </row>
    <row r="23" spans="1:33" s="2067" customFormat="1" ht="18" customHeight="1">
      <c r="A23" s="1652" t="s">
        <v>1833</v>
      </c>
      <c r="B23" s="787" t="s">
        <v>2539</v>
      </c>
      <c r="C23" s="53">
        <f ca="1">ROUND(IF('数据-取费表'!B22&lt;=1,(C19+C20)*F24*F23/2,(C19+C20)*(POWER((1+F24),F23/2)-1)),0)</f>
        <v>45</v>
      </c>
      <c r="D23" s="2598" t="str">
        <f>IF(F23&lt;=1,"(建造成本+管理费用)×利率×(建设周期÷2)","(建造成本+管理费用)×((1+利率)^(建设周期÷2)-1)")</f>
        <v>(建造成本+管理费用)×((1+利率)^(建设周期÷2)-1)</v>
      </c>
      <c r="E23" s="787" t="s">
        <v>1772</v>
      </c>
      <c r="F23" s="643">
        <f>'数据-取费表'!B20</f>
        <v>2</v>
      </c>
      <c r="G23" s="1597"/>
      <c r="H23" s="1653" t="s">
        <v>1892</v>
      </c>
      <c r="I23" s="787" t="s">
        <v>680</v>
      </c>
      <c r="J23" s="53">
        <f ca="1">ROUND(J13*M23,0)</f>
        <v>0</v>
      </c>
      <c r="K23" s="2511" t="s">
        <v>1773</v>
      </c>
      <c r="L23" s="787" t="s">
        <v>1749</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2" t="s">
        <v>1834</v>
      </c>
      <c r="B24" s="787" t="s">
        <v>1774</v>
      </c>
      <c r="C24" s="53">
        <f ca="1">ROUND(IF('数据-取费表'!B22&lt;=1,F21*F24*F23/2,F21*(POWER((1+F24),F23/2)-1)),4)</f>
        <v>1E-3</v>
      </c>
      <c r="D24" s="2598" t="str">
        <f>IF(F23&lt;=1,"销售费用×利率×(建设周期÷2)","销售费用×((1+利率)^(建设周期÷2)-1)")</f>
        <v>销售费用×((1+利率)^(建设周期÷2)-1)</v>
      </c>
      <c r="E24" s="787" t="s">
        <v>1775</v>
      </c>
      <c r="F24" s="822">
        <f ca="1">'数据-取费表'!B40</f>
        <v>4.7500000000000001E-2</v>
      </c>
      <c r="G24" s="1597"/>
      <c r="H24" s="2578" t="s">
        <v>1893</v>
      </c>
      <c r="I24" s="2573" t="s">
        <v>667</v>
      </c>
      <c r="J24" s="2571">
        <f ca="1">ROUND(J5*M24,0)</f>
        <v>0</v>
      </c>
      <c r="K24" s="2572" t="s">
        <v>1776</v>
      </c>
      <c r="L24" s="2573" t="s">
        <v>1749</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4" t="s">
        <v>1842</v>
      </c>
      <c r="B25" s="787" t="s">
        <v>685</v>
      </c>
      <c r="C25" s="53"/>
      <c r="D25" s="261" t="s">
        <v>1777</v>
      </c>
      <c r="E25" s="1985"/>
      <c r="F25" s="56"/>
      <c r="G25" s="1596"/>
      <c r="H25" s="1832" t="s">
        <v>1778</v>
      </c>
      <c r="I25" s="3041" t="s">
        <v>2828</v>
      </c>
      <c r="J25" s="795">
        <f ca="1">J5-J16</f>
        <v>-41</v>
      </c>
      <c r="K25" s="2575" t="s">
        <v>1779</v>
      </c>
      <c r="L25" s="2576"/>
      <c r="M25" s="2577"/>
    </row>
    <row r="26" spans="1:33" ht="18" customHeight="1">
      <c r="A26" s="1652" t="s">
        <v>1833</v>
      </c>
      <c r="B26" s="787" t="s">
        <v>2440</v>
      </c>
      <c r="C26" s="53">
        <f ca="1">ROUND((C19+C20)*F26,0)</f>
        <v>187</v>
      </c>
      <c r="D26" s="815" t="s">
        <v>1780</v>
      </c>
      <c r="E26" s="798" t="s">
        <v>1781</v>
      </c>
      <c r="F26" s="797">
        <f ca="1">INDIRECT("'数据-取费表'!q"&amp;$G$1)</f>
        <v>0.2</v>
      </c>
      <c r="G26" s="1596"/>
      <c r="H26" s="2529" t="s">
        <v>1782</v>
      </c>
      <c r="I26" s="2235" t="s">
        <v>2833</v>
      </c>
      <c r="J26" s="786">
        <f ca="1">IF(J5&lt;&gt;0,ROUND(J25*(1-((1+M28)/(1+M26))^M27)/(M26-M28),0),0)</f>
        <v>0</v>
      </c>
      <c r="K26" s="817" t="s">
        <v>1783</v>
      </c>
      <c r="L26" s="787" t="s">
        <v>2421</v>
      </c>
      <c r="M26" s="797">
        <f ca="1">INDIRECT("'数据-取费表'!I"&amp;$G$1)</f>
        <v>5.5E-2</v>
      </c>
    </row>
    <row r="27" spans="1:33" ht="18" customHeight="1">
      <c r="A27" s="1652" t="s">
        <v>1834</v>
      </c>
      <c r="B27" s="787" t="s">
        <v>687</v>
      </c>
      <c r="C27" s="53">
        <f ca="1">ROUND(F21*F26,4)</f>
        <v>4.0000000000000001E-3</v>
      </c>
      <c r="D27" s="815" t="s">
        <v>1784</v>
      </c>
      <c r="E27" s="809"/>
      <c r="F27" s="810"/>
      <c r="G27" s="1596"/>
      <c r="H27" s="2530"/>
      <c r="I27" s="790"/>
      <c r="J27" s="791"/>
      <c r="K27" s="824" t="s">
        <v>1785</v>
      </c>
      <c r="L27" s="787" t="s">
        <v>1786</v>
      </c>
      <c r="M27" s="825">
        <f ca="1">INDIRECT("'数据-取费表'!ag"&amp;$G$1)</f>
        <v>0</v>
      </c>
    </row>
    <row r="28" spans="1:33" s="2067" customFormat="1" ht="18" customHeight="1">
      <c r="A28" s="1654" t="s">
        <v>1843</v>
      </c>
      <c r="B28" s="787" t="s">
        <v>688</v>
      </c>
      <c r="C28" s="53">
        <f>ROUND(F28/(1+'数据-取费表'!C42),4)</f>
        <v>5.9400000000000001E-2</v>
      </c>
      <c r="D28" s="815" t="s">
        <v>2301</v>
      </c>
      <c r="E28" s="787" t="s">
        <v>1787</v>
      </c>
      <c r="F28" s="812">
        <f>'数据-取费表'!B41</f>
        <v>6.2719999999999998E-2</v>
      </c>
      <c r="G28" s="1597"/>
      <c r="H28" s="1832"/>
      <c r="I28" s="794"/>
      <c r="J28" s="795"/>
      <c r="K28" s="819"/>
      <c r="L28" s="787" t="s">
        <v>1788</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1894</v>
      </c>
      <c r="B29" s="2568" t="s">
        <v>2302</v>
      </c>
      <c r="C29" s="2571">
        <f ca="1">ROUND((C19+C20+C23+C26)/(1-F21-C24-C27-C28),0)</f>
        <v>1277</v>
      </c>
      <c r="D29" s="2572"/>
      <c r="E29" s="2573"/>
      <c r="F29" s="2574"/>
      <c r="G29" s="1597"/>
      <c r="H29" s="826" t="s">
        <v>1789</v>
      </c>
      <c r="I29" s="827" t="s">
        <v>1790</v>
      </c>
      <c r="J29" s="828">
        <f ca="1">ROUND(J26/(1+F40)^F41,0)</f>
        <v>0</v>
      </c>
      <c r="K29" s="829" t="s">
        <v>1791</v>
      </c>
      <c r="L29" s="830"/>
      <c r="M29" s="831">
        <f ca="1">INDIRECT("'数据-取费表'!k"&amp;$G$1)</f>
        <v>5438.03</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1895</v>
      </c>
      <c r="B30" s="1830" t="s">
        <v>1792</v>
      </c>
      <c r="C30" s="795">
        <f ca="1">ROUND(C31+C36+C37+C38,0)</f>
        <v>69</v>
      </c>
      <c r="D30" s="1824" t="s">
        <v>1793</v>
      </c>
      <c r="E30" s="2513"/>
      <c r="F30" s="2518"/>
      <c r="G30" s="2065"/>
      <c r="H30" s="2068"/>
      <c r="I30" s="2069"/>
      <c r="J30" s="2070"/>
      <c r="K30" s="2071"/>
      <c r="L30" s="2072"/>
      <c r="M30" s="2073"/>
    </row>
    <row r="31" spans="1:33" ht="18" customHeight="1">
      <c r="A31" s="1653" t="s">
        <v>1832</v>
      </c>
      <c r="B31" s="787" t="s">
        <v>657</v>
      </c>
      <c r="C31" s="53">
        <f ca="1">ROUND(IF(项目基本情况!B11="自然人",C5*F31,C32+C33+C34),1)</f>
        <v>34.6</v>
      </c>
      <c r="D31" s="1982" t="s">
        <v>1794</v>
      </c>
      <c r="E31" s="1980" t="s">
        <v>1795</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2" t="s">
        <v>1833</v>
      </c>
      <c r="B32" s="787" t="s">
        <v>1796</v>
      </c>
      <c r="C32" s="53">
        <f ca="1">ROUND(C5*F32/1.05,1)</f>
        <v>20.100000000000001</v>
      </c>
      <c r="D32" s="1980" t="s">
        <v>1797</v>
      </c>
      <c r="E32" s="787" t="s">
        <v>1798</v>
      </c>
      <c r="F32" s="812">
        <f>'数据-取费表'!B41</f>
        <v>6.2719999999999998E-2</v>
      </c>
      <c r="G32" s="2065"/>
      <c r="H32" s="2074"/>
      <c r="I32" s="2075"/>
      <c r="J32" s="2076"/>
      <c r="K32" s="2077"/>
      <c r="L32" s="2078"/>
      <c r="M32" s="2079"/>
    </row>
    <row r="33" spans="1:18" ht="18" customHeight="1">
      <c r="A33" s="1652" t="s">
        <v>1834</v>
      </c>
      <c r="B33" s="787" t="s">
        <v>1799</v>
      </c>
      <c r="C33" s="53">
        <f ca="1">IF(D33="按租金收入计税",ROUND(C5*F33,1),IF(D33="按房产原值计税",ROUND(C29*F33*0.7,1),INDIRECT("'数据-取费表'!Aj"&amp;$G$1)))</f>
        <v>10.7</v>
      </c>
      <c r="D33" s="814" t="s">
        <v>1682</v>
      </c>
      <c r="E33" s="787" t="s">
        <v>1798</v>
      </c>
      <c r="F33" s="812">
        <f>IF(D33="按租金收入计税",'数据-取费表'!B51,'数据-取费表'!B50)</f>
        <v>1.2E-2</v>
      </c>
      <c r="G33" s="2065"/>
      <c r="H33" s="2080"/>
      <c r="I33" s="2080"/>
      <c r="J33" s="2080"/>
      <c r="K33" s="2081"/>
      <c r="L33" s="2080"/>
      <c r="M33" s="2080"/>
    </row>
    <row r="34" spans="1:18" ht="18" customHeight="1">
      <c r="A34" s="1655" t="s">
        <v>1835</v>
      </c>
      <c r="B34" s="344" t="s">
        <v>1800</v>
      </c>
      <c r="C34" s="54">
        <f ca="1">ROUND(F34*F35/10000,1)</f>
        <v>3.8</v>
      </c>
      <c r="D34" s="817" t="s">
        <v>1801</v>
      </c>
      <c r="E34" s="787" t="s">
        <v>1802</v>
      </c>
      <c r="F34" s="643">
        <f>'数据-取费表'!B52</f>
        <v>10.5</v>
      </c>
      <c r="G34" s="2065"/>
      <c r="H34" s="2068"/>
      <c r="I34" s="838" t="s">
        <v>1815</v>
      </c>
      <c r="J34" s="839"/>
      <c r="K34" s="2083"/>
      <c r="L34" s="2082"/>
      <c r="M34" s="2082"/>
    </row>
    <row r="35" spans="1:18" ht="18" customHeight="1">
      <c r="A35" s="818"/>
      <c r="B35" s="796"/>
      <c r="C35" s="69"/>
      <c r="D35" s="819"/>
      <c r="E35" s="787" t="s">
        <v>1803</v>
      </c>
      <c r="F35" s="788">
        <f ca="1">INDIRECT("'数据-取费表'!r"&amp;$G$1)</f>
        <v>3625.35</v>
      </c>
      <c r="G35" s="2065"/>
      <c r="H35" s="2068"/>
      <c r="I35" s="840" t="s">
        <v>1816</v>
      </c>
      <c r="J35" s="841">
        <f ca="1">ROUND(C13*J36,0)</f>
        <v>109</v>
      </c>
      <c r="K35" s="2081"/>
      <c r="L35" s="2080"/>
      <c r="M35" s="2080"/>
    </row>
    <row r="36" spans="1:18" ht="18" customHeight="1">
      <c r="A36" s="1653" t="s">
        <v>1891</v>
      </c>
      <c r="B36" s="787" t="s">
        <v>1804</v>
      </c>
      <c r="C36" s="53">
        <f ca="1">ROUND(C29*F36,1)</f>
        <v>25.5</v>
      </c>
      <c r="D36" s="1980" t="s">
        <v>1805</v>
      </c>
      <c r="E36" s="787" t="s">
        <v>1798</v>
      </c>
      <c r="F36" s="820">
        <f ca="1">INDIRECT("'数据-取费表'!Ak"&amp;$G$1)</f>
        <v>0.02</v>
      </c>
      <c r="G36" s="2065"/>
      <c r="H36" s="2080"/>
      <c r="I36" s="842" t="s">
        <v>1817</v>
      </c>
      <c r="J36" s="843">
        <f ca="1">INDIRECT("'数据-取费表'!j"&amp;$G$1)</f>
        <v>8.5000000000000006E-2</v>
      </c>
      <c r="K36" s="2085"/>
      <c r="L36" s="2080"/>
      <c r="M36" s="2080"/>
    </row>
    <row r="37" spans="1:18" ht="18" customHeight="1">
      <c r="A37" s="1653" t="s">
        <v>1892</v>
      </c>
      <c r="B37" s="787" t="s">
        <v>680</v>
      </c>
      <c r="C37" s="53">
        <f ca="1">ROUND(C13*F37,1)</f>
        <v>2.6</v>
      </c>
      <c r="D37" s="1980" t="s">
        <v>1806</v>
      </c>
      <c r="E37" s="787" t="s">
        <v>1798</v>
      </c>
      <c r="F37" s="821">
        <f ca="1">INDIRECT("'数据-取费表'!Al"&amp;$G$1)</f>
        <v>2E-3</v>
      </c>
      <c r="G37" s="2065"/>
      <c r="H37" s="2080"/>
      <c r="I37" s="844" t="s">
        <v>1818</v>
      </c>
      <c r="J37" s="845"/>
      <c r="K37" s="2085"/>
      <c r="L37" s="2080"/>
      <c r="M37" s="2080"/>
    </row>
    <row r="38" spans="1:18" ht="18" customHeight="1" thickBot="1">
      <c r="A38" s="2578" t="s">
        <v>1893</v>
      </c>
      <c r="B38" s="2573" t="s">
        <v>667</v>
      </c>
      <c r="C38" s="2571">
        <f ca="1">ROUND(C5*F38,1)</f>
        <v>6.7</v>
      </c>
      <c r="D38" s="2572" t="s">
        <v>1807</v>
      </c>
      <c r="E38" s="2573" t="s">
        <v>1798</v>
      </c>
      <c r="F38" s="2569">
        <f ca="1">INDIRECT("'数据-取费表'!Am"&amp;$G$1)</f>
        <v>0.02</v>
      </c>
      <c r="G38" s="2065"/>
      <c r="H38" s="2080"/>
      <c r="I38" s="846" t="s">
        <v>1819</v>
      </c>
      <c r="J38" s="847"/>
      <c r="K38" s="2086"/>
      <c r="L38" s="2080"/>
      <c r="M38" s="2080"/>
    </row>
    <row r="39" spans="1:18" ht="24.6" customHeight="1" thickTop="1">
      <c r="A39" s="1832" t="s">
        <v>1896</v>
      </c>
      <c r="B39" s="3041" t="s">
        <v>2828</v>
      </c>
      <c r="C39" s="795">
        <f ca="1">C5-C30</f>
        <v>268</v>
      </c>
      <c r="D39" s="2575" t="s">
        <v>1808</v>
      </c>
      <c r="E39" s="2576"/>
      <c r="F39" s="2577"/>
      <c r="G39" s="2065"/>
      <c r="H39" s="2080"/>
      <c r="I39" s="840" t="s">
        <v>1820</v>
      </c>
      <c r="J39" s="848">
        <f ca="1">ROUND(J35/C39,3)</f>
        <v>0.40699999999999997</v>
      </c>
      <c r="K39" s="2086"/>
      <c r="L39" s="2080"/>
      <c r="M39" s="2080"/>
    </row>
    <row r="40" spans="1:18" ht="18" customHeight="1">
      <c r="A40" s="784" t="s">
        <v>1897</v>
      </c>
      <c r="B40" s="2235" t="s">
        <v>2303</v>
      </c>
      <c r="C40" s="786">
        <f ca="1">ROUND(C39*(1-((1+F42)/(1+F40))^F41)/(F40-F42),0)</f>
        <v>5661</v>
      </c>
      <c r="D40" s="817" t="s">
        <v>1809</v>
      </c>
      <c r="E40" s="787" t="s">
        <v>2421</v>
      </c>
      <c r="F40" s="797">
        <f ca="1">INDIRECT("'数据-取费表'!I"&amp;$G$1)</f>
        <v>5.5E-2</v>
      </c>
      <c r="G40" s="2065"/>
      <c r="H40" s="2065"/>
      <c r="I40" s="840" t="s">
        <v>1821</v>
      </c>
      <c r="J40" s="848">
        <f ca="1">1-J39</f>
        <v>0.59299999999999997</v>
      </c>
      <c r="K40" s="2086"/>
      <c r="L40" s="2065"/>
      <c r="M40" s="2065"/>
    </row>
    <row r="41" spans="1:18" ht="18" customHeight="1">
      <c r="A41" s="789"/>
      <c r="B41" s="790"/>
      <c r="C41" s="791"/>
      <c r="D41" s="824" t="s">
        <v>1810</v>
      </c>
      <c r="E41" s="787" t="s">
        <v>2971</v>
      </c>
      <c r="F41" s="825">
        <f ca="1">IF(INDIRECT("'数据-取费表'!af"&amp;$G$1)=0,INDIRECT("'数据-取费表'!ae"&amp;$G$1),INDIRECT("'数据-取费表'!af"&amp;$G$1))</f>
        <v>34.81</v>
      </c>
      <c r="G41" s="2065"/>
      <c r="H41" s="1991"/>
      <c r="I41" s="846" t="s">
        <v>1822</v>
      </c>
      <c r="J41" s="849"/>
      <c r="K41" s="2085"/>
      <c r="L41" s="1991"/>
      <c r="M41" s="1991"/>
    </row>
    <row r="42" spans="1:18" ht="18" customHeight="1">
      <c r="A42" s="793"/>
      <c r="B42" s="794"/>
      <c r="C42" s="795"/>
      <c r="D42" s="819"/>
      <c r="E42" s="787" t="s">
        <v>1811</v>
      </c>
      <c r="F42" s="797">
        <f ca="1">INDIRECT("'数据-取费表'!v"&amp;$G$1)</f>
        <v>2.5000000000000001E-2</v>
      </c>
      <c r="G42" s="2065"/>
      <c r="H42" s="1991"/>
      <c r="I42" s="850" t="s">
        <v>1823</v>
      </c>
      <c r="J42" s="848">
        <f ca="1">ROUND(C13/C40,3)</f>
        <v>0.22600000000000001</v>
      </c>
      <c r="K42" s="2085"/>
      <c r="L42" s="1991"/>
      <c r="M42" s="1991"/>
    </row>
    <row r="43" spans="1:18" ht="18" customHeight="1" thickBot="1">
      <c r="A43" s="826" t="s">
        <v>1789</v>
      </c>
      <c r="B43" s="827" t="s">
        <v>1812</v>
      </c>
      <c r="C43" s="828">
        <f ca="1">ROUND(C40*10000/F43,0)</f>
        <v>10410</v>
      </c>
      <c r="D43" s="829" t="s">
        <v>1813</v>
      </c>
      <c r="E43" s="830" t="s">
        <v>1814</v>
      </c>
      <c r="F43" s="831">
        <f ca="1">INDIRECT("'数据-取费表'!k"&amp;$G$1)</f>
        <v>5438.03</v>
      </c>
      <c r="G43" s="2065"/>
      <c r="H43" s="1991"/>
      <c r="I43" s="850" t="s">
        <v>1824</v>
      </c>
      <c r="J43" s="851">
        <f ca="1">1-J42</f>
        <v>0.77400000000000002</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2297</v>
      </c>
      <c r="B46" s="2088"/>
      <c r="C46" s="2601">
        <f ca="1">C67-C40</f>
        <v>-6322</v>
      </c>
      <c r="D46" s="2088"/>
      <c r="E46" s="2088"/>
      <c r="F46" s="2088"/>
      <c r="I46" s="2381" t="s">
        <v>2344</v>
      </c>
      <c r="J46" s="2382"/>
      <c r="K46" s="2383"/>
      <c r="L46" s="2384" t="str">
        <f ca="1">IF(M47="住宅",0,IF(L48&gt;J51,L60,J60))</f>
        <v>0</v>
      </c>
      <c r="O46" s="2421" t="s">
        <v>2412</v>
      </c>
      <c r="P46" s="1596"/>
      <c r="Q46" s="1608"/>
      <c r="R46" s="1596"/>
    </row>
    <row r="47" spans="1:18" s="2062" customFormat="1" ht="18" customHeight="1" thickBot="1">
      <c r="A47" s="2375">
        <v>1</v>
      </c>
      <c r="B47" s="2376" t="s">
        <v>636</v>
      </c>
      <c r="C47" s="2601">
        <f ca="1">C48+C52+C54</f>
        <v>0</v>
      </c>
      <c r="D47" s="2088"/>
      <c r="E47" s="2088"/>
      <c r="F47" s="2088"/>
      <c r="I47" s="2385" t="s">
        <v>2345</v>
      </c>
      <c r="J47" s="2390" t="s">
        <v>3016</v>
      </c>
      <c r="K47" s="2391" t="s">
        <v>2351</v>
      </c>
      <c r="L47" s="2392">
        <f ca="1">INDIRECT("'数据-取费表'!d"&amp;$G$1)</f>
        <v>40</v>
      </c>
      <c r="M47" s="1608" t="str">
        <f>IF(ISNUMBER(FIND("住宅",C1)),"住宅","非住宅")</f>
        <v>非住宅</v>
      </c>
      <c r="O47" s="2422" t="s">
        <v>2377</v>
      </c>
      <c r="P47" s="2423" t="s">
        <v>2378</v>
      </c>
      <c r="Q47" s="2424" t="s">
        <v>2379</v>
      </c>
      <c r="R47" s="2423" t="s">
        <v>2380</v>
      </c>
    </row>
    <row r="48" spans="1:18" s="2062" customFormat="1" ht="18" customHeight="1" thickBot="1">
      <c r="A48" s="2670" t="s">
        <v>2541</v>
      </c>
      <c r="B48" s="2671" t="s">
        <v>2542</v>
      </c>
      <c r="C48" s="2377">
        <f ca="1">ROUND(F48*F50*F49*(1-F51)/10000,0)</f>
        <v>0</v>
      </c>
      <c r="D48" s="2378" t="s">
        <v>637</v>
      </c>
      <c r="E48" s="2379" t="s">
        <v>2298</v>
      </c>
      <c r="F48" s="2380"/>
      <c r="G48" s="2093"/>
      <c r="I48" s="2386" t="s">
        <v>2346</v>
      </c>
      <c r="J48" s="2393" t="s">
        <v>2352</v>
      </c>
      <c r="K48" s="2394" t="s">
        <v>2353</v>
      </c>
      <c r="L48" s="2395">
        <f ca="1">INDIRECT("'数据-取费表'!f"&amp;$G$1)</f>
        <v>36.81</v>
      </c>
      <c r="O48" s="2425" t="s">
        <v>2381</v>
      </c>
      <c r="P48" s="2426" t="s">
        <v>2407</v>
      </c>
      <c r="Q48" s="2427">
        <f ca="1">C40+J29</f>
        <v>5661</v>
      </c>
      <c r="R48" s="2426" t="s">
        <v>2382</v>
      </c>
    </row>
    <row r="49" spans="1:18" s="2062" customFormat="1" ht="18" customHeight="1" thickBot="1">
      <c r="A49" s="789"/>
      <c r="B49" s="790"/>
      <c r="C49" s="791"/>
      <c r="D49" s="792"/>
      <c r="E49" s="787" t="s">
        <v>1741</v>
      </c>
      <c r="F49" s="788">
        <f ca="1">F7</f>
        <v>5438.03</v>
      </c>
      <c r="G49" s="2093"/>
      <c r="H49" s="2096"/>
      <c r="I49" s="2386" t="s">
        <v>2347</v>
      </c>
      <c r="J49" s="2396"/>
      <c r="K49" s="2397" t="s">
        <v>2354</v>
      </c>
      <c r="L49" s="2398"/>
      <c r="O49" s="2425" t="s">
        <v>2383</v>
      </c>
      <c r="P49" s="2426" t="s">
        <v>2408</v>
      </c>
      <c r="Q49" s="2427" t="str">
        <f ca="1">J60</f>
        <v>0</v>
      </c>
      <c r="R49" s="2426" t="s">
        <v>2384</v>
      </c>
    </row>
    <row r="50" spans="1:18" s="2062" customFormat="1" ht="18" customHeight="1" thickBot="1">
      <c r="A50" s="789"/>
      <c r="B50" s="790"/>
      <c r="C50" s="791"/>
      <c r="D50" s="792"/>
      <c r="E50" s="787" t="s">
        <v>1742</v>
      </c>
      <c r="F50" s="788">
        <f ca="1">F8</f>
        <v>365</v>
      </c>
      <c r="G50" s="2098"/>
      <c r="H50" s="2096"/>
      <c r="I50" s="2386" t="s">
        <v>2348</v>
      </c>
      <c r="J50" s="2399">
        <f>SUMPRODUCT((I63:I65=J47)*(J62:L62=J48)*(J63:L65))</f>
        <v>60</v>
      </c>
      <c r="K50" s="2397" t="s">
        <v>2355</v>
      </c>
      <c r="L50" s="2398"/>
      <c r="O50" s="2428" t="s">
        <v>2385</v>
      </c>
      <c r="P50" s="2426" t="s">
        <v>2409</v>
      </c>
      <c r="Q50" s="2427">
        <f ca="1">C29</f>
        <v>1277</v>
      </c>
      <c r="R50" s="2426" t="s">
        <v>2382</v>
      </c>
    </row>
    <row r="51" spans="1:18" s="2062" customFormat="1" ht="18" customHeight="1" thickBot="1">
      <c r="A51" s="789"/>
      <c r="B51" s="790"/>
      <c r="C51" s="791"/>
      <c r="D51" s="792"/>
      <c r="E51" s="787" t="s">
        <v>641</v>
      </c>
      <c r="F51" s="2374"/>
      <c r="H51" s="2096"/>
      <c r="I51" s="2387" t="s">
        <v>2349</v>
      </c>
      <c r="J51" s="2400">
        <f>IF(J49="",J50,J49+J50-YEAR('数据-取费表'!B2))</f>
        <v>60</v>
      </c>
      <c r="K51" s="2386" t="s">
        <v>2356</v>
      </c>
      <c r="L51" s="2401">
        <f ca="1">ROUND(-PV(INDIRECT("'数据-取费表'!h"&amp;$G$1),L48,(C39-C13*J36),0),0)</f>
        <v>2842</v>
      </c>
      <c r="O51" s="2428" t="s">
        <v>2386</v>
      </c>
      <c r="P51" s="2426" t="s">
        <v>2387</v>
      </c>
      <c r="Q51" s="2429" t="e">
        <f ca="1">J58</f>
        <v>#VALUE!</v>
      </c>
      <c r="R51" s="2430"/>
    </row>
    <row r="52" spans="1:18" s="2062" customFormat="1" ht="18" customHeight="1" thickBot="1">
      <c r="A52" s="784" t="s">
        <v>2540</v>
      </c>
      <c r="B52" s="2521" t="s">
        <v>2462</v>
      </c>
      <c r="C52" s="802">
        <f ca="1">ROUND(IF(F52="押一",F48*F50*F49/12*F11,IF(F52="押二",F48*F50*F49/12*2*F11,IF(F52="押三",F48*F50*F49/12*3*F11,C53*F11)))/10000,0)</f>
        <v>0</v>
      </c>
      <c r="D52" s="2528" t="s">
        <v>2469</v>
      </c>
      <c r="E52" s="2525" t="s">
        <v>2467</v>
      </c>
      <c r="F52" s="2648"/>
      <c r="I52" s="2388" t="s">
        <v>2423</v>
      </c>
      <c r="J52" s="2402">
        <v>0.09</v>
      </c>
      <c r="K52" s="2388" t="s">
        <v>2422</v>
      </c>
      <c r="L52" s="2402"/>
      <c r="O52" s="2428" t="s">
        <v>2388</v>
      </c>
      <c r="P52" s="2426" t="s">
        <v>2389</v>
      </c>
      <c r="Q52" s="2429">
        <f>J52</f>
        <v>0.09</v>
      </c>
      <c r="R52" s="2430"/>
    </row>
    <row r="53" spans="1:18" s="2062" customFormat="1" ht="39.75" customHeight="1" thickBot="1">
      <c r="A53" s="789"/>
      <c r="B53" s="2522" t="s">
        <v>2577</v>
      </c>
      <c r="C53" s="2526"/>
      <c r="D53" s="2528"/>
      <c r="E53" s="2525"/>
      <c r="F53" s="803"/>
      <c r="I53" s="2389" t="s">
        <v>2350</v>
      </c>
      <c r="J53" s="2403">
        <f ca="1">IF(M47="住宅",J51,IF(D1="——",MIN(J51,L48),IF(D1="土地（套用方法）",MIN(J51,L48-'数据-取费表'!B20))))</f>
        <v>34.81</v>
      </c>
      <c r="K53" s="3457" t="s">
        <v>2973</v>
      </c>
      <c r="L53" s="3458"/>
      <c r="O53" s="2428" t="s">
        <v>2390</v>
      </c>
      <c r="P53" s="2426" t="s">
        <v>2391</v>
      </c>
      <c r="Q53" s="2427">
        <f ca="1">J53</f>
        <v>34.81</v>
      </c>
      <c r="R53" s="2426" t="s">
        <v>2392</v>
      </c>
    </row>
    <row r="54" spans="1:18" s="2062" customFormat="1" ht="18" customHeight="1" thickBot="1">
      <c r="A54" s="2564" t="s">
        <v>2471</v>
      </c>
      <c r="B54" s="2565" t="s">
        <v>2463</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2393</v>
      </c>
      <c r="P54" s="2426" t="s">
        <v>2410</v>
      </c>
      <c r="Q54" s="2427">
        <f ca="1">Q48+Q49</f>
        <v>5661</v>
      </c>
      <c r="R54" s="2430" t="s">
        <v>2394</v>
      </c>
    </row>
    <row r="55" spans="1:18" s="2062" customFormat="1" ht="18" customHeight="1" thickTop="1" thickBot="1">
      <c r="A55" s="800">
        <v>2</v>
      </c>
      <c r="B55" s="801" t="s">
        <v>645</v>
      </c>
      <c r="C55" s="802">
        <f ca="1">C13</f>
        <v>1277</v>
      </c>
      <c r="D55" s="798"/>
      <c r="E55" s="798"/>
      <c r="F55" s="803"/>
      <c r="I55" s="3134" t="s">
        <v>2357</v>
      </c>
      <c r="J55" s="3133" t="e">
        <f ca="1">ROUND(IF(J47="钢混",J57/J50,1-(1-2%)*(J50-J57)/J50),3)</f>
        <v>#VALUE!</v>
      </c>
      <c r="K55" s="2404" t="s">
        <v>2358</v>
      </c>
      <c r="L55" s="2405"/>
      <c r="O55" s="2431" t="s">
        <v>2413</v>
      </c>
      <c r="P55" s="1596"/>
      <c r="Q55" s="1608"/>
      <c r="R55" s="1596"/>
    </row>
    <row r="56" spans="1:18" s="2062" customFormat="1" ht="42.75" customHeight="1" thickBot="1">
      <c r="A56" s="1654"/>
      <c r="B56" s="2234" t="s">
        <v>2304</v>
      </c>
      <c r="C56" s="53">
        <f ca="1">C29</f>
        <v>1277</v>
      </c>
      <c r="D56" s="2667"/>
      <c r="E56" s="787"/>
      <c r="F56" s="812"/>
      <c r="I56" s="2406" t="s">
        <v>2359</v>
      </c>
      <c r="J56" s="3190" t="s">
        <v>1680</v>
      </c>
      <c r="K56" s="2386" t="s">
        <v>2364</v>
      </c>
      <c r="L56" s="2395" t="str">
        <f ca="1">IF(L48&lt;J51,"——",L48-J51)</f>
        <v>——</v>
      </c>
      <c r="O56" s="2422" t="s">
        <v>2377</v>
      </c>
      <c r="P56" s="2423" t="s">
        <v>2378</v>
      </c>
      <c r="Q56" s="2424" t="s">
        <v>2379</v>
      </c>
      <c r="R56" s="2423" t="s">
        <v>2380</v>
      </c>
    </row>
    <row r="57" spans="1:18" s="2062" customFormat="1" ht="28.5" customHeight="1" thickBot="1">
      <c r="A57" s="800" t="s">
        <v>1750</v>
      </c>
      <c r="B57" s="801" t="s">
        <v>652</v>
      </c>
      <c r="C57" s="802">
        <f ca="1">ROUND(C58+C63+C64+C65,0)</f>
        <v>43</v>
      </c>
      <c r="D57" s="26" t="s">
        <v>1752</v>
      </c>
      <c r="E57" s="2668"/>
      <c r="F57" s="56"/>
      <c r="I57" s="2407" t="s">
        <v>2360</v>
      </c>
      <c r="J57" s="2409" t="str">
        <f ca="1">IF(OR(M47="住宅",J51&lt;L48,J56="是"),"——",J51-L48)</f>
        <v>——</v>
      </c>
      <c r="K57" s="2386" t="s">
        <v>2365</v>
      </c>
      <c r="L57" s="2395" t="str">
        <f ca="1">IF(L48&lt;J51,"——",IF(L55="比较法",L49,IF(L55="基准地价",L50,L51)))</f>
        <v>——</v>
      </c>
      <c r="O57" s="2425" t="s">
        <v>2381</v>
      </c>
      <c r="P57" s="2426" t="s">
        <v>2411</v>
      </c>
      <c r="Q57" s="2427">
        <f ca="1">C40+J29</f>
        <v>5661</v>
      </c>
      <c r="R57" s="2426" t="s">
        <v>2382</v>
      </c>
    </row>
    <row r="58" spans="1:18" s="2062" customFormat="1" ht="28.5" customHeight="1" thickBot="1">
      <c r="A58" s="1653" t="s">
        <v>1826</v>
      </c>
      <c r="B58" s="787" t="s">
        <v>657</v>
      </c>
      <c r="C58" s="53">
        <f ca="1">ROUND(IF(项目基本情况!B11="自然人",C47*F58,C59+C60+C61),1)</f>
        <v>14.5</v>
      </c>
      <c r="D58" s="2666" t="s">
        <v>658</v>
      </c>
      <c r="E58" s="2667" t="s">
        <v>691</v>
      </c>
      <c r="F58" s="813" t="str">
        <f ca="1">IF(项目基本情况!B11="企业","",IF(INDIRECT("'数据-取费表'!c"&amp;$G$1)="住宅",5%,IF(F48*F49*F50/12/(1+'数据-取费表'!C42)&gt;20000,12%,7%)))</f>
        <v/>
      </c>
      <c r="I58" s="2407" t="s">
        <v>2361</v>
      </c>
      <c r="J58" s="3135" t="e">
        <f ca="1">IF(J55&lt;0.4,0.4,J55)</f>
        <v>#VALUE!</v>
      </c>
      <c r="K58" s="2386" t="s">
        <v>2366</v>
      </c>
      <c r="L58" s="2395" t="e">
        <f ca="1">ROUND(POWER(1+L52,L47-L48)*(POWER(1+L52,L48)-1)/(POWER(1+L52,L47)-1),4)</f>
        <v>#DIV/0!</v>
      </c>
      <c r="O58" s="2425" t="s">
        <v>2383</v>
      </c>
      <c r="P58" s="2426" t="s">
        <v>2414</v>
      </c>
      <c r="Q58" s="2427">
        <f ca="1">L60</f>
        <v>0</v>
      </c>
      <c r="R58" s="2430" t="s">
        <v>2416</v>
      </c>
    </row>
    <row r="59" spans="1:18" s="2062" customFormat="1" ht="28.5" customHeight="1" thickBot="1">
      <c r="A59" s="1652" t="s">
        <v>1833</v>
      </c>
      <c r="B59" s="787" t="s">
        <v>661</v>
      </c>
      <c r="C59" s="53">
        <f ca="1">ROUND(C47*F59/1.05,1)</f>
        <v>0</v>
      </c>
      <c r="D59" s="2667" t="s">
        <v>1758</v>
      </c>
      <c r="E59" s="787" t="s">
        <v>1749</v>
      </c>
      <c r="F59" s="812">
        <f t="shared" ref="F59:F65" si="0">F32</f>
        <v>6.2719999999999998E-2</v>
      </c>
      <c r="I59" s="2407" t="s">
        <v>2362</v>
      </c>
      <c r="J59" s="2409" t="str">
        <f ca="1">IF(OR(M47="住宅",J51&lt;L48,J56="是"),"——",ROUND(C29*J58,0))</f>
        <v>——</v>
      </c>
      <c r="K59" s="3164"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2385</v>
      </c>
      <c r="P59" s="2426" t="s">
        <v>2415</v>
      </c>
      <c r="Q59" s="2427">
        <f>IF(L55="比较法",L49,IF(L55="基准地价",L50,0))</f>
        <v>0</v>
      </c>
      <c r="R59" s="2426" t="s">
        <v>2382</v>
      </c>
    </row>
    <row r="60" spans="1:18" s="2062" customFormat="1" ht="18" customHeight="1" thickBot="1">
      <c r="A60" s="1652" t="s">
        <v>1834</v>
      </c>
      <c r="B60" s="787" t="s">
        <v>1760</v>
      </c>
      <c r="C60" s="53">
        <f ca="1">IF(D60="按租金收入计税",ROUND(C47*F60,1),IF(D60="按房产原值计税",ROUND(C56*F60*0.7,1),INDIRECT("'数据-取费表'!Aj"&amp;$G$1)))</f>
        <v>10.7</v>
      </c>
      <c r="D60" s="2667" t="str">
        <f>D33</f>
        <v>按房产原值计税</v>
      </c>
      <c r="E60" s="787" t="s">
        <v>1749</v>
      </c>
      <c r="F60" s="812">
        <f t="shared" si="0"/>
        <v>1.2E-2</v>
      </c>
      <c r="I60" s="2408" t="s">
        <v>2363</v>
      </c>
      <c r="J60" s="2410" t="str">
        <f ca="1">IF(OR(M47="住宅",J51&lt;L48,J56="是"),"0",ROUND(J59/(1+J52)^J53,0))</f>
        <v>0</v>
      </c>
      <c r="K60" s="2411" t="s">
        <v>2368</v>
      </c>
      <c r="L60" s="2410">
        <f ca="1">IF(OR(M47="住宅",L48&lt;J51),0,ROUND(L57*(L58/L59-1),0))</f>
        <v>0</v>
      </c>
      <c r="O60" s="2428" t="s">
        <v>2386</v>
      </c>
      <c r="P60" s="2426" t="s">
        <v>2395</v>
      </c>
      <c r="Q60" s="2429">
        <f>L52</f>
        <v>0</v>
      </c>
      <c r="R60" s="2430"/>
    </row>
    <row r="61" spans="1:18" s="2062" customFormat="1" ht="18" customHeight="1" thickBot="1">
      <c r="A61" s="1655" t="s">
        <v>1835</v>
      </c>
      <c r="B61" s="344" t="s">
        <v>669</v>
      </c>
      <c r="C61" s="54">
        <f ca="1">ROUND(F61*F62/10000,1)</f>
        <v>3.8</v>
      </c>
      <c r="D61" s="817" t="s">
        <v>670</v>
      </c>
      <c r="E61" s="787" t="s">
        <v>671</v>
      </c>
      <c r="F61" s="643">
        <f t="shared" si="0"/>
        <v>10.5</v>
      </c>
      <c r="K61" s="2089"/>
      <c r="O61" s="2428" t="s">
        <v>2388</v>
      </c>
      <c r="P61" s="2426" t="s">
        <v>2396</v>
      </c>
      <c r="Q61" s="2427" t="e">
        <f ca="1">L58</f>
        <v>#DIV/0!</v>
      </c>
      <c r="R61" s="2430" t="s">
        <v>2397</v>
      </c>
    </row>
    <row r="62" spans="1:18" s="2062" customFormat="1" ht="15.75" thickBot="1">
      <c r="A62" s="818"/>
      <c r="B62" s="796"/>
      <c r="C62" s="69"/>
      <c r="D62" s="819"/>
      <c r="E62" s="787" t="s">
        <v>675</v>
      </c>
      <c r="F62" s="788">
        <f t="shared" ca="1" si="0"/>
        <v>3625.35</v>
      </c>
      <c r="I62" s="2412" t="s">
        <v>2369</v>
      </c>
      <c r="J62" s="2413" t="s">
        <v>2370</v>
      </c>
      <c r="K62" s="2413" t="s">
        <v>2371</v>
      </c>
      <c r="L62" s="2413" t="s">
        <v>2352</v>
      </c>
      <c r="M62" s="3136" t="s">
        <v>2948</v>
      </c>
      <c r="O62" s="2428" t="s">
        <v>2390</v>
      </c>
      <c r="P62" s="2426" t="str">
        <f>K59</f>
        <v>建设期及建筑物耐用年限下的土地年期修正系数Kn</v>
      </c>
      <c r="Q62" s="2427" t="e">
        <f ca="1">L59</f>
        <v>#DIV/0!</v>
      </c>
      <c r="R62" s="2430" t="s">
        <v>2399</v>
      </c>
    </row>
    <row r="63" spans="1:18" s="2062" customFormat="1" ht="15.75" thickBot="1">
      <c r="A63" s="1653" t="s">
        <v>1891</v>
      </c>
      <c r="B63" s="787" t="s">
        <v>677</v>
      </c>
      <c r="C63" s="53">
        <f ca="1">ROUND(C56*F63,1)</f>
        <v>25.5</v>
      </c>
      <c r="D63" s="2667" t="s">
        <v>1805</v>
      </c>
      <c r="E63" s="787" t="s">
        <v>1749</v>
      </c>
      <c r="F63" s="820">
        <f t="shared" ca="1" si="0"/>
        <v>0.02</v>
      </c>
      <c r="I63" s="2412" t="s">
        <v>2372</v>
      </c>
      <c r="J63" s="2413">
        <v>70</v>
      </c>
      <c r="K63" s="2413">
        <v>50</v>
      </c>
      <c r="L63" s="2413">
        <v>80</v>
      </c>
      <c r="M63" s="3137">
        <v>0.02</v>
      </c>
      <c r="O63" s="2425" t="s">
        <v>2393</v>
      </c>
      <c r="P63" s="2426" t="s">
        <v>2410</v>
      </c>
      <c r="Q63" s="2427">
        <f ca="1">Q57+Q58</f>
        <v>5661</v>
      </c>
      <c r="R63" s="2430" t="s">
        <v>2394</v>
      </c>
    </row>
    <row r="64" spans="1:18" s="2062" customFormat="1" ht="16.5" thickBot="1">
      <c r="A64" s="1653" t="s">
        <v>1892</v>
      </c>
      <c r="B64" s="787" t="s">
        <v>680</v>
      </c>
      <c r="C64" s="53">
        <f ca="1">ROUND(C55*F64,1)</f>
        <v>2.6</v>
      </c>
      <c r="D64" s="2667" t="s">
        <v>681</v>
      </c>
      <c r="E64" s="787" t="s">
        <v>1749</v>
      </c>
      <c r="F64" s="821">
        <f t="shared" ca="1" si="0"/>
        <v>2E-3</v>
      </c>
      <c r="I64" s="2412" t="s">
        <v>2373</v>
      </c>
      <c r="J64" s="2413">
        <v>50</v>
      </c>
      <c r="K64" s="2413">
        <v>35</v>
      </c>
      <c r="L64" s="2413">
        <v>60</v>
      </c>
      <c r="M64" s="3138">
        <v>0</v>
      </c>
      <c r="O64" s="2431" t="s">
        <v>2417</v>
      </c>
      <c r="P64" s="1596"/>
      <c r="Q64" s="1608"/>
      <c r="R64" s="1596"/>
    </row>
    <row r="65" spans="1:18" s="2062" customFormat="1" ht="15.75" thickBot="1">
      <c r="A65" s="1653" t="s">
        <v>1893</v>
      </c>
      <c r="B65" s="787" t="s">
        <v>667</v>
      </c>
      <c r="C65" s="53">
        <f ca="1">ROUND(C47*F65,1)</f>
        <v>0</v>
      </c>
      <c r="D65" s="2667" t="s">
        <v>684</v>
      </c>
      <c r="E65" s="787" t="s">
        <v>1749</v>
      </c>
      <c r="F65" s="797">
        <f t="shared" ca="1" si="0"/>
        <v>0.02</v>
      </c>
      <c r="I65" s="2412" t="s">
        <v>2374</v>
      </c>
      <c r="J65" s="2413">
        <v>40</v>
      </c>
      <c r="K65" s="2413">
        <v>30</v>
      </c>
      <c r="L65" s="2413">
        <v>50</v>
      </c>
      <c r="M65" s="3137">
        <v>0.02</v>
      </c>
      <c r="O65" s="2422" t="s">
        <v>2377</v>
      </c>
      <c r="P65" s="2423" t="s">
        <v>2378</v>
      </c>
      <c r="Q65" s="2424" t="s">
        <v>2379</v>
      </c>
      <c r="R65" s="2423" t="s">
        <v>2380</v>
      </c>
    </row>
    <row r="66" spans="1:18" s="2062" customFormat="1" ht="24.75" thickBot="1">
      <c r="A66" s="800" t="s">
        <v>1778</v>
      </c>
      <c r="B66" s="3042" t="s">
        <v>2828</v>
      </c>
      <c r="C66" s="802">
        <f ca="1">C47-C57</f>
        <v>-43</v>
      </c>
      <c r="D66" s="2666" t="s">
        <v>701</v>
      </c>
      <c r="E66" s="2665"/>
      <c r="F66" s="823"/>
      <c r="K66" s="2089"/>
      <c r="O66" s="2425" t="s">
        <v>2381</v>
      </c>
      <c r="P66" s="2426" t="s">
        <v>2411</v>
      </c>
      <c r="Q66" s="2427">
        <f ca="1">C40+J29</f>
        <v>5661</v>
      </c>
      <c r="R66" s="2426" t="s">
        <v>2382</v>
      </c>
    </row>
    <row r="67" spans="1:18" s="2062" customFormat="1" ht="20.25" thickBot="1">
      <c r="A67" s="784" t="s">
        <v>1782</v>
      </c>
      <c r="B67" s="2235" t="s">
        <v>2303</v>
      </c>
      <c r="C67" s="786">
        <f ca="1">ROUND(C66*(1-((1+F69)/(1+F67))^F68)/(F67-F69),0)</f>
        <v>-661</v>
      </c>
      <c r="D67" s="817" t="s">
        <v>705</v>
      </c>
      <c r="E67" s="787" t="s">
        <v>706</v>
      </c>
      <c r="F67" s="797">
        <f ca="1">F40</f>
        <v>5.5E-2</v>
      </c>
      <c r="K67" s="2089"/>
      <c r="O67" s="2425" t="s">
        <v>2383</v>
      </c>
      <c r="P67" s="2426" t="s">
        <v>2414</v>
      </c>
      <c r="Q67" s="2427">
        <f ca="1">L60</f>
        <v>0</v>
      </c>
      <c r="R67" s="2430" t="s">
        <v>2416</v>
      </c>
    </row>
    <row r="68" spans="1:18" ht="21.75" thickBot="1">
      <c r="A68" s="789"/>
      <c r="B68" s="790"/>
      <c r="C68" s="791"/>
      <c r="D68" s="824" t="s">
        <v>1810</v>
      </c>
      <c r="E68" s="787" t="s">
        <v>1786</v>
      </c>
      <c r="F68" s="825">
        <f ca="1">F41</f>
        <v>34.81</v>
      </c>
      <c r="O68" s="2428" t="s">
        <v>2385</v>
      </c>
      <c r="P68" s="2426" t="s">
        <v>2415</v>
      </c>
      <c r="Q68" s="2432">
        <f ca="1">L51</f>
        <v>2842</v>
      </c>
      <c r="R68" s="2433" t="s">
        <v>2418</v>
      </c>
    </row>
    <row r="69" spans="1:18" ht="20.25" thickBot="1">
      <c r="A69" s="793"/>
      <c r="B69" s="794"/>
      <c r="C69" s="795"/>
      <c r="D69" s="819"/>
      <c r="E69" s="787" t="s">
        <v>711</v>
      </c>
      <c r="F69" s="2374"/>
      <c r="O69" s="2428" t="s">
        <v>2386</v>
      </c>
      <c r="P69" s="2434" t="s">
        <v>2400</v>
      </c>
      <c r="Q69" s="2427">
        <f ca="1">ROUND(Q70-Q71*Q72,0)</f>
        <v>159</v>
      </c>
      <c r="R69" s="2430"/>
    </row>
    <row r="70" spans="1:18" ht="15.75" thickBot="1">
      <c r="A70" s="826" t="s">
        <v>1789</v>
      </c>
      <c r="B70" s="827" t="s">
        <v>1812</v>
      </c>
      <c r="C70" s="828">
        <f ca="1">ROUND(C67*10000/F70,0)</f>
        <v>-1216</v>
      </c>
      <c r="D70" s="829" t="s">
        <v>1813</v>
      </c>
      <c r="E70" s="830" t="s">
        <v>1814</v>
      </c>
      <c r="F70" s="831">
        <f ca="1">F43</f>
        <v>5438.03</v>
      </c>
      <c r="O70" s="2428" t="s">
        <v>2401</v>
      </c>
      <c r="P70" s="2434" t="s">
        <v>2402</v>
      </c>
      <c r="Q70" s="2427">
        <f ca="1">C39</f>
        <v>268</v>
      </c>
      <c r="R70" s="2426" t="s">
        <v>2382</v>
      </c>
    </row>
    <row r="71" spans="1:18" ht="15.75" thickBot="1">
      <c r="O71" s="2428" t="s">
        <v>2403</v>
      </c>
      <c r="P71" s="2434" t="s">
        <v>2404</v>
      </c>
      <c r="Q71" s="2427">
        <f ca="1">C13</f>
        <v>1277</v>
      </c>
      <c r="R71" s="2426" t="s">
        <v>2382</v>
      </c>
    </row>
    <row r="72" spans="1:18" ht="15.75" thickBot="1">
      <c r="O72" s="2428" t="s">
        <v>2405</v>
      </c>
      <c r="P72" s="2434" t="s">
        <v>2406</v>
      </c>
      <c r="Q72" s="2429">
        <f ca="1">J36</f>
        <v>8.5000000000000006E-2</v>
      </c>
      <c r="R72" s="2430"/>
    </row>
    <row r="73" spans="1:18" ht="15.75" thickBot="1">
      <c r="O73" s="2428" t="s">
        <v>2388</v>
      </c>
      <c r="P73" s="2426" t="s">
        <v>2395</v>
      </c>
      <c r="Q73" s="2429">
        <f>L52</f>
        <v>0</v>
      </c>
      <c r="R73" s="2430"/>
    </row>
    <row r="74" spans="1:18" ht="20.25" thickBot="1">
      <c r="O74" s="2428" t="s">
        <v>2390</v>
      </c>
      <c r="P74" s="2426" t="s">
        <v>2396</v>
      </c>
      <c r="Q74" s="2427" t="e">
        <f ca="1">L58</f>
        <v>#DIV/0!</v>
      </c>
      <c r="R74" s="2430" t="s">
        <v>2397</v>
      </c>
    </row>
    <row r="75" spans="1:18" ht="15.75" thickBot="1">
      <c r="O75" s="2428" t="s">
        <v>2419</v>
      </c>
      <c r="P75" s="2426" t="str">
        <f>K59</f>
        <v>建设期及建筑物耐用年限下的土地年期修正系数Kn</v>
      </c>
      <c r="Q75" s="2427" t="e">
        <f ca="1">L59</f>
        <v>#DIV/0!</v>
      </c>
      <c r="R75" s="2430" t="s">
        <v>2399</v>
      </c>
    </row>
    <row r="76" spans="1:18" ht="15.75" thickBot="1">
      <c r="O76" s="2425" t="s">
        <v>2393</v>
      </c>
      <c r="P76" s="2426" t="s">
        <v>2410</v>
      </c>
      <c r="Q76" s="2427">
        <f ca="1">Q66+Q67</f>
        <v>5661</v>
      </c>
      <c r="R76" s="243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2475</v>
      </c>
      <c r="B1" s="3460"/>
      <c r="C1" s="3461"/>
      <c r="D1" s="3462">
        <f>SUM(I10,I15,I20,I21,I23)</f>
        <v>0</v>
      </c>
      <c r="E1" s="3462"/>
      <c r="F1" s="3462"/>
      <c r="G1" s="3462"/>
      <c r="H1" s="3462"/>
      <c r="I1" s="3463"/>
    </row>
    <row r="2" spans="1:9">
      <c r="A2" s="3464" t="s">
        <v>2476</v>
      </c>
      <c r="B2" s="3465" t="s">
        <v>2477</v>
      </c>
      <c r="C2" s="3465"/>
      <c r="D2" s="2534" t="s">
        <v>2478</v>
      </c>
      <c r="E2" s="2534" t="s">
        <v>2479</v>
      </c>
      <c r="F2" s="2534" t="s">
        <v>2480</v>
      </c>
      <c r="G2" s="2534" t="s">
        <v>2481</v>
      </c>
      <c r="H2" s="2534" t="s">
        <v>2482</v>
      </c>
      <c r="I2" s="2535" t="s">
        <v>2483</v>
      </c>
    </row>
    <row r="3" spans="1:9">
      <c r="A3" s="3464"/>
      <c r="B3" s="3465" t="s">
        <v>2484</v>
      </c>
      <c r="C3" s="3465"/>
      <c r="D3" s="2536"/>
      <c r="E3" s="2534"/>
      <c r="F3" s="2537"/>
      <c r="G3" s="2537"/>
      <c r="H3" s="2538"/>
      <c r="I3" s="2539">
        <f>ROUND(D3*E3*F3*G3*H3/10000,0)</f>
        <v>0</v>
      </c>
    </row>
    <row r="4" spans="1:9">
      <c r="A4" s="3464"/>
      <c r="B4" s="3465" t="s">
        <v>2485</v>
      </c>
      <c r="C4" s="3465"/>
      <c r="D4" s="2536"/>
      <c r="E4" s="2534"/>
      <c r="F4" s="2537"/>
      <c r="G4" s="2537"/>
      <c r="H4" s="2538"/>
      <c r="I4" s="2539">
        <f t="shared" ref="I4:I9" si="0">ROUND(D4*E4*F4*G4*H4/10000,0)</f>
        <v>0</v>
      </c>
    </row>
    <row r="5" spans="1:9">
      <c r="A5" s="3464"/>
      <c r="B5" s="3465" t="s">
        <v>2486</v>
      </c>
      <c r="C5" s="3465"/>
      <c r="D5" s="2536"/>
      <c r="E5" s="2534"/>
      <c r="F5" s="2537"/>
      <c r="G5" s="2537"/>
      <c r="H5" s="2538"/>
      <c r="I5" s="2539">
        <f t="shared" si="0"/>
        <v>0</v>
      </c>
    </row>
    <row r="6" spans="1:9">
      <c r="A6" s="3464"/>
      <c r="B6" s="3465" t="s">
        <v>2487</v>
      </c>
      <c r="C6" s="3465"/>
      <c r="D6" s="2536"/>
      <c r="E6" s="2534"/>
      <c r="F6" s="2537"/>
      <c r="G6" s="2537"/>
      <c r="H6" s="2538"/>
      <c r="I6" s="2539">
        <f t="shared" si="0"/>
        <v>0</v>
      </c>
    </row>
    <row r="7" spans="1:9">
      <c r="A7" s="3464"/>
      <c r="B7" s="3465" t="s">
        <v>2488</v>
      </c>
      <c r="C7" s="3465"/>
      <c r="D7" s="2536"/>
      <c r="E7" s="2534"/>
      <c r="F7" s="2537"/>
      <c r="G7" s="2537"/>
      <c r="H7" s="2538"/>
      <c r="I7" s="2539">
        <f t="shared" si="0"/>
        <v>0</v>
      </c>
    </row>
    <row r="8" spans="1:9">
      <c r="A8" s="3464"/>
      <c r="B8" s="3465" t="s">
        <v>2489</v>
      </c>
      <c r="C8" s="3465"/>
      <c r="D8" s="2536"/>
      <c r="E8" s="2534"/>
      <c r="F8" s="2537"/>
      <c r="G8" s="2537"/>
      <c r="H8" s="2538"/>
      <c r="I8" s="2539">
        <f t="shared" si="0"/>
        <v>0</v>
      </c>
    </row>
    <row r="9" spans="1:9">
      <c r="A9" s="3464"/>
      <c r="B9" s="3465" t="s">
        <v>2490</v>
      </c>
      <c r="C9" s="3465"/>
      <c r="D9" s="2536"/>
      <c r="E9" s="2534"/>
      <c r="F9" s="2537"/>
      <c r="G9" s="2537"/>
      <c r="H9" s="2538"/>
      <c r="I9" s="2539">
        <f t="shared" si="0"/>
        <v>0</v>
      </c>
    </row>
    <row r="10" spans="1:9">
      <c r="A10" s="3464"/>
      <c r="B10" s="3466" t="s">
        <v>2491</v>
      </c>
      <c r="C10" s="3466"/>
      <c r="D10" s="2540">
        <v>527</v>
      </c>
      <c r="E10" s="2540" t="e">
        <f>ROUND(D1*10000/D10/H9,0)</f>
        <v>#DIV/0!</v>
      </c>
      <c r="F10" s="2541"/>
      <c r="G10" s="2541"/>
      <c r="H10" s="2542"/>
      <c r="I10" s="2543">
        <f>SUM(I3:I9)</f>
        <v>0</v>
      </c>
    </row>
    <row r="11" spans="1:9" ht="14.25">
      <c r="A11" s="3464" t="s">
        <v>2492</v>
      </c>
      <c r="B11" s="3465" t="s">
        <v>2493</v>
      </c>
      <c r="C11" s="3465"/>
      <c r="D11" s="2536" t="s">
        <v>2494</v>
      </c>
      <c r="E11" s="2536" t="s">
        <v>2495</v>
      </c>
      <c r="F11" s="2537" t="s">
        <v>2496</v>
      </c>
      <c r="G11" s="2537" t="s">
        <v>2497</v>
      </c>
      <c r="H11" s="2544" t="s">
        <v>2498</v>
      </c>
      <c r="I11" s="2535" t="s">
        <v>2499</v>
      </c>
    </row>
    <row r="12" spans="1:9">
      <c r="A12" s="3464"/>
      <c r="B12" s="3465" t="s">
        <v>2500</v>
      </c>
      <c r="C12" s="3465"/>
      <c r="D12" s="2536"/>
      <c r="E12" s="2536"/>
      <c r="F12" s="2537"/>
      <c r="G12" s="2538"/>
      <c r="H12" s="2545"/>
      <c r="I12" s="2535">
        <f>ROUND(D12*E12*F12*G12/10000,0)</f>
        <v>0</v>
      </c>
    </row>
    <row r="13" spans="1:9">
      <c r="A13" s="3464"/>
      <c r="B13" s="3465" t="s">
        <v>2501</v>
      </c>
      <c r="C13" s="3465"/>
      <c r="D13" s="2536"/>
      <c r="E13" s="2536"/>
      <c r="F13" s="2537"/>
      <c r="G13" s="2538"/>
      <c r="H13" s="2545"/>
      <c r="I13" s="2535">
        <f>ROUND(D13*E13*F13*G13/10000,0)</f>
        <v>0</v>
      </c>
    </row>
    <row r="14" spans="1:9">
      <c r="A14" s="3464"/>
      <c r="B14" s="3465" t="s">
        <v>2502</v>
      </c>
      <c r="C14" s="3465"/>
      <c r="D14" s="2536"/>
      <c r="E14" s="2536"/>
      <c r="F14" s="2537"/>
      <c r="G14" s="2538"/>
      <c r="H14" s="2545"/>
      <c r="I14" s="2535">
        <f>ROUND(D14*E14*F14*G14/10000,0)</f>
        <v>0</v>
      </c>
    </row>
    <row r="15" spans="1:9">
      <c r="A15" s="3464"/>
      <c r="B15" s="3466" t="s">
        <v>2491</v>
      </c>
      <c r="C15" s="3466"/>
      <c r="D15" s="2540"/>
      <c r="E15" s="2540">
        <f>SUM(E12:E14)</f>
        <v>0</v>
      </c>
      <c r="F15" s="2541"/>
      <c r="G15" s="2538"/>
      <c r="H15" s="2545"/>
      <c r="I15" s="2546">
        <f>SUM(I12:I14)</f>
        <v>0</v>
      </c>
    </row>
    <row r="16" spans="1:9" ht="24">
      <c r="A16" s="3464" t="s">
        <v>2503</v>
      </c>
      <c r="B16" s="3465" t="s">
        <v>2504</v>
      </c>
      <c r="C16" s="3465"/>
      <c r="D16" s="2536" t="s">
        <v>2505</v>
      </c>
      <c r="E16" s="2547" t="s">
        <v>2506</v>
      </c>
      <c r="F16" s="2537" t="s">
        <v>2507</v>
      </c>
      <c r="G16" s="2538" t="s">
        <v>2497</v>
      </c>
      <c r="H16" s="2544" t="s">
        <v>2498</v>
      </c>
      <c r="I16" s="2535" t="s">
        <v>2499</v>
      </c>
    </row>
    <row r="17" spans="1:9" ht="14.25">
      <c r="A17" s="3464"/>
      <c r="B17" s="3465" t="s">
        <v>2508</v>
      </c>
      <c r="C17" s="3465"/>
      <c r="D17" s="2536"/>
      <c r="E17" s="2536"/>
      <c r="F17" s="2537"/>
      <c r="G17" s="2538"/>
      <c r="H17" s="2548"/>
      <c r="I17" s="2549">
        <f>ROUND(D17*E17*F17*G17/10000,0)</f>
        <v>0</v>
      </c>
    </row>
    <row r="18" spans="1:9" ht="14.25">
      <c r="A18" s="3464"/>
      <c r="B18" s="3465" t="s">
        <v>2509</v>
      </c>
      <c r="C18" s="3465"/>
      <c r="D18" s="2536"/>
      <c r="E18" s="2536"/>
      <c r="F18" s="2537"/>
      <c r="G18" s="2538"/>
      <c r="H18" s="2548"/>
      <c r="I18" s="2549">
        <f>ROUND(D18*E18*F18*G18/10000,0)</f>
        <v>0</v>
      </c>
    </row>
    <row r="19" spans="1:9" ht="14.25">
      <c r="A19" s="3464"/>
      <c r="B19" s="3465" t="s">
        <v>2510</v>
      </c>
      <c r="C19" s="3465"/>
      <c r="D19" s="2536"/>
      <c r="E19" s="2536"/>
      <c r="F19" s="2537"/>
      <c r="G19" s="2538"/>
      <c r="H19" s="2548"/>
      <c r="I19" s="2549">
        <f>ROUND(D19*E19*F19*G19/10000,0)</f>
        <v>0</v>
      </c>
    </row>
    <row r="20" spans="1:9">
      <c r="A20" s="3464"/>
      <c r="B20" s="3466" t="s">
        <v>2491</v>
      </c>
      <c r="C20" s="3466"/>
      <c r="D20" s="2540">
        <f>SUM(D17:D19)</f>
        <v>0</v>
      </c>
      <c r="E20" s="2540"/>
      <c r="F20" s="2541"/>
      <c r="G20" s="2538"/>
      <c r="H20" s="2545"/>
      <c r="I20" s="2546">
        <f>SUM(I17:I19)</f>
        <v>0</v>
      </c>
    </row>
    <row r="21" spans="1:9">
      <c r="A21" s="3464" t="s">
        <v>2511</v>
      </c>
      <c r="B21" s="3468"/>
      <c r="C21" s="3468"/>
      <c r="D21" s="3468"/>
      <c r="E21" s="3468"/>
      <c r="F21" s="3468"/>
      <c r="G21" s="3468"/>
      <c r="H21" s="2550">
        <v>0.1</v>
      </c>
      <c r="I21" s="2543">
        <f>ROUND(I10*H21,0)</f>
        <v>0</v>
      </c>
    </row>
    <row r="22" spans="1:9" ht="14.25">
      <c r="A22" s="3469" t="s">
        <v>2512</v>
      </c>
      <c r="B22" s="3470"/>
      <c r="C22" s="3471"/>
      <c r="D22" s="2551" t="s">
        <v>2513</v>
      </c>
      <c r="E22" s="2551" t="s">
        <v>2514</v>
      </c>
      <c r="F22" s="2552" t="s">
        <v>2515</v>
      </c>
      <c r="G22" s="2552" t="s">
        <v>2516</v>
      </c>
      <c r="H22" s="2544" t="s">
        <v>2517</v>
      </c>
      <c r="I22" s="2535" t="s">
        <v>2518</v>
      </c>
    </row>
    <row r="23" spans="1:9" ht="14.25" thickBot="1">
      <c r="A23" s="3472"/>
      <c r="B23" s="3473"/>
      <c r="C23" s="3474"/>
      <c r="D23" s="2553"/>
      <c r="E23" s="2553"/>
      <c r="F23" s="2553"/>
      <c r="G23" s="2554"/>
      <c r="H23" s="2555"/>
      <c r="I23" s="2556">
        <f>ROUND(E23*D23*F23*(1-G23)/10000,0)</f>
        <v>0</v>
      </c>
    </row>
    <row r="26" spans="1:9">
      <c r="A26" s="2557" t="s">
        <v>2519</v>
      </c>
      <c r="B26" s="2557"/>
      <c r="C26" s="2557"/>
      <c r="D26" s="2557"/>
      <c r="E26" s="3475">
        <f>C27-C30-C31-C32</f>
        <v>0</v>
      </c>
      <c r="F26" s="3475"/>
      <c r="G26" s="3475"/>
      <c r="H26" s="3075" t="s">
        <v>2849</v>
      </c>
    </row>
    <row r="27" spans="1:9">
      <c r="A27" s="2558">
        <v>1</v>
      </c>
      <c r="B27" s="2559" t="s">
        <v>2520</v>
      </c>
      <c r="C27" s="2559"/>
      <c r="D27" s="2559"/>
      <c r="E27" s="3476"/>
      <c r="F27" s="3476"/>
      <c r="G27" s="3476"/>
    </row>
    <row r="28" spans="1:9">
      <c r="A28" s="2560" t="s">
        <v>2521</v>
      </c>
      <c r="B28" s="2559" t="s">
        <v>2522</v>
      </c>
      <c r="C28" s="2559"/>
      <c r="D28" s="2559"/>
      <c r="E28" s="3476"/>
      <c r="F28" s="3476"/>
      <c r="G28" s="3476"/>
    </row>
    <row r="29" spans="1:9">
      <c r="A29" s="2560" t="s">
        <v>2523</v>
      </c>
      <c r="B29" s="2559" t="s">
        <v>2463</v>
      </c>
      <c r="C29" s="2559"/>
      <c r="D29" s="2559"/>
      <c r="E29" s="2559" t="s">
        <v>2524</v>
      </c>
      <c r="F29" s="2559"/>
      <c r="G29" s="2559"/>
    </row>
    <row r="30" spans="1:9">
      <c r="A30" s="2558">
        <v>2</v>
      </c>
      <c r="B30" s="2559" t="s">
        <v>2525</v>
      </c>
      <c r="C30" s="2559">
        <f>C27*D30</f>
        <v>0</v>
      </c>
      <c r="D30" s="2561">
        <v>0.2</v>
      </c>
      <c r="E30" s="2559" t="s">
        <v>2526</v>
      </c>
      <c r="F30" s="2559"/>
      <c r="G30" s="2559"/>
    </row>
    <row r="31" spans="1:9">
      <c r="A31" s="2558">
        <v>3</v>
      </c>
      <c r="B31" s="2559" t="s">
        <v>2527</v>
      </c>
      <c r="C31" s="2559">
        <f>C25*D31</f>
        <v>0</v>
      </c>
      <c r="D31" s="2561">
        <v>0.15</v>
      </c>
      <c r="E31" s="2559" t="s">
        <v>2528</v>
      </c>
      <c r="F31" s="2559"/>
      <c r="G31" s="2559"/>
    </row>
    <row r="32" spans="1:9">
      <c r="A32" s="2558">
        <v>4</v>
      </c>
      <c r="B32" s="2559" t="s">
        <v>2529</v>
      </c>
      <c r="C32" s="2559">
        <f>C27*D32</f>
        <v>0</v>
      </c>
      <c r="D32" s="2561">
        <v>0.05</v>
      </c>
      <c r="E32" s="3467"/>
      <c r="F32" s="3467"/>
      <c r="G32" s="3467"/>
    </row>
    <row r="33" spans="1:7" hidden="1">
      <c r="A33" s="3477" t="s">
        <v>2530</v>
      </c>
      <c r="B33" s="3478"/>
      <c r="C33" s="3478"/>
      <c r="D33" s="3479"/>
      <c r="E33" s="3475"/>
      <c r="F33" s="3475"/>
      <c r="G33" s="3475"/>
    </row>
    <row r="34" spans="1:7" hidden="1">
      <c r="A34" s="2562">
        <v>1</v>
      </c>
      <c r="B34" s="2559" t="s">
        <v>2531</v>
      </c>
      <c r="C34" s="2559"/>
      <c r="D34" s="2559"/>
      <c r="E34" s="3476"/>
      <c r="F34" s="3476"/>
      <c r="G34" s="3476"/>
    </row>
    <row r="35" spans="1:7" hidden="1">
      <c r="A35" s="2562">
        <v>2</v>
      </c>
      <c r="B35" s="2559" t="s">
        <v>2532</v>
      </c>
      <c r="C35" s="2559"/>
      <c r="D35" s="2559"/>
      <c r="E35" s="3476"/>
      <c r="F35" s="3476"/>
      <c r="G35" s="3476"/>
    </row>
    <row r="36" spans="1:7" hidden="1">
      <c r="A36" s="2562">
        <v>3</v>
      </c>
      <c r="B36" s="2559" t="s">
        <v>2533</v>
      </c>
      <c r="C36" s="2559"/>
      <c r="D36" s="2559"/>
      <c r="E36" s="3476"/>
      <c r="F36" s="3476"/>
      <c r="G36" s="3476"/>
    </row>
    <row r="37" spans="1:7" hidden="1">
      <c r="A37" s="2562">
        <v>4</v>
      </c>
      <c r="B37" s="2559" t="s">
        <v>2534</v>
      </c>
      <c r="C37" s="2559"/>
      <c r="D37" s="2559"/>
      <c r="E37" s="3476"/>
      <c r="F37" s="3476"/>
      <c r="G37" s="3476"/>
    </row>
    <row r="38" spans="1:7" hidden="1">
      <c r="A38" s="3477" t="s">
        <v>2535</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604</v>
      </c>
      <c r="B1" s="745"/>
      <c r="C1" s="2185"/>
      <c r="D1" s="2185"/>
      <c r="E1" s="2185"/>
      <c r="F1" s="2185"/>
      <c r="G1" s="2111"/>
    </row>
    <row r="2" spans="1:25" s="2062" customFormat="1" ht="18" customHeight="1">
      <c r="A2" s="426" t="s">
        <v>467</v>
      </c>
      <c r="B2" s="428">
        <f ca="1">C23</f>
        <v>0</v>
      </c>
      <c r="C2" s="2111"/>
      <c r="D2" s="2111"/>
      <c r="E2" s="2111"/>
      <c r="F2" s="2111"/>
      <c r="G2" s="2111"/>
    </row>
    <row r="3" spans="1:25" s="2062" customFormat="1" ht="18" customHeight="1">
      <c r="A3" s="1383" t="s">
        <v>1687</v>
      </c>
      <c r="B3" s="428">
        <f ca="1">ROUND(B2*10000/'数据-汇总表'!E3,0)</f>
        <v>0</v>
      </c>
      <c r="C3" s="2111"/>
      <c r="D3" s="2111"/>
      <c r="E3" s="2111"/>
      <c r="F3" s="2111"/>
      <c r="G3" s="2111"/>
    </row>
    <row r="4" spans="1:25" s="2062" customFormat="1" ht="18" customHeight="1">
      <c r="A4" s="429" t="s">
        <v>468</v>
      </c>
      <c r="B4" s="430">
        <f ca="1">ROUND(B2*10000/'数据-汇总表'!D3,0)</f>
        <v>0</v>
      </c>
      <c r="C4" s="2064"/>
      <c r="D4" s="2111"/>
      <c r="E4" s="2111"/>
      <c r="F4" s="2111"/>
      <c r="G4" s="2111"/>
    </row>
    <row r="5" spans="1:25" s="2062" customFormat="1" ht="18" customHeight="1" thickBot="1">
      <c r="A5" s="432"/>
      <c r="B5" s="433">
        <f ca="1">ROUND(B2/('数据-汇总表'!D3/666.67),0)</f>
        <v>0</v>
      </c>
      <c r="C5" s="434" t="s">
        <v>469</v>
      </c>
      <c r="D5" s="2111"/>
      <c r="E5" s="2111"/>
      <c r="F5" s="2111"/>
      <c r="G5" s="2111"/>
    </row>
    <row r="6" spans="1:25" s="2186" customFormat="1" ht="13.5" customHeight="1">
      <c r="A6" s="746"/>
      <c r="B6" s="747" t="s">
        <v>605</v>
      </c>
      <c r="C6" s="748" t="s">
        <v>606</v>
      </c>
      <c r="D6" s="748" t="s">
        <v>607</v>
      </c>
      <c r="E6" s="749" t="s">
        <v>608</v>
      </c>
      <c r="F6" s="749" t="s">
        <v>609</v>
      </c>
      <c r="G6" s="750"/>
    </row>
    <row r="7" spans="1:25" s="2186" customFormat="1" ht="13.5" customHeight="1">
      <c r="A7" s="2496">
        <v>1</v>
      </c>
      <c r="B7" s="751" t="s">
        <v>610</v>
      </c>
      <c r="C7" s="752">
        <f>C8+C9</f>
        <v>0</v>
      </c>
      <c r="D7" s="752"/>
      <c r="E7" s="753"/>
      <c r="F7" s="753"/>
      <c r="G7" s="2506"/>
    </row>
    <row r="8" spans="1:25" s="2186" customFormat="1" ht="13.5" customHeight="1">
      <c r="A8" s="2496" t="s">
        <v>2442</v>
      </c>
      <c r="B8" s="2499" t="s">
        <v>2444</v>
      </c>
      <c r="C8" s="2500"/>
      <c r="D8" s="752"/>
      <c r="E8" s="753"/>
      <c r="F8" s="753"/>
      <c r="G8" s="754"/>
    </row>
    <row r="9" spans="1:25" s="2186" customFormat="1" ht="13.5" customHeight="1">
      <c r="A9" s="2496" t="s">
        <v>2443</v>
      </c>
      <c r="B9" s="2499" t="s">
        <v>2445</v>
      </c>
      <c r="C9" s="2500"/>
      <c r="D9" s="752"/>
      <c r="E9" s="753"/>
      <c r="F9" s="753"/>
      <c r="G9" s="754"/>
    </row>
    <row r="10" spans="1:25" s="2186" customFormat="1" ht="36">
      <c r="A10" s="2496">
        <v>2</v>
      </c>
      <c r="B10" s="751" t="s">
        <v>614</v>
      </c>
      <c r="C10" s="752">
        <f>C11+C14+C15</f>
        <v>0</v>
      </c>
      <c r="D10" s="763">
        <f>'数据-汇总表'!E3</f>
        <v>108760.69</v>
      </c>
      <c r="E10" s="752">
        <f>'数据-取费表'!B31</f>
        <v>200</v>
      </c>
      <c r="F10" s="764"/>
      <c r="G10" s="762" t="s">
        <v>615</v>
      </c>
    </row>
    <row r="11" spans="1:25" s="2186" customFormat="1" ht="13.5" customHeight="1">
      <c r="A11" s="2496" t="s">
        <v>2442</v>
      </c>
      <c r="B11" s="755" t="s">
        <v>611</v>
      </c>
      <c r="C11" s="756">
        <f>'数据-取费表'!B29</f>
        <v>0</v>
      </c>
      <c r="D11" s="757"/>
      <c r="E11" s="756"/>
      <c r="F11" s="758"/>
      <c r="G11" s="2505" t="s">
        <v>2453</v>
      </c>
    </row>
    <row r="12" spans="1:25" s="2186" customFormat="1" ht="13.5" customHeight="1">
      <c r="A12" s="2503" t="s">
        <v>2450</v>
      </c>
      <c r="B12" s="759" t="s">
        <v>612</v>
      </c>
      <c r="C12" s="760">
        <f>ROUND(D12*E12/10000,0)</f>
        <v>1385</v>
      </c>
      <c r="D12" s="761">
        <f>'数据-汇总表'!E5</f>
        <v>103322.66</v>
      </c>
      <c r="E12" s="760">
        <f>'数据-取费表'!B27</f>
        <v>134</v>
      </c>
      <c r="F12" s="758"/>
      <c r="G12" s="762"/>
    </row>
    <row r="13" spans="1:25" s="2186" customFormat="1" ht="13.5" customHeight="1">
      <c r="A13" s="2503" t="s">
        <v>2449</v>
      </c>
      <c r="B13" s="759" t="s">
        <v>613</v>
      </c>
      <c r="C13" s="760">
        <f>ROUND(D13*E13/10000,0)</f>
        <v>54</v>
      </c>
      <c r="D13" s="761">
        <f>'数据-汇总表'!E6</f>
        <v>5438.0299999999988</v>
      </c>
      <c r="E13" s="760">
        <f>'数据-取费表'!B28</f>
        <v>99</v>
      </c>
      <c r="F13" s="758"/>
      <c r="G13" s="762"/>
    </row>
    <row r="14" spans="1:25" s="2186" customFormat="1" ht="13.5" customHeight="1">
      <c r="A14" s="2496" t="s">
        <v>2443</v>
      </c>
      <c r="B14" s="2502" t="s">
        <v>2446</v>
      </c>
      <c r="C14" s="2500"/>
      <c r="D14" s="761"/>
      <c r="E14" s="760"/>
      <c r="F14" s="2501"/>
      <c r="G14" s="2504" t="s">
        <v>2451</v>
      </c>
    </row>
    <row r="15" spans="1:25" s="2186" customFormat="1" ht="13.5" customHeight="1">
      <c r="A15" s="2496" t="s">
        <v>2448</v>
      </c>
      <c r="B15" s="2502" t="s">
        <v>2447</v>
      </c>
      <c r="C15" s="2500"/>
      <c r="D15" s="761"/>
      <c r="E15" s="760"/>
      <c r="F15" s="2501"/>
      <c r="G15" s="2504" t="s">
        <v>2452</v>
      </c>
    </row>
    <row r="16" spans="1:25" s="2187" customFormat="1" ht="48">
      <c r="A16" s="2496">
        <v>3</v>
      </c>
      <c r="B16" s="751" t="s">
        <v>616</v>
      </c>
      <c r="C16" s="2500"/>
      <c r="D16" s="763"/>
      <c r="E16" s="752"/>
      <c r="F16" s="764"/>
      <c r="G16" s="762" t="s">
        <v>2454</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617</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618</v>
      </c>
      <c r="C18" s="752">
        <f>ROUND((C7+C10+C16)*F18,0)</f>
        <v>0</v>
      </c>
      <c r="D18" s="765"/>
      <c r="E18" s="766"/>
      <c r="F18" s="764">
        <f>'数据-取费表'!Q16</f>
        <v>0.15</v>
      </c>
      <c r="G18" s="768" t="s">
        <v>619</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620</v>
      </c>
      <c r="C19" s="752">
        <f ca="1">C7+C10+C16+C17+C18</f>
        <v>0</v>
      </c>
      <c r="D19" s="763"/>
      <c r="E19" s="752"/>
      <c r="F19" s="764"/>
      <c r="G19" s="768" t="s">
        <v>621</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622</v>
      </c>
      <c r="C20" s="752">
        <f ca="1">ROUND(C19*F20,0)</f>
        <v>0</v>
      </c>
      <c r="D20" s="763"/>
      <c r="E20" s="752"/>
      <c r="F20" s="1352"/>
      <c r="G20" s="768" t="s">
        <v>623</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624</v>
      </c>
      <c r="C21" s="752">
        <f ca="1">C19+C20</f>
        <v>0</v>
      </c>
      <c r="D21" s="763"/>
      <c r="E21" s="752"/>
      <c r="F21" s="764"/>
      <c r="G21" s="768" t="s">
        <v>625</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626</v>
      </c>
      <c r="C22" s="752">
        <f ca="1">ROUND(C21*F22,0)</f>
        <v>0</v>
      </c>
      <c r="D22" s="763"/>
      <c r="E22" s="752"/>
      <c r="F22" s="769">
        <f>'数据-取费表'!AP16</f>
        <v>0.92100000000000004</v>
      </c>
      <c r="G22" s="768" t="s">
        <v>627</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628</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3"/>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0"/>
      <c r="D2" s="2130"/>
      <c r="E2" s="2064"/>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4"/>
      <c r="F3" s="2132"/>
      <c r="G3" s="2131"/>
      <c r="H3" s="2131"/>
      <c r="I3" s="2131"/>
      <c r="J3" s="2131"/>
      <c r="K3" s="2133"/>
      <c r="L3" s="2134"/>
      <c r="M3" s="2135"/>
      <c r="N3" s="2135"/>
      <c r="O3" s="2135"/>
      <c r="P3" s="1568"/>
      <c r="Q3" s="1568"/>
      <c r="R3" s="1568"/>
      <c r="S3" s="1568"/>
      <c r="T3" s="1568"/>
      <c r="U3" s="1568"/>
      <c r="V3" s="1568"/>
      <c r="W3" s="1568"/>
      <c r="X3" s="1568"/>
      <c r="Y3" s="1568"/>
      <c r="Z3" s="1568"/>
      <c r="AA3" s="1568"/>
      <c r="AB3" s="1568"/>
      <c r="AC3" s="431"/>
    </row>
    <row r="4" spans="1:29" ht="15">
      <c r="A4" s="515" t="s">
        <v>522</v>
      </c>
      <c r="B4" s="516"/>
      <c r="C4" s="3366" t="s">
        <v>523</v>
      </c>
      <c r="D4" s="3367"/>
      <c r="E4" s="3403" t="s">
        <v>524</v>
      </c>
      <c r="F4" s="3404"/>
      <c r="G4" s="3366" t="s">
        <v>525</v>
      </c>
      <c r="H4" s="3367"/>
      <c r="I4" s="3366" t="s">
        <v>526</v>
      </c>
      <c r="J4" s="3367"/>
      <c r="K4" s="517" t="s">
        <v>527</v>
      </c>
      <c r="L4" s="2136"/>
      <c r="M4" s="2137"/>
      <c r="N4" s="2137"/>
      <c r="O4" s="2137"/>
      <c r="P4" s="3368" t="s">
        <v>528</v>
      </c>
      <c r="Q4" s="3369"/>
      <c r="R4" s="3374" t="s">
        <v>524</v>
      </c>
      <c r="S4" s="3375"/>
      <c r="T4" s="3374" t="s">
        <v>525</v>
      </c>
      <c r="U4" s="3375"/>
      <c r="V4" s="3361" t="s">
        <v>526</v>
      </c>
      <c r="W4" s="3361"/>
      <c r="X4" s="1571"/>
      <c r="Y4" s="3374" t="s">
        <v>528</v>
      </c>
      <c r="Z4" s="3375"/>
      <c r="AA4" s="3363" t="s">
        <v>524</v>
      </c>
      <c r="AB4" s="3361" t="s">
        <v>525</v>
      </c>
      <c r="AC4" s="3363" t="s">
        <v>526</v>
      </c>
    </row>
    <row r="5" spans="1:29" ht="15">
      <c r="A5" s="518"/>
      <c r="B5" s="519"/>
      <c r="C5" s="3384" t="s">
        <v>2933</v>
      </c>
      <c r="D5" s="3383"/>
      <c r="E5" s="3405" t="s">
        <v>2934</v>
      </c>
      <c r="F5" s="3406"/>
      <c r="G5" s="3384" t="s">
        <v>2935</v>
      </c>
      <c r="H5" s="3383"/>
      <c r="I5" s="3384" t="s">
        <v>2936</v>
      </c>
      <c r="J5" s="3383"/>
      <c r="K5" s="517"/>
      <c r="L5" s="2136"/>
      <c r="M5" s="2137"/>
      <c r="N5" s="2137"/>
      <c r="O5" s="2137"/>
      <c r="P5" s="3370"/>
      <c r="Q5" s="3371"/>
      <c r="R5" s="3376"/>
      <c r="S5" s="3377"/>
      <c r="T5" s="3376"/>
      <c r="U5" s="3377"/>
      <c r="V5" s="3361"/>
      <c r="W5" s="3361"/>
      <c r="X5" s="1571"/>
      <c r="Y5" s="3376"/>
      <c r="Z5" s="3377"/>
      <c r="AA5" s="3364"/>
      <c r="AB5" s="3361"/>
      <c r="AC5" s="3364"/>
    </row>
    <row r="6" spans="1:29" ht="15.75" thickBot="1">
      <c r="A6" s="520"/>
      <c r="B6" s="521"/>
      <c r="C6" s="3400" t="s">
        <v>2937</v>
      </c>
      <c r="D6" s="3381"/>
      <c r="E6" s="3401" t="s">
        <v>2937</v>
      </c>
      <c r="F6" s="3402"/>
      <c r="G6" s="3400" t="s">
        <v>2937</v>
      </c>
      <c r="H6" s="3381"/>
      <c r="I6" s="3400" t="s">
        <v>2937</v>
      </c>
      <c r="J6" s="3381"/>
      <c r="K6" s="517" t="s">
        <v>529</v>
      </c>
      <c r="L6" s="2136"/>
      <c r="M6" s="2137"/>
      <c r="N6" s="2137"/>
      <c r="O6" s="2137"/>
      <c r="P6" s="3372"/>
      <c r="Q6" s="3373"/>
      <c r="R6" s="3376"/>
      <c r="S6" s="3377"/>
      <c r="T6" s="3378"/>
      <c r="U6" s="3379"/>
      <c r="V6" s="3361"/>
      <c r="W6" s="3361"/>
      <c r="X6" s="1571"/>
      <c r="Y6" s="3378"/>
      <c r="Z6" s="3379"/>
      <c r="AA6" s="3365"/>
      <c r="AB6" s="3361"/>
      <c r="AC6" s="3365"/>
    </row>
    <row r="7" spans="1:29" s="1223" customFormat="1" ht="15.75" thickBot="1">
      <c r="A7" s="2943"/>
      <c r="B7" s="2950" t="s">
        <v>530</v>
      </c>
      <c r="C7" s="522">
        <f>'数据-取费表'!B2</f>
        <v>43018</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93" t="s">
        <v>531</v>
      </c>
      <c r="Q7" s="3395"/>
      <c r="R7" s="1572" t="s">
        <v>8</v>
      </c>
      <c r="S7" s="1573">
        <f t="shared" ref="S7:S15" si="0">F7</f>
        <v>0</v>
      </c>
      <c r="T7" s="1572" t="s">
        <v>8</v>
      </c>
      <c r="U7" s="1573">
        <f t="shared" ref="U7:U15" si="1">H7</f>
        <v>0</v>
      </c>
      <c r="V7" s="1572" t="s">
        <v>8</v>
      </c>
      <c r="W7" s="1573">
        <f t="shared" ref="W7:W15" si="2">J7</f>
        <v>0</v>
      </c>
      <c r="X7" s="1574"/>
      <c r="Y7" s="3393" t="s">
        <v>531</v>
      </c>
      <c r="Z7" s="3394"/>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93" t="s">
        <v>534</v>
      </c>
      <c r="Q8" s="3394"/>
      <c r="R8" s="1572" t="s">
        <v>8</v>
      </c>
      <c r="S8" s="1573">
        <f t="shared" si="0"/>
        <v>0</v>
      </c>
      <c r="T8" s="1572" t="s">
        <v>8</v>
      </c>
      <c r="U8" s="1573">
        <f t="shared" si="1"/>
        <v>0</v>
      </c>
      <c r="V8" s="1572" t="s">
        <v>8</v>
      </c>
      <c r="W8" s="1573">
        <f t="shared" si="2"/>
        <v>0</v>
      </c>
      <c r="X8" s="1574"/>
      <c r="Y8" s="3393" t="s">
        <v>534</v>
      </c>
      <c r="Z8" s="3394"/>
      <c r="AA8" s="1575" t="e">
        <f t="shared" ref="AA8:AA46" si="3">D8/F8</f>
        <v>#DIV/0!</v>
      </c>
      <c r="AB8" s="1575" t="e">
        <f t="shared" ref="AB8:AB46" si="4">D8/H8</f>
        <v>#DIV/0!</v>
      </c>
      <c r="AC8" s="1575" t="e">
        <f t="shared" ref="AC8:AC46" si="5">D8/J8</f>
        <v>#DIV/0!</v>
      </c>
    </row>
    <row r="9" spans="1:29" s="1223" customFormat="1" ht="15">
      <c r="A9" s="2945"/>
      <c r="B9" s="2952" t="s">
        <v>2762</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60" t="s">
        <v>536</v>
      </c>
      <c r="Q9" s="1154" t="str">
        <f t="shared" ref="Q9:Q15" si="6">B9</f>
        <v>用途</v>
      </c>
      <c r="R9" s="1572" t="s">
        <v>8</v>
      </c>
      <c r="S9" s="1573">
        <f t="shared" si="0"/>
        <v>100</v>
      </c>
      <c r="T9" s="1572" t="s">
        <v>8</v>
      </c>
      <c r="U9" s="1573">
        <f t="shared" si="1"/>
        <v>100</v>
      </c>
      <c r="V9" s="1572" t="s">
        <v>8</v>
      </c>
      <c r="W9" s="1573">
        <f t="shared" si="2"/>
        <v>100</v>
      </c>
      <c r="X9" s="1574"/>
      <c r="Y9" s="3306" t="s">
        <v>537</v>
      </c>
      <c r="Z9" s="1153" t="str">
        <f t="shared" ref="Z9:Z15" si="7">Q9</f>
        <v>用途</v>
      </c>
      <c r="AA9" s="1575">
        <f t="shared" si="3"/>
        <v>1</v>
      </c>
      <c r="AB9" s="1575">
        <f t="shared" si="4"/>
        <v>1</v>
      </c>
      <c r="AC9" s="1575">
        <f t="shared" si="5"/>
        <v>1</v>
      </c>
    </row>
    <row r="10" spans="1:29" s="1341" customFormat="1" ht="27">
      <c r="A10" s="2946"/>
      <c r="B10" s="2951" t="s">
        <v>2763</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60"/>
      <c r="Q10" s="1154" t="str">
        <f t="shared" si="6"/>
        <v>土地使用年限（年）</v>
      </c>
      <c r="R10" s="1572" t="s">
        <v>8</v>
      </c>
      <c r="S10" s="1573">
        <f t="shared" si="0"/>
        <v>100</v>
      </c>
      <c r="T10" s="1572" t="s">
        <v>8</v>
      </c>
      <c r="U10" s="1573">
        <f t="shared" si="1"/>
        <v>100</v>
      </c>
      <c r="V10" s="1572" t="s">
        <v>8</v>
      </c>
      <c r="W10" s="1573">
        <f t="shared" si="2"/>
        <v>100</v>
      </c>
      <c r="X10" s="1574"/>
      <c r="Y10" s="3306"/>
      <c r="Z10" s="1153" t="str">
        <f t="shared" si="7"/>
        <v>土地使用年限（年）</v>
      </c>
      <c r="AA10" s="1575">
        <f t="shared" si="3"/>
        <v>1</v>
      </c>
      <c r="AB10" s="1575">
        <f t="shared" si="4"/>
        <v>1</v>
      </c>
      <c r="AC10" s="1575">
        <f t="shared" si="5"/>
        <v>1</v>
      </c>
    </row>
    <row r="11" spans="1:29" ht="15">
      <c r="A11" s="2947"/>
      <c r="B11" s="2951" t="s">
        <v>2764</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60"/>
      <c r="Q11" s="1154" t="str">
        <f t="shared" si="6"/>
        <v>容积率</v>
      </c>
      <c r="R11" s="1572" t="s">
        <v>8</v>
      </c>
      <c r="S11" s="1573" t="e">
        <f t="shared" si="0"/>
        <v>#N/A</v>
      </c>
      <c r="T11" s="1572" t="s">
        <v>8</v>
      </c>
      <c r="U11" s="1573" t="e">
        <f t="shared" si="1"/>
        <v>#N/A</v>
      </c>
      <c r="V11" s="1572" t="s">
        <v>8</v>
      </c>
      <c r="W11" s="1573" t="e">
        <f t="shared" si="2"/>
        <v>#N/A</v>
      </c>
      <c r="X11" s="1574"/>
      <c r="Y11" s="330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38"/>
      <c r="M12" s="2139"/>
      <c r="N12" s="2139"/>
      <c r="O12" s="2140"/>
      <c r="P12" s="3360"/>
      <c r="Q12" s="1154">
        <f t="shared" si="6"/>
        <v>111</v>
      </c>
      <c r="R12" s="1572" t="s">
        <v>8</v>
      </c>
      <c r="S12" s="1573">
        <f t="shared" si="0"/>
        <v>100</v>
      </c>
      <c r="T12" s="1572" t="s">
        <v>8</v>
      </c>
      <c r="U12" s="1573">
        <f t="shared" si="1"/>
        <v>100</v>
      </c>
      <c r="V12" s="1572" t="s">
        <v>8</v>
      </c>
      <c r="W12" s="1573">
        <f t="shared" si="2"/>
        <v>100</v>
      </c>
      <c r="X12" s="1574"/>
      <c r="Y12" s="3306"/>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5"/>
      <c r="M13" s="2137"/>
      <c r="N13" s="2137"/>
      <c r="O13" s="2144"/>
      <c r="P13" s="3360"/>
      <c r="Q13" s="1154">
        <f t="shared" si="6"/>
        <v>111</v>
      </c>
      <c r="R13" s="1572" t="s">
        <v>8</v>
      </c>
      <c r="S13" s="1573">
        <f t="shared" si="0"/>
        <v>100</v>
      </c>
      <c r="T13" s="1572" t="s">
        <v>8</v>
      </c>
      <c r="U13" s="1573">
        <f t="shared" si="1"/>
        <v>100</v>
      </c>
      <c r="V13" s="1572" t="s">
        <v>8</v>
      </c>
      <c r="W13" s="1573">
        <f t="shared" si="2"/>
        <v>100</v>
      </c>
      <c r="X13" s="1574"/>
      <c r="Y13" s="3306"/>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5"/>
      <c r="M14" s="2137"/>
      <c r="N14" s="2137"/>
      <c r="O14" s="2144"/>
      <c r="P14" s="3360"/>
      <c r="Q14" s="1154">
        <f t="shared" si="6"/>
        <v>111</v>
      </c>
      <c r="R14" s="1572" t="s">
        <v>8</v>
      </c>
      <c r="S14" s="1573">
        <f t="shared" si="0"/>
        <v>100</v>
      </c>
      <c r="T14" s="1572" t="s">
        <v>8</v>
      </c>
      <c r="U14" s="1573">
        <f t="shared" si="1"/>
        <v>100</v>
      </c>
      <c r="V14" s="1572" t="s">
        <v>8</v>
      </c>
      <c r="W14" s="1573">
        <f t="shared" si="2"/>
        <v>100</v>
      </c>
      <c r="X14" s="1574"/>
      <c r="Y14" s="3306"/>
      <c r="Z14" s="1153">
        <f t="shared" si="7"/>
        <v>111</v>
      </c>
      <c r="AA14" s="1575">
        <f t="shared" si="3"/>
        <v>1</v>
      </c>
      <c r="AB14" s="1575">
        <f t="shared" si="4"/>
        <v>1</v>
      </c>
      <c r="AC14" s="1575">
        <f t="shared" si="5"/>
        <v>1</v>
      </c>
    </row>
    <row r="15" spans="1:29" ht="71.25">
      <c r="A15" s="2941" t="s">
        <v>2760</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5"/>
      <c r="M15" s="2137"/>
      <c r="N15" s="2137"/>
      <c r="O15" s="2144"/>
      <c r="P15" s="3396" t="s">
        <v>541</v>
      </c>
      <c r="Q15" s="1576" t="str">
        <f t="shared" si="6"/>
        <v>商业繁华度</v>
      </c>
      <c r="R15" s="1577" t="s">
        <v>8</v>
      </c>
      <c r="S15" s="1578">
        <f t="shared" si="0"/>
        <v>100</v>
      </c>
      <c r="T15" s="1577" t="s">
        <v>8</v>
      </c>
      <c r="U15" s="1578">
        <f t="shared" si="1"/>
        <v>100</v>
      </c>
      <c r="V15" s="1577" t="s">
        <v>8</v>
      </c>
      <c r="W15" s="1578">
        <f t="shared" si="2"/>
        <v>100</v>
      </c>
      <c r="X15" s="1571"/>
      <c r="Y15" s="3396"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397"/>
      <c r="Q16" s="1576"/>
      <c r="R16" s="1577"/>
      <c r="S16" s="1578"/>
      <c r="T16" s="1577"/>
      <c r="U16" s="1578"/>
      <c r="V16" s="1577"/>
      <c r="W16" s="1578"/>
      <c r="X16" s="1571"/>
      <c r="Y16" s="3397"/>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5"/>
      <c r="M17" s="2137"/>
      <c r="N17" s="2137"/>
      <c r="O17" s="2144"/>
      <c r="P17" s="3397"/>
      <c r="Q17" s="1576" t="str">
        <f>B17</f>
        <v>交通便捷度</v>
      </c>
      <c r="R17" s="1577" t="s">
        <v>8</v>
      </c>
      <c r="S17" s="1578">
        <f>F17</f>
        <v>100</v>
      </c>
      <c r="T17" s="1577" t="s">
        <v>8</v>
      </c>
      <c r="U17" s="1578">
        <f>H17</f>
        <v>100</v>
      </c>
      <c r="V17" s="1577" t="s">
        <v>8</v>
      </c>
      <c r="W17" s="1578">
        <f>J17</f>
        <v>100</v>
      </c>
      <c r="X17" s="1571"/>
      <c r="Y17" s="3397"/>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397"/>
      <c r="Q18" s="1576"/>
      <c r="R18" s="1577"/>
      <c r="S18" s="1578"/>
      <c r="T18" s="1577"/>
      <c r="U18" s="1578"/>
      <c r="V18" s="1577"/>
      <c r="W18" s="1578"/>
      <c r="X18" s="1571"/>
      <c r="Y18" s="3397"/>
      <c r="Z18" s="1579"/>
      <c r="AA18" s="1580">
        <v>1</v>
      </c>
      <c r="AB18" s="1580">
        <v>1</v>
      </c>
      <c r="AC18" s="1580">
        <v>1</v>
      </c>
    </row>
    <row r="19" spans="1:29" ht="42.75">
      <c r="A19" s="535"/>
      <c r="B19" s="2627" t="s">
        <v>2550</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5"/>
      <c r="M19" s="2137"/>
      <c r="N19" s="2137"/>
      <c r="O19" s="2144"/>
      <c r="P19" s="3397"/>
      <c r="Q19" s="1576" t="str">
        <f>B19</f>
        <v>公共配套设施</v>
      </c>
      <c r="R19" s="1577" t="s">
        <v>8</v>
      </c>
      <c r="S19" s="1578">
        <f>F19</f>
        <v>100</v>
      </c>
      <c r="T19" s="1577" t="s">
        <v>8</v>
      </c>
      <c r="U19" s="1578">
        <f>H19</f>
        <v>100</v>
      </c>
      <c r="V19" s="1577" t="s">
        <v>8</v>
      </c>
      <c r="W19" s="1578">
        <f>J19</f>
        <v>100</v>
      </c>
      <c r="X19" s="1571"/>
      <c r="Y19" s="3397"/>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5"/>
      <c r="M20" s="2137"/>
      <c r="N20" s="2137"/>
      <c r="O20" s="2144"/>
      <c r="P20" s="3397"/>
      <c r="Q20" s="1576"/>
      <c r="R20" s="1577"/>
      <c r="S20" s="1578"/>
      <c r="T20" s="1577"/>
      <c r="U20" s="1578"/>
      <c r="V20" s="1577"/>
      <c r="W20" s="1578"/>
      <c r="X20" s="1571"/>
      <c r="Y20" s="3397"/>
      <c r="Z20" s="1579"/>
      <c r="AA20" s="1580">
        <v>1</v>
      </c>
      <c r="AB20" s="1580">
        <v>1</v>
      </c>
      <c r="AC20" s="1580">
        <v>1</v>
      </c>
    </row>
    <row r="21" spans="1:29" ht="28.5">
      <c r="A21" s="535"/>
      <c r="B21" s="2620" t="s">
        <v>2562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5"/>
      <c r="M21" s="2137"/>
      <c r="N21" s="2137"/>
      <c r="O21" s="2144"/>
      <c r="P21" s="3397"/>
      <c r="Q21" s="2606" t="str">
        <f>B21</f>
        <v>基础设施水平</v>
      </c>
      <c r="R21" s="1577" t="s">
        <v>8</v>
      </c>
      <c r="S21" s="1578">
        <f>F21</f>
        <v>100</v>
      </c>
      <c r="T21" s="1577" t="s">
        <v>8</v>
      </c>
      <c r="U21" s="1578">
        <f>H21</f>
        <v>100</v>
      </c>
      <c r="V21" s="1577" t="s">
        <v>8</v>
      </c>
      <c r="W21" s="1578">
        <f>J21</f>
        <v>100</v>
      </c>
      <c r="X21" s="2608"/>
      <c r="Y21" s="3397"/>
      <c r="Z21" s="2607"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9"/>
      <c r="L22" s="2145"/>
      <c r="M22" s="2137"/>
      <c r="N22" s="2137"/>
      <c r="O22" s="2144"/>
      <c r="P22" s="3397"/>
      <c r="Q22" s="2606"/>
      <c r="R22" s="1577"/>
      <c r="S22" s="1578"/>
      <c r="T22" s="1577"/>
      <c r="U22" s="1578"/>
      <c r="V22" s="1577"/>
      <c r="W22" s="1578"/>
      <c r="X22" s="2608"/>
      <c r="Y22" s="3397"/>
      <c r="Z22" s="2607"/>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5"/>
      <c r="M23" s="2137"/>
      <c r="N23" s="2137"/>
      <c r="O23" s="2144"/>
      <c r="P23" s="3397"/>
      <c r="Q23" s="1576" t="str">
        <f>B23</f>
        <v>自然及人文环境</v>
      </c>
      <c r="R23" s="1577" t="s">
        <v>8</v>
      </c>
      <c r="S23" s="1578">
        <f>F23</f>
        <v>100</v>
      </c>
      <c r="T23" s="1577" t="s">
        <v>8</v>
      </c>
      <c r="U23" s="1578">
        <f>H23</f>
        <v>100</v>
      </c>
      <c r="V23" s="1577" t="s">
        <v>8</v>
      </c>
      <c r="W23" s="1578">
        <f>J23</f>
        <v>100</v>
      </c>
      <c r="X23" s="1571"/>
      <c r="Y23" s="3397"/>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5"/>
      <c r="M24" s="2137"/>
      <c r="N24" s="2137"/>
      <c r="O24" s="2144"/>
      <c r="P24" s="3397"/>
      <c r="Q24" s="1576"/>
      <c r="R24" s="1577"/>
      <c r="S24" s="1578"/>
      <c r="T24" s="1577"/>
      <c r="U24" s="1578"/>
      <c r="V24" s="1577"/>
      <c r="W24" s="1578"/>
      <c r="X24" s="1571"/>
      <c r="Y24" s="3397"/>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397"/>
      <c r="Q25" s="1576" t="str">
        <f t="shared" ref="Q25:Q46" si="11">B25</f>
        <v>临街状况</v>
      </c>
      <c r="R25" s="1577" t="s">
        <v>8</v>
      </c>
      <c r="S25" s="1578">
        <f>F25</f>
        <v>100</v>
      </c>
      <c r="T25" s="1577" t="s">
        <v>8</v>
      </c>
      <c r="U25" s="1578">
        <f>H25</f>
        <v>100</v>
      </c>
      <c r="V25" s="1577" t="s">
        <v>8</v>
      </c>
      <c r="W25" s="1578">
        <f>J25</f>
        <v>100</v>
      </c>
      <c r="X25" s="1571"/>
      <c r="Y25" s="3397"/>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97"/>
      <c r="Q26" s="1576" t="str">
        <f t="shared" si="11"/>
        <v>平面位置/可视性</v>
      </c>
      <c r="R26" s="1577" t="s">
        <v>8</v>
      </c>
      <c r="S26" s="1578">
        <f>F26</f>
        <v>100</v>
      </c>
      <c r="T26" s="1577" t="s">
        <v>8</v>
      </c>
      <c r="U26" s="1578">
        <f>H26</f>
        <v>100</v>
      </c>
      <c r="V26" s="1577" t="s">
        <v>8</v>
      </c>
      <c r="W26" s="1578">
        <f>J26</f>
        <v>100</v>
      </c>
      <c r="X26" s="1571"/>
      <c r="Y26" s="3397"/>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38"/>
      <c r="M27" s="2139"/>
      <c r="N27" s="2139"/>
      <c r="O27" s="2140"/>
      <c r="P27" s="3397"/>
      <c r="Q27" s="1154" t="str">
        <f t="shared" si="11"/>
        <v>人流量</v>
      </c>
      <c r="R27" s="1572" t="s">
        <v>8</v>
      </c>
      <c r="S27" s="1573">
        <f>F27</f>
        <v>100</v>
      </c>
      <c r="T27" s="1572" t="s">
        <v>8</v>
      </c>
      <c r="U27" s="1573">
        <f>H27</f>
        <v>100</v>
      </c>
      <c r="V27" s="1572" t="s">
        <v>8</v>
      </c>
      <c r="W27" s="1573">
        <f>J27</f>
        <v>100</v>
      </c>
      <c r="X27" s="1574"/>
      <c r="Y27" s="3397"/>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397"/>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97"/>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97"/>
      <c r="Q29" s="1576">
        <f t="shared" si="11"/>
        <v>111</v>
      </c>
      <c r="R29" s="1577" t="s">
        <v>8</v>
      </c>
      <c r="S29" s="1578">
        <f t="shared" si="12"/>
        <v>100</v>
      </c>
      <c r="T29" s="1577" t="s">
        <v>8</v>
      </c>
      <c r="U29" s="1578">
        <f t="shared" si="13"/>
        <v>100</v>
      </c>
      <c r="V29" s="1577" t="s">
        <v>8</v>
      </c>
      <c r="W29" s="1578">
        <f t="shared" si="14"/>
        <v>100</v>
      </c>
      <c r="X29" s="1571"/>
      <c r="Y29" s="3397"/>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97"/>
      <c r="Q30" s="1576">
        <f t="shared" si="11"/>
        <v>111</v>
      </c>
      <c r="R30" s="1577" t="s">
        <v>8</v>
      </c>
      <c r="S30" s="1578">
        <f t="shared" si="12"/>
        <v>100</v>
      </c>
      <c r="T30" s="1577" t="s">
        <v>8</v>
      </c>
      <c r="U30" s="1578">
        <f t="shared" si="13"/>
        <v>100</v>
      </c>
      <c r="V30" s="1577" t="s">
        <v>8</v>
      </c>
      <c r="W30" s="1578">
        <f t="shared" si="14"/>
        <v>100</v>
      </c>
      <c r="X30" s="1571"/>
      <c r="Y30" s="3397"/>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97"/>
      <c r="Q31" s="1576">
        <f t="shared" si="11"/>
        <v>111</v>
      </c>
      <c r="R31" s="1577" t="s">
        <v>8</v>
      </c>
      <c r="S31" s="1578">
        <f t="shared" si="12"/>
        <v>100</v>
      </c>
      <c r="T31" s="1577" t="s">
        <v>8</v>
      </c>
      <c r="U31" s="1578">
        <f t="shared" si="13"/>
        <v>100</v>
      </c>
      <c r="V31" s="1577" t="s">
        <v>8</v>
      </c>
      <c r="W31" s="1578">
        <f t="shared" si="14"/>
        <v>100</v>
      </c>
      <c r="X31" s="1571"/>
      <c r="Y31" s="3397"/>
      <c r="Z31" s="1579">
        <f t="shared" si="15"/>
        <v>111</v>
      </c>
      <c r="AA31" s="1580">
        <f t="shared" si="3"/>
        <v>1</v>
      </c>
      <c r="AB31" s="1580">
        <f t="shared" si="4"/>
        <v>1</v>
      </c>
      <c r="AC31" s="1580">
        <f t="shared" si="5"/>
        <v>1</v>
      </c>
    </row>
    <row r="32" spans="1:29" ht="15">
      <c r="A32" s="2938" t="s">
        <v>2761</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398" t="s">
        <v>551</v>
      </c>
      <c r="Q32" s="1576" t="str">
        <f t="shared" si="11"/>
        <v>商业类型</v>
      </c>
      <c r="R32" s="1577" t="s">
        <v>8</v>
      </c>
      <c r="S32" s="1578">
        <f t="shared" si="12"/>
        <v>100</v>
      </c>
      <c r="T32" s="1577" t="s">
        <v>8</v>
      </c>
      <c r="U32" s="1578">
        <f t="shared" si="13"/>
        <v>100</v>
      </c>
      <c r="V32" s="1577" t="s">
        <v>8</v>
      </c>
      <c r="W32" s="1578">
        <f t="shared" si="14"/>
        <v>100</v>
      </c>
      <c r="X32" s="1571"/>
      <c r="Y32" s="3399"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399"/>
      <c r="Q33" s="1609" t="str">
        <f t="shared" si="11"/>
        <v>项目建筑规模</v>
      </c>
      <c r="R33" s="1581" t="s">
        <v>8</v>
      </c>
      <c r="S33" s="1582" t="e">
        <f t="shared" si="12"/>
        <v>#N/A</v>
      </c>
      <c r="T33" s="1581" t="s">
        <v>8</v>
      </c>
      <c r="U33" s="1582" t="e">
        <f t="shared" si="13"/>
        <v>#N/A</v>
      </c>
      <c r="V33" s="1581" t="s">
        <v>8</v>
      </c>
      <c r="W33" s="1582" t="e">
        <f t="shared" si="14"/>
        <v>#N/A</v>
      </c>
      <c r="X33" s="1583"/>
      <c r="Y33" s="3399"/>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5"/>
      <c r="M34" s="2137"/>
      <c r="N34" s="2137"/>
      <c r="O34" s="2144"/>
      <c r="P34" s="3399"/>
      <c r="Q34" s="1576" t="str">
        <f t="shared" si="11"/>
        <v>建筑结构</v>
      </c>
      <c r="R34" s="1577" t="s">
        <v>8</v>
      </c>
      <c r="S34" s="1578">
        <f t="shared" si="12"/>
        <v>100</v>
      </c>
      <c r="T34" s="1577" t="s">
        <v>8</v>
      </c>
      <c r="U34" s="1578">
        <f t="shared" si="13"/>
        <v>100</v>
      </c>
      <c r="V34" s="1577" t="s">
        <v>8</v>
      </c>
      <c r="W34" s="1578">
        <f t="shared" si="14"/>
        <v>100</v>
      </c>
      <c r="X34" s="1571"/>
      <c r="Y34" s="3399"/>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399"/>
      <c r="Q35" s="1576" t="str">
        <f t="shared" si="11"/>
        <v>公共部分装修</v>
      </c>
      <c r="R35" s="1577" t="s">
        <v>8</v>
      </c>
      <c r="S35" s="1578">
        <f t="shared" si="12"/>
        <v>100</v>
      </c>
      <c r="T35" s="1577" t="s">
        <v>8</v>
      </c>
      <c r="U35" s="1578">
        <f t="shared" si="13"/>
        <v>100</v>
      </c>
      <c r="V35" s="1577" t="s">
        <v>8</v>
      </c>
      <c r="W35" s="1578">
        <f t="shared" si="14"/>
        <v>100</v>
      </c>
      <c r="X35" s="1571"/>
      <c r="Y35" s="3399"/>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5"/>
      <c r="M36" s="2137"/>
      <c r="N36" s="2137"/>
      <c r="O36" s="2144"/>
      <c r="P36" s="3399"/>
      <c r="Q36" s="1576" t="str">
        <f t="shared" si="11"/>
        <v>成新度</v>
      </c>
      <c r="R36" s="1577" t="s">
        <v>8</v>
      </c>
      <c r="S36" s="1578" t="e">
        <f t="shared" si="12"/>
        <v>#N/A</v>
      </c>
      <c r="T36" s="1577" t="s">
        <v>8</v>
      </c>
      <c r="U36" s="1578" t="e">
        <f t="shared" si="13"/>
        <v>#N/A</v>
      </c>
      <c r="V36" s="1577" t="s">
        <v>8</v>
      </c>
      <c r="W36" s="1578" t="e">
        <f t="shared" si="14"/>
        <v>#N/A</v>
      </c>
      <c r="X36" s="1571"/>
      <c r="Y36" s="3399"/>
      <c r="Z36" s="1579" t="str">
        <f t="shared" si="15"/>
        <v>成新度</v>
      </c>
      <c r="AA36" s="1580" t="e">
        <f t="shared" si="3"/>
        <v>#N/A</v>
      </c>
      <c r="AB36" s="1580" t="e">
        <f t="shared" si="4"/>
        <v>#N/A</v>
      </c>
      <c r="AC36" s="1580" t="e">
        <f t="shared" si="5"/>
        <v>#N/A</v>
      </c>
    </row>
    <row r="37" spans="1:29" s="1223" customFormat="1" ht="15">
      <c r="A37" s="603"/>
      <c r="B37" s="1898" t="s">
        <v>2569</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399"/>
      <c r="Q37" s="1154" t="str">
        <f t="shared" si="11"/>
        <v>市政基础设施</v>
      </c>
      <c r="R37" s="1572" t="s">
        <v>8</v>
      </c>
      <c r="S37" s="1573">
        <f t="shared" si="12"/>
        <v>100</v>
      </c>
      <c r="T37" s="1572" t="s">
        <v>8</v>
      </c>
      <c r="U37" s="1573">
        <f t="shared" si="13"/>
        <v>100</v>
      </c>
      <c r="V37" s="1572" t="s">
        <v>8</v>
      </c>
      <c r="W37" s="1573">
        <f t="shared" si="14"/>
        <v>100</v>
      </c>
      <c r="X37" s="1574"/>
      <c r="Y37" s="3399"/>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399" t="s">
        <v>767</v>
      </c>
      <c r="Q38" s="1576" t="str">
        <f t="shared" si="11"/>
        <v>业态</v>
      </c>
      <c r="R38" s="1577" t="s">
        <v>8</v>
      </c>
      <c r="S38" s="1578">
        <f t="shared" si="12"/>
        <v>100</v>
      </c>
      <c r="T38" s="1577" t="s">
        <v>8</v>
      </c>
      <c r="U38" s="1578">
        <f t="shared" si="13"/>
        <v>100</v>
      </c>
      <c r="V38" s="1577" t="s">
        <v>8</v>
      </c>
      <c r="W38" s="1578">
        <f t="shared" si="14"/>
        <v>100</v>
      </c>
      <c r="X38" s="1571"/>
      <c r="Y38" s="3399"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99"/>
      <c r="Q39" s="1576" t="str">
        <f t="shared" si="11"/>
        <v>层高</v>
      </c>
      <c r="R39" s="1577" t="s">
        <v>8</v>
      </c>
      <c r="S39" s="1578">
        <f t="shared" si="12"/>
        <v>100</v>
      </c>
      <c r="T39" s="1577" t="s">
        <v>8</v>
      </c>
      <c r="U39" s="1578">
        <f t="shared" si="13"/>
        <v>100</v>
      </c>
      <c r="V39" s="1577" t="s">
        <v>8</v>
      </c>
      <c r="W39" s="1578">
        <f t="shared" si="14"/>
        <v>100</v>
      </c>
      <c r="X39" s="1571"/>
      <c r="Y39" s="3399"/>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5"/>
      <c r="M40" s="2137"/>
      <c r="N40" s="2137"/>
      <c r="O40" s="2144"/>
      <c r="P40" s="3399"/>
      <c r="Q40" s="1576" t="str">
        <f t="shared" si="11"/>
        <v>单套建筑面积</v>
      </c>
      <c r="R40" s="1577" t="s">
        <v>8</v>
      </c>
      <c r="S40" s="1578">
        <f t="shared" si="12"/>
        <v>100</v>
      </c>
      <c r="T40" s="1577" t="s">
        <v>8</v>
      </c>
      <c r="U40" s="1578">
        <f t="shared" si="13"/>
        <v>100</v>
      </c>
      <c r="V40" s="1577" t="s">
        <v>8</v>
      </c>
      <c r="W40" s="1578">
        <f t="shared" si="14"/>
        <v>100</v>
      </c>
      <c r="X40" s="1571"/>
      <c r="Y40" s="3399"/>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99"/>
      <c r="Q41" s="1609" t="str">
        <f t="shared" si="11"/>
        <v>进深比</v>
      </c>
      <c r="R41" s="1581" t="s">
        <v>8</v>
      </c>
      <c r="S41" s="1582">
        <f t="shared" si="12"/>
        <v>100</v>
      </c>
      <c r="T41" s="1581" t="s">
        <v>8</v>
      </c>
      <c r="U41" s="1582">
        <f t="shared" si="13"/>
        <v>100</v>
      </c>
      <c r="V41" s="1581" t="s">
        <v>8</v>
      </c>
      <c r="W41" s="1582">
        <f t="shared" si="14"/>
        <v>100</v>
      </c>
      <c r="X41" s="1583"/>
      <c r="Y41" s="3399"/>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399"/>
      <c r="Q42" s="1576" t="str">
        <f t="shared" si="11"/>
        <v>内部装修</v>
      </c>
      <c r="R42" s="1577" t="s">
        <v>8</v>
      </c>
      <c r="S42" s="1578">
        <f t="shared" si="12"/>
        <v>100</v>
      </c>
      <c r="T42" s="1577" t="s">
        <v>8</v>
      </c>
      <c r="U42" s="1578">
        <f t="shared" si="13"/>
        <v>100</v>
      </c>
      <c r="V42" s="1577" t="s">
        <v>8</v>
      </c>
      <c r="W42" s="1578">
        <f t="shared" si="14"/>
        <v>100</v>
      </c>
      <c r="X42" s="1571"/>
      <c r="Y42" s="3399"/>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399"/>
      <c r="Q43" s="1576" t="str">
        <f t="shared" si="11"/>
        <v>内部装修维护情况</v>
      </c>
      <c r="R43" s="1577" t="s">
        <v>8</v>
      </c>
      <c r="S43" s="1578">
        <f t="shared" si="12"/>
        <v>100</v>
      </c>
      <c r="T43" s="1577" t="s">
        <v>8</v>
      </c>
      <c r="U43" s="1578">
        <f t="shared" si="13"/>
        <v>100</v>
      </c>
      <c r="V43" s="1577" t="s">
        <v>8</v>
      </c>
      <c r="W43" s="1578">
        <f t="shared" si="14"/>
        <v>100</v>
      </c>
      <c r="X43" s="1571"/>
      <c r="Y43" s="3399"/>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399"/>
      <c r="Q44" s="1154">
        <f t="shared" si="11"/>
        <v>111</v>
      </c>
      <c r="R44" s="1572" t="s">
        <v>8</v>
      </c>
      <c r="S44" s="1573">
        <f t="shared" si="12"/>
        <v>100</v>
      </c>
      <c r="T44" s="1572" t="s">
        <v>8</v>
      </c>
      <c r="U44" s="1573">
        <f t="shared" si="13"/>
        <v>100</v>
      </c>
      <c r="V44" s="1572" t="s">
        <v>8</v>
      </c>
      <c r="W44" s="1573">
        <f t="shared" si="14"/>
        <v>100</v>
      </c>
      <c r="X44" s="1574"/>
      <c r="Y44" s="3399"/>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99"/>
      <c r="Q45" s="1576">
        <f t="shared" si="11"/>
        <v>111</v>
      </c>
      <c r="R45" s="1577" t="s">
        <v>8</v>
      </c>
      <c r="S45" s="1578">
        <f t="shared" si="12"/>
        <v>100</v>
      </c>
      <c r="T45" s="1577" t="s">
        <v>8</v>
      </c>
      <c r="U45" s="1578">
        <f t="shared" si="13"/>
        <v>100</v>
      </c>
      <c r="V45" s="1577" t="s">
        <v>8</v>
      </c>
      <c r="W45" s="1578">
        <f t="shared" si="14"/>
        <v>100</v>
      </c>
      <c r="X45" s="1571"/>
      <c r="Y45" s="3399"/>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54"/>
      <c r="Q46" s="1576">
        <f t="shared" si="11"/>
        <v>111</v>
      </c>
      <c r="R46" s="1577" t="s">
        <v>8</v>
      </c>
      <c r="S46" s="1578">
        <f t="shared" si="12"/>
        <v>100</v>
      </c>
      <c r="T46" s="1577" t="s">
        <v>8</v>
      </c>
      <c r="U46" s="1578">
        <f t="shared" si="13"/>
        <v>100</v>
      </c>
      <c r="V46" s="1577" t="s">
        <v>8</v>
      </c>
      <c r="W46" s="1578">
        <f t="shared" si="14"/>
        <v>100</v>
      </c>
      <c r="X46" s="1571"/>
      <c r="Y46" s="3454"/>
      <c r="Z46" s="1579">
        <f t="shared" si="15"/>
        <v>111</v>
      </c>
      <c r="AA46" s="1580">
        <f t="shared" si="3"/>
        <v>1</v>
      </c>
      <c r="AB46" s="1580">
        <f t="shared" si="4"/>
        <v>1</v>
      </c>
      <c r="AC46" s="1580">
        <f t="shared" si="5"/>
        <v>1</v>
      </c>
    </row>
    <row r="47" spans="1:29" ht="15">
      <c r="A47" s="610" t="s">
        <v>737</v>
      </c>
      <c r="B47" s="890"/>
      <c r="C47" s="2654" t="s">
        <v>1</v>
      </c>
      <c r="D47" s="2655"/>
      <c r="E47" s="2656"/>
      <c r="F47" s="2657"/>
      <c r="G47" s="2658"/>
      <c r="H47" s="2659"/>
      <c r="I47" s="2656"/>
      <c r="J47" s="2659"/>
      <c r="K47" s="1615"/>
      <c r="L47" s="2147"/>
      <c r="M47" s="2148"/>
      <c r="N47" s="2137"/>
      <c r="O47" s="2148"/>
      <c r="P47" s="3360" t="str">
        <f>A47</f>
        <v>成交单价（元/平方米）</v>
      </c>
      <c r="Q47" s="3360"/>
      <c r="R47" s="3453">
        <f>E47</f>
        <v>0</v>
      </c>
      <c r="S47" s="3453"/>
      <c r="T47" s="3453">
        <f>G47</f>
        <v>0</v>
      </c>
      <c r="U47" s="3453"/>
      <c r="V47" s="3453">
        <f>I47</f>
        <v>0</v>
      </c>
      <c r="W47" s="3453"/>
      <c r="X47" s="1563"/>
      <c r="Y47" s="1585"/>
      <c r="Z47" s="1563"/>
      <c r="AA47" s="1563"/>
      <c r="AB47" s="1563"/>
      <c r="AC47" s="1563"/>
    </row>
    <row r="48" spans="1:29" ht="15.75" thickBot="1">
      <c r="A48" s="618" t="s">
        <v>2766</v>
      </c>
      <c r="B48" s="891"/>
      <c r="C48" s="2660" t="e">
        <f>R49</f>
        <v>#DIV/0!</v>
      </c>
      <c r="D48" s="2661"/>
      <c r="E48" s="2662" t="e">
        <f>R48</f>
        <v>#DIV/0!</v>
      </c>
      <c r="F48" s="2662"/>
      <c r="G48" s="2660" t="e">
        <f>T48</f>
        <v>#DIV/0!</v>
      </c>
      <c r="H48" s="2661"/>
      <c r="I48" s="2662" t="e">
        <f>V48</f>
        <v>#DIV/0!</v>
      </c>
      <c r="J48" s="2661"/>
      <c r="K48" s="1616"/>
      <c r="L48" s="2147"/>
      <c r="M48" s="2148"/>
      <c r="N48" s="2137"/>
      <c r="O48" s="2148"/>
      <c r="P48" s="3360" t="str">
        <f>A48</f>
        <v>比较价格（元/平方米）</v>
      </c>
      <c r="Q48" s="3360"/>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1563"/>
      <c r="Y48" s="1563"/>
      <c r="Z48" s="1563"/>
      <c r="AA48" s="1563"/>
      <c r="AB48" s="1563"/>
      <c r="AC48" s="1563"/>
    </row>
    <row r="49" spans="1:29" ht="15.75" thickBot="1">
      <c r="A49" s="624" t="s">
        <v>2939</v>
      </c>
      <c r="B49" s="625"/>
      <c r="C49" s="2663" t="e">
        <f>R49</f>
        <v>#DIV/0!</v>
      </c>
      <c r="D49" s="2663"/>
      <c r="E49" s="2663"/>
      <c r="F49" s="2663"/>
      <c r="G49" s="2663"/>
      <c r="H49" s="2663"/>
      <c r="I49" s="2663"/>
      <c r="J49" s="2663"/>
      <c r="K49" s="1617"/>
      <c r="L49" s="2147"/>
      <c r="M49" s="2148"/>
      <c r="N49" s="2137"/>
      <c r="O49" s="2148"/>
      <c r="P49" s="3357" t="str">
        <f>A49</f>
        <v>估价对象XX用房的比较价格（楼面单价，元/平方米）</v>
      </c>
      <c r="Q49" s="3358"/>
      <c r="R49" s="3452" t="e">
        <f>IF(F1="售价",ROUND(AVERAGE(R48:V48),0),ROUND(AVERAGE(R48:V48),1))</f>
        <v>#DIV/0!</v>
      </c>
      <c r="S49" s="3452"/>
      <c r="T49" s="3452"/>
      <c r="U49" s="3452"/>
      <c r="V49" s="3452"/>
      <c r="W49" s="3452"/>
      <c r="X49" s="1563"/>
      <c r="Y49" s="1563"/>
      <c r="Z49" s="1563"/>
      <c r="AA49" s="1563"/>
      <c r="AB49" s="1563"/>
      <c r="AC49" s="1563"/>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8" t="s">
        <v>575</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530</v>
      </c>
      <c r="B58" s="649"/>
      <c r="C58" s="2833"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c r="E59" s="653"/>
      <c r="F59" s="653"/>
      <c r="G59" s="653"/>
      <c r="H59" s="653"/>
      <c r="I59" s="653"/>
      <c r="J59" s="653"/>
      <c r="K59" s="653"/>
      <c r="L59" s="653"/>
      <c r="M59" s="654"/>
      <c r="N59" s="653"/>
      <c r="O59" s="655"/>
      <c r="P59" s="2161"/>
      <c r="Q59" s="1996"/>
      <c r="R59" s="1996"/>
      <c r="S59" s="1996"/>
      <c r="T59" s="1996"/>
      <c r="U59" s="1996"/>
      <c r="V59" s="1996"/>
      <c r="W59" s="1996"/>
      <c r="X59" s="1996"/>
      <c r="Y59" s="1996"/>
      <c r="Z59" s="1996"/>
      <c r="AA59" s="1996"/>
      <c r="AB59" s="1996"/>
      <c r="AC59" s="1996"/>
    </row>
    <row r="60" spans="1:29" s="1223"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3"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208"/>
    </row>
    <row r="63" spans="1:29">
      <c r="A63" s="667" t="s">
        <v>578</v>
      </c>
      <c r="B63" s="668" t="s">
        <v>535</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2561</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2562</v>
      </c>
      <c r="C82" s="2625" t="s">
        <v>2563</v>
      </c>
      <c r="D82" s="2625" t="s">
        <v>2564</v>
      </c>
      <c r="E82" s="2625" t="s">
        <v>2565</v>
      </c>
      <c r="F82" s="2625" t="s">
        <v>2566</v>
      </c>
      <c r="G82" s="2625" t="s">
        <v>2567</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676" t="s">
        <v>772</v>
      </c>
      <c r="C86" s="691"/>
      <c r="D86" s="691"/>
      <c r="E86" s="691"/>
      <c r="F86" s="691"/>
      <c r="G86" s="691"/>
      <c r="H86" s="691"/>
      <c r="I86" s="691"/>
      <c r="J86" s="691"/>
      <c r="K86" s="691"/>
      <c r="L86" s="893"/>
      <c r="M86" s="894"/>
      <c r="N86" s="2165"/>
      <c r="O86" s="2165"/>
      <c r="P86" s="2168"/>
      <c r="Q86" s="2161"/>
      <c r="R86" s="1996"/>
      <c r="S86" s="1996"/>
      <c r="T86" s="1996"/>
      <c r="U86" s="1996"/>
      <c r="V86" s="1996"/>
      <c r="W86" s="1996"/>
      <c r="X86" s="1996"/>
      <c r="Y86" s="1996"/>
      <c r="Z86" s="1996"/>
      <c r="AA86" s="1996"/>
      <c r="AB86" s="1996"/>
      <c r="AC86" s="1996"/>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6"/>
      <c r="S87" s="1996"/>
      <c r="T87" s="1996"/>
      <c r="U87" s="1996"/>
      <c r="V87" s="1996"/>
      <c r="W87" s="1996"/>
      <c r="X87" s="1996"/>
      <c r="Y87" s="1996"/>
      <c r="Z87" s="1996"/>
      <c r="AA87" s="1996"/>
      <c r="AB87" s="1996"/>
      <c r="AC87" s="1996"/>
    </row>
    <row r="88" spans="1:29" s="1223" customFormat="1" ht="15.75" thickTop="1">
      <c r="A88" s="712"/>
      <c r="B88" s="676" t="str">
        <f>B26</f>
        <v>平面位置/可视性</v>
      </c>
      <c r="C88" s="691"/>
      <c r="D88" s="691"/>
      <c r="E88" s="691"/>
      <c r="F88" s="895"/>
      <c r="G88" s="691"/>
      <c r="H88" s="691"/>
      <c r="I88" s="691"/>
      <c r="J88" s="691"/>
      <c r="K88" s="691"/>
      <c r="L88" s="691"/>
      <c r="M88" s="894"/>
      <c r="N88" s="2165"/>
      <c r="O88" s="2165"/>
      <c r="P88" s="2168"/>
      <c r="Q88" s="2161"/>
      <c r="R88" s="1996"/>
      <c r="S88" s="1996"/>
      <c r="T88" s="1996"/>
      <c r="U88" s="1996"/>
      <c r="V88" s="1996"/>
      <c r="W88" s="1996"/>
      <c r="X88" s="1996"/>
      <c r="Y88" s="1996"/>
      <c r="Z88" s="1996"/>
      <c r="AA88" s="1996"/>
      <c r="AB88" s="1996"/>
      <c r="AC88" s="1996"/>
    </row>
    <row r="89" spans="1:29" s="1223" customFormat="1" ht="15.75" thickBot="1">
      <c r="A89" s="712"/>
      <c r="B89" s="681"/>
      <c r="C89" s="695"/>
      <c r="D89" s="674"/>
      <c r="E89" s="674"/>
      <c r="F89" s="674"/>
      <c r="G89" s="674"/>
      <c r="H89" s="674"/>
      <c r="I89" s="674"/>
      <c r="J89" s="674"/>
      <c r="K89" s="674"/>
      <c r="L89" s="674"/>
      <c r="M89" s="674"/>
      <c r="N89" s="2169"/>
      <c r="O89" s="2169"/>
      <c r="P89" s="2168"/>
      <c r="Q89" s="2161"/>
      <c r="R89" s="1996"/>
      <c r="S89" s="1996"/>
      <c r="T89" s="1996"/>
      <c r="U89" s="1996"/>
      <c r="V89" s="1996"/>
      <c r="W89" s="1996"/>
      <c r="X89" s="1996"/>
      <c r="Y89" s="1996"/>
      <c r="Z89" s="1996"/>
      <c r="AA89" s="1996"/>
      <c r="AB89" s="1996"/>
      <c r="AC89" s="1996"/>
    </row>
    <row r="90" spans="1:29" s="1342"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3"/>
      <c r="M92" s="89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773</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752</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7">
        <v>0.5</v>
      </c>
      <c r="D110" s="897">
        <v>0.6</v>
      </c>
      <c r="E110" s="897">
        <v>0.7</v>
      </c>
      <c r="F110" s="897">
        <v>0.8</v>
      </c>
      <c r="G110" s="897">
        <v>0.9</v>
      </c>
      <c r="H110" s="897">
        <v>1.0001</v>
      </c>
      <c r="I110" s="908"/>
      <c r="J110" s="908"/>
      <c r="K110" s="909"/>
      <c r="L110" s="910"/>
      <c r="M110" s="911"/>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2" customFormat="1" ht="15" thickTop="1">
      <c r="A112" s="731"/>
      <c r="B112" s="1899" t="s">
        <v>2560</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774</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775</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776</v>
      </c>
      <c r="C118" s="912"/>
      <c r="D118" s="912"/>
      <c r="E118" s="912"/>
      <c r="F118" s="912"/>
      <c r="G118" s="912"/>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2" customFormat="1" ht="15" thickTop="1">
      <c r="A120" s="731"/>
      <c r="B120" s="676" t="s">
        <v>777</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4"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8"/>
      <c r="G1" s="1605" t="s">
        <v>722</v>
      </c>
      <c r="H1" s="509"/>
      <c r="I1" s="509"/>
      <c r="J1" s="509"/>
      <c r="K1" s="510"/>
      <c r="L1" s="1566"/>
      <c r="M1" s="1567"/>
      <c r="N1" s="1567"/>
      <c r="O1" s="1567"/>
      <c r="P1" s="2210"/>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0"/>
      <c r="D2" s="2130"/>
      <c r="E2" s="2064"/>
      <c r="F2" s="2132"/>
      <c r="G2" s="2131"/>
      <c r="H2" s="2131"/>
      <c r="I2" s="2131"/>
      <c r="J2" s="2131"/>
      <c r="K2" s="2131"/>
      <c r="L2" s="2134"/>
      <c r="M2" s="2135"/>
      <c r="N2" s="2135"/>
      <c r="O2" s="2135"/>
      <c r="P2" s="2210"/>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4"/>
      <c r="F3" s="2132"/>
      <c r="G3" s="2131"/>
      <c r="H3" s="2131"/>
      <c r="I3" s="2131"/>
      <c r="J3" s="2131"/>
      <c r="K3" s="2133"/>
      <c r="L3" s="2134"/>
      <c r="M3" s="2135"/>
      <c r="N3" s="2135"/>
      <c r="O3" s="2135"/>
      <c r="P3" s="2210"/>
      <c r="Q3" s="1568"/>
      <c r="R3" s="1568"/>
      <c r="S3" s="1568"/>
      <c r="T3" s="1568"/>
      <c r="U3" s="1568"/>
      <c r="V3" s="1568"/>
      <c r="W3" s="1568"/>
      <c r="X3" s="1568"/>
      <c r="Y3" s="1568"/>
      <c r="Z3" s="1568"/>
      <c r="AA3" s="1568"/>
      <c r="AB3" s="1568"/>
      <c r="AC3" s="1569"/>
    </row>
    <row r="4" spans="1:29" ht="15">
      <c r="A4" s="515" t="s">
        <v>522</v>
      </c>
      <c r="B4" s="516"/>
      <c r="C4" s="3366" t="s">
        <v>523</v>
      </c>
      <c r="D4" s="3367"/>
      <c r="E4" s="3403" t="s">
        <v>524</v>
      </c>
      <c r="F4" s="3404"/>
      <c r="G4" s="3366" t="s">
        <v>525</v>
      </c>
      <c r="H4" s="3367"/>
      <c r="I4" s="3366" t="s">
        <v>526</v>
      </c>
      <c r="J4" s="3367"/>
      <c r="K4" s="517" t="s">
        <v>527</v>
      </c>
      <c r="L4" s="2136"/>
      <c r="M4" s="2137"/>
      <c r="N4" s="2137"/>
      <c r="O4" s="2137"/>
      <c r="P4" s="3481" t="s">
        <v>528</v>
      </c>
      <c r="Q4" s="3369"/>
      <c r="R4" s="3374" t="s">
        <v>524</v>
      </c>
      <c r="S4" s="3375"/>
      <c r="T4" s="3374" t="s">
        <v>525</v>
      </c>
      <c r="U4" s="3375"/>
      <c r="V4" s="3361" t="s">
        <v>526</v>
      </c>
      <c r="W4" s="3361"/>
      <c r="X4" s="1571"/>
      <c r="Y4" s="3374" t="s">
        <v>528</v>
      </c>
      <c r="Z4" s="3375"/>
      <c r="AA4" s="3363" t="s">
        <v>524</v>
      </c>
      <c r="AB4" s="3363" t="s">
        <v>525</v>
      </c>
      <c r="AC4" s="3363" t="s">
        <v>526</v>
      </c>
    </row>
    <row r="5" spans="1:29" ht="15">
      <c r="A5" s="518"/>
      <c r="B5" s="519"/>
      <c r="C5" s="3384" t="s">
        <v>2933</v>
      </c>
      <c r="D5" s="3383"/>
      <c r="E5" s="3405" t="s">
        <v>2934</v>
      </c>
      <c r="F5" s="3406"/>
      <c r="G5" s="3384" t="s">
        <v>2935</v>
      </c>
      <c r="H5" s="3383"/>
      <c r="I5" s="3384" t="s">
        <v>2936</v>
      </c>
      <c r="J5" s="3383"/>
      <c r="K5" s="517"/>
      <c r="L5" s="2136"/>
      <c r="M5" s="2137"/>
      <c r="N5" s="2137"/>
      <c r="O5" s="2137"/>
      <c r="P5" s="3482"/>
      <c r="Q5" s="3371"/>
      <c r="R5" s="3376"/>
      <c r="S5" s="3377"/>
      <c r="T5" s="3376"/>
      <c r="U5" s="3377"/>
      <c r="V5" s="3361"/>
      <c r="W5" s="3361"/>
      <c r="X5" s="1571"/>
      <c r="Y5" s="3376"/>
      <c r="Z5" s="3377"/>
      <c r="AA5" s="3364"/>
      <c r="AB5" s="3364"/>
      <c r="AC5" s="3364"/>
    </row>
    <row r="6" spans="1:29" ht="15.75" thickBot="1">
      <c r="A6" s="520"/>
      <c r="B6" s="521"/>
      <c r="C6" s="3400" t="s">
        <v>2937</v>
      </c>
      <c r="D6" s="3381"/>
      <c r="E6" s="3401" t="s">
        <v>2937</v>
      </c>
      <c r="F6" s="3402"/>
      <c r="G6" s="3400" t="s">
        <v>2937</v>
      </c>
      <c r="H6" s="3381"/>
      <c r="I6" s="3400" t="s">
        <v>2937</v>
      </c>
      <c r="J6" s="3381"/>
      <c r="K6" s="517" t="s">
        <v>529</v>
      </c>
      <c r="L6" s="2136"/>
      <c r="M6" s="2137"/>
      <c r="N6" s="2137"/>
      <c r="O6" s="2137"/>
      <c r="P6" s="3483"/>
      <c r="Q6" s="3373"/>
      <c r="R6" s="3376"/>
      <c r="S6" s="3377"/>
      <c r="T6" s="3378"/>
      <c r="U6" s="3379"/>
      <c r="V6" s="3361"/>
      <c r="W6" s="3361"/>
      <c r="X6" s="1571"/>
      <c r="Y6" s="3378"/>
      <c r="Z6" s="3379"/>
      <c r="AA6" s="3365"/>
      <c r="AB6" s="3365"/>
      <c r="AC6" s="3365"/>
    </row>
    <row r="7" spans="1:29" s="1223" customFormat="1" ht="15.75" thickBot="1">
      <c r="A7" s="2943"/>
      <c r="B7" s="2950" t="s">
        <v>530</v>
      </c>
      <c r="C7" s="522">
        <f>'数据-取费表'!B2</f>
        <v>43018</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95" t="s">
        <v>531</v>
      </c>
      <c r="Q7" s="3395"/>
      <c r="R7" s="1572" t="s">
        <v>8</v>
      </c>
      <c r="S7" s="1573">
        <f t="shared" ref="S7:S15" si="0">F7</f>
        <v>0</v>
      </c>
      <c r="T7" s="1572" t="s">
        <v>8</v>
      </c>
      <c r="U7" s="1573">
        <f t="shared" ref="U7:U15" si="1">H7</f>
        <v>0</v>
      </c>
      <c r="V7" s="1572" t="s">
        <v>8</v>
      </c>
      <c r="W7" s="1573">
        <f t="shared" ref="W7:W15" si="2">J7</f>
        <v>0</v>
      </c>
      <c r="X7" s="1574"/>
      <c r="Y7" s="3393" t="s">
        <v>531</v>
      </c>
      <c r="Z7" s="3394"/>
      <c r="AA7" s="1575" t="e">
        <f>D7/F7</f>
        <v>#DIV/0!</v>
      </c>
      <c r="AB7" s="1575" t="e">
        <f>D7/H7</f>
        <v>#DIV/0!</v>
      </c>
      <c r="AC7" s="1575" t="e">
        <f>D7/J7</f>
        <v>#DIV/0!</v>
      </c>
    </row>
    <row r="8" spans="1:29" s="1223" customFormat="1" ht="15.75" thickBot="1">
      <c r="A8" s="2944"/>
      <c r="B8" s="2951" t="s">
        <v>532</v>
      </c>
      <c r="C8" s="528" t="s">
        <v>577</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95" t="s">
        <v>534</v>
      </c>
      <c r="Q8" s="3394"/>
      <c r="R8" s="1572" t="s">
        <v>8</v>
      </c>
      <c r="S8" s="1573">
        <f t="shared" si="0"/>
        <v>0</v>
      </c>
      <c r="T8" s="1572" t="s">
        <v>8</v>
      </c>
      <c r="U8" s="1573">
        <f t="shared" si="1"/>
        <v>0</v>
      </c>
      <c r="V8" s="1572" t="s">
        <v>8</v>
      </c>
      <c r="W8" s="1573">
        <f t="shared" si="2"/>
        <v>0</v>
      </c>
      <c r="X8" s="1574"/>
      <c r="Y8" s="3393" t="s">
        <v>534</v>
      </c>
      <c r="Z8" s="3394"/>
      <c r="AA8" s="1575" t="e">
        <f t="shared" ref="AA8:AA47" si="3">D8/F8</f>
        <v>#DIV/0!</v>
      </c>
      <c r="AB8" s="1575" t="e">
        <f t="shared" ref="AB8:AB47" si="4">D8/H8</f>
        <v>#DIV/0!</v>
      </c>
      <c r="AC8" s="1575" t="e">
        <f t="shared" ref="AC8:AC47" si="5">D8/J8</f>
        <v>#DIV/0!</v>
      </c>
    </row>
    <row r="9" spans="1:29" s="1223" customFormat="1" ht="15">
      <c r="A9" s="2945"/>
      <c r="B9" s="2952" t="s">
        <v>2762</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60" t="s">
        <v>536</v>
      </c>
      <c r="Q9" s="1154" t="str">
        <f t="shared" ref="Q9:Q15" si="6">B9</f>
        <v>用途</v>
      </c>
      <c r="R9" s="1572" t="s">
        <v>8</v>
      </c>
      <c r="S9" s="1573">
        <f t="shared" si="0"/>
        <v>100</v>
      </c>
      <c r="T9" s="1572" t="s">
        <v>8</v>
      </c>
      <c r="U9" s="1573">
        <f t="shared" si="1"/>
        <v>100</v>
      </c>
      <c r="V9" s="1572" t="s">
        <v>8</v>
      </c>
      <c r="W9" s="1573">
        <f t="shared" si="2"/>
        <v>100</v>
      </c>
      <c r="X9" s="1574"/>
      <c r="Y9" s="3306" t="s">
        <v>537</v>
      </c>
      <c r="Z9" s="1153" t="str">
        <f t="shared" ref="Z9:Z15" si="7">Q9</f>
        <v>用途</v>
      </c>
      <c r="AA9" s="1575">
        <f t="shared" si="3"/>
        <v>1</v>
      </c>
      <c r="AB9" s="1575">
        <f t="shared" si="4"/>
        <v>1</v>
      </c>
      <c r="AC9" s="1575">
        <f t="shared" si="5"/>
        <v>1</v>
      </c>
    </row>
    <row r="10" spans="1:29" s="1341" customFormat="1" ht="27">
      <c r="A10" s="2946"/>
      <c r="B10" s="2951" t="s">
        <v>2763</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60"/>
      <c r="Q10" s="1154" t="str">
        <f t="shared" si="6"/>
        <v>土地使用年限（年）</v>
      </c>
      <c r="R10" s="1572" t="s">
        <v>8</v>
      </c>
      <c r="S10" s="1573">
        <f t="shared" si="0"/>
        <v>100</v>
      </c>
      <c r="T10" s="1572" t="s">
        <v>8</v>
      </c>
      <c r="U10" s="1573">
        <f t="shared" si="1"/>
        <v>100</v>
      </c>
      <c r="V10" s="1572" t="s">
        <v>8</v>
      </c>
      <c r="W10" s="1573">
        <f t="shared" si="2"/>
        <v>100</v>
      </c>
      <c r="X10" s="1574"/>
      <c r="Y10" s="3306"/>
      <c r="Z10" s="1153" t="str">
        <f t="shared" si="7"/>
        <v>土地使用年限（年）</v>
      </c>
      <c r="AA10" s="1575">
        <f t="shared" si="3"/>
        <v>1</v>
      </c>
      <c r="AB10" s="1575">
        <f t="shared" si="4"/>
        <v>1</v>
      </c>
      <c r="AC10" s="1575">
        <f t="shared" si="5"/>
        <v>1</v>
      </c>
    </row>
    <row r="11" spans="1:29" ht="15">
      <c r="A11" s="2947"/>
      <c r="B11" s="2951" t="s">
        <v>2764</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60"/>
      <c r="Q11" s="1154" t="str">
        <f t="shared" si="6"/>
        <v>容积率</v>
      </c>
      <c r="R11" s="1572" t="s">
        <v>8</v>
      </c>
      <c r="S11" s="1573" t="e">
        <f t="shared" si="0"/>
        <v>#N/A</v>
      </c>
      <c r="T11" s="1572" t="s">
        <v>8</v>
      </c>
      <c r="U11" s="1573" t="e">
        <f t="shared" si="1"/>
        <v>#N/A</v>
      </c>
      <c r="V11" s="1572" t="s">
        <v>8</v>
      </c>
      <c r="W11" s="1573" t="e">
        <f t="shared" si="2"/>
        <v>#N/A</v>
      </c>
      <c r="X11" s="1574"/>
      <c r="Y11" s="330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38"/>
      <c r="M12" s="2139"/>
      <c r="N12" s="2139"/>
      <c r="O12" s="2139"/>
      <c r="P12" s="3360"/>
      <c r="Q12" s="1154">
        <f t="shared" si="6"/>
        <v>111</v>
      </c>
      <c r="R12" s="1572" t="s">
        <v>8</v>
      </c>
      <c r="S12" s="1573">
        <f t="shared" si="0"/>
        <v>100</v>
      </c>
      <c r="T12" s="1572" t="s">
        <v>8</v>
      </c>
      <c r="U12" s="1573">
        <f t="shared" si="1"/>
        <v>100</v>
      </c>
      <c r="V12" s="1572" t="s">
        <v>8</v>
      </c>
      <c r="W12" s="1573">
        <f t="shared" si="2"/>
        <v>100</v>
      </c>
      <c r="X12" s="1574"/>
      <c r="Y12" s="3306"/>
      <c r="Z12" s="1153">
        <f t="shared" si="7"/>
        <v>111</v>
      </c>
      <c r="AA12" s="1575">
        <f>D12/F12</f>
        <v>1</v>
      </c>
      <c r="AB12" s="1575">
        <f>D12/H12</f>
        <v>1</v>
      </c>
      <c r="AC12" s="1575">
        <f>D12/J12</f>
        <v>1</v>
      </c>
    </row>
    <row r="13" spans="1:29" ht="15">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5"/>
      <c r="M13" s="2137"/>
      <c r="N13" s="2137"/>
      <c r="O13" s="2137"/>
      <c r="P13" s="3360"/>
      <c r="Q13" s="1154">
        <f t="shared" si="6"/>
        <v>111</v>
      </c>
      <c r="R13" s="1572" t="s">
        <v>8</v>
      </c>
      <c r="S13" s="1573">
        <f t="shared" si="0"/>
        <v>100</v>
      </c>
      <c r="T13" s="1572" t="s">
        <v>8</v>
      </c>
      <c r="U13" s="1573">
        <f t="shared" si="1"/>
        <v>100</v>
      </c>
      <c r="V13" s="1572" t="s">
        <v>8</v>
      </c>
      <c r="W13" s="1573">
        <f t="shared" si="2"/>
        <v>100</v>
      </c>
      <c r="X13" s="1574"/>
      <c r="Y13" s="3306"/>
      <c r="Z13" s="1153">
        <f t="shared" si="7"/>
        <v>111</v>
      </c>
      <c r="AA13" s="1575">
        <f t="shared" si="3"/>
        <v>1</v>
      </c>
      <c r="AB13" s="1575">
        <f t="shared" si="4"/>
        <v>1</v>
      </c>
      <c r="AC13" s="1575">
        <f t="shared" si="5"/>
        <v>1</v>
      </c>
    </row>
    <row r="14" spans="1:29" ht="15.75"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5"/>
      <c r="M14" s="2137"/>
      <c r="N14" s="2137"/>
      <c r="O14" s="2137"/>
      <c r="P14" s="3360"/>
      <c r="Q14" s="1154">
        <f t="shared" si="6"/>
        <v>111</v>
      </c>
      <c r="R14" s="1572" t="s">
        <v>8</v>
      </c>
      <c r="S14" s="1573">
        <f t="shared" si="0"/>
        <v>100</v>
      </c>
      <c r="T14" s="1572" t="s">
        <v>8</v>
      </c>
      <c r="U14" s="1573">
        <f t="shared" si="1"/>
        <v>100</v>
      </c>
      <c r="V14" s="1572" t="s">
        <v>8</v>
      </c>
      <c r="W14" s="1573">
        <f t="shared" si="2"/>
        <v>100</v>
      </c>
      <c r="X14" s="1574"/>
      <c r="Y14" s="3306"/>
      <c r="Z14" s="1153">
        <f t="shared" si="7"/>
        <v>111</v>
      </c>
      <c r="AA14" s="1575">
        <f t="shared" si="3"/>
        <v>1</v>
      </c>
      <c r="AB14" s="1575">
        <f t="shared" si="4"/>
        <v>1</v>
      </c>
      <c r="AC14" s="1575">
        <f t="shared" si="5"/>
        <v>1</v>
      </c>
    </row>
    <row r="15" spans="1:29" ht="71.25">
      <c r="A15" s="2941" t="s">
        <v>2760</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5"/>
      <c r="M15" s="2137"/>
      <c r="N15" s="2137"/>
      <c r="O15" s="2137"/>
      <c r="P15" s="3396" t="s">
        <v>541</v>
      </c>
      <c r="Q15" s="1576" t="str">
        <f t="shared" si="6"/>
        <v>办公集聚程度</v>
      </c>
      <c r="R15" s="1577" t="s">
        <v>8</v>
      </c>
      <c r="S15" s="1578">
        <f t="shared" si="0"/>
        <v>100</v>
      </c>
      <c r="T15" s="1577" t="s">
        <v>8</v>
      </c>
      <c r="U15" s="1578">
        <f t="shared" si="1"/>
        <v>100</v>
      </c>
      <c r="V15" s="1577" t="s">
        <v>8</v>
      </c>
      <c r="W15" s="1578">
        <f t="shared" si="2"/>
        <v>100</v>
      </c>
      <c r="X15" s="1571"/>
      <c r="Y15" s="3396"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5"/>
      <c r="M16" s="2137"/>
      <c r="N16" s="2137"/>
      <c r="O16" s="2137"/>
      <c r="P16" s="3397"/>
      <c r="Q16" s="1576"/>
      <c r="R16" s="1577"/>
      <c r="S16" s="1578"/>
      <c r="T16" s="1577"/>
      <c r="U16" s="1578"/>
      <c r="V16" s="1577"/>
      <c r="W16" s="1578"/>
      <c r="X16" s="1571"/>
      <c r="Y16" s="3397"/>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5"/>
      <c r="M17" s="2137"/>
      <c r="N17" s="2137"/>
      <c r="O17" s="2137"/>
      <c r="P17" s="3397"/>
      <c r="Q17" s="1576" t="str">
        <f>B17</f>
        <v>交通便捷度</v>
      </c>
      <c r="R17" s="1577" t="s">
        <v>8</v>
      </c>
      <c r="S17" s="1578">
        <f>F17</f>
        <v>100</v>
      </c>
      <c r="T17" s="1577" t="s">
        <v>8</v>
      </c>
      <c r="U17" s="1578">
        <f>H17</f>
        <v>100</v>
      </c>
      <c r="V17" s="1577" t="s">
        <v>8</v>
      </c>
      <c r="W17" s="1578">
        <f>J17</f>
        <v>100</v>
      </c>
      <c r="X17" s="1571"/>
      <c r="Y17" s="3397"/>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5"/>
      <c r="M18" s="2137"/>
      <c r="N18" s="2137"/>
      <c r="O18" s="2137"/>
      <c r="P18" s="3397"/>
      <c r="Q18" s="1576"/>
      <c r="R18" s="1577"/>
      <c r="S18" s="1578"/>
      <c r="T18" s="1577"/>
      <c r="U18" s="1578"/>
      <c r="V18" s="1577"/>
      <c r="W18" s="1578"/>
      <c r="X18" s="1571"/>
      <c r="Y18" s="3397"/>
      <c r="Z18" s="1579"/>
      <c r="AA18" s="1580">
        <v>1</v>
      </c>
      <c r="AB18" s="1580">
        <v>1</v>
      </c>
      <c r="AC18" s="1580">
        <v>1</v>
      </c>
    </row>
    <row r="19" spans="1:29" ht="42.75">
      <c r="A19" s="535"/>
      <c r="B19" s="2630" t="s">
        <v>2550</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5"/>
      <c r="M19" s="2137"/>
      <c r="N19" s="2137"/>
      <c r="O19" s="2137"/>
      <c r="P19" s="3397"/>
      <c r="Q19" s="1576" t="str">
        <f>B19</f>
        <v>公共配套设施</v>
      </c>
      <c r="R19" s="1577" t="s">
        <v>8</v>
      </c>
      <c r="S19" s="1578">
        <f>F19</f>
        <v>100</v>
      </c>
      <c r="T19" s="1577" t="s">
        <v>8</v>
      </c>
      <c r="U19" s="1578">
        <f>H19</f>
        <v>100</v>
      </c>
      <c r="V19" s="1577" t="s">
        <v>8</v>
      </c>
      <c r="W19" s="1578">
        <f>J19</f>
        <v>100</v>
      </c>
      <c r="X19" s="1571"/>
      <c r="Y19" s="3397"/>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5"/>
      <c r="M20" s="2137"/>
      <c r="N20" s="2137"/>
      <c r="O20" s="2137"/>
      <c r="P20" s="3397"/>
      <c r="Q20" s="1576"/>
      <c r="R20" s="1577"/>
      <c r="S20" s="1578"/>
      <c r="T20" s="1577"/>
      <c r="U20" s="1578"/>
      <c r="V20" s="1577"/>
      <c r="W20" s="1578"/>
      <c r="X20" s="1571"/>
      <c r="Y20" s="3397"/>
      <c r="Z20" s="1579"/>
      <c r="AA20" s="1580">
        <v>1</v>
      </c>
      <c r="AB20" s="1580">
        <v>1</v>
      </c>
      <c r="AC20" s="1580">
        <v>1</v>
      </c>
    </row>
    <row r="21" spans="1:29" ht="28.5">
      <c r="A21" s="535"/>
      <c r="B21" s="2618" t="s">
        <v>2562</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5"/>
      <c r="M21" s="2137"/>
      <c r="N21" s="2137"/>
      <c r="O21" s="2137"/>
      <c r="P21" s="3397"/>
      <c r="Q21" s="2606" t="str">
        <f>B21</f>
        <v>基础设施水平</v>
      </c>
      <c r="R21" s="1577" t="s">
        <v>8</v>
      </c>
      <c r="S21" s="1578">
        <f>F21</f>
        <v>100</v>
      </c>
      <c r="T21" s="1577" t="s">
        <v>8</v>
      </c>
      <c r="U21" s="1578">
        <f>H21</f>
        <v>100</v>
      </c>
      <c r="V21" s="1577" t="s">
        <v>8</v>
      </c>
      <c r="W21" s="1578">
        <f>J21</f>
        <v>100</v>
      </c>
      <c r="X21" s="2608"/>
      <c r="Y21" s="3397"/>
      <c r="Z21" s="2607"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29"/>
      <c r="L22" s="2145"/>
      <c r="M22" s="2137"/>
      <c r="N22" s="2137"/>
      <c r="O22" s="2137"/>
      <c r="P22" s="3397"/>
      <c r="Q22" s="2606"/>
      <c r="R22" s="1577"/>
      <c r="S22" s="1578"/>
      <c r="T22" s="1577"/>
      <c r="U22" s="1578"/>
      <c r="V22" s="1577"/>
      <c r="W22" s="1578"/>
      <c r="X22" s="2608"/>
      <c r="Y22" s="3397"/>
      <c r="Z22" s="2607"/>
      <c r="AA22" s="1580">
        <v>1</v>
      </c>
      <c r="AB22" s="1580">
        <v>1</v>
      </c>
      <c r="AC22" s="1580">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5"/>
      <c r="M23" s="2137"/>
      <c r="N23" s="2137"/>
      <c r="O23" s="2137"/>
      <c r="P23" s="3397"/>
      <c r="Q23" s="1576" t="str">
        <f>B23</f>
        <v>环境质量</v>
      </c>
      <c r="R23" s="1577" t="s">
        <v>8</v>
      </c>
      <c r="S23" s="1578">
        <f>F23</f>
        <v>100</v>
      </c>
      <c r="T23" s="1577" t="s">
        <v>8</v>
      </c>
      <c r="U23" s="1578">
        <f>H23</f>
        <v>100</v>
      </c>
      <c r="V23" s="1577" t="s">
        <v>8</v>
      </c>
      <c r="W23" s="1578">
        <f>J23</f>
        <v>100</v>
      </c>
      <c r="X23" s="1571"/>
      <c r="Y23" s="3397"/>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5"/>
      <c r="M24" s="2137"/>
      <c r="N24" s="2137"/>
      <c r="O24" s="2137"/>
      <c r="P24" s="3397"/>
      <c r="Q24" s="1576"/>
      <c r="R24" s="1577"/>
      <c r="S24" s="1578"/>
      <c r="T24" s="1577"/>
      <c r="U24" s="1578"/>
      <c r="V24" s="1577"/>
      <c r="W24" s="1578"/>
      <c r="X24" s="1571"/>
      <c r="Y24" s="3397"/>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5"/>
      <c r="M25" s="2137"/>
      <c r="N25" s="2137"/>
      <c r="O25" s="2137"/>
      <c r="P25" s="3397"/>
      <c r="Q25" s="1576" t="str">
        <f>B25</f>
        <v>毗邻道路的类型与等级</v>
      </c>
      <c r="R25" s="1577" t="s">
        <v>8</v>
      </c>
      <c r="S25" s="1578">
        <f>F25</f>
        <v>100</v>
      </c>
      <c r="T25" s="1577" t="s">
        <v>8</v>
      </c>
      <c r="U25" s="1578">
        <f>H25</f>
        <v>100</v>
      </c>
      <c r="V25" s="1577" t="s">
        <v>8</v>
      </c>
      <c r="W25" s="1578">
        <f>J25</f>
        <v>100</v>
      </c>
      <c r="X25" s="1571"/>
      <c r="Y25" s="3397"/>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5"/>
      <c r="M26" s="2137"/>
      <c r="N26" s="2137"/>
      <c r="O26" s="2137"/>
      <c r="P26" s="3397"/>
      <c r="Q26" s="1576"/>
      <c r="R26" s="1577"/>
      <c r="S26" s="1578"/>
      <c r="T26" s="1577"/>
      <c r="U26" s="1578"/>
      <c r="V26" s="1577"/>
      <c r="W26" s="1578"/>
      <c r="X26" s="1571"/>
      <c r="Y26" s="3397"/>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97"/>
      <c r="Q27" s="1576" t="str">
        <f t="shared" ref="Q27:Q47" si="11">B27</f>
        <v>楼层</v>
      </c>
      <c r="R27" s="1577" t="s">
        <v>8</v>
      </c>
      <c r="S27" s="1578">
        <f>F27</f>
        <v>100</v>
      </c>
      <c r="T27" s="1577" t="s">
        <v>8</v>
      </c>
      <c r="U27" s="1578">
        <f>H27</f>
        <v>100</v>
      </c>
      <c r="V27" s="1577" t="s">
        <v>8</v>
      </c>
      <c r="W27" s="1578">
        <f>J27</f>
        <v>100</v>
      </c>
      <c r="X27" s="1571"/>
      <c r="Y27" s="3397"/>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38"/>
      <c r="M28" s="2139"/>
      <c r="N28" s="2139"/>
      <c r="O28" s="2139"/>
      <c r="P28" s="3397"/>
      <c r="Q28" s="1154" t="str">
        <f t="shared" si="11"/>
        <v>朝向</v>
      </c>
      <c r="R28" s="1572" t="s">
        <v>8</v>
      </c>
      <c r="S28" s="1573">
        <f>F28</f>
        <v>100</v>
      </c>
      <c r="T28" s="1572" t="s">
        <v>8</v>
      </c>
      <c r="U28" s="1573">
        <f>H28</f>
        <v>100</v>
      </c>
      <c r="V28" s="1572" t="s">
        <v>8</v>
      </c>
      <c r="W28" s="1573">
        <f>J28</f>
        <v>100</v>
      </c>
      <c r="X28" s="1574"/>
      <c r="Y28" s="3397"/>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5"/>
      <c r="M29" s="2137"/>
      <c r="N29" s="2137"/>
      <c r="O29" s="2137"/>
      <c r="P29" s="3397"/>
      <c r="Q29" s="1576">
        <f t="shared" si="11"/>
        <v>111</v>
      </c>
      <c r="R29" s="1577" t="s">
        <v>8</v>
      </c>
      <c r="S29" s="1578">
        <f t="shared" ref="S29:S47" si="12">F29</f>
        <v>100</v>
      </c>
      <c r="T29" s="1577" t="s">
        <v>8</v>
      </c>
      <c r="U29" s="1578">
        <f t="shared" ref="U29:U47" si="13">H29</f>
        <v>100</v>
      </c>
      <c r="V29" s="1577" t="s">
        <v>8</v>
      </c>
      <c r="W29" s="1578">
        <f t="shared" ref="W29:W47" si="14">J29</f>
        <v>100</v>
      </c>
      <c r="X29" s="1571"/>
      <c r="Y29" s="3397"/>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5"/>
      <c r="M30" s="2137"/>
      <c r="N30" s="2137"/>
      <c r="O30" s="2137"/>
      <c r="P30" s="3397"/>
      <c r="Q30" s="1576">
        <f t="shared" si="11"/>
        <v>111</v>
      </c>
      <c r="R30" s="1577" t="s">
        <v>8</v>
      </c>
      <c r="S30" s="1578">
        <f t="shared" si="12"/>
        <v>100</v>
      </c>
      <c r="T30" s="1577" t="s">
        <v>8</v>
      </c>
      <c r="U30" s="1578">
        <f t="shared" si="13"/>
        <v>100</v>
      </c>
      <c r="V30" s="1577" t="s">
        <v>8</v>
      </c>
      <c r="W30" s="1578">
        <f t="shared" si="14"/>
        <v>100</v>
      </c>
      <c r="X30" s="1571"/>
      <c r="Y30" s="3397"/>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5"/>
      <c r="M31" s="2137"/>
      <c r="N31" s="2137"/>
      <c r="O31" s="2137"/>
      <c r="P31" s="3397"/>
      <c r="Q31" s="1576">
        <f t="shared" si="11"/>
        <v>111</v>
      </c>
      <c r="R31" s="1577" t="s">
        <v>8</v>
      </c>
      <c r="S31" s="1578">
        <f t="shared" si="12"/>
        <v>100</v>
      </c>
      <c r="T31" s="1577" t="s">
        <v>8</v>
      </c>
      <c r="U31" s="1578">
        <f t="shared" si="13"/>
        <v>100</v>
      </c>
      <c r="V31" s="1577" t="s">
        <v>8</v>
      </c>
      <c r="W31" s="1578">
        <f t="shared" si="14"/>
        <v>100</v>
      </c>
      <c r="X31" s="1571"/>
      <c r="Y31" s="3397"/>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5"/>
      <c r="M32" s="2137"/>
      <c r="N32" s="2137"/>
      <c r="O32" s="2137"/>
      <c r="P32" s="3397"/>
      <c r="Q32" s="1576">
        <f t="shared" si="11"/>
        <v>111</v>
      </c>
      <c r="R32" s="1577" t="s">
        <v>8</v>
      </c>
      <c r="S32" s="1578">
        <f t="shared" si="12"/>
        <v>100</v>
      </c>
      <c r="T32" s="1577" t="s">
        <v>8</v>
      </c>
      <c r="U32" s="1578">
        <f t="shared" si="13"/>
        <v>100</v>
      </c>
      <c r="V32" s="1577" t="s">
        <v>8</v>
      </c>
      <c r="W32" s="1578">
        <f t="shared" si="14"/>
        <v>100</v>
      </c>
      <c r="X32" s="1571"/>
      <c r="Y32" s="3397"/>
      <c r="Z32" s="1579">
        <f t="shared" si="15"/>
        <v>111</v>
      </c>
      <c r="AA32" s="1580">
        <f t="shared" si="3"/>
        <v>1</v>
      </c>
      <c r="AB32" s="1580">
        <f t="shared" si="4"/>
        <v>1</v>
      </c>
      <c r="AC32" s="1580">
        <f t="shared" si="5"/>
        <v>1</v>
      </c>
    </row>
    <row r="33" spans="1:29" ht="15">
      <c r="A33" s="2938" t="s">
        <v>2761</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5"/>
      <c r="M33" s="2137"/>
      <c r="N33" s="2137"/>
      <c r="O33" s="2137"/>
      <c r="P33" s="3398" t="s">
        <v>551</v>
      </c>
      <c r="Q33" s="1576" t="str">
        <f t="shared" si="11"/>
        <v>建筑类型</v>
      </c>
      <c r="R33" s="1577" t="s">
        <v>8</v>
      </c>
      <c r="S33" s="1578">
        <f t="shared" si="12"/>
        <v>100</v>
      </c>
      <c r="T33" s="1577" t="s">
        <v>8</v>
      </c>
      <c r="U33" s="1578">
        <f t="shared" si="13"/>
        <v>100</v>
      </c>
      <c r="V33" s="1577" t="s">
        <v>8</v>
      </c>
      <c r="W33" s="1578">
        <f t="shared" si="14"/>
        <v>100</v>
      </c>
      <c r="X33" s="1571"/>
      <c r="Y33" s="3399"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99"/>
      <c r="Q34" s="1609" t="str">
        <f t="shared" si="11"/>
        <v>项目建筑规模</v>
      </c>
      <c r="R34" s="1581" t="s">
        <v>8</v>
      </c>
      <c r="S34" s="1582" t="e">
        <f t="shared" si="12"/>
        <v>#N/A</v>
      </c>
      <c r="T34" s="1581" t="s">
        <v>8</v>
      </c>
      <c r="U34" s="1582" t="e">
        <f t="shared" si="13"/>
        <v>#N/A</v>
      </c>
      <c r="V34" s="1581" t="s">
        <v>8</v>
      </c>
      <c r="W34" s="1582" t="e">
        <f t="shared" si="14"/>
        <v>#N/A</v>
      </c>
      <c r="X34" s="1583"/>
      <c r="Y34" s="3399"/>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99"/>
      <c r="Q35" s="1576" t="str">
        <f t="shared" si="11"/>
        <v>建筑结构</v>
      </c>
      <c r="R35" s="1577" t="s">
        <v>8</v>
      </c>
      <c r="S35" s="1578">
        <f t="shared" si="12"/>
        <v>100</v>
      </c>
      <c r="T35" s="1577" t="s">
        <v>8</v>
      </c>
      <c r="U35" s="1578">
        <f t="shared" si="13"/>
        <v>100</v>
      </c>
      <c r="V35" s="1577" t="s">
        <v>8</v>
      </c>
      <c r="W35" s="1578">
        <f t="shared" si="14"/>
        <v>100</v>
      </c>
      <c r="X35" s="1571"/>
      <c r="Y35" s="3399"/>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99"/>
      <c r="Q36" s="1576" t="str">
        <f t="shared" si="11"/>
        <v>公共部分装修</v>
      </c>
      <c r="R36" s="1577" t="s">
        <v>8</v>
      </c>
      <c r="S36" s="1578">
        <f t="shared" si="12"/>
        <v>100</v>
      </c>
      <c r="T36" s="1577" t="s">
        <v>8</v>
      </c>
      <c r="U36" s="1578">
        <f t="shared" si="13"/>
        <v>100</v>
      </c>
      <c r="V36" s="1577" t="s">
        <v>8</v>
      </c>
      <c r="W36" s="1578">
        <f t="shared" si="14"/>
        <v>100</v>
      </c>
      <c r="X36" s="1571"/>
      <c r="Y36" s="3399"/>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5"/>
      <c r="M37" s="2137"/>
      <c r="N37" s="2137"/>
      <c r="O37" s="2137"/>
      <c r="P37" s="3399"/>
      <c r="Q37" s="1576" t="str">
        <f t="shared" si="11"/>
        <v>成新度</v>
      </c>
      <c r="R37" s="1577" t="s">
        <v>8</v>
      </c>
      <c r="S37" s="1578" t="e">
        <f t="shared" si="12"/>
        <v>#N/A</v>
      </c>
      <c r="T37" s="1577" t="s">
        <v>8</v>
      </c>
      <c r="U37" s="1578" t="e">
        <f t="shared" si="13"/>
        <v>#N/A</v>
      </c>
      <c r="V37" s="1577" t="s">
        <v>8</v>
      </c>
      <c r="W37" s="1578" t="e">
        <f t="shared" si="14"/>
        <v>#N/A</v>
      </c>
      <c r="X37" s="1571"/>
      <c r="Y37" s="3399"/>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99"/>
      <c r="Q38" s="1154" t="str">
        <f t="shared" si="11"/>
        <v>写字楼等级</v>
      </c>
      <c r="R38" s="1572" t="s">
        <v>8</v>
      </c>
      <c r="S38" s="1573">
        <f t="shared" si="12"/>
        <v>100</v>
      </c>
      <c r="T38" s="1572" t="s">
        <v>8</v>
      </c>
      <c r="U38" s="1573">
        <f t="shared" si="13"/>
        <v>100</v>
      </c>
      <c r="V38" s="1572" t="s">
        <v>8</v>
      </c>
      <c r="W38" s="1573">
        <f t="shared" si="14"/>
        <v>100</v>
      </c>
      <c r="X38" s="1574"/>
      <c r="Y38" s="3399"/>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99" t="s">
        <v>551</v>
      </c>
      <c r="Q39" s="1576" t="str">
        <f t="shared" si="11"/>
        <v>物业管理</v>
      </c>
      <c r="R39" s="1577" t="s">
        <v>8</v>
      </c>
      <c r="S39" s="1578">
        <f t="shared" si="12"/>
        <v>100</v>
      </c>
      <c r="T39" s="1577" t="s">
        <v>8</v>
      </c>
      <c r="U39" s="1578">
        <f t="shared" si="13"/>
        <v>100</v>
      </c>
      <c r="V39" s="1577" t="s">
        <v>8</v>
      </c>
      <c r="W39" s="1578">
        <f t="shared" si="14"/>
        <v>100</v>
      </c>
      <c r="X39" s="1571"/>
      <c r="Y39" s="3399" t="s">
        <v>551</v>
      </c>
      <c r="Z39" s="1579" t="str">
        <f t="shared" si="15"/>
        <v>物业管理</v>
      </c>
      <c r="AA39" s="1580">
        <f t="shared" si="3"/>
        <v>1</v>
      </c>
      <c r="AB39" s="1580">
        <f t="shared" si="4"/>
        <v>1</v>
      </c>
      <c r="AC39" s="1580">
        <f t="shared" si="5"/>
        <v>1</v>
      </c>
    </row>
    <row r="40" spans="1:29" ht="15">
      <c r="A40" s="597"/>
      <c r="B40" s="1898" t="s">
        <v>2569</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99"/>
      <c r="Q40" s="1576" t="str">
        <f t="shared" si="11"/>
        <v>市政基础设施</v>
      </c>
      <c r="R40" s="1577" t="s">
        <v>8</v>
      </c>
      <c r="S40" s="1578">
        <f t="shared" si="12"/>
        <v>100</v>
      </c>
      <c r="T40" s="1577" t="s">
        <v>8</v>
      </c>
      <c r="U40" s="1578">
        <f t="shared" si="13"/>
        <v>100</v>
      </c>
      <c r="V40" s="1577" t="s">
        <v>8</v>
      </c>
      <c r="W40" s="1578">
        <f t="shared" si="14"/>
        <v>100</v>
      </c>
      <c r="X40" s="1571"/>
      <c r="Y40" s="3399"/>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99"/>
      <c r="Q41" s="1576" t="str">
        <f t="shared" si="11"/>
        <v>层高</v>
      </c>
      <c r="R41" s="1577" t="s">
        <v>8</v>
      </c>
      <c r="S41" s="1578">
        <f t="shared" si="12"/>
        <v>100</v>
      </c>
      <c r="T41" s="1577" t="s">
        <v>8</v>
      </c>
      <c r="U41" s="1578">
        <f t="shared" si="13"/>
        <v>100</v>
      </c>
      <c r="V41" s="1577" t="s">
        <v>8</v>
      </c>
      <c r="W41" s="1578">
        <f t="shared" si="14"/>
        <v>100</v>
      </c>
      <c r="X41" s="1571"/>
      <c r="Y41" s="3399"/>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99"/>
      <c r="Q42" s="1609" t="str">
        <f t="shared" si="11"/>
        <v>单套建筑面积</v>
      </c>
      <c r="R42" s="1581" t="s">
        <v>8</v>
      </c>
      <c r="S42" s="1582">
        <f t="shared" si="12"/>
        <v>100</v>
      </c>
      <c r="T42" s="1581" t="s">
        <v>8</v>
      </c>
      <c r="U42" s="1582">
        <f t="shared" si="13"/>
        <v>100</v>
      </c>
      <c r="V42" s="1581" t="s">
        <v>8</v>
      </c>
      <c r="W42" s="1582">
        <f t="shared" si="14"/>
        <v>100</v>
      </c>
      <c r="X42" s="1583"/>
      <c r="Y42" s="3399"/>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99"/>
      <c r="Q43" s="1576" t="str">
        <f t="shared" si="11"/>
        <v>内部装修</v>
      </c>
      <c r="R43" s="1577" t="s">
        <v>8</v>
      </c>
      <c r="S43" s="1578">
        <f t="shared" si="12"/>
        <v>100</v>
      </c>
      <c r="T43" s="1577" t="s">
        <v>8</v>
      </c>
      <c r="U43" s="1578">
        <f t="shared" si="13"/>
        <v>100</v>
      </c>
      <c r="V43" s="1577" t="s">
        <v>8</v>
      </c>
      <c r="W43" s="1578">
        <f t="shared" si="14"/>
        <v>100</v>
      </c>
      <c r="X43" s="1571"/>
      <c r="Y43" s="3399"/>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99"/>
      <c r="Q44" s="1576" t="str">
        <f t="shared" si="11"/>
        <v>内部装修维护情况</v>
      </c>
      <c r="R44" s="1577" t="s">
        <v>8</v>
      </c>
      <c r="S44" s="1578">
        <f t="shared" si="12"/>
        <v>100</v>
      </c>
      <c r="T44" s="1577" t="s">
        <v>8</v>
      </c>
      <c r="U44" s="1578">
        <f t="shared" si="13"/>
        <v>100</v>
      </c>
      <c r="V44" s="1577" t="s">
        <v>8</v>
      </c>
      <c r="W44" s="1578">
        <f t="shared" si="14"/>
        <v>100</v>
      </c>
      <c r="X44" s="1571"/>
      <c r="Y44" s="3399"/>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99"/>
      <c r="Q45" s="1154">
        <f t="shared" si="11"/>
        <v>111</v>
      </c>
      <c r="R45" s="1572" t="s">
        <v>8</v>
      </c>
      <c r="S45" s="1573">
        <f t="shared" si="12"/>
        <v>100</v>
      </c>
      <c r="T45" s="1572" t="s">
        <v>8</v>
      </c>
      <c r="U45" s="1573">
        <f t="shared" si="13"/>
        <v>100</v>
      </c>
      <c r="V45" s="1572" t="s">
        <v>8</v>
      </c>
      <c r="W45" s="1573">
        <f t="shared" si="14"/>
        <v>100</v>
      </c>
      <c r="X45" s="1574"/>
      <c r="Y45" s="3399"/>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99"/>
      <c r="Q46" s="1576">
        <f t="shared" si="11"/>
        <v>111</v>
      </c>
      <c r="R46" s="1577" t="s">
        <v>8</v>
      </c>
      <c r="S46" s="1578">
        <f t="shared" si="12"/>
        <v>100</v>
      </c>
      <c r="T46" s="1577" t="s">
        <v>8</v>
      </c>
      <c r="U46" s="1578">
        <f t="shared" si="13"/>
        <v>100</v>
      </c>
      <c r="V46" s="1577" t="s">
        <v>8</v>
      </c>
      <c r="W46" s="1578">
        <f t="shared" si="14"/>
        <v>100</v>
      </c>
      <c r="X46" s="1571"/>
      <c r="Y46" s="3399"/>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54"/>
      <c r="Q47" s="1576">
        <f t="shared" si="11"/>
        <v>111</v>
      </c>
      <c r="R47" s="1577" t="s">
        <v>8</v>
      </c>
      <c r="S47" s="1578">
        <f t="shared" si="12"/>
        <v>100</v>
      </c>
      <c r="T47" s="1577" t="s">
        <v>8</v>
      </c>
      <c r="U47" s="1578">
        <f t="shared" si="13"/>
        <v>100</v>
      </c>
      <c r="V47" s="1577" t="s">
        <v>8</v>
      </c>
      <c r="W47" s="1578">
        <f t="shared" si="14"/>
        <v>100</v>
      </c>
      <c r="X47" s="1571"/>
      <c r="Y47" s="3454"/>
      <c r="Z47" s="1579">
        <f t="shared" si="15"/>
        <v>111</v>
      </c>
      <c r="AA47" s="1580">
        <f t="shared" si="3"/>
        <v>1</v>
      </c>
      <c r="AB47" s="1580">
        <f t="shared" si="4"/>
        <v>1</v>
      </c>
      <c r="AC47" s="1580">
        <f t="shared" si="5"/>
        <v>1</v>
      </c>
    </row>
    <row r="48" spans="1:29" ht="15">
      <c r="A48" s="610" t="s">
        <v>737</v>
      </c>
      <c r="B48" s="890"/>
      <c r="C48" s="2654" t="s">
        <v>1</v>
      </c>
      <c r="D48" s="2655"/>
      <c r="E48" s="2656"/>
      <c r="F48" s="2657"/>
      <c r="G48" s="2658"/>
      <c r="H48" s="2659"/>
      <c r="I48" s="2656"/>
      <c r="J48" s="2659"/>
      <c r="K48" s="1615"/>
      <c r="L48" s="2147"/>
      <c r="M48" s="2137"/>
      <c r="N48" s="2137"/>
      <c r="O48" s="2137"/>
      <c r="P48" s="3358" t="str">
        <f>A48</f>
        <v>成交单价（元/平方米）</v>
      </c>
      <c r="Q48" s="3360"/>
      <c r="R48" s="3453">
        <f>E48</f>
        <v>0</v>
      </c>
      <c r="S48" s="3453"/>
      <c r="T48" s="3453">
        <f>G48</f>
        <v>0</v>
      </c>
      <c r="U48" s="3453"/>
      <c r="V48" s="3453">
        <f>I48</f>
        <v>0</v>
      </c>
      <c r="W48" s="3453"/>
      <c r="X48" s="1563"/>
      <c r="Y48" s="1585"/>
      <c r="Z48" s="1563"/>
      <c r="AA48" s="1563"/>
      <c r="AB48" s="1563"/>
      <c r="AC48" s="1563"/>
    </row>
    <row r="49" spans="1:29" ht="15.75" thickBot="1">
      <c r="A49" s="618" t="s">
        <v>2766</v>
      </c>
      <c r="B49" s="891"/>
      <c r="C49" s="2660" t="e">
        <f>R50</f>
        <v>#DIV/0!</v>
      </c>
      <c r="D49" s="2661"/>
      <c r="E49" s="2662" t="e">
        <f>R49</f>
        <v>#DIV/0!</v>
      </c>
      <c r="F49" s="2662"/>
      <c r="G49" s="2660" t="e">
        <f>T49</f>
        <v>#DIV/0!</v>
      </c>
      <c r="H49" s="2661"/>
      <c r="I49" s="2662" t="e">
        <f>V49</f>
        <v>#DIV/0!</v>
      </c>
      <c r="J49" s="2661"/>
      <c r="K49" s="1616"/>
      <c r="L49" s="2147"/>
      <c r="M49" s="2137"/>
      <c r="N49" s="2137"/>
      <c r="O49" s="2137"/>
      <c r="P49" s="3358" t="str">
        <f>A49</f>
        <v>比较价格（元/平方米）</v>
      </c>
      <c r="Q49" s="3360"/>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1563"/>
      <c r="Y49" s="1563"/>
      <c r="Z49" s="1563"/>
      <c r="AA49" s="1563"/>
      <c r="AB49" s="1563"/>
      <c r="AC49" s="1563"/>
    </row>
    <row r="50" spans="1:29" ht="15.75" thickBot="1">
      <c r="A50" s="624" t="s">
        <v>2939</v>
      </c>
      <c r="B50" s="625"/>
      <c r="C50" s="2663" t="e">
        <f>R50</f>
        <v>#DIV/0!</v>
      </c>
      <c r="D50" s="2663"/>
      <c r="E50" s="2663"/>
      <c r="F50" s="2663"/>
      <c r="G50" s="2663"/>
      <c r="H50" s="2663"/>
      <c r="I50" s="2663"/>
      <c r="J50" s="2663"/>
      <c r="K50" s="1617"/>
      <c r="L50" s="2147"/>
      <c r="M50" s="2137"/>
      <c r="N50" s="2137"/>
      <c r="O50" s="2137"/>
      <c r="P50" s="3480" t="str">
        <f>A50</f>
        <v>估价对象XX用房的比较价格（楼面单价，元/平方米）</v>
      </c>
      <c r="Q50" s="3358"/>
      <c r="R50" s="3452" t="e">
        <f>IF(F1="售价",ROUND(AVERAGE(R49:V49),0),ROUND(AVERAGE(R49:V49),1))</f>
        <v>#DIV/0!</v>
      </c>
      <c r="S50" s="3452"/>
      <c r="T50" s="3452"/>
      <c r="U50" s="3452"/>
      <c r="V50" s="3452"/>
      <c r="W50" s="3452"/>
      <c r="X50" s="1563"/>
      <c r="Y50" s="1563"/>
      <c r="Z50" s="1563"/>
      <c r="AA50" s="1563"/>
      <c r="AB50" s="1563"/>
      <c r="AC50" s="1563"/>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8" customFormat="1" ht="13.5" customHeight="1">
      <c r="A55" s="2149"/>
      <c r="B55" s="2149"/>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8"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8" t="s">
        <v>575</v>
      </c>
      <c r="B58" s="1563"/>
      <c r="C58" s="1587"/>
      <c r="D58" s="1587"/>
      <c r="E58" s="1587"/>
      <c r="F58" s="1589"/>
      <c r="G58" s="1589"/>
      <c r="H58" s="1587"/>
      <c r="I58" s="1587"/>
      <c r="J58" s="1587"/>
      <c r="K58" s="1590"/>
      <c r="L58" s="1586"/>
      <c r="M58" s="1587"/>
      <c r="N58" s="1587"/>
      <c r="O58" s="1587"/>
      <c r="P58" s="2213"/>
      <c r="Q58" s="2161"/>
      <c r="R58" s="2148"/>
      <c r="S58" s="2148"/>
      <c r="T58" s="2148"/>
      <c r="U58" s="2148"/>
      <c r="V58" s="2148"/>
      <c r="W58" s="2148"/>
      <c r="X58" s="2148"/>
      <c r="Y58" s="2148"/>
      <c r="Z58" s="2148"/>
      <c r="AA58" s="2148"/>
      <c r="AB58" s="2148"/>
      <c r="AC58" s="2148"/>
    </row>
    <row r="59" spans="1:29" s="1350" customFormat="1" ht="15">
      <c r="A59" s="648" t="s">
        <v>530</v>
      </c>
      <c r="B59" s="649"/>
      <c r="C59" s="2833" t="str">
        <f>YEAR(C7)&amp;"-"&amp;MONTH(C7)</f>
        <v>2017-10</v>
      </c>
      <c r="D59" s="2835">
        <f>EDATE(C59,-1)</f>
        <v>42979</v>
      </c>
      <c r="E59" s="2835">
        <f t="shared" ref="E59:O59" si="16">EDATE(D59,-1)</f>
        <v>42948</v>
      </c>
      <c r="F59" s="2835">
        <f t="shared" si="16"/>
        <v>42917</v>
      </c>
      <c r="G59" s="2835">
        <f t="shared" si="16"/>
        <v>42887</v>
      </c>
      <c r="H59" s="2835">
        <f t="shared" si="16"/>
        <v>42856</v>
      </c>
      <c r="I59" s="2835">
        <f t="shared" si="16"/>
        <v>42826</v>
      </c>
      <c r="J59" s="2835">
        <f t="shared" si="16"/>
        <v>42795</v>
      </c>
      <c r="K59" s="2835">
        <f t="shared" si="16"/>
        <v>42767</v>
      </c>
      <c r="L59" s="2835">
        <f t="shared" si="16"/>
        <v>42736</v>
      </c>
      <c r="M59" s="2835">
        <f t="shared" si="16"/>
        <v>42705</v>
      </c>
      <c r="N59" s="2835">
        <f t="shared" si="16"/>
        <v>42675</v>
      </c>
      <c r="O59" s="2835">
        <f t="shared" si="16"/>
        <v>42644</v>
      </c>
      <c r="P59" s="2214"/>
      <c r="Q59" s="2164"/>
      <c r="R59" s="2164"/>
      <c r="S59" s="2164"/>
      <c r="T59" s="2164"/>
      <c r="U59" s="2164"/>
      <c r="V59" s="2164"/>
      <c r="W59" s="2164"/>
      <c r="X59" s="2164"/>
      <c r="Y59" s="2164"/>
      <c r="Z59" s="2164"/>
      <c r="AA59" s="2164"/>
      <c r="AB59" s="2164"/>
      <c r="AC59" s="2164"/>
    </row>
    <row r="60" spans="1:29" s="1223" customFormat="1" ht="15">
      <c r="A60" s="650"/>
      <c r="B60" s="651"/>
      <c r="C60" s="652">
        <v>100</v>
      </c>
      <c r="D60" s="653"/>
      <c r="E60" s="653"/>
      <c r="F60" s="653"/>
      <c r="G60" s="653"/>
      <c r="H60" s="653"/>
      <c r="I60" s="653"/>
      <c r="J60" s="653"/>
      <c r="K60" s="653"/>
      <c r="L60" s="653"/>
      <c r="M60" s="654"/>
      <c r="N60" s="653"/>
      <c r="O60" s="654"/>
      <c r="P60" s="2215"/>
      <c r="Q60" s="1996"/>
      <c r="R60" s="1996"/>
      <c r="S60" s="1996"/>
      <c r="T60" s="1996"/>
      <c r="U60" s="1996"/>
      <c r="V60" s="1996"/>
      <c r="W60" s="1996"/>
      <c r="X60" s="1996"/>
      <c r="Y60" s="1996"/>
      <c r="Z60" s="1996"/>
      <c r="AA60" s="1996"/>
      <c r="AB60" s="1996"/>
      <c r="AC60" s="1996"/>
    </row>
    <row r="61" spans="1:29" s="1223" customFormat="1" ht="15.75" thickBot="1">
      <c r="A61" s="656" t="s">
        <v>576</v>
      </c>
      <c r="B61" s="657"/>
      <c r="C61" s="658"/>
      <c r="D61" s="659"/>
      <c r="E61" s="659"/>
      <c r="F61" s="659"/>
      <c r="G61" s="659"/>
      <c r="H61" s="659"/>
      <c r="I61" s="659"/>
      <c r="J61" s="659"/>
      <c r="K61" s="659"/>
      <c r="L61" s="659"/>
      <c r="M61" s="660"/>
      <c r="N61" s="659"/>
      <c r="O61" s="660"/>
      <c r="P61" s="2215"/>
      <c r="Q61" s="2161"/>
      <c r="R61" s="1996"/>
      <c r="S61" s="1996"/>
      <c r="T61" s="1996"/>
      <c r="U61" s="1996"/>
      <c r="V61" s="1996"/>
      <c r="W61" s="1996"/>
      <c r="X61" s="1996"/>
      <c r="Y61" s="1996"/>
      <c r="Z61" s="1996"/>
      <c r="AA61" s="1996"/>
      <c r="AB61" s="1996"/>
      <c r="AC61" s="1996"/>
    </row>
    <row r="62" spans="1:29" s="1223" customFormat="1" ht="15">
      <c r="A62" s="662" t="s">
        <v>532</v>
      </c>
      <c r="B62" s="651"/>
      <c r="C62" s="663" t="s">
        <v>577</v>
      </c>
      <c r="D62" s="664"/>
      <c r="E62" s="664"/>
      <c r="F62" s="664"/>
      <c r="G62" s="664"/>
      <c r="H62" s="664"/>
      <c r="I62" s="664"/>
      <c r="J62" s="664"/>
      <c r="K62" s="664"/>
      <c r="L62" s="665"/>
      <c r="M62" s="666"/>
      <c r="N62" s="2165"/>
      <c r="O62" s="2165"/>
      <c r="P62" s="2216"/>
      <c r="Q62" s="2161"/>
      <c r="R62" s="1996"/>
      <c r="S62" s="1996"/>
      <c r="T62" s="1996"/>
      <c r="U62" s="1996"/>
      <c r="V62" s="1996"/>
      <c r="W62" s="1996"/>
      <c r="X62" s="1996"/>
      <c r="Y62" s="1996"/>
      <c r="Z62" s="1996"/>
      <c r="AA62" s="1996"/>
      <c r="AB62" s="1996"/>
      <c r="AC62" s="1996"/>
    </row>
    <row r="63" spans="1:29" s="1223" customFormat="1" ht="15.75" thickBot="1">
      <c r="A63" s="662"/>
      <c r="B63" s="651"/>
      <c r="C63" s="892">
        <v>100</v>
      </c>
      <c r="D63" s="653"/>
      <c r="E63" s="653"/>
      <c r="F63" s="653"/>
      <c r="G63" s="653"/>
      <c r="H63" s="653"/>
      <c r="I63" s="653"/>
      <c r="J63" s="653"/>
      <c r="K63" s="653"/>
      <c r="L63" s="653"/>
      <c r="M63" s="655"/>
      <c r="N63" s="2165"/>
      <c r="O63" s="2165"/>
      <c r="P63" s="2215"/>
      <c r="Q63" s="2161"/>
      <c r="R63" s="1996"/>
      <c r="S63" s="1996"/>
      <c r="T63" s="1996"/>
      <c r="U63" s="1996"/>
      <c r="V63" s="1996"/>
      <c r="W63" s="1996"/>
      <c r="X63" s="1996"/>
      <c r="Y63" s="1996"/>
      <c r="Z63" s="1996"/>
      <c r="AA63" s="1996"/>
      <c r="AB63" s="1996"/>
      <c r="AC63" s="1996"/>
    </row>
    <row r="64" spans="1:29">
      <c r="A64" s="667" t="s">
        <v>578</v>
      </c>
      <c r="B64" s="668" t="s">
        <v>535</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2"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2"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2"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2"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2"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2"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540</v>
      </c>
      <c r="B77" s="668" t="s">
        <v>586</v>
      </c>
      <c r="C77" s="706" t="s">
        <v>580</v>
      </c>
      <c r="D77" s="706" t="s">
        <v>581</v>
      </c>
      <c r="E77" s="706" t="s">
        <v>582</v>
      </c>
      <c r="F77" s="706" t="s">
        <v>583</v>
      </c>
      <c r="G77" s="706" t="s">
        <v>584</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587</v>
      </c>
      <c r="C79" s="711" t="s">
        <v>580</v>
      </c>
      <c r="D79" s="711" t="s">
        <v>581</v>
      </c>
      <c r="E79" s="711" t="s">
        <v>582</v>
      </c>
      <c r="F79" s="711" t="s">
        <v>583</v>
      </c>
      <c r="G79" s="711" t="s">
        <v>584</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899" t="s">
        <v>2561</v>
      </c>
      <c r="C81" s="711" t="s">
        <v>580</v>
      </c>
      <c r="D81" s="711" t="s">
        <v>581</v>
      </c>
      <c r="E81" s="711" t="s">
        <v>582</v>
      </c>
      <c r="F81" s="711" t="s">
        <v>583</v>
      </c>
      <c r="G81" s="711" t="s">
        <v>584</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2562</v>
      </c>
      <c r="C83" s="2625" t="s">
        <v>2563</v>
      </c>
      <c r="D83" s="2625" t="s">
        <v>2564</v>
      </c>
      <c r="E83" s="2625" t="s">
        <v>2565</v>
      </c>
      <c r="F83" s="2625" t="s">
        <v>2566</v>
      </c>
      <c r="G83" s="2625" t="s">
        <v>2567</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785</v>
      </c>
      <c r="C85" s="711" t="s">
        <v>580</v>
      </c>
      <c r="D85" s="711" t="s">
        <v>581</v>
      </c>
      <c r="E85" s="711" t="s">
        <v>582</v>
      </c>
      <c r="F85" s="711" t="s">
        <v>583</v>
      </c>
      <c r="G85" s="711" t="s">
        <v>584</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3" customFormat="1" ht="27.75" thickTop="1">
      <c r="A87" s="712"/>
      <c r="B87" s="676" t="s">
        <v>786</v>
      </c>
      <c r="C87" s="691"/>
      <c r="D87" s="691"/>
      <c r="E87" s="691"/>
      <c r="F87" s="691"/>
      <c r="G87" s="691"/>
      <c r="H87" s="691"/>
      <c r="I87" s="691"/>
      <c r="J87" s="691"/>
      <c r="K87" s="691"/>
      <c r="L87" s="893"/>
      <c r="M87" s="894"/>
      <c r="N87" s="2165"/>
      <c r="O87" s="2165"/>
      <c r="P87" s="2217"/>
      <c r="Q87" s="2161"/>
      <c r="R87" s="1996"/>
      <c r="S87" s="1996"/>
      <c r="T87" s="1996"/>
      <c r="U87" s="1996"/>
      <c r="V87" s="1996"/>
      <c r="W87" s="1996"/>
      <c r="X87" s="1996"/>
      <c r="Y87" s="1996"/>
      <c r="Z87" s="1996"/>
      <c r="AA87" s="1996"/>
      <c r="AB87" s="1996"/>
      <c r="AC87" s="1996"/>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6"/>
      <c r="S88" s="1996"/>
      <c r="T88" s="1996"/>
      <c r="U88" s="1996"/>
      <c r="V88" s="1996"/>
      <c r="W88" s="1996"/>
      <c r="X88" s="1996"/>
      <c r="Y88" s="1996"/>
      <c r="Z88" s="1996"/>
      <c r="AA88" s="1996"/>
      <c r="AB88" s="1996"/>
      <c r="AC88" s="1996"/>
    </row>
    <row r="89" spans="1:29" s="1223" customFormat="1" ht="15.75" thickTop="1">
      <c r="A89" s="712"/>
      <c r="B89" s="676" t="str">
        <f>B27</f>
        <v>楼层</v>
      </c>
      <c r="C89" s="691"/>
      <c r="D89" s="691"/>
      <c r="E89" s="691"/>
      <c r="F89" s="895"/>
      <c r="G89" s="691"/>
      <c r="H89" s="691"/>
      <c r="I89" s="691"/>
      <c r="J89" s="691"/>
      <c r="K89" s="691"/>
      <c r="L89" s="691"/>
      <c r="M89" s="894"/>
      <c r="N89" s="2165"/>
      <c r="O89" s="2165"/>
      <c r="P89" s="2217"/>
      <c r="Q89" s="2161"/>
      <c r="R89" s="1996"/>
      <c r="S89" s="1996"/>
      <c r="T89" s="1996"/>
      <c r="U89" s="1996"/>
      <c r="V89" s="1996"/>
      <c r="W89" s="1996"/>
      <c r="X89" s="1996"/>
      <c r="Y89" s="1996"/>
      <c r="Z89" s="1996"/>
      <c r="AA89" s="1996"/>
      <c r="AB89" s="1996"/>
      <c r="AC89" s="1996"/>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6"/>
      <c r="S90" s="1996"/>
      <c r="T90" s="1996"/>
      <c r="U90" s="1996"/>
      <c r="V90" s="1996"/>
      <c r="W90" s="1996"/>
      <c r="X90" s="1996"/>
      <c r="Y90" s="1996"/>
      <c r="Z90" s="1996"/>
      <c r="AA90" s="1996"/>
      <c r="AB90" s="1996"/>
      <c r="AC90" s="1996"/>
    </row>
    <row r="91" spans="1:29" s="1342"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3"/>
      <c r="M93" s="894"/>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6"/>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552</v>
      </c>
      <c r="B101" s="668" t="s">
        <v>748</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2"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2"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750</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752</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7">
        <v>0.5</v>
      </c>
      <c r="D111" s="897">
        <v>0.6</v>
      </c>
      <c r="E111" s="897">
        <v>0.7</v>
      </c>
      <c r="F111" s="897">
        <v>0.8</v>
      </c>
      <c r="G111" s="897">
        <v>0.9</v>
      </c>
      <c r="H111" s="897">
        <v>1.0001</v>
      </c>
      <c r="I111" s="908"/>
      <c r="J111" s="908"/>
      <c r="K111" s="909"/>
      <c r="L111" s="910"/>
      <c r="M111" s="911"/>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2" customFormat="1" ht="15" thickTop="1">
      <c r="A113" s="731"/>
      <c r="B113" s="676" t="s">
        <v>787</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754</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899" t="s">
        <v>2560</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20" t="s">
        <v>788</v>
      </c>
      <c r="C119" s="721"/>
      <c r="D119" s="721"/>
      <c r="E119" s="721"/>
      <c r="F119" s="721"/>
      <c r="G119" s="721"/>
      <c r="H119" s="721"/>
      <c r="I119" s="721"/>
      <c r="J119" s="721"/>
      <c r="K119" s="721"/>
      <c r="L119" s="921"/>
      <c r="M119" s="922"/>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2" customFormat="1" ht="15" thickTop="1">
      <c r="A121" s="731"/>
      <c r="B121" s="676" t="s">
        <v>776</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2"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756</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2"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2"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6"/>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0"/>
      <c r="D2" s="2130"/>
      <c r="E2" s="2131"/>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522</v>
      </c>
      <c r="B4" s="516"/>
      <c r="C4" s="3366" t="s">
        <v>523</v>
      </c>
      <c r="D4" s="3367"/>
      <c r="E4" s="3403" t="s">
        <v>524</v>
      </c>
      <c r="F4" s="3404"/>
      <c r="G4" s="3366" t="s">
        <v>525</v>
      </c>
      <c r="H4" s="3367"/>
      <c r="I4" s="3366" t="s">
        <v>526</v>
      </c>
      <c r="J4" s="3367"/>
      <c r="K4" s="517" t="s">
        <v>527</v>
      </c>
      <c r="L4" s="2136"/>
      <c r="M4" s="2137"/>
      <c r="N4" s="2137"/>
      <c r="O4" s="2137"/>
      <c r="P4" s="3368" t="s">
        <v>528</v>
      </c>
      <c r="Q4" s="3369"/>
      <c r="R4" s="3374" t="s">
        <v>524</v>
      </c>
      <c r="S4" s="3375"/>
      <c r="T4" s="3374" t="s">
        <v>525</v>
      </c>
      <c r="U4" s="3375"/>
      <c r="V4" s="3361" t="s">
        <v>526</v>
      </c>
      <c r="W4" s="3361"/>
      <c r="X4" s="1571"/>
      <c r="Y4" s="3374" t="s">
        <v>528</v>
      </c>
      <c r="Z4" s="3375"/>
      <c r="AA4" s="3363" t="s">
        <v>524</v>
      </c>
      <c r="AB4" s="3364" t="s">
        <v>525</v>
      </c>
      <c r="AC4" s="3363" t="s">
        <v>526</v>
      </c>
    </row>
    <row r="5" spans="1:29" ht="15">
      <c r="A5" s="518"/>
      <c r="B5" s="519"/>
      <c r="C5" s="3384" t="s">
        <v>2933</v>
      </c>
      <c r="D5" s="3383"/>
      <c r="E5" s="3405" t="s">
        <v>2934</v>
      </c>
      <c r="F5" s="3406"/>
      <c r="G5" s="3384" t="s">
        <v>2935</v>
      </c>
      <c r="H5" s="3383"/>
      <c r="I5" s="3384" t="s">
        <v>2936</v>
      </c>
      <c r="J5" s="3383"/>
      <c r="K5" s="517"/>
      <c r="L5" s="2136"/>
      <c r="M5" s="2137"/>
      <c r="N5" s="2137"/>
      <c r="O5" s="2137"/>
      <c r="P5" s="3370"/>
      <c r="Q5" s="3371"/>
      <c r="R5" s="3376"/>
      <c r="S5" s="3377"/>
      <c r="T5" s="3376"/>
      <c r="U5" s="3377"/>
      <c r="V5" s="3361"/>
      <c r="W5" s="3361"/>
      <c r="X5" s="1571"/>
      <c r="Y5" s="3376"/>
      <c r="Z5" s="3377"/>
      <c r="AA5" s="3364"/>
      <c r="AB5" s="3364"/>
      <c r="AC5" s="3364"/>
    </row>
    <row r="6" spans="1:29" ht="15.75" thickBot="1">
      <c r="A6" s="520"/>
      <c r="B6" s="521"/>
      <c r="C6" s="3400" t="s">
        <v>2937</v>
      </c>
      <c r="D6" s="3381"/>
      <c r="E6" s="3401" t="s">
        <v>2937</v>
      </c>
      <c r="F6" s="3402"/>
      <c r="G6" s="3400" t="s">
        <v>2937</v>
      </c>
      <c r="H6" s="3381"/>
      <c r="I6" s="3400" t="s">
        <v>2937</v>
      </c>
      <c r="J6" s="3381"/>
      <c r="K6" s="517" t="s">
        <v>529</v>
      </c>
      <c r="L6" s="2136"/>
      <c r="M6" s="2137"/>
      <c r="N6" s="2137"/>
      <c r="O6" s="2137"/>
      <c r="P6" s="3372"/>
      <c r="Q6" s="3373"/>
      <c r="R6" s="3376"/>
      <c r="S6" s="3377"/>
      <c r="T6" s="3378"/>
      <c r="U6" s="3379"/>
      <c r="V6" s="3361"/>
      <c r="W6" s="3361"/>
      <c r="X6" s="1571"/>
      <c r="Y6" s="3378"/>
      <c r="Z6" s="3379"/>
      <c r="AA6" s="3365"/>
      <c r="AB6" s="3365"/>
      <c r="AC6" s="3365"/>
    </row>
    <row r="7" spans="1:29" s="1223" customFormat="1" ht="15.75" thickBot="1">
      <c r="A7" s="2943"/>
      <c r="B7" s="2950" t="s">
        <v>530</v>
      </c>
      <c r="C7" s="522">
        <f>'数据-取费表'!B2</f>
        <v>43018</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93" t="s">
        <v>531</v>
      </c>
      <c r="Q7" s="3395"/>
      <c r="R7" s="1572" t="s">
        <v>8</v>
      </c>
      <c r="S7" s="1573">
        <f t="shared" ref="S7:S15" si="0">F7</f>
        <v>0</v>
      </c>
      <c r="T7" s="1572" t="s">
        <v>8</v>
      </c>
      <c r="U7" s="1573">
        <f t="shared" ref="U7:U15" si="1">H7</f>
        <v>0</v>
      </c>
      <c r="V7" s="1572" t="s">
        <v>8</v>
      </c>
      <c r="W7" s="1573">
        <f t="shared" ref="W7:W15" si="2">J7</f>
        <v>0</v>
      </c>
      <c r="X7" s="1574"/>
      <c r="Y7" s="3393" t="s">
        <v>531</v>
      </c>
      <c r="Z7" s="3394"/>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93" t="s">
        <v>534</v>
      </c>
      <c r="Q8" s="3394"/>
      <c r="R8" s="1572" t="s">
        <v>8</v>
      </c>
      <c r="S8" s="1573">
        <f t="shared" si="0"/>
        <v>0</v>
      </c>
      <c r="T8" s="1572" t="s">
        <v>8</v>
      </c>
      <c r="U8" s="1573">
        <f t="shared" si="1"/>
        <v>0</v>
      </c>
      <c r="V8" s="1572" t="s">
        <v>8</v>
      </c>
      <c r="W8" s="1573">
        <f t="shared" si="2"/>
        <v>0</v>
      </c>
      <c r="X8" s="1574"/>
      <c r="Y8" s="3393" t="s">
        <v>534</v>
      </c>
      <c r="Z8" s="3394"/>
      <c r="AA8" s="1575" t="e">
        <f t="shared" ref="AA8:AA40" si="3">D8/F8</f>
        <v>#DIV/0!</v>
      </c>
      <c r="AB8" s="1575" t="e">
        <f t="shared" ref="AB8:AB40" si="4">D8/H8</f>
        <v>#DIV/0!</v>
      </c>
      <c r="AC8" s="1575" t="e">
        <f t="shared" ref="AC8:AC40" si="5">D8/J8</f>
        <v>#DIV/0!</v>
      </c>
    </row>
    <row r="9" spans="1:29" s="1223" customFormat="1" ht="15">
      <c r="A9" s="2945"/>
      <c r="B9" s="2952" t="s">
        <v>2762</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60" t="s">
        <v>536</v>
      </c>
      <c r="Q9" s="1154" t="str">
        <f t="shared" ref="Q9:Q15" si="6">B9</f>
        <v>用途</v>
      </c>
      <c r="R9" s="1572" t="s">
        <v>8</v>
      </c>
      <c r="S9" s="1573">
        <f t="shared" si="0"/>
        <v>100</v>
      </c>
      <c r="T9" s="1572" t="s">
        <v>8</v>
      </c>
      <c r="U9" s="1573">
        <f t="shared" si="1"/>
        <v>100</v>
      </c>
      <c r="V9" s="1572" t="s">
        <v>8</v>
      </c>
      <c r="W9" s="1573">
        <f t="shared" si="2"/>
        <v>100</v>
      </c>
      <c r="X9" s="1574"/>
      <c r="Y9" s="3306" t="s">
        <v>537</v>
      </c>
      <c r="Z9" s="1153" t="str">
        <f t="shared" ref="Z9:Z15" si="7">Q9</f>
        <v>用途</v>
      </c>
      <c r="AA9" s="1575">
        <f t="shared" si="3"/>
        <v>1</v>
      </c>
      <c r="AB9" s="1575">
        <f t="shared" si="4"/>
        <v>1</v>
      </c>
      <c r="AC9" s="1575">
        <f t="shared" si="5"/>
        <v>1</v>
      </c>
    </row>
    <row r="10" spans="1:29" s="1341" customFormat="1" ht="27">
      <c r="A10" s="2946"/>
      <c r="B10" s="2951" t="s">
        <v>2763</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60"/>
      <c r="Q10" s="1154" t="str">
        <f t="shared" si="6"/>
        <v>土地使用年限（年）</v>
      </c>
      <c r="R10" s="1572" t="s">
        <v>8</v>
      </c>
      <c r="S10" s="1573">
        <f t="shared" si="0"/>
        <v>100</v>
      </c>
      <c r="T10" s="1572" t="s">
        <v>8</v>
      </c>
      <c r="U10" s="1573">
        <f t="shared" si="1"/>
        <v>100</v>
      </c>
      <c r="V10" s="1572" t="s">
        <v>8</v>
      </c>
      <c r="W10" s="1573">
        <f t="shared" si="2"/>
        <v>100</v>
      </c>
      <c r="X10" s="1574"/>
      <c r="Y10" s="3306"/>
      <c r="Z10" s="1153" t="str">
        <f t="shared" si="7"/>
        <v>土地使用年限（年）</v>
      </c>
      <c r="AA10" s="1575">
        <f t="shared" si="3"/>
        <v>1</v>
      </c>
      <c r="AB10" s="1575">
        <f t="shared" si="4"/>
        <v>1</v>
      </c>
      <c r="AC10" s="1575">
        <f t="shared" si="5"/>
        <v>1</v>
      </c>
    </row>
    <row r="11" spans="1:29" ht="15">
      <c r="A11" s="2947"/>
      <c r="B11" s="2951" t="s">
        <v>2764</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60"/>
      <c r="Q11" s="1154" t="str">
        <f t="shared" si="6"/>
        <v>容积率</v>
      </c>
      <c r="R11" s="1572" t="s">
        <v>8</v>
      </c>
      <c r="S11" s="1573" t="e">
        <f t="shared" si="0"/>
        <v>#N/A</v>
      </c>
      <c r="T11" s="1572" t="s">
        <v>8</v>
      </c>
      <c r="U11" s="1573" t="e">
        <f t="shared" si="1"/>
        <v>#N/A</v>
      </c>
      <c r="V11" s="1572" t="s">
        <v>8</v>
      </c>
      <c r="W11" s="1573" t="e">
        <f t="shared" si="2"/>
        <v>#N/A</v>
      </c>
      <c r="X11" s="1574"/>
      <c r="Y11" s="330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38"/>
      <c r="M12" s="2139"/>
      <c r="N12" s="2139"/>
      <c r="O12" s="2140"/>
      <c r="P12" s="3360"/>
      <c r="Q12" s="1154">
        <f t="shared" si="6"/>
        <v>111</v>
      </c>
      <c r="R12" s="1572" t="s">
        <v>8</v>
      </c>
      <c r="S12" s="1573">
        <f t="shared" si="0"/>
        <v>100</v>
      </c>
      <c r="T12" s="1572" t="s">
        <v>8</v>
      </c>
      <c r="U12" s="1573">
        <f t="shared" si="1"/>
        <v>100</v>
      </c>
      <c r="V12" s="1572" t="s">
        <v>8</v>
      </c>
      <c r="W12" s="1573">
        <f t="shared" si="2"/>
        <v>100</v>
      </c>
      <c r="X12" s="1574"/>
      <c r="Y12" s="3306"/>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5"/>
      <c r="M13" s="2137"/>
      <c r="N13" s="2137"/>
      <c r="O13" s="2144"/>
      <c r="P13" s="3360"/>
      <c r="Q13" s="1154">
        <f t="shared" si="6"/>
        <v>111</v>
      </c>
      <c r="R13" s="1572" t="s">
        <v>8</v>
      </c>
      <c r="S13" s="1573">
        <f t="shared" si="0"/>
        <v>100</v>
      </c>
      <c r="T13" s="1572" t="s">
        <v>8</v>
      </c>
      <c r="U13" s="1573">
        <f t="shared" si="1"/>
        <v>100</v>
      </c>
      <c r="V13" s="1572" t="s">
        <v>8</v>
      </c>
      <c r="W13" s="1573">
        <f t="shared" si="2"/>
        <v>100</v>
      </c>
      <c r="X13" s="1574"/>
      <c r="Y13" s="3306"/>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5"/>
      <c r="M14" s="2137"/>
      <c r="N14" s="2137"/>
      <c r="O14" s="2144"/>
      <c r="P14" s="3360"/>
      <c r="Q14" s="1154">
        <f t="shared" si="6"/>
        <v>111</v>
      </c>
      <c r="R14" s="1572" t="s">
        <v>8</v>
      </c>
      <c r="S14" s="1573">
        <f t="shared" si="0"/>
        <v>100</v>
      </c>
      <c r="T14" s="1572" t="s">
        <v>8</v>
      </c>
      <c r="U14" s="1573">
        <f t="shared" si="1"/>
        <v>100</v>
      </c>
      <c r="V14" s="1572" t="s">
        <v>8</v>
      </c>
      <c r="W14" s="1573">
        <f t="shared" si="2"/>
        <v>100</v>
      </c>
      <c r="X14" s="1574"/>
      <c r="Y14" s="3306"/>
      <c r="Z14" s="1153">
        <f t="shared" si="7"/>
        <v>111</v>
      </c>
      <c r="AA14" s="1575">
        <f t="shared" si="3"/>
        <v>1</v>
      </c>
      <c r="AB14" s="1575">
        <f t="shared" si="4"/>
        <v>1</v>
      </c>
      <c r="AC14" s="1575">
        <f t="shared" si="5"/>
        <v>1</v>
      </c>
    </row>
    <row r="15" spans="1:29" ht="57">
      <c r="A15" s="2941" t="s">
        <v>2760</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5"/>
      <c r="M15" s="2137"/>
      <c r="N15" s="2137"/>
      <c r="O15" s="2144"/>
      <c r="P15" s="3396" t="s">
        <v>541</v>
      </c>
      <c r="Q15" s="1576" t="str">
        <f t="shared" si="6"/>
        <v>产业集聚程度</v>
      </c>
      <c r="R15" s="1577" t="s">
        <v>8</v>
      </c>
      <c r="S15" s="1578">
        <f t="shared" si="0"/>
        <v>100</v>
      </c>
      <c r="T15" s="1577" t="s">
        <v>8</v>
      </c>
      <c r="U15" s="1578">
        <f t="shared" si="1"/>
        <v>100</v>
      </c>
      <c r="V15" s="1577" t="s">
        <v>8</v>
      </c>
      <c r="W15" s="1578">
        <f t="shared" si="2"/>
        <v>100</v>
      </c>
      <c r="X15" s="1571"/>
      <c r="Y15" s="3396"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397"/>
      <c r="Q16" s="1576"/>
      <c r="R16" s="1577"/>
      <c r="S16" s="1578"/>
      <c r="T16" s="1577"/>
      <c r="U16" s="1578"/>
      <c r="V16" s="1577"/>
      <c r="W16" s="1578"/>
      <c r="X16" s="1571"/>
      <c r="Y16" s="3397"/>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5"/>
      <c r="M17" s="2137"/>
      <c r="N17" s="2137"/>
      <c r="O17" s="2144"/>
      <c r="P17" s="3397"/>
      <c r="Q17" s="1576" t="str">
        <f>B17</f>
        <v>交通便捷度</v>
      </c>
      <c r="R17" s="1577" t="s">
        <v>8</v>
      </c>
      <c r="S17" s="1578">
        <f>F17</f>
        <v>100</v>
      </c>
      <c r="T17" s="1577" t="s">
        <v>8</v>
      </c>
      <c r="U17" s="1578">
        <f>H17</f>
        <v>100</v>
      </c>
      <c r="V17" s="1577" t="s">
        <v>8</v>
      </c>
      <c r="W17" s="1578">
        <f>J17</f>
        <v>100</v>
      </c>
      <c r="X17" s="1571"/>
      <c r="Y17" s="3397"/>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397"/>
      <c r="Q18" s="1576"/>
      <c r="R18" s="1577"/>
      <c r="S18" s="1578"/>
      <c r="T18" s="1577"/>
      <c r="U18" s="1578"/>
      <c r="V18" s="1577"/>
      <c r="W18" s="1578"/>
      <c r="X18" s="1571"/>
      <c r="Y18" s="3397"/>
      <c r="Z18" s="1579"/>
      <c r="AA18" s="1580">
        <v>1</v>
      </c>
      <c r="AB18" s="1580">
        <v>1</v>
      </c>
      <c r="AC18" s="1580">
        <v>1</v>
      </c>
    </row>
    <row r="19" spans="1:29" ht="42.75">
      <c r="A19" s="535"/>
      <c r="B19" s="2630" t="s">
        <v>2550</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5"/>
      <c r="M19" s="2137"/>
      <c r="N19" s="2137"/>
      <c r="O19" s="2144"/>
      <c r="P19" s="3397"/>
      <c r="Q19" s="1576" t="str">
        <f>B19</f>
        <v>公共配套设施</v>
      </c>
      <c r="R19" s="1577" t="s">
        <v>8</v>
      </c>
      <c r="S19" s="1578">
        <f>F19</f>
        <v>100</v>
      </c>
      <c r="T19" s="1577" t="s">
        <v>8</v>
      </c>
      <c r="U19" s="1578">
        <f>H19</f>
        <v>100</v>
      </c>
      <c r="V19" s="1577" t="s">
        <v>8</v>
      </c>
      <c r="W19" s="1578">
        <f>J19</f>
        <v>100</v>
      </c>
      <c r="X19" s="1571"/>
      <c r="Y19" s="3397"/>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5"/>
      <c r="M20" s="2137"/>
      <c r="N20" s="2137"/>
      <c r="O20" s="2144"/>
      <c r="P20" s="3397"/>
      <c r="Q20" s="1576"/>
      <c r="R20" s="1577"/>
      <c r="S20" s="1578"/>
      <c r="T20" s="1577"/>
      <c r="U20" s="1578"/>
      <c r="V20" s="1577"/>
      <c r="W20" s="1578"/>
      <c r="X20" s="1571"/>
      <c r="Y20" s="3397"/>
      <c r="Z20" s="1579"/>
      <c r="AA20" s="1580">
        <v>1</v>
      </c>
      <c r="AB20" s="1580">
        <v>1</v>
      </c>
      <c r="AC20" s="1580">
        <v>1</v>
      </c>
    </row>
    <row r="21" spans="1:29" ht="28.5">
      <c r="A21" s="535"/>
      <c r="B21" s="2618" t="s">
        <v>2562</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5"/>
      <c r="M21" s="2137"/>
      <c r="N21" s="2137"/>
      <c r="O21" s="2144"/>
      <c r="P21" s="3397"/>
      <c r="Q21" s="2606" t="str">
        <f>B21</f>
        <v>基础设施水平</v>
      </c>
      <c r="R21" s="1577" t="s">
        <v>8</v>
      </c>
      <c r="S21" s="1578">
        <f>F21</f>
        <v>100</v>
      </c>
      <c r="T21" s="1577" t="s">
        <v>8</v>
      </c>
      <c r="U21" s="1578">
        <f>H21</f>
        <v>100</v>
      </c>
      <c r="V21" s="1577" t="s">
        <v>8</v>
      </c>
      <c r="W21" s="1578">
        <f>J21</f>
        <v>100</v>
      </c>
      <c r="X21" s="2608"/>
      <c r="Y21" s="3397"/>
      <c r="Z21" s="2607"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29"/>
      <c r="L22" s="2145"/>
      <c r="M22" s="2137"/>
      <c r="N22" s="2137"/>
      <c r="O22" s="2144"/>
      <c r="P22" s="3397"/>
      <c r="Q22" s="2606"/>
      <c r="R22" s="1577"/>
      <c r="S22" s="1578"/>
      <c r="T22" s="1577"/>
      <c r="U22" s="1578"/>
      <c r="V22" s="1577"/>
      <c r="W22" s="1578"/>
      <c r="X22" s="2608"/>
      <c r="Y22" s="3397"/>
      <c r="Z22" s="2607"/>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5"/>
      <c r="M23" s="2137"/>
      <c r="N23" s="2137"/>
      <c r="O23" s="2144"/>
      <c r="P23" s="3397"/>
      <c r="Q23" s="1576" t="str">
        <f>B23</f>
        <v>环境质量</v>
      </c>
      <c r="R23" s="1577" t="s">
        <v>8</v>
      </c>
      <c r="S23" s="1578">
        <f>F23</f>
        <v>100</v>
      </c>
      <c r="T23" s="1577" t="s">
        <v>8</v>
      </c>
      <c r="U23" s="1578">
        <f>H23</f>
        <v>100</v>
      </c>
      <c r="V23" s="1577" t="s">
        <v>8</v>
      </c>
      <c r="W23" s="1578">
        <f>J23</f>
        <v>100</v>
      </c>
      <c r="X23" s="1571"/>
      <c r="Y23" s="3397"/>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5"/>
      <c r="M24" s="2137"/>
      <c r="N24" s="2137"/>
      <c r="O24" s="2144"/>
      <c r="P24" s="3397"/>
      <c r="Q24" s="1576"/>
      <c r="R24" s="1577"/>
      <c r="S24" s="1578"/>
      <c r="T24" s="1577"/>
      <c r="U24" s="1578"/>
      <c r="V24" s="1577"/>
      <c r="W24" s="1578"/>
      <c r="X24" s="1571"/>
      <c r="Y24" s="3397"/>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97"/>
      <c r="Q25" s="1576">
        <f>B25</f>
        <v>111</v>
      </c>
      <c r="R25" s="1577" t="s">
        <v>8</v>
      </c>
      <c r="S25" s="1578">
        <f>F25</f>
        <v>100</v>
      </c>
      <c r="T25" s="1577" t="s">
        <v>8</v>
      </c>
      <c r="U25" s="1578">
        <f>H25</f>
        <v>100</v>
      </c>
      <c r="V25" s="1577" t="s">
        <v>8</v>
      </c>
      <c r="W25" s="1578">
        <f>J25</f>
        <v>100</v>
      </c>
      <c r="X25" s="1571"/>
      <c r="Y25" s="3397"/>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97"/>
      <c r="Q26" s="1576">
        <f t="shared" ref="Q26:Q40" si="11">B26</f>
        <v>111</v>
      </c>
      <c r="R26" s="1577" t="s">
        <v>8</v>
      </c>
      <c r="S26" s="1578">
        <f>F26</f>
        <v>100</v>
      </c>
      <c r="T26" s="1577" t="s">
        <v>8</v>
      </c>
      <c r="U26" s="1578">
        <f>H26</f>
        <v>100</v>
      </c>
      <c r="V26" s="1577" t="s">
        <v>8</v>
      </c>
      <c r="W26" s="1578">
        <f>J26</f>
        <v>100</v>
      </c>
      <c r="X26" s="1571"/>
      <c r="Y26" s="3397"/>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97"/>
      <c r="Q27" s="1154">
        <f t="shared" si="11"/>
        <v>111</v>
      </c>
      <c r="R27" s="1572" t="s">
        <v>8</v>
      </c>
      <c r="S27" s="1573">
        <f>F27</f>
        <v>100</v>
      </c>
      <c r="T27" s="1572" t="s">
        <v>8</v>
      </c>
      <c r="U27" s="1573">
        <f>H27</f>
        <v>100</v>
      </c>
      <c r="V27" s="1572" t="s">
        <v>8</v>
      </c>
      <c r="W27" s="1573">
        <f>J27</f>
        <v>100</v>
      </c>
      <c r="X27" s="1574"/>
      <c r="Y27" s="3397"/>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5"/>
      <c r="M28" s="2137"/>
      <c r="N28" s="2137"/>
      <c r="O28" s="2144"/>
      <c r="P28" s="3397"/>
      <c r="Q28" s="1576">
        <f t="shared" si="11"/>
        <v>111</v>
      </c>
      <c r="R28" s="1577" t="s">
        <v>8</v>
      </c>
      <c r="S28" s="1578">
        <f t="shared" ref="S28:S40" si="12">F28</f>
        <v>100</v>
      </c>
      <c r="T28" s="1577" t="s">
        <v>8</v>
      </c>
      <c r="U28" s="1578">
        <f t="shared" ref="U28:U40" si="13">H28</f>
        <v>100</v>
      </c>
      <c r="V28" s="1577" t="s">
        <v>8</v>
      </c>
      <c r="W28" s="1578">
        <f t="shared" ref="W28:W40" si="14">J28</f>
        <v>100</v>
      </c>
      <c r="X28" s="1571"/>
      <c r="Y28" s="3397"/>
      <c r="Z28" s="1579">
        <f t="shared" ref="Z28:Z40" si="15">Q28</f>
        <v>111</v>
      </c>
      <c r="AA28" s="1580">
        <f t="shared" si="3"/>
        <v>1</v>
      </c>
      <c r="AB28" s="1580">
        <f t="shared" si="4"/>
        <v>1</v>
      </c>
      <c r="AC28" s="1580">
        <f t="shared" si="5"/>
        <v>1</v>
      </c>
    </row>
    <row r="29" spans="1:29" ht="15">
      <c r="A29" s="2938" t="s">
        <v>2761</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5"/>
      <c r="M29" s="2137"/>
      <c r="N29" s="2137"/>
      <c r="O29" s="2144"/>
      <c r="P29" s="3398" t="s">
        <v>551</v>
      </c>
      <c r="Q29" s="1576" t="str">
        <f t="shared" si="11"/>
        <v>建筑类型</v>
      </c>
      <c r="R29" s="1577" t="s">
        <v>8</v>
      </c>
      <c r="S29" s="1578">
        <f t="shared" si="12"/>
        <v>100</v>
      </c>
      <c r="T29" s="1577" t="s">
        <v>8</v>
      </c>
      <c r="U29" s="1578">
        <f t="shared" si="13"/>
        <v>100</v>
      </c>
      <c r="V29" s="1577" t="s">
        <v>8</v>
      </c>
      <c r="W29" s="1578">
        <f t="shared" si="14"/>
        <v>100</v>
      </c>
      <c r="X29" s="1571"/>
      <c r="Y29" s="3399"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99"/>
      <c r="Q30" s="1609" t="str">
        <f t="shared" si="11"/>
        <v>项目建筑规模</v>
      </c>
      <c r="R30" s="1581" t="s">
        <v>8</v>
      </c>
      <c r="S30" s="1582" t="e">
        <f t="shared" si="12"/>
        <v>#N/A</v>
      </c>
      <c r="T30" s="1581" t="s">
        <v>8</v>
      </c>
      <c r="U30" s="1582" t="e">
        <f t="shared" si="13"/>
        <v>#N/A</v>
      </c>
      <c r="V30" s="1581" t="s">
        <v>8</v>
      </c>
      <c r="W30" s="1582" t="e">
        <f t="shared" si="14"/>
        <v>#N/A</v>
      </c>
      <c r="X30" s="1583"/>
      <c r="Y30" s="3399"/>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99"/>
      <c r="Q31" s="1576" t="str">
        <f t="shared" si="11"/>
        <v>建筑结构</v>
      </c>
      <c r="R31" s="1577" t="s">
        <v>8</v>
      </c>
      <c r="S31" s="1578">
        <f t="shared" si="12"/>
        <v>100</v>
      </c>
      <c r="T31" s="1577" t="s">
        <v>8</v>
      </c>
      <c r="U31" s="1578">
        <f t="shared" si="13"/>
        <v>100</v>
      </c>
      <c r="V31" s="1577" t="s">
        <v>8</v>
      </c>
      <c r="W31" s="1578">
        <f t="shared" si="14"/>
        <v>100</v>
      </c>
      <c r="X31" s="1571"/>
      <c r="Y31" s="3399"/>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99"/>
      <c r="Q32" s="1576" t="str">
        <f t="shared" si="11"/>
        <v>公共部分装修</v>
      </c>
      <c r="R32" s="1577" t="s">
        <v>8</v>
      </c>
      <c r="S32" s="1578">
        <f t="shared" si="12"/>
        <v>100</v>
      </c>
      <c r="T32" s="1577" t="s">
        <v>8</v>
      </c>
      <c r="U32" s="1578">
        <f t="shared" si="13"/>
        <v>100</v>
      </c>
      <c r="V32" s="1577" t="s">
        <v>8</v>
      </c>
      <c r="W32" s="1578">
        <f t="shared" si="14"/>
        <v>100</v>
      </c>
      <c r="X32" s="1571"/>
      <c r="Y32" s="3399"/>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5"/>
      <c r="M33" s="2137"/>
      <c r="N33" s="2137"/>
      <c r="O33" s="2144"/>
      <c r="P33" s="3399"/>
      <c r="Q33" s="1576" t="str">
        <f t="shared" si="11"/>
        <v>成新度</v>
      </c>
      <c r="R33" s="1577" t="s">
        <v>8</v>
      </c>
      <c r="S33" s="1578" t="e">
        <f t="shared" si="12"/>
        <v>#N/A</v>
      </c>
      <c r="T33" s="1577" t="s">
        <v>8</v>
      </c>
      <c r="U33" s="1578" t="e">
        <f t="shared" si="13"/>
        <v>#N/A</v>
      </c>
      <c r="V33" s="1577" t="s">
        <v>8</v>
      </c>
      <c r="W33" s="1578" t="e">
        <f t="shared" si="14"/>
        <v>#N/A</v>
      </c>
      <c r="X33" s="1571"/>
      <c r="Y33" s="3399"/>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99"/>
      <c r="Q34" s="1154" t="str">
        <f t="shared" si="11"/>
        <v>物业管理</v>
      </c>
      <c r="R34" s="1572" t="s">
        <v>8</v>
      </c>
      <c r="S34" s="1573">
        <f t="shared" si="12"/>
        <v>100</v>
      </c>
      <c r="T34" s="1572" t="s">
        <v>8</v>
      </c>
      <c r="U34" s="1573">
        <f t="shared" si="13"/>
        <v>100</v>
      </c>
      <c r="V34" s="1572" t="s">
        <v>8</v>
      </c>
      <c r="W34" s="1573">
        <f t="shared" si="14"/>
        <v>100</v>
      </c>
      <c r="X34" s="1574"/>
      <c r="Y34" s="3399"/>
      <c r="Z34" s="1153" t="str">
        <f t="shared" si="15"/>
        <v>物业管理</v>
      </c>
      <c r="AA34" s="1575">
        <f t="shared" si="3"/>
        <v>1</v>
      </c>
      <c r="AB34" s="1575">
        <f t="shared" si="4"/>
        <v>1</v>
      </c>
      <c r="AC34" s="1575">
        <f t="shared" si="5"/>
        <v>1</v>
      </c>
    </row>
    <row r="35" spans="1:29" ht="15">
      <c r="A35" s="597"/>
      <c r="B35" s="1898" t="s">
        <v>2569</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99" t="s">
        <v>551</v>
      </c>
      <c r="Q35" s="1576" t="str">
        <f t="shared" si="11"/>
        <v>市政基础设施</v>
      </c>
      <c r="R35" s="1577" t="s">
        <v>8</v>
      </c>
      <c r="S35" s="1578">
        <f t="shared" si="12"/>
        <v>100</v>
      </c>
      <c r="T35" s="1577" t="s">
        <v>8</v>
      </c>
      <c r="U35" s="1578">
        <f t="shared" si="13"/>
        <v>100</v>
      </c>
      <c r="V35" s="1577" t="s">
        <v>8</v>
      </c>
      <c r="W35" s="1578">
        <f t="shared" si="14"/>
        <v>100</v>
      </c>
      <c r="X35" s="1571"/>
      <c r="Y35" s="3399"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99"/>
      <c r="Q36" s="1576" t="str">
        <f t="shared" si="11"/>
        <v>内部装修</v>
      </c>
      <c r="R36" s="1577" t="s">
        <v>8</v>
      </c>
      <c r="S36" s="1578">
        <f t="shared" si="12"/>
        <v>100</v>
      </c>
      <c r="T36" s="1577" t="s">
        <v>8</v>
      </c>
      <c r="U36" s="1578">
        <f t="shared" si="13"/>
        <v>100</v>
      </c>
      <c r="V36" s="1577" t="s">
        <v>8</v>
      </c>
      <c r="W36" s="1578">
        <f t="shared" si="14"/>
        <v>100</v>
      </c>
      <c r="X36" s="1571"/>
      <c r="Y36" s="3399"/>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99"/>
      <c r="Q37" s="1576" t="str">
        <f t="shared" si="11"/>
        <v>内部装修状况</v>
      </c>
      <c r="R37" s="1577" t="s">
        <v>8</v>
      </c>
      <c r="S37" s="1578">
        <f t="shared" si="12"/>
        <v>100</v>
      </c>
      <c r="T37" s="1577" t="s">
        <v>8</v>
      </c>
      <c r="U37" s="1578">
        <f t="shared" si="13"/>
        <v>100</v>
      </c>
      <c r="V37" s="1577" t="s">
        <v>8</v>
      </c>
      <c r="W37" s="1578">
        <f t="shared" si="14"/>
        <v>100</v>
      </c>
      <c r="X37" s="1571"/>
      <c r="Y37" s="3399"/>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3"/>
      <c r="M38" s="2174"/>
      <c r="N38" s="2174"/>
      <c r="O38" s="2146"/>
      <c r="P38" s="3399"/>
      <c r="Q38" s="1609">
        <f t="shared" si="11"/>
        <v>111</v>
      </c>
      <c r="R38" s="1581" t="s">
        <v>8</v>
      </c>
      <c r="S38" s="1582">
        <f t="shared" si="12"/>
        <v>100</v>
      </c>
      <c r="T38" s="1581" t="s">
        <v>8</v>
      </c>
      <c r="U38" s="1582">
        <f t="shared" si="13"/>
        <v>100</v>
      </c>
      <c r="V38" s="1581" t="s">
        <v>8</v>
      </c>
      <c r="W38" s="1582">
        <f t="shared" si="14"/>
        <v>100</v>
      </c>
      <c r="X38" s="1583"/>
      <c r="Y38" s="3399"/>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5"/>
      <c r="M39" s="2137"/>
      <c r="N39" s="2137"/>
      <c r="O39" s="2144"/>
      <c r="P39" s="3399"/>
      <c r="Q39" s="1576">
        <f t="shared" si="11"/>
        <v>111</v>
      </c>
      <c r="R39" s="1577" t="s">
        <v>8</v>
      </c>
      <c r="S39" s="1578">
        <f t="shared" si="12"/>
        <v>100</v>
      </c>
      <c r="T39" s="1577" t="s">
        <v>8</v>
      </c>
      <c r="U39" s="1578">
        <f t="shared" si="13"/>
        <v>100</v>
      </c>
      <c r="V39" s="1577" t="s">
        <v>8</v>
      </c>
      <c r="W39" s="1578">
        <f t="shared" si="14"/>
        <v>100</v>
      </c>
      <c r="X39" s="1571"/>
      <c r="Y39" s="3399"/>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5"/>
      <c r="M40" s="2137"/>
      <c r="N40" s="2137"/>
      <c r="O40" s="2144"/>
      <c r="P40" s="3454"/>
      <c r="Q40" s="1576">
        <f t="shared" si="11"/>
        <v>111</v>
      </c>
      <c r="R40" s="1577" t="s">
        <v>8</v>
      </c>
      <c r="S40" s="1578">
        <f t="shared" si="12"/>
        <v>100</v>
      </c>
      <c r="T40" s="1577" t="s">
        <v>8</v>
      </c>
      <c r="U40" s="1578">
        <f t="shared" si="13"/>
        <v>100</v>
      </c>
      <c r="V40" s="1577" t="s">
        <v>8</v>
      </c>
      <c r="W40" s="1578">
        <f t="shared" si="14"/>
        <v>100</v>
      </c>
      <c r="X40" s="1571"/>
      <c r="Y40" s="3454"/>
      <c r="Z40" s="1579">
        <f t="shared" si="15"/>
        <v>111</v>
      </c>
      <c r="AA40" s="1580">
        <f t="shared" si="3"/>
        <v>1</v>
      </c>
      <c r="AB40" s="1580">
        <f t="shared" si="4"/>
        <v>1</v>
      </c>
      <c r="AC40" s="1580">
        <f t="shared" si="5"/>
        <v>1</v>
      </c>
    </row>
    <row r="41" spans="1:29" ht="15">
      <c r="A41" s="610" t="s">
        <v>737</v>
      </c>
      <c r="B41" s="890"/>
      <c r="C41" s="2654" t="s">
        <v>1</v>
      </c>
      <c r="D41" s="2655"/>
      <c r="E41" s="2656"/>
      <c r="F41" s="2657"/>
      <c r="G41" s="2658"/>
      <c r="H41" s="2659"/>
      <c r="I41" s="2656"/>
      <c r="J41" s="2659"/>
      <c r="K41" s="1615"/>
      <c r="L41" s="2147"/>
      <c r="M41" s="2148"/>
      <c r="N41" s="2137"/>
      <c r="O41" s="2148"/>
      <c r="P41" s="3360" t="str">
        <f>A41</f>
        <v>成交单价（元/平方米）</v>
      </c>
      <c r="Q41" s="3360"/>
      <c r="R41" s="3453">
        <f>E41</f>
        <v>0</v>
      </c>
      <c r="S41" s="3453"/>
      <c r="T41" s="3453">
        <f>G41</f>
        <v>0</v>
      </c>
      <c r="U41" s="3453"/>
      <c r="V41" s="3453">
        <f>I41</f>
        <v>0</v>
      </c>
      <c r="W41" s="3453"/>
      <c r="X41" s="1563"/>
      <c r="Y41" s="1585"/>
      <c r="Z41" s="1563"/>
      <c r="AA41" s="1563"/>
      <c r="AB41" s="1563"/>
      <c r="AC41" s="1563"/>
    </row>
    <row r="42" spans="1:29" ht="15.75" thickBot="1">
      <c r="A42" s="618" t="s">
        <v>2766</v>
      </c>
      <c r="B42" s="891"/>
      <c r="C42" s="2660" t="e">
        <f>R43</f>
        <v>#DIV/0!</v>
      </c>
      <c r="D42" s="2661"/>
      <c r="E42" s="2662" t="e">
        <f>R42</f>
        <v>#DIV/0!</v>
      </c>
      <c r="F42" s="2662"/>
      <c r="G42" s="2660" t="e">
        <f>T42</f>
        <v>#DIV/0!</v>
      </c>
      <c r="H42" s="2661"/>
      <c r="I42" s="2662" t="e">
        <f>V42</f>
        <v>#DIV/0!</v>
      </c>
      <c r="J42" s="2661"/>
      <c r="K42" s="1616"/>
      <c r="L42" s="2147"/>
      <c r="M42" s="2148"/>
      <c r="N42" s="2137"/>
      <c r="O42" s="2148"/>
      <c r="P42" s="3360" t="str">
        <f>A42</f>
        <v>比较价格（元/平方米）</v>
      </c>
      <c r="Q42" s="3360"/>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1563"/>
      <c r="Y42" s="1563"/>
      <c r="Z42" s="1563"/>
      <c r="AA42" s="1563"/>
      <c r="AB42" s="1563"/>
      <c r="AC42" s="1563"/>
    </row>
    <row r="43" spans="1:29" ht="15.75" thickBot="1">
      <c r="A43" s="624" t="s">
        <v>2939</v>
      </c>
      <c r="B43" s="625"/>
      <c r="C43" s="2663" t="e">
        <f>R43</f>
        <v>#DIV/0!</v>
      </c>
      <c r="D43" s="2663"/>
      <c r="E43" s="2663"/>
      <c r="F43" s="2663"/>
      <c r="G43" s="2663"/>
      <c r="H43" s="2663"/>
      <c r="I43" s="2663"/>
      <c r="J43" s="2663"/>
      <c r="K43" s="1617"/>
      <c r="L43" s="2147"/>
      <c r="M43" s="2148"/>
      <c r="N43" s="2148"/>
      <c r="O43" s="2148"/>
      <c r="P43" s="3357" t="str">
        <f>A43</f>
        <v>估价对象XX用房的比较价格（楼面单价，元/平方米）</v>
      </c>
      <c r="Q43" s="3358"/>
      <c r="R43" s="3452" t="e">
        <f>IF(F1="售价",ROUND(AVERAGE(R42:V42),0),ROUND(AVERAGE(R42:V42),1))</f>
        <v>#DIV/0!</v>
      </c>
      <c r="S43" s="3452"/>
      <c r="T43" s="3452"/>
      <c r="U43" s="3452"/>
      <c r="V43" s="3452"/>
      <c r="W43" s="3452"/>
      <c r="X43" s="1563"/>
      <c r="Y43" s="1563"/>
      <c r="Z43" s="1563"/>
      <c r="AA43" s="1563"/>
      <c r="AB43" s="1563"/>
      <c r="AC43" s="1563"/>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8" customFormat="1" ht="13.5" customHeight="1">
      <c r="A48" s="2149"/>
      <c r="B48" s="2149"/>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8"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8" t="s">
        <v>575</v>
      </c>
      <c r="B51" s="1563"/>
      <c r="C51" s="1587"/>
      <c r="D51" s="1587"/>
      <c r="E51" s="1587"/>
      <c r="F51" s="1589"/>
      <c r="G51" s="1589"/>
      <c r="H51" s="1587"/>
      <c r="I51" s="1587"/>
      <c r="J51" s="1587"/>
      <c r="K51" s="1590"/>
      <c r="L51" s="1586"/>
      <c r="M51" s="1587"/>
      <c r="N51" s="1587"/>
      <c r="O51" s="1587"/>
      <c r="P51" s="2160"/>
      <c r="Q51" s="2161"/>
      <c r="R51" s="2148"/>
      <c r="S51" s="2148"/>
      <c r="T51" s="2148"/>
      <c r="U51" s="2148"/>
      <c r="V51" s="2148"/>
      <c r="W51" s="2148"/>
      <c r="X51" s="2148"/>
      <c r="Y51" s="2148"/>
      <c r="Z51" s="2148"/>
      <c r="AA51" s="2148"/>
      <c r="AB51" s="2148"/>
      <c r="AC51" s="2148"/>
    </row>
    <row r="52" spans="1:29" s="1350" customFormat="1" ht="15">
      <c r="A52" s="648" t="s">
        <v>530</v>
      </c>
      <c r="B52" s="649"/>
      <c r="C52" s="2833" t="str">
        <f>YEAR(C7)&amp;"-"&amp;MONTH(C7)</f>
        <v>2017-10</v>
      </c>
      <c r="D52" s="2835">
        <f>EDATE(C52,-1)</f>
        <v>42979</v>
      </c>
      <c r="E52" s="2835">
        <f t="shared" ref="E52:O52" si="16">EDATE(D52,-1)</f>
        <v>42948</v>
      </c>
      <c r="F52" s="2835">
        <f t="shared" si="16"/>
        <v>42917</v>
      </c>
      <c r="G52" s="2835">
        <f t="shared" si="16"/>
        <v>42887</v>
      </c>
      <c r="H52" s="2835">
        <f t="shared" si="16"/>
        <v>42856</v>
      </c>
      <c r="I52" s="2835">
        <f t="shared" si="16"/>
        <v>42826</v>
      </c>
      <c r="J52" s="2835">
        <f t="shared" si="16"/>
        <v>42795</v>
      </c>
      <c r="K52" s="2835">
        <f t="shared" si="16"/>
        <v>42767</v>
      </c>
      <c r="L52" s="2835">
        <f t="shared" si="16"/>
        <v>42736</v>
      </c>
      <c r="M52" s="2835">
        <f t="shared" si="16"/>
        <v>42705</v>
      </c>
      <c r="N52" s="2835">
        <f t="shared" si="16"/>
        <v>42675</v>
      </c>
      <c r="O52" s="2835">
        <f t="shared" si="16"/>
        <v>42644</v>
      </c>
      <c r="P52" s="2163"/>
      <c r="Q52" s="2164"/>
      <c r="R52" s="2164"/>
      <c r="S52" s="2164"/>
      <c r="T52" s="2164"/>
      <c r="U52" s="2164"/>
      <c r="V52" s="2164"/>
      <c r="W52" s="2164"/>
      <c r="X52" s="2164"/>
      <c r="Y52" s="2164"/>
      <c r="Z52" s="2164"/>
      <c r="AA52" s="2164"/>
      <c r="AB52" s="2164"/>
      <c r="AC52" s="2164"/>
    </row>
    <row r="53" spans="1:29" s="1223" customFormat="1" ht="15">
      <c r="A53" s="650"/>
      <c r="B53" s="651"/>
      <c r="C53" s="652">
        <v>100</v>
      </c>
      <c r="D53" s="653"/>
      <c r="E53" s="653"/>
      <c r="F53" s="653"/>
      <c r="G53" s="653"/>
      <c r="H53" s="653"/>
      <c r="I53" s="653"/>
      <c r="J53" s="653"/>
      <c r="K53" s="653"/>
      <c r="L53" s="653"/>
      <c r="M53" s="654"/>
      <c r="N53" s="653"/>
      <c r="O53" s="655"/>
      <c r="P53" s="2161"/>
      <c r="Q53" s="1996"/>
      <c r="R53" s="1996"/>
      <c r="S53" s="1996"/>
      <c r="T53" s="1996"/>
      <c r="U53" s="1996"/>
      <c r="V53" s="1996"/>
      <c r="W53" s="1996"/>
      <c r="X53" s="1996"/>
      <c r="Y53" s="1996"/>
      <c r="Z53" s="1996"/>
      <c r="AA53" s="1996"/>
      <c r="AB53" s="1996"/>
      <c r="AC53" s="1996"/>
    </row>
    <row r="54" spans="1:29" s="1223" customFormat="1" ht="15.75" thickBot="1">
      <c r="A54" s="656" t="s">
        <v>576</v>
      </c>
      <c r="B54" s="657"/>
      <c r="C54" s="658"/>
      <c r="D54" s="659"/>
      <c r="E54" s="659"/>
      <c r="F54" s="659"/>
      <c r="G54" s="659"/>
      <c r="H54" s="659"/>
      <c r="I54" s="659"/>
      <c r="J54" s="659"/>
      <c r="K54" s="659"/>
      <c r="L54" s="659"/>
      <c r="M54" s="660"/>
      <c r="N54" s="659"/>
      <c r="O54" s="661"/>
      <c r="P54" s="2161"/>
      <c r="Q54" s="2161"/>
      <c r="R54" s="1996"/>
      <c r="S54" s="1996"/>
      <c r="T54" s="1996"/>
      <c r="U54" s="1996"/>
      <c r="V54" s="1996"/>
      <c r="W54" s="1996"/>
      <c r="X54" s="1996"/>
      <c r="Y54" s="1996"/>
      <c r="Z54" s="1996"/>
      <c r="AA54" s="1996"/>
      <c r="AB54" s="1996"/>
      <c r="AC54" s="1996"/>
    </row>
    <row r="55" spans="1:29" s="1223" customFormat="1" ht="15">
      <c r="A55" s="662" t="s">
        <v>532</v>
      </c>
      <c r="B55" s="651"/>
      <c r="C55" s="663" t="s">
        <v>577</v>
      </c>
      <c r="D55" s="664"/>
      <c r="E55" s="664"/>
      <c r="F55" s="664"/>
      <c r="G55" s="664"/>
      <c r="H55" s="664"/>
      <c r="I55" s="664"/>
      <c r="J55" s="664"/>
      <c r="K55" s="664"/>
      <c r="L55" s="665"/>
      <c r="M55" s="666"/>
      <c r="N55" s="2165"/>
      <c r="O55" s="2165"/>
      <c r="P55" s="2166"/>
      <c r="Q55" s="2161"/>
      <c r="R55" s="1996"/>
      <c r="S55" s="1996"/>
      <c r="T55" s="1996"/>
      <c r="U55" s="1996"/>
      <c r="V55" s="1996"/>
      <c r="W55" s="1996"/>
      <c r="X55" s="1996"/>
      <c r="Y55" s="1996"/>
      <c r="Z55" s="1996"/>
      <c r="AA55" s="1996"/>
      <c r="AB55" s="1996"/>
      <c r="AC55" s="1996"/>
    </row>
    <row r="56" spans="1:29" s="1223" customFormat="1" ht="15.75" thickBot="1">
      <c r="A56" s="662"/>
      <c r="B56" s="651"/>
      <c r="C56" s="652">
        <v>100</v>
      </c>
      <c r="D56" s="653"/>
      <c r="E56" s="653"/>
      <c r="F56" s="653"/>
      <c r="G56" s="653"/>
      <c r="H56" s="653"/>
      <c r="I56" s="653"/>
      <c r="J56" s="653"/>
      <c r="K56" s="653"/>
      <c r="L56" s="653"/>
      <c r="M56" s="655"/>
      <c r="N56" s="2165"/>
      <c r="O56" s="2165"/>
      <c r="P56" s="2161"/>
      <c r="Q56" s="2161"/>
      <c r="R56" s="1996"/>
      <c r="S56" s="1996"/>
      <c r="T56" s="1996"/>
      <c r="U56" s="1996"/>
      <c r="V56" s="1996"/>
      <c r="W56" s="1996"/>
      <c r="X56" s="1996"/>
      <c r="Y56" s="1996"/>
      <c r="Z56" s="1996"/>
      <c r="AA56" s="1996"/>
      <c r="AB56" s="1996"/>
      <c r="AC56" s="1996"/>
    </row>
    <row r="57" spans="1:29">
      <c r="A57" s="667" t="s">
        <v>578</v>
      </c>
      <c r="B57" s="668" t="s">
        <v>535</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2"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2"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2"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2"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2"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2"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540</v>
      </c>
      <c r="B70" s="668" t="s">
        <v>586</v>
      </c>
      <c r="C70" s="706" t="s">
        <v>580</v>
      </c>
      <c r="D70" s="706" t="s">
        <v>581</v>
      </c>
      <c r="E70" s="706" t="s">
        <v>582</v>
      </c>
      <c r="F70" s="706" t="s">
        <v>583</v>
      </c>
      <c r="G70" s="706" t="s">
        <v>584</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587</v>
      </c>
      <c r="C72" s="711" t="s">
        <v>580</v>
      </c>
      <c r="D72" s="711" t="s">
        <v>581</v>
      </c>
      <c r="E72" s="711" t="s">
        <v>582</v>
      </c>
      <c r="F72" s="711" t="s">
        <v>583</v>
      </c>
      <c r="G72" s="711" t="s">
        <v>584</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899" t="s">
        <v>2561</v>
      </c>
      <c r="C74" s="711" t="s">
        <v>580</v>
      </c>
      <c r="D74" s="711" t="s">
        <v>581</v>
      </c>
      <c r="E74" s="711" t="s">
        <v>582</v>
      </c>
      <c r="F74" s="711" t="s">
        <v>583</v>
      </c>
      <c r="G74" s="711" t="s">
        <v>584</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2562</v>
      </c>
      <c r="C76" s="2625" t="s">
        <v>2563</v>
      </c>
      <c r="D76" s="2625" t="s">
        <v>2564</v>
      </c>
      <c r="E76" s="2625" t="s">
        <v>2565</v>
      </c>
      <c r="F76" s="2625" t="s">
        <v>2566</v>
      </c>
      <c r="G76" s="2625" t="s">
        <v>2567</v>
      </c>
      <c r="H76" s="938"/>
      <c r="I76" s="938"/>
      <c r="J76" s="938"/>
      <c r="K76" s="938"/>
      <c r="L76" s="938"/>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785</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3" customFormat="1" ht="15.75" thickTop="1">
      <c r="A80" s="712"/>
      <c r="B80" s="676">
        <f>B25</f>
        <v>111</v>
      </c>
      <c r="C80" s="691"/>
      <c r="D80" s="691"/>
      <c r="E80" s="691"/>
      <c r="F80" s="691"/>
      <c r="G80" s="691"/>
      <c r="H80" s="691"/>
      <c r="I80" s="691"/>
      <c r="J80" s="691"/>
      <c r="K80" s="691"/>
      <c r="L80" s="893"/>
      <c r="M80" s="894"/>
      <c r="N80" s="2165"/>
      <c r="O80" s="2165"/>
      <c r="P80" s="2168"/>
      <c r="Q80" s="2161"/>
      <c r="R80" s="1996"/>
      <c r="S80" s="1996"/>
      <c r="T80" s="1996"/>
      <c r="U80" s="1996"/>
      <c r="V80" s="1996"/>
      <c r="W80" s="1996"/>
      <c r="X80" s="1996"/>
      <c r="Y80" s="1996"/>
      <c r="Z80" s="1996"/>
      <c r="AA80" s="1996"/>
      <c r="AB80" s="1996"/>
      <c r="AC80" s="1996"/>
    </row>
    <row r="81" spans="1:29" s="1223" customFormat="1" ht="15.75" thickBot="1">
      <c r="A81" s="712"/>
      <c r="B81" s="681"/>
      <c r="C81" s="695"/>
      <c r="D81" s="674"/>
      <c r="E81" s="674"/>
      <c r="F81" s="674"/>
      <c r="G81" s="674"/>
      <c r="H81" s="674"/>
      <c r="I81" s="674"/>
      <c r="J81" s="674"/>
      <c r="K81" s="674"/>
      <c r="L81" s="674"/>
      <c r="M81" s="675"/>
      <c r="N81" s="2169"/>
      <c r="O81" s="2169"/>
      <c r="P81" s="2168"/>
      <c r="Q81" s="2161"/>
      <c r="R81" s="1996"/>
      <c r="S81" s="1996"/>
      <c r="T81" s="1996"/>
      <c r="U81" s="1996"/>
      <c r="V81" s="1996"/>
      <c r="W81" s="1996"/>
      <c r="X81" s="1996"/>
      <c r="Y81" s="1996"/>
      <c r="Z81" s="1996"/>
      <c r="AA81" s="1996"/>
      <c r="AB81" s="1996"/>
      <c r="AC81" s="1996"/>
    </row>
    <row r="82" spans="1:29" s="1223" customFormat="1" ht="15.75" thickTop="1">
      <c r="A82" s="712"/>
      <c r="B82" s="676">
        <f>B26</f>
        <v>111</v>
      </c>
      <c r="C82" s="691"/>
      <c r="D82" s="691"/>
      <c r="E82" s="691"/>
      <c r="F82" s="691"/>
      <c r="G82" s="691"/>
      <c r="H82" s="691"/>
      <c r="I82" s="691"/>
      <c r="J82" s="691"/>
      <c r="K82" s="691"/>
      <c r="L82" s="893"/>
      <c r="M82" s="894"/>
      <c r="N82" s="2165"/>
      <c r="O82" s="2165"/>
      <c r="P82" s="2168"/>
      <c r="Q82" s="2161"/>
      <c r="R82" s="1996"/>
      <c r="S82" s="1996"/>
      <c r="T82" s="1996"/>
      <c r="U82" s="1996"/>
      <c r="V82" s="1996"/>
      <c r="W82" s="1996"/>
      <c r="X82" s="1996"/>
      <c r="Y82" s="1996"/>
      <c r="Z82" s="1996"/>
      <c r="AA82" s="1996"/>
      <c r="AB82" s="1996"/>
      <c r="AC82" s="1996"/>
    </row>
    <row r="83" spans="1:29" s="1223" customFormat="1" ht="15.75" thickBot="1">
      <c r="A83" s="712"/>
      <c r="B83" s="681"/>
      <c r="C83" s="695"/>
      <c r="D83" s="674"/>
      <c r="E83" s="674"/>
      <c r="F83" s="674"/>
      <c r="G83" s="674"/>
      <c r="H83" s="674"/>
      <c r="I83" s="674"/>
      <c r="J83" s="674"/>
      <c r="K83" s="674"/>
      <c r="L83" s="674"/>
      <c r="M83" s="675"/>
      <c r="N83" s="2169"/>
      <c r="O83" s="2169"/>
      <c r="P83" s="2168"/>
      <c r="Q83" s="2161"/>
      <c r="R83" s="1996"/>
      <c r="S83" s="1996"/>
      <c r="T83" s="1996"/>
      <c r="U83" s="1996"/>
      <c r="V83" s="1996"/>
      <c r="W83" s="1996"/>
      <c r="X83" s="1996"/>
      <c r="Y83" s="1996"/>
      <c r="Z83" s="1996"/>
      <c r="AA83" s="1996"/>
      <c r="AB83" s="1996"/>
      <c r="AC83" s="1996"/>
    </row>
    <row r="84" spans="1:29" s="1342" customFormat="1" ht="15.75" thickTop="1">
      <c r="A84" s="690"/>
      <c r="B84" s="676">
        <f>B27</f>
        <v>111</v>
      </c>
      <c r="C84" s="691"/>
      <c r="D84" s="691"/>
      <c r="E84" s="691"/>
      <c r="F84" s="691"/>
      <c r="G84" s="691"/>
      <c r="H84" s="691"/>
      <c r="I84" s="691"/>
      <c r="J84" s="691"/>
      <c r="K84" s="691"/>
      <c r="L84" s="893"/>
      <c r="M84" s="8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6"/>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552</v>
      </c>
      <c r="B88" s="668" t="s">
        <v>748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2"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750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752</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7">
        <v>0.5</v>
      </c>
      <c r="D98" s="897">
        <v>0.6</v>
      </c>
      <c r="E98" s="897">
        <v>0.7</v>
      </c>
      <c r="F98" s="897">
        <v>0.8</v>
      </c>
      <c r="G98" s="897">
        <v>0.9</v>
      </c>
      <c r="H98" s="897">
        <v>1.0001</v>
      </c>
      <c r="I98" s="908"/>
      <c r="J98" s="908"/>
      <c r="K98" s="909"/>
      <c r="L98" s="910"/>
      <c r="M98" s="911"/>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2" customFormat="1" ht="15" thickTop="1">
      <c r="A100" s="731"/>
      <c r="B100" s="676" t="s">
        <v>754</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899" t="s">
        <v>2560</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756</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2"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2"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6"/>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1" t="s">
        <v>2078</v>
      </c>
      <c r="F3" s="854">
        <f>SUMIF('数据-取费表'!A5:A15,D1,'数据-取费表'!AH5:AH15)</f>
        <v>0</v>
      </c>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798</v>
      </c>
      <c r="B4" s="516"/>
      <c r="C4" s="3366" t="s">
        <v>799</v>
      </c>
      <c r="D4" s="3367"/>
      <c r="E4" s="3366" t="s">
        <v>800</v>
      </c>
      <c r="F4" s="3367"/>
      <c r="G4" s="3366" t="s">
        <v>801</v>
      </c>
      <c r="H4" s="3367"/>
      <c r="I4" s="3366" t="s">
        <v>802</v>
      </c>
      <c r="J4" s="3367"/>
      <c r="K4" s="517" t="s">
        <v>803</v>
      </c>
      <c r="L4" s="2136"/>
      <c r="M4" s="2137"/>
      <c r="N4" s="2137"/>
      <c r="O4" s="2137"/>
      <c r="P4" s="3368" t="s">
        <v>804</v>
      </c>
      <c r="Q4" s="3369"/>
      <c r="R4" s="3374" t="s">
        <v>800</v>
      </c>
      <c r="S4" s="3375"/>
      <c r="T4" s="3374" t="s">
        <v>801</v>
      </c>
      <c r="U4" s="3375"/>
      <c r="V4" s="3361" t="s">
        <v>802</v>
      </c>
      <c r="W4" s="3361"/>
      <c r="X4" s="1571"/>
      <c r="Y4" s="3374" t="s">
        <v>804</v>
      </c>
      <c r="Z4" s="3375"/>
      <c r="AA4" s="3363" t="s">
        <v>800</v>
      </c>
      <c r="AB4" s="3364" t="s">
        <v>801</v>
      </c>
      <c r="AC4" s="3363" t="s">
        <v>802</v>
      </c>
    </row>
    <row r="5" spans="1:29" ht="15">
      <c r="A5" s="518"/>
      <c r="B5" s="519"/>
      <c r="C5" s="3384" t="s">
        <v>2933</v>
      </c>
      <c r="D5" s="3383"/>
      <c r="E5" s="3384" t="s">
        <v>2934</v>
      </c>
      <c r="F5" s="3383"/>
      <c r="G5" s="3384" t="s">
        <v>2935</v>
      </c>
      <c r="H5" s="3383"/>
      <c r="I5" s="3384" t="s">
        <v>2936</v>
      </c>
      <c r="J5" s="3383"/>
      <c r="K5" s="517"/>
      <c r="L5" s="2136"/>
      <c r="M5" s="2137"/>
      <c r="N5" s="2137"/>
      <c r="O5" s="2137"/>
      <c r="P5" s="3370"/>
      <c r="Q5" s="3371"/>
      <c r="R5" s="3376"/>
      <c r="S5" s="3377"/>
      <c r="T5" s="3376"/>
      <c r="U5" s="3377"/>
      <c r="V5" s="3361"/>
      <c r="W5" s="3361"/>
      <c r="X5" s="1571"/>
      <c r="Y5" s="3376"/>
      <c r="Z5" s="3377"/>
      <c r="AA5" s="3364"/>
      <c r="AB5" s="3364"/>
      <c r="AC5" s="3364"/>
    </row>
    <row r="6" spans="1:29" ht="15.75" thickBot="1">
      <c r="A6" s="520"/>
      <c r="B6" s="521"/>
      <c r="C6" s="3400" t="s">
        <v>2937</v>
      </c>
      <c r="D6" s="3381"/>
      <c r="E6" s="3385" t="s">
        <v>2937</v>
      </c>
      <c r="F6" s="3386"/>
      <c r="G6" s="3400" t="s">
        <v>2937</v>
      </c>
      <c r="H6" s="3381"/>
      <c r="I6" s="3400" t="s">
        <v>2937</v>
      </c>
      <c r="J6" s="3381"/>
      <c r="K6" s="517" t="s">
        <v>529</v>
      </c>
      <c r="L6" s="2136"/>
      <c r="M6" s="2137"/>
      <c r="N6" s="2137"/>
      <c r="O6" s="2137"/>
      <c r="P6" s="3372"/>
      <c r="Q6" s="3373"/>
      <c r="R6" s="3376"/>
      <c r="S6" s="3377"/>
      <c r="T6" s="3378"/>
      <c r="U6" s="3379"/>
      <c r="V6" s="3361"/>
      <c r="W6" s="3361"/>
      <c r="X6" s="1571"/>
      <c r="Y6" s="3378"/>
      <c r="Z6" s="3379"/>
      <c r="AA6" s="3365"/>
      <c r="AB6" s="3365"/>
      <c r="AC6" s="3365"/>
    </row>
    <row r="7" spans="1:29" s="1223" customFormat="1" ht="15.75" thickBot="1">
      <c r="A7" s="2943"/>
      <c r="B7" s="2950" t="s">
        <v>530</v>
      </c>
      <c r="C7" s="522">
        <f>'数据-取费表'!B2</f>
        <v>43018</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93" t="s">
        <v>531</v>
      </c>
      <c r="Q7" s="3395"/>
      <c r="R7" s="1572" t="s">
        <v>8</v>
      </c>
      <c r="S7" s="1573">
        <f t="shared" ref="S7:S14" si="0">F7</f>
        <v>0</v>
      </c>
      <c r="T7" s="1572" t="s">
        <v>8</v>
      </c>
      <c r="U7" s="1573">
        <f t="shared" ref="U7:U14" si="1">H7</f>
        <v>0</v>
      </c>
      <c r="V7" s="1572" t="s">
        <v>8</v>
      </c>
      <c r="W7" s="1573">
        <f t="shared" ref="W7:W14" si="2">J7</f>
        <v>0</v>
      </c>
      <c r="X7" s="1574"/>
      <c r="Y7" s="3393" t="s">
        <v>531</v>
      </c>
      <c r="Z7" s="3394"/>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93" t="s">
        <v>534</v>
      </c>
      <c r="Q8" s="3394"/>
      <c r="R8" s="1572" t="s">
        <v>8</v>
      </c>
      <c r="S8" s="1573">
        <f t="shared" si="0"/>
        <v>0</v>
      </c>
      <c r="T8" s="1572" t="s">
        <v>8</v>
      </c>
      <c r="U8" s="1573">
        <f t="shared" si="1"/>
        <v>0</v>
      </c>
      <c r="V8" s="1572" t="s">
        <v>8</v>
      </c>
      <c r="W8" s="1573">
        <f t="shared" si="2"/>
        <v>0</v>
      </c>
      <c r="X8" s="1574"/>
      <c r="Y8" s="3393" t="s">
        <v>534</v>
      </c>
      <c r="Z8" s="3394"/>
      <c r="AA8" s="1575" t="e">
        <f t="shared" ref="AA8:AA36" si="3">D8/F8</f>
        <v>#DIV/0!</v>
      </c>
      <c r="AB8" s="1575" t="e">
        <f t="shared" ref="AB8:AB36" si="4">D8/H8</f>
        <v>#DIV/0!</v>
      </c>
      <c r="AC8" s="1575" t="e">
        <f t="shared" ref="AC8:AC36" si="5">D8/J8</f>
        <v>#DIV/0!</v>
      </c>
    </row>
    <row r="9" spans="1:29" s="1223" customFormat="1" ht="15">
      <c r="A9" s="2945"/>
      <c r="B9" s="2952" t="s">
        <v>2762</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60" t="s">
        <v>536</v>
      </c>
      <c r="Q9" s="1154" t="str">
        <f t="shared" ref="Q9:Q14" si="6">B9</f>
        <v>用途</v>
      </c>
      <c r="R9" s="1572" t="s">
        <v>8</v>
      </c>
      <c r="S9" s="1573">
        <f t="shared" si="0"/>
        <v>100</v>
      </c>
      <c r="T9" s="1572" t="s">
        <v>8</v>
      </c>
      <c r="U9" s="1573">
        <f t="shared" si="1"/>
        <v>100</v>
      </c>
      <c r="V9" s="1572" t="s">
        <v>8</v>
      </c>
      <c r="W9" s="1573">
        <f t="shared" si="2"/>
        <v>100</v>
      </c>
      <c r="X9" s="1574"/>
      <c r="Y9" s="3306" t="s">
        <v>537</v>
      </c>
      <c r="Z9" s="1153" t="str">
        <f t="shared" ref="Z9:Z14" si="7">Q9</f>
        <v>用途</v>
      </c>
      <c r="AA9" s="1575">
        <f t="shared" si="3"/>
        <v>1</v>
      </c>
      <c r="AB9" s="1575">
        <f t="shared" si="4"/>
        <v>1</v>
      </c>
      <c r="AC9" s="1575">
        <f t="shared" si="5"/>
        <v>1</v>
      </c>
    </row>
    <row r="10" spans="1:29" s="1341" customFormat="1" ht="27">
      <c r="A10" s="2946"/>
      <c r="B10" s="2951" t="s">
        <v>2763</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60"/>
      <c r="Q10" s="1154" t="str">
        <f t="shared" si="6"/>
        <v>土地使用年限（年）</v>
      </c>
      <c r="R10" s="1572" t="s">
        <v>8</v>
      </c>
      <c r="S10" s="1573">
        <f t="shared" si="0"/>
        <v>100</v>
      </c>
      <c r="T10" s="1572" t="s">
        <v>8</v>
      </c>
      <c r="U10" s="1573">
        <f t="shared" si="1"/>
        <v>100</v>
      </c>
      <c r="V10" s="1572" t="s">
        <v>8</v>
      </c>
      <c r="W10" s="1573">
        <f t="shared" si="2"/>
        <v>100</v>
      </c>
      <c r="X10" s="1574"/>
      <c r="Y10" s="3306"/>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60"/>
      <c r="Q11" s="1154">
        <f t="shared" si="6"/>
        <v>111</v>
      </c>
      <c r="R11" s="1572" t="s">
        <v>8</v>
      </c>
      <c r="S11" s="1573">
        <f t="shared" si="0"/>
        <v>100</v>
      </c>
      <c r="T11" s="1572" t="s">
        <v>8</v>
      </c>
      <c r="U11" s="1573">
        <f t="shared" si="1"/>
        <v>100</v>
      </c>
      <c r="V11" s="1572" t="s">
        <v>8</v>
      </c>
      <c r="W11" s="1573">
        <f t="shared" si="2"/>
        <v>100</v>
      </c>
      <c r="X11" s="1574"/>
      <c r="Y11" s="3306"/>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60"/>
      <c r="Q12" s="1154">
        <f t="shared" si="6"/>
        <v>111</v>
      </c>
      <c r="R12" s="1572" t="s">
        <v>8</v>
      </c>
      <c r="S12" s="1573">
        <f t="shared" si="0"/>
        <v>100</v>
      </c>
      <c r="T12" s="1572" t="s">
        <v>8</v>
      </c>
      <c r="U12" s="1573">
        <f t="shared" si="1"/>
        <v>100</v>
      </c>
      <c r="V12" s="1572" t="s">
        <v>8</v>
      </c>
      <c r="W12" s="1573">
        <f t="shared" si="2"/>
        <v>100</v>
      </c>
      <c r="X12" s="1574"/>
      <c r="Y12" s="3306"/>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60"/>
      <c r="Q13" s="1154">
        <f t="shared" si="6"/>
        <v>111</v>
      </c>
      <c r="R13" s="1572" t="s">
        <v>8</v>
      </c>
      <c r="S13" s="1573">
        <f t="shared" si="0"/>
        <v>100</v>
      </c>
      <c r="T13" s="1572" t="s">
        <v>8</v>
      </c>
      <c r="U13" s="1573">
        <f t="shared" si="1"/>
        <v>100</v>
      </c>
      <c r="V13" s="1572" t="s">
        <v>8</v>
      </c>
      <c r="W13" s="1573">
        <f t="shared" si="2"/>
        <v>100</v>
      </c>
      <c r="X13" s="1574"/>
      <c r="Y13" s="3306"/>
      <c r="Z13" s="1153">
        <f t="shared" si="7"/>
        <v>111</v>
      </c>
      <c r="AA13" s="1575">
        <f t="shared" si="3"/>
        <v>1</v>
      </c>
      <c r="AB13" s="1575">
        <f t="shared" si="4"/>
        <v>1</v>
      </c>
      <c r="AC13" s="1575">
        <f t="shared" si="5"/>
        <v>1</v>
      </c>
    </row>
    <row r="14" spans="1:29" ht="85.5">
      <c r="A14" s="2941" t="s">
        <v>2760</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5"/>
      <c r="M14" s="2137"/>
      <c r="N14" s="2137"/>
      <c r="O14" s="2144"/>
      <c r="P14" s="3396" t="s">
        <v>541</v>
      </c>
      <c r="Q14" s="1576" t="str">
        <f t="shared" si="6"/>
        <v>交通便捷度</v>
      </c>
      <c r="R14" s="1577" t="s">
        <v>8</v>
      </c>
      <c r="S14" s="1578">
        <f t="shared" si="0"/>
        <v>100</v>
      </c>
      <c r="T14" s="1577" t="s">
        <v>8</v>
      </c>
      <c r="U14" s="1578">
        <f t="shared" si="1"/>
        <v>100</v>
      </c>
      <c r="V14" s="1577" t="s">
        <v>8</v>
      </c>
      <c r="W14" s="1578">
        <f t="shared" si="2"/>
        <v>100</v>
      </c>
      <c r="X14" s="1571"/>
      <c r="Y14" s="3396"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5"/>
      <c r="M15" s="2137"/>
      <c r="N15" s="2137"/>
      <c r="O15" s="2144"/>
      <c r="P15" s="3397"/>
      <c r="Q15" s="1576"/>
      <c r="R15" s="1577"/>
      <c r="S15" s="1578"/>
      <c r="T15" s="1577"/>
      <c r="U15" s="1578"/>
      <c r="V15" s="1577"/>
      <c r="W15" s="1578"/>
      <c r="X15" s="1571"/>
      <c r="Y15" s="3397"/>
      <c r="Z15" s="1579"/>
      <c r="AA15" s="1580">
        <v>1</v>
      </c>
      <c r="AB15" s="1580">
        <v>1</v>
      </c>
      <c r="AC15" s="1580">
        <v>1</v>
      </c>
    </row>
    <row r="16" spans="1:29" ht="42.75">
      <c r="A16" s="518"/>
      <c r="B16" s="2630" t="s">
        <v>2550</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5"/>
      <c r="M16" s="2137"/>
      <c r="N16" s="2137"/>
      <c r="O16" s="2144"/>
      <c r="P16" s="3397"/>
      <c r="Q16" s="1576" t="str">
        <f>B16</f>
        <v>公共配套设施</v>
      </c>
      <c r="R16" s="1577" t="s">
        <v>8</v>
      </c>
      <c r="S16" s="1578">
        <f>F16</f>
        <v>100</v>
      </c>
      <c r="T16" s="1577" t="s">
        <v>8</v>
      </c>
      <c r="U16" s="1578">
        <f>H16</f>
        <v>100</v>
      </c>
      <c r="V16" s="1577" t="s">
        <v>8</v>
      </c>
      <c r="W16" s="1578">
        <f>J16</f>
        <v>100</v>
      </c>
      <c r="X16" s="1571"/>
      <c r="Y16" s="3397"/>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5"/>
      <c r="M17" s="2137"/>
      <c r="N17" s="2137"/>
      <c r="O17" s="2144"/>
      <c r="P17" s="3397"/>
      <c r="Q17" s="1576"/>
      <c r="R17" s="1577"/>
      <c r="S17" s="1578"/>
      <c r="T17" s="1577"/>
      <c r="U17" s="1578"/>
      <c r="V17" s="1577"/>
      <c r="W17" s="1578"/>
      <c r="X17" s="1571"/>
      <c r="Y17" s="3397"/>
      <c r="Z17" s="1579"/>
      <c r="AA17" s="1580">
        <v>1</v>
      </c>
      <c r="AB17" s="1580">
        <v>1</v>
      </c>
      <c r="AC17" s="1580">
        <v>1</v>
      </c>
    </row>
    <row r="18" spans="1:29" ht="28.5">
      <c r="A18" s="518"/>
      <c r="B18" s="2618" t="s">
        <v>2562</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5"/>
      <c r="M18" s="2137"/>
      <c r="N18" s="2137"/>
      <c r="O18" s="2144"/>
      <c r="P18" s="3397"/>
      <c r="Q18" s="2606" t="str">
        <f>B18</f>
        <v>基础设施水平</v>
      </c>
      <c r="R18" s="1577" t="s">
        <v>8</v>
      </c>
      <c r="S18" s="1578">
        <f>F18</f>
        <v>100</v>
      </c>
      <c r="T18" s="1577" t="s">
        <v>8</v>
      </c>
      <c r="U18" s="1578">
        <f>H18</f>
        <v>100</v>
      </c>
      <c r="V18" s="1577" t="s">
        <v>8</v>
      </c>
      <c r="W18" s="1578">
        <f>J18</f>
        <v>100</v>
      </c>
      <c r="X18" s="2608"/>
      <c r="Y18" s="3397"/>
      <c r="Z18" s="2607"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29"/>
      <c r="L19" s="2145"/>
      <c r="M19" s="2137"/>
      <c r="N19" s="2137"/>
      <c r="O19" s="2144"/>
      <c r="P19" s="3397"/>
      <c r="Q19" s="2606"/>
      <c r="R19" s="1577"/>
      <c r="S19" s="1578"/>
      <c r="T19" s="1577"/>
      <c r="U19" s="1578"/>
      <c r="V19" s="1577"/>
      <c r="W19" s="1578"/>
      <c r="X19" s="2608"/>
      <c r="Y19" s="3397"/>
      <c r="Z19" s="2607"/>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5"/>
      <c r="M20" s="2137"/>
      <c r="N20" s="2137"/>
      <c r="O20" s="2144"/>
      <c r="P20" s="3397"/>
      <c r="Q20" s="1576" t="str">
        <f>B20</f>
        <v>自然及人文环境</v>
      </c>
      <c r="R20" s="1577" t="s">
        <v>8</v>
      </c>
      <c r="S20" s="1578">
        <f>F20</f>
        <v>100</v>
      </c>
      <c r="T20" s="1577" t="s">
        <v>8</v>
      </c>
      <c r="U20" s="1578">
        <f>H20</f>
        <v>100</v>
      </c>
      <c r="V20" s="1577" t="s">
        <v>8</v>
      </c>
      <c r="W20" s="1578">
        <f>J20</f>
        <v>100</v>
      </c>
      <c r="X20" s="1571"/>
      <c r="Y20" s="3397"/>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5"/>
      <c r="M21" s="2137"/>
      <c r="N21" s="2137"/>
      <c r="O21" s="2144"/>
      <c r="P21" s="3397"/>
      <c r="Q21" s="1576"/>
      <c r="R21" s="1577"/>
      <c r="S21" s="1578"/>
      <c r="T21" s="1577"/>
      <c r="U21" s="1578"/>
      <c r="V21" s="1577"/>
      <c r="W21" s="1578"/>
      <c r="X21" s="1571"/>
      <c r="Y21" s="3397"/>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97"/>
      <c r="Q22" s="1576" t="str">
        <f>B22</f>
        <v>楼层</v>
      </c>
      <c r="R22" s="1577" t="s">
        <v>8</v>
      </c>
      <c r="S22" s="1578">
        <f>F22</f>
        <v>100</v>
      </c>
      <c r="T22" s="1577" t="s">
        <v>8</v>
      </c>
      <c r="U22" s="1578">
        <f>H22</f>
        <v>100</v>
      </c>
      <c r="V22" s="1577" t="s">
        <v>8</v>
      </c>
      <c r="W22" s="1578">
        <f>J22</f>
        <v>100</v>
      </c>
      <c r="X22" s="1571"/>
      <c r="Y22" s="3397"/>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97"/>
      <c r="Q23" s="1576">
        <f>B23</f>
        <v>111</v>
      </c>
      <c r="R23" s="1577" t="s">
        <v>8</v>
      </c>
      <c r="S23" s="1578">
        <f>F23</f>
        <v>100</v>
      </c>
      <c r="T23" s="1577" t="s">
        <v>8</v>
      </c>
      <c r="U23" s="1578">
        <f>H23</f>
        <v>100</v>
      </c>
      <c r="V23" s="1577" t="s">
        <v>8</v>
      </c>
      <c r="W23" s="1578">
        <f>J23</f>
        <v>100</v>
      </c>
      <c r="X23" s="1571"/>
      <c r="Y23" s="3397"/>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97"/>
      <c r="Q24" s="1576">
        <f t="shared" ref="Q24:Q36" si="11">B24</f>
        <v>111</v>
      </c>
      <c r="R24" s="1577" t="s">
        <v>8</v>
      </c>
      <c r="S24" s="1578">
        <f>F24</f>
        <v>100</v>
      </c>
      <c r="T24" s="1577" t="s">
        <v>8</v>
      </c>
      <c r="U24" s="1578">
        <f>H24</f>
        <v>100</v>
      </c>
      <c r="V24" s="1577" t="s">
        <v>8</v>
      </c>
      <c r="W24" s="1578">
        <f>J24</f>
        <v>100</v>
      </c>
      <c r="X24" s="1571"/>
      <c r="Y24" s="3397"/>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8"/>
      <c r="M25" s="2139"/>
      <c r="N25" s="2139"/>
      <c r="O25" s="2140"/>
      <c r="P25" s="3397"/>
      <c r="Q25" s="1154">
        <f t="shared" si="11"/>
        <v>111</v>
      </c>
      <c r="R25" s="1572" t="s">
        <v>8</v>
      </c>
      <c r="S25" s="1573">
        <f>F25</f>
        <v>100</v>
      </c>
      <c r="T25" s="1572" t="s">
        <v>8</v>
      </c>
      <c r="U25" s="1573">
        <f>H25</f>
        <v>100</v>
      </c>
      <c r="V25" s="1572" t="s">
        <v>8</v>
      </c>
      <c r="W25" s="1573">
        <f>J25</f>
        <v>100</v>
      </c>
      <c r="X25" s="1574"/>
      <c r="Y25" s="3397"/>
      <c r="Z25" s="1153">
        <f>Q25</f>
        <v>111</v>
      </c>
      <c r="AA25" s="1580">
        <f>D25/F25</f>
        <v>1</v>
      </c>
      <c r="AB25" s="1580">
        <f>D25/H25</f>
        <v>1</v>
      </c>
      <c r="AC25" s="1580">
        <f>D25/J25</f>
        <v>1</v>
      </c>
    </row>
    <row r="26" spans="1:29" ht="15">
      <c r="A26" s="2938" t="s">
        <v>2761</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98"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99"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3"/>
      <c r="M27" s="2174"/>
      <c r="N27" s="2174"/>
      <c r="O27" s="2146"/>
      <c r="P27" s="3399"/>
      <c r="Q27" s="1609" t="str">
        <f t="shared" si="11"/>
        <v>项目停车位配比</v>
      </c>
      <c r="R27" s="1581" t="s">
        <v>8</v>
      </c>
      <c r="S27" s="1582">
        <f t="shared" si="12"/>
        <v>100</v>
      </c>
      <c r="T27" s="1581" t="s">
        <v>8</v>
      </c>
      <c r="U27" s="1582">
        <f t="shared" si="13"/>
        <v>100</v>
      </c>
      <c r="V27" s="1581" t="s">
        <v>8</v>
      </c>
      <c r="W27" s="1582">
        <f t="shared" si="14"/>
        <v>100</v>
      </c>
      <c r="X27" s="1583"/>
      <c r="Y27" s="3399"/>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99"/>
      <c r="Q28" s="1576" t="str">
        <f t="shared" si="11"/>
        <v>公共部分装修</v>
      </c>
      <c r="R28" s="1577" t="s">
        <v>8</v>
      </c>
      <c r="S28" s="1578">
        <f t="shared" si="12"/>
        <v>100</v>
      </c>
      <c r="T28" s="1577" t="s">
        <v>8</v>
      </c>
      <c r="U28" s="1578">
        <f t="shared" si="13"/>
        <v>100</v>
      </c>
      <c r="V28" s="1577" t="s">
        <v>8</v>
      </c>
      <c r="W28" s="1578">
        <f t="shared" si="14"/>
        <v>100</v>
      </c>
      <c r="X28" s="1571"/>
      <c r="Y28" s="3399"/>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5"/>
      <c r="M29" s="2137"/>
      <c r="N29" s="2137"/>
      <c r="O29" s="2144"/>
      <c r="P29" s="3399"/>
      <c r="Q29" s="1576" t="str">
        <f t="shared" si="11"/>
        <v>成新率</v>
      </c>
      <c r="R29" s="1577" t="s">
        <v>8</v>
      </c>
      <c r="S29" s="1578" t="e">
        <f t="shared" si="12"/>
        <v>#N/A</v>
      </c>
      <c r="T29" s="1577" t="s">
        <v>8</v>
      </c>
      <c r="U29" s="1578" t="e">
        <f t="shared" si="13"/>
        <v>#N/A</v>
      </c>
      <c r="V29" s="1577" t="s">
        <v>8</v>
      </c>
      <c r="W29" s="1578" t="e">
        <f t="shared" si="14"/>
        <v>#N/A</v>
      </c>
      <c r="X29" s="1571"/>
      <c r="Y29" s="3399"/>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5"/>
      <c r="M30" s="2137"/>
      <c r="N30" s="2137"/>
      <c r="O30" s="2144"/>
      <c r="P30" s="3399"/>
      <c r="Q30" s="1576" t="str">
        <f t="shared" si="11"/>
        <v>物业等级</v>
      </c>
      <c r="R30" s="1577" t="s">
        <v>8</v>
      </c>
      <c r="S30" s="1578">
        <f t="shared" si="12"/>
        <v>100</v>
      </c>
      <c r="T30" s="1577" t="s">
        <v>8</v>
      </c>
      <c r="U30" s="1578">
        <f t="shared" si="13"/>
        <v>100</v>
      </c>
      <c r="V30" s="1577" t="s">
        <v>8</v>
      </c>
      <c r="W30" s="1578">
        <f t="shared" si="14"/>
        <v>100</v>
      </c>
      <c r="X30" s="1571"/>
      <c r="Y30" s="3399"/>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8"/>
      <c r="M31" s="2139"/>
      <c r="N31" s="2139"/>
      <c r="O31" s="2140"/>
      <c r="P31" s="3399"/>
      <c r="Q31" s="1154" t="str">
        <f t="shared" si="11"/>
        <v>停车位面积</v>
      </c>
      <c r="R31" s="1572" t="s">
        <v>8</v>
      </c>
      <c r="S31" s="1573" t="e">
        <f t="shared" si="12"/>
        <v>#N/A</v>
      </c>
      <c r="T31" s="1572" t="s">
        <v>8</v>
      </c>
      <c r="U31" s="1573" t="e">
        <f t="shared" si="13"/>
        <v>#N/A</v>
      </c>
      <c r="V31" s="1572" t="s">
        <v>8</v>
      </c>
      <c r="W31" s="1573" t="e">
        <f t="shared" si="14"/>
        <v>#N/A</v>
      </c>
      <c r="X31" s="1574"/>
      <c r="Y31" s="3399"/>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99" t="s">
        <v>551</v>
      </c>
      <c r="Q32" s="1576" t="str">
        <f t="shared" si="11"/>
        <v>车位类型</v>
      </c>
      <c r="R32" s="1577" t="s">
        <v>8</v>
      </c>
      <c r="S32" s="1578">
        <f t="shared" si="12"/>
        <v>100</v>
      </c>
      <c r="T32" s="1577" t="s">
        <v>8</v>
      </c>
      <c r="U32" s="1578">
        <f t="shared" si="13"/>
        <v>100</v>
      </c>
      <c r="V32" s="1577" t="s">
        <v>8</v>
      </c>
      <c r="W32" s="1578">
        <f t="shared" si="14"/>
        <v>100</v>
      </c>
      <c r="X32" s="1571"/>
      <c r="Y32" s="3399"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99"/>
      <c r="Q33" s="1576" t="str">
        <f t="shared" si="11"/>
        <v>是否直接入户</v>
      </c>
      <c r="R33" s="1577" t="s">
        <v>8</v>
      </c>
      <c r="S33" s="1578">
        <f t="shared" si="12"/>
        <v>100</v>
      </c>
      <c r="T33" s="1577" t="s">
        <v>8</v>
      </c>
      <c r="U33" s="1578">
        <f t="shared" si="13"/>
        <v>100</v>
      </c>
      <c r="V33" s="1577" t="s">
        <v>8</v>
      </c>
      <c r="W33" s="1578">
        <f t="shared" si="14"/>
        <v>100</v>
      </c>
      <c r="X33" s="1571"/>
      <c r="Y33" s="3399"/>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99"/>
      <c r="Q34" s="1576">
        <f t="shared" si="11"/>
        <v>111</v>
      </c>
      <c r="R34" s="1577" t="s">
        <v>8</v>
      </c>
      <c r="S34" s="1578">
        <f t="shared" si="12"/>
        <v>100</v>
      </c>
      <c r="T34" s="1577" t="s">
        <v>8</v>
      </c>
      <c r="U34" s="1578">
        <f t="shared" si="13"/>
        <v>100</v>
      </c>
      <c r="V34" s="1577" t="s">
        <v>8</v>
      </c>
      <c r="W34" s="1578">
        <f t="shared" si="14"/>
        <v>100</v>
      </c>
      <c r="X34" s="1571"/>
      <c r="Y34" s="3399"/>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99"/>
      <c r="Q35" s="1609">
        <f t="shared" si="11"/>
        <v>111</v>
      </c>
      <c r="R35" s="1581" t="s">
        <v>8</v>
      </c>
      <c r="S35" s="1582">
        <f t="shared" si="12"/>
        <v>100</v>
      </c>
      <c r="T35" s="1581" t="s">
        <v>8</v>
      </c>
      <c r="U35" s="1582">
        <f t="shared" si="13"/>
        <v>100</v>
      </c>
      <c r="V35" s="1581" t="s">
        <v>8</v>
      </c>
      <c r="W35" s="1582">
        <f t="shared" si="14"/>
        <v>100</v>
      </c>
      <c r="X35" s="1583"/>
      <c r="Y35" s="3399"/>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99"/>
      <c r="Q36" s="1576">
        <f t="shared" si="11"/>
        <v>111</v>
      </c>
      <c r="R36" s="1577" t="s">
        <v>8</v>
      </c>
      <c r="S36" s="1578">
        <f t="shared" si="12"/>
        <v>100</v>
      </c>
      <c r="T36" s="1577" t="s">
        <v>8</v>
      </c>
      <c r="U36" s="1578">
        <f t="shared" si="13"/>
        <v>100</v>
      </c>
      <c r="V36" s="1577" t="s">
        <v>8</v>
      </c>
      <c r="W36" s="1578">
        <f t="shared" si="14"/>
        <v>100</v>
      </c>
      <c r="X36" s="1571"/>
      <c r="Y36" s="3399"/>
      <c r="Z36" s="1579">
        <f t="shared" si="15"/>
        <v>111</v>
      </c>
      <c r="AA36" s="1580">
        <f t="shared" si="3"/>
        <v>1</v>
      </c>
      <c r="AB36" s="1580">
        <f t="shared" si="4"/>
        <v>1</v>
      </c>
      <c r="AC36" s="1580">
        <f t="shared" si="5"/>
        <v>1</v>
      </c>
    </row>
    <row r="37" spans="1:29" ht="15">
      <c r="A37" s="1849" t="s">
        <v>2079</v>
      </c>
      <c r="B37" s="1850" t="s">
        <v>2080</v>
      </c>
      <c r="C37" s="2654" t="s">
        <v>1</v>
      </c>
      <c r="D37" s="2655"/>
      <c r="E37" s="2656"/>
      <c r="F37" s="2657"/>
      <c r="G37" s="2658"/>
      <c r="H37" s="2659"/>
      <c r="I37" s="2656"/>
      <c r="J37" s="2659"/>
      <c r="K37" s="1615"/>
      <c r="L37" s="2147"/>
      <c r="M37" s="2148"/>
      <c r="N37" s="2137"/>
      <c r="O37" s="2148"/>
      <c r="P37" s="3360" t="str">
        <f>A37</f>
        <v>成交单价</v>
      </c>
      <c r="Q37" s="3360"/>
      <c r="R37" s="3453">
        <f>E37</f>
        <v>0</v>
      </c>
      <c r="S37" s="3453"/>
      <c r="T37" s="3453">
        <f>G37</f>
        <v>0</v>
      </c>
      <c r="U37" s="3453"/>
      <c r="V37" s="3453">
        <f>I37</f>
        <v>0</v>
      </c>
      <c r="W37" s="3453"/>
      <c r="X37" s="1563"/>
      <c r="Y37" s="1585"/>
      <c r="Z37" s="1563"/>
      <c r="AA37" s="1563"/>
      <c r="AB37" s="1563"/>
      <c r="AC37" s="1563"/>
    </row>
    <row r="38" spans="1:29" ht="15.75" thickBot="1">
      <c r="A38" s="618" t="s">
        <v>2766</v>
      </c>
      <c r="B38" s="891"/>
      <c r="C38" s="2660" t="e">
        <f>R39</f>
        <v>#DIV/0!</v>
      </c>
      <c r="D38" s="2661"/>
      <c r="E38" s="2662" t="e">
        <f>R38</f>
        <v>#DIV/0!</v>
      </c>
      <c r="F38" s="2662"/>
      <c r="G38" s="2660" t="e">
        <f>T38</f>
        <v>#DIV/0!</v>
      </c>
      <c r="H38" s="2661"/>
      <c r="I38" s="2662" t="e">
        <f>V38</f>
        <v>#DIV/0!</v>
      </c>
      <c r="J38" s="2661"/>
      <c r="K38" s="1616"/>
      <c r="L38" s="2147"/>
      <c r="M38" s="2148"/>
      <c r="N38" s="2148"/>
      <c r="O38" s="2148"/>
      <c r="P38" s="3360" t="str">
        <f>A38</f>
        <v>比较价格（元/平方米）</v>
      </c>
      <c r="Q38" s="3360"/>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1563"/>
      <c r="Y38" s="1563"/>
      <c r="Z38" s="1563"/>
      <c r="AA38" s="1563"/>
      <c r="AB38" s="1563"/>
      <c r="AC38" s="1563"/>
    </row>
    <row r="39" spans="1:29" ht="15.75" thickBot="1">
      <c r="A39" s="624" t="s">
        <v>2939</v>
      </c>
      <c r="B39" s="625"/>
      <c r="C39" s="2663" t="e">
        <f>R39</f>
        <v>#DIV/0!</v>
      </c>
      <c r="D39" s="2663"/>
      <c r="E39" s="2663"/>
      <c r="F39" s="2663"/>
      <c r="G39" s="2663"/>
      <c r="H39" s="2663"/>
      <c r="I39" s="2663"/>
      <c r="J39" s="2663"/>
      <c r="K39" s="1617"/>
      <c r="L39" s="2147"/>
      <c r="M39" s="2148"/>
      <c r="N39" s="2148"/>
      <c r="O39" s="2148"/>
      <c r="P39" s="3357" t="str">
        <f>A39</f>
        <v>估价对象XX用房的比较价格（楼面单价，元/平方米）</v>
      </c>
      <c r="Q39" s="3358"/>
      <c r="R39" s="3452" t="e">
        <f>IF(F1="售价",ROUND(AVERAGE(R38:V38),0),ROUND(AVERAGE(R38:V38),1))</f>
        <v>#DIV/0!</v>
      </c>
      <c r="S39" s="3452"/>
      <c r="T39" s="3452"/>
      <c r="U39" s="3452"/>
      <c r="V39" s="3452"/>
      <c r="W39" s="3452"/>
      <c r="X39" s="1563"/>
      <c r="Y39" s="1563"/>
      <c r="Z39" s="1563"/>
      <c r="AA39" s="1563"/>
      <c r="AB39" s="1563"/>
      <c r="AC39" s="1563"/>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8" customFormat="1" ht="13.5" customHeight="1">
      <c r="A44" s="2149"/>
      <c r="B44" s="2149"/>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8"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8" t="s">
        <v>575</v>
      </c>
      <c r="B47" s="1563"/>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50" customFormat="1" ht="15">
      <c r="A48" s="648" t="s">
        <v>530</v>
      </c>
      <c r="B48" s="649"/>
      <c r="C48" s="2833" t="str">
        <f>YEAR(C7)&amp;"-"&amp;MONTH(C7)</f>
        <v>2017-10</v>
      </c>
      <c r="D48" s="2835">
        <f>EDATE(C48,-1)</f>
        <v>42979</v>
      </c>
      <c r="E48" s="2835">
        <f t="shared" ref="E48:O48" si="16">EDATE(D48,-1)</f>
        <v>42948</v>
      </c>
      <c r="F48" s="2835">
        <f t="shared" si="16"/>
        <v>42917</v>
      </c>
      <c r="G48" s="2835">
        <f t="shared" si="16"/>
        <v>42887</v>
      </c>
      <c r="H48" s="2835">
        <f t="shared" si="16"/>
        <v>42856</v>
      </c>
      <c r="I48" s="2835">
        <f t="shared" si="16"/>
        <v>42826</v>
      </c>
      <c r="J48" s="2835">
        <f t="shared" si="16"/>
        <v>42795</v>
      </c>
      <c r="K48" s="2835">
        <f t="shared" si="16"/>
        <v>42767</v>
      </c>
      <c r="L48" s="2835">
        <f t="shared" si="16"/>
        <v>42736</v>
      </c>
      <c r="M48" s="2835">
        <f t="shared" si="16"/>
        <v>42705</v>
      </c>
      <c r="N48" s="2835">
        <f t="shared" si="16"/>
        <v>42675</v>
      </c>
      <c r="O48" s="2835">
        <f t="shared" si="16"/>
        <v>42644</v>
      </c>
      <c r="P48" s="2163"/>
      <c r="Q48" s="2164"/>
      <c r="R48" s="2164"/>
      <c r="S48" s="2164"/>
      <c r="T48" s="2164"/>
      <c r="U48" s="2164"/>
      <c r="V48" s="2164"/>
      <c r="W48" s="2164"/>
      <c r="X48" s="2164"/>
      <c r="Y48" s="2164"/>
      <c r="Z48" s="2164"/>
      <c r="AA48" s="2164"/>
      <c r="AB48" s="2164"/>
      <c r="AC48" s="2164"/>
    </row>
    <row r="49" spans="1:29" s="1223" customFormat="1" ht="15">
      <c r="A49" s="650"/>
      <c r="B49" s="651"/>
      <c r="C49" s="2834">
        <v>100</v>
      </c>
      <c r="D49" s="653"/>
      <c r="E49" s="653"/>
      <c r="F49" s="653"/>
      <c r="G49" s="653"/>
      <c r="H49" s="653"/>
      <c r="I49" s="653"/>
      <c r="J49" s="653"/>
      <c r="K49" s="653"/>
      <c r="L49" s="653"/>
      <c r="M49" s="654"/>
      <c r="N49" s="653"/>
      <c r="O49" s="655"/>
      <c r="P49" s="2161"/>
      <c r="Q49" s="1996"/>
      <c r="R49" s="1996"/>
      <c r="S49" s="1996"/>
      <c r="T49" s="1996"/>
      <c r="U49" s="1996"/>
      <c r="V49" s="1996"/>
      <c r="W49" s="1996"/>
      <c r="X49" s="1996"/>
      <c r="Y49" s="1996"/>
      <c r="Z49" s="1996"/>
      <c r="AA49" s="1996"/>
      <c r="AB49" s="1996"/>
      <c r="AC49" s="1996"/>
    </row>
    <row r="50" spans="1:29" s="1223" customFormat="1" ht="15.75" thickBot="1">
      <c r="A50" s="656" t="s">
        <v>576</v>
      </c>
      <c r="B50" s="657"/>
      <c r="C50" s="658"/>
      <c r="D50" s="659"/>
      <c r="E50" s="659"/>
      <c r="F50" s="659"/>
      <c r="G50" s="659"/>
      <c r="H50" s="659"/>
      <c r="I50" s="659"/>
      <c r="J50" s="659"/>
      <c r="K50" s="659"/>
      <c r="L50" s="659"/>
      <c r="M50" s="660"/>
      <c r="N50" s="659"/>
      <c r="O50" s="661"/>
      <c r="P50" s="2161"/>
      <c r="Q50" s="2161"/>
      <c r="R50" s="1996"/>
      <c r="S50" s="1996"/>
      <c r="T50" s="1996"/>
      <c r="U50" s="1996"/>
      <c r="V50" s="1996"/>
      <c r="W50" s="1996"/>
      <c r="X50" s="1996"/>
      <c r="Y50" s="1996"/>
      <c r="Z50" s="1996"/>
      <c r="AA50" s="1996"/>
      <c r="AB50" s="1996"/>
      <c r="AC50" s="1996"/>
    </row>
    <row r="51" spans="1:29" s="1223" customFormat="1" ht="15">
      <c r="A51" s="662" t="s">
        <v>532</v>
      </c>
      <c r="B51" s="651"/>
      <c r="C51" s="663" t="s">
        <v>577</v>
      </c>
      <c r="D51" s="664"/>
      <c r="E51" s="664"/>
      <c r="F51" s="664"/>
      <c r="G51" s="664"/>
      <c r="H51" s="664"/>
      <c r="I51" s="664"/>
      <c r="J51" s="664"/>
      <c r="K51" s="664"/>
      <c r="L51" s="665"/>
      <c r="M51" s="666"/>
      <c r="N51" s="2165"/>
      <c r="O51" s="2165"/>
      <c r="P51" s="2166"/>
      <c r="Q51" s="2161"/>
      <c r="R51" s="1996"/>
      <c r="S51" s="1996"/>
      <c r="T51" s="1996"/>
      <c r="U51" s="1996"/>
      <c r="V51" s="1996"/>
      <c r="W51" s="1996"/>
      <c r="X51" s="1996"/>
      <c r="Y51" s="1996"/>
      <c r="Z51" s="1996"/>
      <c r="AA51" s="1996"/>
      <c r="AB51" s="1996"/>
      <c r="AC51" s="1996"/>
    </row>
    <row r="52" spans="1:29" s="1223" customFormat="1" ht="15.75" thickBot="1">
      <c r="A52" s="662"/>
      <c r="B52" s="651"/>
      <c r="C52" s="652">
        <v>100</v>
      </c>
      <c r="D52" s="653"/>
      <c r="E52" s="653"/>
      <c r="F52" s="653"/>
      <c r="G52" s="653"/>
      <c r="H52" s="653"/>
      <c r="I52" s="653"/>
      <c r="J52" s="653"/>
      <c r="K52" s="653"/>
      <c r="L52" s="653"/>
      <c r="M52" s="655"/>
      <c r="N52" s="2165"/>
      <c r="O52" s="2165"/>
      <c r="P52" s="2161"/>
      <c r="Q52" s="2161"/>
      <c r="R52" s="1996"/>
      <c r="S52" s="1996"/>
      <c r="T52" s="1996"/>
      <c r="U52" s="1996"/>
      <c r="V52" s="1996"/>
      <c r="W52" s="1996"/>
      <c r="X52" s="1996"/>
      <c r="Y52" s="1996"/>
      <c r="Z52" s="1996"/>
      <c r="AA52" s="1996"/>
      <c r="AB52" s="1996"/>
      <c r="AC52" s="1996"/>
    </row>
    <row r="53" spans="1:29">
      <c r="A53" s="667" t="s">
        <v>578</v>
      </c>
      <c r="B53" s="668" t="s">
        <v>535</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8">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2"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2"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2"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2"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899" t="s">
        <v>2561</v>
      </c>
      <c r="C65" s="711" t="s">
        <v>580</v>
      </c>
      <c r="D65" s="711" t="s">
        <v>581</v>
      </c>
      <c r="E65" s="711" t="s">
        <v>582</v>
      </c>
      <c r="F65" s="711" t="s">
        <v>583</v>
      </c>
      <c r="G65" s="711" t="s">
        <v>584</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2562</v>
      </c>
      <c r="C67" s="2625" t="s">
        <v>2563</v>
      </c>
      <c r="D67" s="2625" t="s">
        <v>2564</v>
      </c>
      <c r="E67" s="2625" t="s">
        <v>2565</v>
      </c>
      <c r="F67" s="2625" t="s">
        <v>2566</v>
      </c>
      <c r="G67" s="2625" t="s">
        <v>2567</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745</v>
      </c>
      <c r="C69" s="711" t="s">
        <v>580</v>
      </c>
      <c r="D69" s="711" t="s">
        <v>581</v>
      </c>
      <c r="E69" s="711" t="s">
        <v>582</v>
      </c>
      <c r="F69" s="711" t="s">
        <v>583</v>
      </c>
      <c r="G69" s="711" t="s">
        <v>584</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746</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3" customFormat="1" ht="15.75" thickTop="1">
      <c r="A73" s="712"/>
      <c r="B73" s="676">
        <f>B23</f>
        <v>111</v>
      </c>
      <c r="C73" s="544"/>
      <c r="D73" s="544"/>
      <c r="E73" s="544"/>
      <c r="F73" s="544"/>
      <c r="G73" s="691"/>
      <c r="H73" s="691"/>
      <c r="I73" s="691"/>
      <c r="J73" s="691"/>
      <c r="K73" s="691"/>
      <c r="L73" s="893"/>
      <c r="M73" s="894"/>
      <c r="N73" s="2165"/>
      <c r="O73" s="2165"/>
      <c r="P73" s="2168"/>
      <c r="Q73" s="2161"/>
      <c r="R73" s="1996"/>
      <c r="S73" s="1996"/>
      <c r="T73" s="1996"/>
      <c r="U73" s="1996"/>
      <c r="V73" s="1996"/>
      <c r="W73" s="1996"/>
      <c r="X73" s="1996"/>
      <c r="Y73" s="1996"/>
      <c r="Z73" s="1996"/>
      <c r="AA73" s="1996"/>
      <c r="AB73" s="1996"/>
      <c r="AC73" s="1996"/>
    </row>
    <row r="74" spans="1:29" s="1223"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223" customFormat="1" ht="15.75" thickTop="1">
      <c r="A75" s="712"/>
      <c r="B75" s="676">
        <f>B24</f>
        <v>111</v>
      </c>
      <c r="C75" s="544"/>
      <c r="D75" s="544"/>
      <c r="E75" s="544"/>
      <c r="F75" s="544"/>
      <c r="G75" s="691"/>
      <c r="H75" s="691"/>
      <c r="I75" s="691"/>
      <c r="J75" s="691"/>
      <c r="K75" s="691"/>
      <c r="L75" s="691"/>
      <c r="M75" s="894"/>
      <c r="N75" s="2165"/>
      <c r="O75" s="2165"/>
      <c r="P75" s="2168"/>
      <c r="Q75" s="2161"/>
      <c r="R75" s="1996"/>
      <c r="S75" s="1996"/>
      <c r="T75" s="1996"/>
      <c r="U75" s="1996"/>
      <c r="V75" s="1996"/>
      <c r="W75" s="1996"/>
      <c r="X75" s="1996"/>
      <c r="Y75" s="1996"/>
      <c r="Z75" s="1996"/>
      <c r="AA75" s="1996"/>
      <c r="AB75" s="1996"/>
      <c r="AC75" s="1996"/>
    </row>
    <row r="76" spans="1:29" s="1223" customFormat="1" ht="15.75" thickBot="1">
      <c r="A76" s="712"/>
      <c r="B76" s="681"/>
      <c r="C76" s="695"/>
      <c r="D76" s="674"/>
      <c r="E76" s="674"/>
      <c r="F76" s="674"/>
      <c r="G76" s="674"/>
      <c r="H76" s="674"/>
      <c r="I76" s="674"/>
      <c r="J76" s="674"/>
      <c r="K76" s="674"/>
      <c r="L76" s="674"/>
      <c r="M76" s="675"/>
      <c r="N76" s="2169"/>
      <c r="O76" s="2169"/>
      <c r="P76" s="2168"/>
      <c r="Q76" s="2161"/>
      <c r="R76" s="1996"/>
      <c r="S76" s="1996"/>
      <c r="T76" s="1996"/>
      <c r="U76" s="1996"/>
      <c r="V76" s="1996"/>
      <c r="W76" s="1996"/>
      <c r="X76" s="1996"/>
      <c r="Y76" s="1996"/>
      <c r="Z76" s="1996"/>
      <c r="AA76" s="1996"/>
      <c r="AB76" s="1996"/>
      <c r="AC76" s="1996"/>
    </row>
    <row r="77" spans="1:29" s="1342"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2"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552</v>
      </c>
      <c r="B79" s="668" t="s">
        <v>815</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816</v>
      </c>
      <c r="C81" s="939"/>
      <c r="D81" s="939"/>
      <c r="E81" s="939"/>
      <c r="F81" s="939"/>
      <c r="G81" s="939"/>
      <c r="H81" s="939"/>
      <c r="I81" s="939"/>
      <c r="J81" s="939"/>
      <c r="K81" s="940"/>
      <c r="L81" s="941"/>
      <c r="M81" s="942"/>
      <c r="N81" s="2165"/>
      <c r="O81" s="2165"/>
      <c r="P81" s="2168"/>
      <c r="Q81" s="2161"/>
      <c r="R81" s="2148"/>
      <c r="S81" s="2148"/>
      <c r="T81" s="2148"/>
      <c r="U81" s="2148"/>
      <c r="V81" s="2148"/>
      <c r="W81" s="2148"/>
      <c r="X81" s="2148"/>
      <c r="Y81" s="2148"/>
      <c r="Z81" s="2148"/>
      <c r="AA81" s="2148"/>
      <c r="AB81" s="2148"/>
      <c r="AC81" s="2148"/>
    </row>
    <row r="82" spans="1:29" s="1342"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752</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7">
        <v>0.5</v>
      </c>
      <c r="D86" s="897">
        <v>0.6</v>
      </c>
      <c r="E86" s="897">
        <v>0.7</v>
      </c>
      <c r="F86" s="897">
        <v>0.8</v>
      </c>
      <c r="G86" s="897">
        <v>0.9</v>
      </c>
      <c r="H86" s="897">
        <v>1.0001</v>
      </c>
      <c r="I86" s="908"/>
      <c r="J86" s="908"/>
      <c r="K86" s="909"/>
      <c r="L86" s="910"/>
      <c r="M86" s="911"/>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818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2"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820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821</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20">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2"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2"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798</v>
      </c>
      <c r="B4" s="516"/>
      <c r="C4" s="3366" t="s">
        <v>799</v>
      </c>
      <c r="D4" s="3367"/>
      <c r="E4" s="3403" t="s">
        <v>800</v>
      </c>
      <c r="F4" s="3404"/>
      <c r="G4" s="3366" t="s">
        <v>801</v>
      </c>
      <c r="H4" s="3367"/>
      <c r="I4" s="3366" t="s">
        <v>802</v>
      </c>
      <c r="J4" s="3367"/>
      <c r="K4" s="517" t="s">
        <v>803</v>
      </c>
      <c r="L4" s="2136"/>
      <c r="M4" s="2137"/>
      <c r="N4" s="2137"/>
      <c r="O4" s="2137"/>
      <c r="P4" s="3368" t="s">
        <v>804</v>
      </c>
      <c r="Q4" s="3369"/>
      <c r="R4" s="3374" t="s">
        <v>800</v>
      </c>
      <c r="S4" s="3375"/>
      <c r="T4" s="3374" t="s">
        <v>801</v>
      </c>
      <c r="U4" s="3375"/>
      <c r="V4" s="3361" t="s">
        <v>802</v>
      </c>
      <c r="W4" s="3361"/>
      <c r="X4" s="1571"/>
      <c r="Y4" s="3374" t="s">
        <v>804</v>
      </c>
      <c r="Z4" s="3375"/>
      <c r="AA4" s="3363" t="s">
        <v>800</v>
      </c>
      <c r="AB4" s="3364" t="s">
        <v>801</v>
      </c>
      <c r="AC4" s="3363" t="s">
        <v>802</v>
      </c>
    </row>
    <row r="5" spans="1:29" ht="15">
      <c r="A5" s="518"/>
      <c r="B5" s="519"/>
      <c r="C5" s="3384" t="s">
        <v>2933</v>
      </c>
      <c r="D5" s="3383"/>
      <c r="E5" s="3405" t="s">
        <v>2934</v>
      </c>
      <c r="F5" s="3406"/>
      <c r="G5" s="3384" t="s">
        <v>2935</v>
      </c>
      <c r="H5" s="3383"/>
      <c r="I5" s="3384" t="s">
        <v>2936</v>
      </c>
      <c r="J5" s="3383"/>
      <c r="K5" s="517"/>
      <c r="L5" s="2136"/>
      <c r="M5" s="2137"/>
      <c r="N5" s="2137"/>
      <c r="O5" s="2137"/>
      <c r="P5" s="3370"/>
      <c r="Q5" s="3371"/>
      <c r="R5" s="3376"/>
      <c r="S5" s="3377"/>
      <c r="T5" s="3376"/>
      <c r="U5" s="3377"/>
      <c r="V5" s="3361"/>
      <c r="W5" s="3361"/>
      <c r="X5" s="1571"/>
      <c r="Y5" s="3376"/>
      <c r="Z5" s="3377"/>
      <c r="AA5" s="3364"/>
      <c r="AB5" s="3364"/>
      <c r="AC5" s="3364"/>
    </row>
    <row r="6" spans="1:29" ht="15.75" thickBot="1">
      <c r="A6" s="520"/>
      <c r="B6" s="521"/>
      <c r="C6" s="3400" t="s">
        <v>2937</v>
      </c>
      <c r="D6" s="3381"/>
      <c r="E6" s="3401" t="s">
        <v>2937</v>
      </c>
      <c r="F6" s="3402"/>
      <c r="G6" s="3400" t="s">
        <v>2937</v>
      </c>
      <c r="H6" s="3381"/>
      <c r="I6" s="3400" t="s">
        <v>2937</v>
      </c>
      <c r="J6" s="3381"/>
      <c r="K6" s="517" t="s">
        <v>529</v>
      </c>
      <c r="L6" s="2136"/>
      <c r="M6" s="2137"/>
      <c r="N6" s="2137"/>
      <c r="O6" s="2137"/>
      <c r="P6" s="3372"/>
      <c r="Q6" s="3373"/>
      <c r="R6" s="3376"/>
      <c r="S6" s="3377"/>
      <c r="T6" s="3378"/>
      <c r="U6" s="3379"/>
      <c r="V6" s="3361"/>
      <c r="W6" s="3361"/>
      <c r="X6" s="1571"/>
      <c r="Y6" s="3378"/>
      <c r="Z6" s="3379"/>
      <c r="AA6" s="3365"/>
      <c r="AB6" s="3365"/>
      <c r="AC6" s="3365"/>
    </row>
    <row r="7" spans="1:29" s="1223" customFormat="1" ht="15.75" thickBot="1">
      <c r="A7" s="2943"/>
      <c r="B7" s="2950" t="s">
        <v>530</v>
      </c>
      <c r="C7" s="522">
        <f>'数据-取费表'!B2</f>
        <v>43018</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93" t="s">
        <v>531</v>
      </c>
      <c r="Q7" s="3395"/>
      <c r="R7" s="1572" t="s">
        <v>8</v>
      </c>
      <c r="S7" s="1573">
        <f t="shared" ref="S7:S14" si="0">F7</f>
        <v>0</v>
      </c>
      <c r="T7" s="1572" t="s">
        <v>8</v>
      </c>
      <c r="U7" s="1573">
        <f t="shared" ref="U7:U14" si="1">H7</f>
        <v>0</v>
      </c>
      <c r="V7" s="1572" t="s">
        <v>8</v>
      </c>
      <c r="W7" s="1573">
        <f t="shared" ref="W7:W14" si="2">J7</f>
        <v>0</v>
      </c>
      <c r="X7" s="1574"/>
      <c r="Y7" s="3393" t="s">
        <v>531</v>
      </c>
      <c r="Z7" s="3394"/>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93" t="s">
        <v>534</v>
      </c>
      <c r="Q8" s="3394"/>
      <c r="R8" s="1572" t="s">
        <v>8</v>
      </c>
      <c r="S8" s="1573">
        <f t="shared" si="0"/>
        <v>0</v>
      </c>
      <c r="T8" s="1572" t="s">
        <v>8</v>
      </c>
      <c r="U8" s="1573">
        <f t="shared" si="1"/>
        <v>0</v>
      </c>
      <c r="V8" s="1572" t="s">
        <v>8</v>
      </c>
      <c r="W8" s="1573">
        <f t="shared" si="2"/>
        <v>0</v>
      </c>
      <c r="X8" s="1574"/>
      <c r="Y8" s="3393" t="s">
        <v>534</v>
      </c>
      <c r="Z8" s="3394"/>
      <c r="AA8" s="1575" t="e">
        <f t="shared" ref="AA8:AA34" si="3">D8/F8</f>
        <v>#DIV/0!</v>
      </c>
      <c r="AB8" s="1575" t="e">
        <f t="shared" ref="AB8:AB34" si="4">D8/H8</f>
        <v>#DIV/0!</v>
      </c>
      <c r="AC8" s="1575" t="e">
        <f t="shared" ref="AC8:AC34" si="5">D8/J8</f>
        <v>#DIV/0!</v>
      </c>
    </row>
    <row r="9" spans="1:29" s="1223" customFormat="1" ht="15">
      <c r="A9" s="2945"/>
      <c r="B9" s="2952" t="s">
        <v>2762</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60" t="s">
        <v>536</v>
      </c>
      <c r="Q9" s="1154" t="str">
        <f t="shared" ref="Q9:Q14" si="6">B9</f>
        <v>用途</v>
      </c>
      <c r="R9" s="1572" t="s">
        <v>8</v>
      </c>
      <c r="S9" s="1573">
        <f t="shared" si="0"/>
        <v>100</v>
      </c>
      <c r="T9" s="1572" t="s">
        <v>8</v>
      </c>
      <c r="U9" s="1573">
        <f t="shared" si="1"/>
        <v>100</v>
      </c>
      <c r="V9" s="1572" t="s">
        <v>8</v>
      </c>
      <c r="W9" s="1573">
        <f t="shared" si="2"/>
        <v>100</v>
      </c>
      <c r="X9" s="1574"/>
      <c r="Y9" s="3306" t="s">
        <v>537</v>
      </c>
      <c r="Z9" s="1153" t="str">
        <f t="shared" ref="Z9:Z14" si="7">Q9</f>
        <v>用途</v>
      </c>
      <c r="AA9" s="1575">
        <f t="shared" si="3"/>
        <v>1</v>
      </c>
      <c r="AB9" s="1575">
        <f t="shared" si="4"/>
        <v>1</v>
      </c>
      <c r="AC9" s="1575">
        <f t="shared" si="5"/>
        <v>1</v>
      </c>
    </row>
    <row r="10" spans="1:29" s="1341" customFormat="1" ht="27">
      <c r="A10" s="2946"/>
      <c r="B10" s="2951" t="s">
        <v>2763</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60"/>
      <c r="Q10" s="1154" t="str">
        <f t="shared" si="6"/>
        <v>土地使用年限（年）</v>
      </c>
      <c r="R10" s="1572" t="s">
        <v>8</v>
      </c>
      <c r="S10" s="1573">
        <f t="shared" si="0"/>
        <v>100</v>
      </c>
      <c r="T10" s="1572" t="s">
        <v>8</v>
      </c>
      <c r="U10" s="1573">
        <f t="shared" si="1"/>
        <v>100</v>
      </c>
      <c r="V10" s="1572" t="s">
        <v>8</v>
      </c>
      <c r="W10" s="1573">
        <f t="shared" si="2"/>
        <v>100</v>
      </c>
      <c r="X10" s="1574"/>
      <c r="Y10" s="3306"/>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3"/>
      <c r="M11" s="2137"/>
      <c r="N11" s="2137"/>
      <c r="O11" s="2144"/>
      <c r="P11" s="3360"/>
      <c r="Q11" s="1154">
        <f t="shared" si="6"/>
        <v>111</v>
      </c>
      <c r="R11" s="1572" t="s">
        <v>8</v>
      </c>
      <c r="S11" s="1573">
        <f t="shared" si="0"/>
        <v>100</v>
      </c>
      <c r="T11" s="1572" t="s">
        <v>8</v>
      </c>
      <c r="U11" s="1573">
        <f t="shared" si="1"/>
        <v>100</v>
      </c>
      <c r="V11" s="1572" t="s">
        <v>8</v>
      </c>
      <c r="W11" s="1573">
        <f t="shared" si="2"/>
        <v>100</v>
      </c>
      <c r="X11" s="1574"/>
      <c r="Y11" s="3306"/>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38"/>
      <c r="M12" s="2139"/>
      <c r="N12" s="2139"/>
      <c r="O12" s="2140"/>
      <c r="P12" s="3360"/>
      <c r="Q12" s="1154">
        <f t="shared" si="6"/>
        <v>111</v>
      </c>
      <c r="R12" s="1572" t="s">
        <v>8</v>
      </c>
      <c r="S12" s="1573">
        <f t="shared" si="0"/>
        <v>100</v>
      </c>
      <c r="T12" s="1572" t="s">
        <v>8</v>
      </c>
      <c r="U12" s="1573">
        <f t="shared" si="1"/>
        <v>100</v>
      </c>
      <c r="V12" s="1572" t="s">
        <v>8</v>
      </c>
      <c r="W12" s="1573">
        <f t="shared" si="2"/>
        <v>100</v>
      </c>
      <c r="X12" s="1574"/>
      <c r="Y12" s="3306"/>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5"/>
      <c r="M13" s="2137"/>
      <c r="N13" s="2137"/>
      <c r="O13" s="2144"/>
      <c r="P13" s="3360"/>
      <c r="Q13" s="1154">
        <f t="shared" si="6"/>
        <v>111</v>
      </c>
      <c r="R13" s="1572" t="s">
        <v>8</v>
      </c>
      <c r="S13" s="1573">
        <f t="shared" si="0"/>
        <v>100</v>
      </c>
      <c r="T13" s="1572" t="s">
        <v>8</v>
      </c>
      <c r="U13" s="1573">
        <f t="shared" si="1"/>
        <v>100</v>
      </c>
      <c r="V13" s="1572" t="s">
        <v>8</v>
      </c>
      <c r="W13" s="1573">
        <f t="shared" si="2"/>
        <v>100</v>
      </c>
      <c r="X13" s="1574"/>
      <c r="Y13" s="3306"/>
      <c r="Z13" s="1153">
        <f t="shared" si="7"/>
        <v>111</v>
      </c>
      <c r="AA13" s="1575">
        <f t="shared" si="3"/>
        <v>1</v>
      </c>
      <c r="AB13" s="1575">
        <f t="shared" si="4"/>
        <v>1</v>
      </c>
      <c r="AC13" s="1575">
        <f t="shared" si="5"/>
        <v>1</v>
      </c>
    </row>
    <row r="14" spans="1:29" ht="85.5">
      <c r="A14" s="2941" t="s">
        <v>2760</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5"/>
      <c r="M14" s="2137"/>
      <c r="N14" s="2137"/>
      <c r="O14" s="2144"/>
      <c r="P14" s="3396" t="s">
        <v>541</v>
      </c>
      <c r="Q14" s="1576" t="str">
        <f t="shared" si="6"/>
        <v>交通便捷度</v>
      </c>
      <c r="R14" s="1577" t="s">
        <v>8</v>
      </c>
      <c r="S14" s="1578">
        <f t="shared" si="0"/>
        <v>100</v>
      </c>
      <c r="T14" s="1577" t="s">
        <v>8</v>
      </c>
      <c r="U14" s="1578">
        <f t="shared" si="1"/>
        <v>100</v>
      </c>
      <c r="V14" s="1577" t="s">
        <v>8</v>
      </c>
      <c r="W14" s="1578">
        <f t="shared" si="2"/>
        <v>100</v>
      </c>
      <c r="X14" s="1571"/>
      <c r="Y14" s="3396"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5"/>
      <c r="M15" s="2137"/>
      <c r="N15" s="2137"/>
      <c r="O15" s="2144"/>
      <c r="P15" s="3397"/>
      <c r="Q15" s="1576"/>
      <c r="R15" s="1577"/>
      <c r="S15" s="1578"/>
      <c r="T15" s="1577"/>
      <c r="U15" s="1578"/>
      <c r="V15" s="1577"/>
      <c r="W15" s="1578"/>
      <c r="X15" s="1571"/>
      <c r="Y15" s="3397"/>
      <c r="Z15" s="1579"/>
      <c r="AA15" s="1580">
        <v>1</v>
      </c>
      <c r="AB15" s="1580">
        <v>1</v>
      </c>
      <c r="AC15" s="1580">
        <v>1</v>
      </c>
    </row>
    <row r="16" spans="1:29" ht="42.75">
      <c r="A16" s="535"/>
      <c r="B16" s="2630" t="s">
        <v>2550</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5"/>
      <c r="M16" s="2137"/>
      <c r="N16" s="2137"/>
      <c r="O16" s="2144"/>
      <c r="P16" s="3397"/>
      <c r="Q16" s="1576" t="str">
        <f>B16</f>
        <v>公共配套设施</v>
      </c>
      <c r="R16" s="1577" t="s">
        <v>8</v>
      </c>
      <c r="S16" s="1578">
        <f>F16</f>
        <v>100</v>
      </c>
      <c r="T16" s="1577" t="s">
        <v>8</v>
      </c>
      <c r="U16" s="1578">
        <f>H16</f>
        <v>100</v>
      </c>
      <c r="V16" s="1577" t="s">
        <v>8</v>
      </c>
      <c r="W16" s="1578">
        <f>J16</f>
        <v>100</v>
      </c>
      <c r="X16" s="1571"/>
      <c r="Y16" s="3397"/>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5"/>
      <c r="M17" s="2137"/>
      <c r="N17" s="2137"/>
      <c r="O17" s="2144"/>
      <c r="P17" s="3397"/>
      <c r="Q17" s="1576"/>
      <c r="R17" s="1577"/>
      <c r="S17" s="1578"/>
      <c r="T17" s="1577"/>
      <c r="U17" s="1578"/>
      <c r="V17" s="1577"/>
      <c r="W17" s="1578"/>
      <c r="X17" s="1571"/>
      <c r="Y17" s="3397"/>
      <c r="Z17" s="1579"/>
      <c r="AA17" s="1580">
        <v>1</v>
      </c>
      <c r="AB17" s="1580">
        <v>1</v>
      </c>
      <c r="AC17" s="1580">
        <v>1</v>
      </c>
    </row>
    <row r="18" spans="1:29" ht="28.5">
      <c r="A18" s="535"/>
      <c r="B18" s="2618" t="s">
        <v>2562</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5"/>
      <c r="M18" s="2137"/>
      <c r="N18" s="2137"/>
      <c r="O18" s="2144"/>
      <c r="P18" s="3397"/>
      <c r="Q18" s="2606" t="str">
        <f>B18</f>
        <v>基础设施水平</v>
      </c>
      <c r="R18" s="1577" t="s">
        <v>8</v>
      </c>
      <c r="S18" s="1578">
        <f>F18</f>
        <v>100</v>
      </c>
      <c r="T18" s="1577" t="s">
        <v>8</v>
      </c>
      <c r="U18" s="1578">
        <f>H18</f>
        <v>100</v>
      </c>
      <c r="V18" s="1577" t="s">
        <v>8</v>
      </c>
      <c r="W18" s="1578">
        <f>J18</f>
        <v>100</v>
      </c>
      <c r="X18" s="2608"/>
      <c r="Y18" s="3397"/>
      <c r="Z18" s="2607"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29"/>
      <c r="L19" s="2145"/>
      <c r="M19" s="2137"/>
      <c r="N19" s="2137"/>
      <c r="O19" s="2144"/>
      <c r="P19" s="3397"/>
      <c r="Q19" s="2606"/>
      <c r="R19" s="1577"/>
      <c r="S19" s="1578"/>
      <c r="T19" s="1577"/>
      <c r="U19" s="1578"/>
      <c r="V19" s="1577"/>
      <c r="W19" s="1578"/>
      <c r="X19" s="2608"/>
      <c r="Y19" s="3397"/>
      <c r="Z19" s="2607"/>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5"/>
      <c r="M20" s="2137"/>
      <c r="N20" s="2137"/>
      <c r="O20" s="2144"/>
      <c r="P20" s="3397"/>
      <c r="Q20" s="1576" t="str">
        <f>B20</f>
        <v>自然及人文环境</v>
      </c>
      <c r="R20" s="1577" t="s">
        <v>8</v>
      </c>
      <c r="S20" s="1578">
        <f>F20</f>
        <v>100</v>
      </c>
      <c r="T20" s="1577" t="s">
        <v>8</v>
      </c>
      <c r="U20" s="1578">
        <f>H20</f>
        <v>100</v>
      </c>
      <c r="V20" s="1577" t="s">
        <v>8</v>
      </c>
      <c r="W20" s="1578">
        <f>J20</f>
        <v>100</v>
      </c>
      <c r="X20" s="1571"/>
      <c r="Y20" s="3397"/>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5"/>
      <c r="M21" s="2137"/>
      <c r="N21" s="2137"/>
      <c r="O21" s="2144"/>
      <c r="P21" s="3397"/>
      <c r="Q21" s="1576"/>
      <c r="R21" s="1577"/>
      <c r="S21" s="1578"/>
      <c r="T21" s="1577"/>
      <c r="U21" s="1578"/>
      <c r="V21" s="1577"/>
      <c r="W21" s="1578"/>
      <c r="X21" s="1571"/>
      <c r="Y21" s="3397"/>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97"/>
      <c r="Q22" s="1576" t="str">
        <f>B22</f>
        <v>楼层</v>
      </c>
      <c r="R22" s="1577" t="s">
        <v>8</v>
      </c>
      <c r="S22" s="1578">
        <f>F22</f>
        <v>100</v>
      </c>
      <c r="T22" s="1577" t="s">
        <v>8</v>
      </c>
      <c r="U22" s="1578">
        <f>H22</f>
        <v>100</v>
      </c>
      <c r="V22" s="1577" t="s">
        <v>8</v>
      </c>
      <c r="W22" s="1578">
        <f>J22</f>
        <v>100</v>
      </c>
      <c r="X22" s="1571"/>
      <c r="Y22" s="3397"/>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97"/>
      <c r="Q23" s="1576">
        <f>B23</f>
        <v>111</v>
      </c>
      <c r="R23" s="1577" t="s">
        <v>8</v>
      </c>
      <c r="S23" s="1578">
        <f>F23</f>
        <v>100</v>
      </c>
      <c r="T23" s="1577" t="s">
        <v>8</v>
      </c>
      <c r="U23" s="1578">
        <f>H23</f>
        <v>100</v>
      </c>
      <c r="V23" s="1577" t="s">
        <v>8</v>
      </c>
      <c r="W23" s="1578">
        <f>J23</f>
        <v>100</v>
      </c>
      <c r="X23" s="1571"/>
      <c r="Y23" s="3397"/>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97"/>
      <c r="Q24" s="1576">
        <f t="shared" ref="Q24:Q34" si="11">B24</f>
        <v>111</v>
      </c>
      <c r="R24" s="1577" t="s">
        <v>8</v>
      </c>
      <c r="S24" s="1578">
        <f>F24</f>
        <v>100</v>
      </c>
      <c r="T24" s="1577" t="s">
        <v>8</v>
      </c>
      <c r="U24" s="1578">
        <f>H24</f>
        <v>100</v>
      </c>
      <c r="V24" s="1577" t="s">
        <v>8</v>
      </c>
      <c r="W24" s="1578">
        <f>J24</f>
        <v>100</v>
      </c>
      <c r="X24" s="1571"/>
      <c r="Y24" s="3397"/>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8"/>
      <c r="M25" s="2139"/>
      <c r="N25" s="2139"/>
      <c r="O25" s="2140"/>
      <c r="P25" s="3397"/>
      <c r="Q25" s="1154">
        <f t="shared" si="11"/>
        <v>111</v>
      </c>
      <c r="R25" s="1572" t="s">
        <v>8</v>
      </c>
      <c r="S25" s="1573">
        <f>F25</f>
        <v>100</v>
      </c>
      <c r="T25" s="1572" t="s">
        <v>8</v>
      </c>
      <c r="U25" s="1573">
        <f>H25</f>
        <v>100</v>
      </c>
      <c r="V25" s="1572" t="s">
        <v>8</v>
      </c>
      <c r="W25" s="1573">
        <f>J25</f>
        <v>100</v>
      </c>
      <c r="X25" s="1574"/>
      <c r="Y25" s="3397"/>
      <c r="Z25" s="1153">
        <f>Q25</f>
        <v>111</v>
      </c>
      <c r="AA25" s="1580">
        <f>D25/F25</f>
        <v>1</v>
      </c>
      <c r="AB25" s="1580">
        <f>D25/H25</f>
        <v>1</v>
      </c>
      <c r="AC25" s="1580">
        <f>D25/J25</f>
        <v>1</v>
      </c>
    </row>
    <row r="26" spans="1:29" ht="15">
      <c r="A26" s="2938" t="s">
        <v>2761</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5"/>
      <c r="M26" s="2137"/>
      <c r="N26" s="2137"/>
      <c r="O26" s="2144"/>
      <c r="P26" s="3398"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99"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3"/>
      <c r="M27" s="2174"/>
      <c r="N27" s="2174"/>
      <c r="O27" s="2146"/>
      <c r="P27" s="3399"/>
      <c r="Q27" s="1609" t="str">
        <f t="shared" si="11"/>
        <v>成新率</v>
      </c>
      <c r="R27" s="1581" t="s">
        <v>8</v>
      </c>
      <c r="S27" s="1582" t="e">
        <f t="shared" si="12"/>
        <v>#N/A</v>
      </c>
      <c r="T27" s="1581" t="s">
        <v>8</v>
      </c>
      <c r="U27" s="1582" t="e">
        <f t="shared" si="13"/>
        <v>#N/A</v>
      </c>
      <c r="V27" s="1581" t="s">
        <v>8</v>
      </c>
      <c r="W27" s="1582" t="e">
        <f t="shared" si="14"/>
        <v>#N/A</v>
      </c>
      <c r="X27" s="1583"/>
      <c r="Y27" s="3399"/>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99"/>
      <c r="Q28" s="1576" t="str">
        <f t="shared" si="11"/>
        <v>物业等级</v>
      </c>
      <c r="R28" s="1577" t="s">
        <v>8</v>
      </c>
      <c r="S28" s="1578">
        <f t="shared" si="12"/>
        <v>100</v>
      </c>
      <c r="T28" s="1577" t="s">
        <v>8</v>
      </c>
      <c r="U28" s="1578">
        <f t="shared" si="13"/>
        <v>100</v>
      </c>
      <c r="V28" s="1577" t="s">
        <v>8</v>
      </c>
      <c r="W28" s="1578">
        <f t="shared" si="14"/>
        <v>100</v>
      </c>
      <c r="X28" s="1571"/>
      <c r="Y28" s="3399"/>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5"/>
      <c r="M29" s="2137"/>
      <c r="N29" s="2137"/>
      <c r="O29" s="2144"/>
      <c r="P29" s="3399"/>
      <c r="Q29" s="1576" t="str">
        <f t="shared" si="11"/>
        <v>有无电梯</v>
      </c>
      <c r="R29" s="1577" t="s">
        <v>8</v>
      </c>
      <c r="S29" s="1578">
        <f t="shared" si="12"/>
        <v>100</v>
      </c>
      <c r="T29" s="1577" t="s">
        <v>8</v>
      </c>
      <c r="U29" s="1578">
        <f t="shared" si="13"/>
        <v>100</v>
      </c>
      <c r="V29" s="1577" t="s">
        <v>8</v>
      </c>
      <c r="W29" s="1578">
        <f t="shared" si="14"/>
        <v>100</v>
      </c>
      <c r="X29" s="1571"/>
      <c r="Y29" s="3399"/>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5"/>
      <c r="M30" s="2137"/>
      <c r="N30" s="2137"/>
      <c r="O30" s="2144"/>
      <c r="P30" s="3399"/>
      <c r="Q30" s="1576" t="str">
        <f t="shared" si="11"/>
        <v>建筑面积</v>
      </c>
      <c r="R30" s="1577" t="s">
        <v>8</v>
      </c>
      <c r="S30" s="1578" t="e">
        <f t="shared" si="12"/>
        <v>#N/A</v>
      </c>
      <c r="T30" s="1577" t="s">
        <v>8</v>
      </c>
      <c r="U30" s="1578" t="e">
        <f t="shared" si="13"/>
        <v>#N/A</v>
      </c>
      <c r="V30" s="1577" t="s">
        <v>8</v>
      </c>
      <c r="W30" s="1578" t="e">
        <f t="shared" si="14"/>
        <v>#N/A</v>
      </c>
      <c r="X30" s="1571"/>
      <c r="Y30" s="3399"/>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38"/>
      <c r="M31" s="2139"/>
      <c r="N31" s="2139"/>
      <c r="O31" s="2140"/>
      <c r="P31" s="3399"/>
      <c r="Q31" s="1154" t="str">
        <f t="shared" si="11"/>
        <v>是否封闭</v>
      </c>
      <c r="R31" s="1572" t="s">
        <v>8</v>
      </c>
      <c r="S31" s="1573">
        <f t="shared" si="12"/>
        <v>100</v>
      </c>
      <c r="T31" s="1572" t="s">
        <v>8</v>
      </c>
      <c r="U31" s="1573">
        <f t="shared" si="13"/>
        <v>100</v>
      </c>
      <c r="V31" s="1572" t="s">
        <v>8</v>
      </c>
      <c r="W31" s="1573">
        <f t="shared" si="14"/>
        <v>100</v>
      </c>
      <c r="X31" s="1574"/>
      <c r="Y31" s="3399"/>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5"/>
      <c r="M32" s="2137"/>
      <c r="N32" s="2137"/>
      <c r="O32" s="2144"/>
      <c r="P32" s="3399" t="s">
        <v>551</v>
      </c>
      <c r="Q32" s="1576">
        <f t="shared" si="11"/>
        <v>111</v>
      </c>
      <c r="R32" s="1577" t="s">
        <v>8</v>
      </c>
      <c r="S32" s="1578">
        <f t="shared" si="12"/>
        <v>100</v>
      </c>
      <c r="T32" s="1577" t="s">
        <v>8</v>
      </c>
      <c r="U32" s="1578">
        <f t="shared" si="13"/>
        <v>100</v>
      </c>
      <c r="V32" s="1577" t="s">
        <v>8</v>
      </c>
      <c r="W32" s="1578">
        <f t="shared" si="14"/>
        <v>100</v>
      </c>
      <c r="X32" s="1571"/>
      <c r="Y32" s="3399"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5"/>
      <c r="M33" s="2137"/>
      <c r="N33" s="2137"/>
      <c r="O33" s="2144"/>
      <c r="P33" s="3399"/>
      <c r="Q33" s="1576">
        <f t="shared" si="11"/>
        <v>111</v>
      </c>
      <c r="R33" s="1577" t="s">
        <v>8</v>
      </c>
      <c r="S33" s="1578">
        <f t="shared" si="12"/>
        <v>100</v>
      </c>
      <c r="T33" s="1577" t="s">
        <v>8</v>
      </c>
      <c r="U33" s="1578">
        <f t="shared" si="13"/>
        <v>100</v>
      </c>
      <c r="V33" s="1577" t="s">
        <v>8</v>
      </c>
      <c r="W33" s="1578">
        <f t="shared" si="14"/>
        <v>100</v>
      </c>
      <c r="X33" s="1571"/>
      <c r="Y33" s="3399"/>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5"/>
      <c r="M34" s="2137"/>
      <c r="N34" s="2137"/>
      <c r="O34" s="2144"/>
      <c r="P34" s="3399"/>
      <c r="Q34" s="1576">
        <f t="shared" si="11"/>
        <v>111</v>
      </c>
      <c r="R34" s="1577" t="s">
        <v>8</v>
      </c>
      <c r="S34" s="1578">
        <f t="shared" si="12"/>
        <v>100</v>
      </c>
      <c r="T34" s="1577" t="s">
        <v>8</v>
      </c>
      <c r="U34" s="1578">
        <f t="shared" si="13"/>
        <v>100</v>
      </c>
      <c r="V34" s="1577" t="s">
        <v>8</v>
      </c>
      <c r="W34" s="1578">
        <f t="shared" si="14"/>
        <v>100</v>
      </c>
      <c r="X34" s="1571"/>
      <c r="Y34" s="3399"/>
      <c r="Z34" s="1579">
        <f t="shared" si="15"/>
        <v>111</v>
      </c>
      <c r="AA34" s="1580">
        <f t="shared" si="3"/>
        <v>1</v>
      </c>
      <c r="AB34" s="1580">
        <f t="shared" si="4"/>
        <v>1</v>
      </c>
      <c r="AC34" s="1580">
        <f t="shared" si="5"/>
        <v>1</v>
      </c>
    </row>
    <row r="35" spans="1:29" ht="15">
      <c r="A35" s="610" t="s">
        <v>737</v>
      </c>
      <c r="B35" s="890"/>
      <c r="C35" s="2654" t="s">
        <v>1</v>
      </c>
      <c r="D35" s="2655"/>
      <c r="E35" s="2656"/>
      <c r="F35" s="2657"/>
      <c r="G35" s="2658"/>
      <c r="H35" s="2659"/>
      <c r="I35" s="2656"/>
      <c r="J35" s="2659"/>
      <c r="K35" s="1615"/>
      <c r="L35" s="2147"/>
      <c r="M35" s="2148"/>
      <c r="N35" s="2137"/>
      <c r="O35" s="2148"/>
      <c r="P35" s="3360" t="str">
        <f>A35</f>
        <v>成交单价（元/平方米）</v>
      </c>
      <c r="Q35" s="3360"/>
      <c r="R35" s="3453">
        <f>E35</f>
        <v>0</v>
      </c>
      <c r="S35" s="3453"/>
      <c r="T35" s="3453">
        <f>G35</f>
        <v>0</v>
      </c>
      <c r="U35" s="3453"/>
      <c r="V35" s="3453">
        <f>I35</f>
        <v>0</v>
      </c>
      <c r="W35" s="3453"/>
      <c r="X35" s="1563"/>
      <c r="Y35" s="1585"/>
      <c r="Z35" s="1563"/>
      <c r="AA35" s="1563"/>
      <c r="AB35" s="1563"/>
      <c r="AC35" s="1563"/>
    </row>
    <row r="36" spans="1:29" ht="15.75" thickBot="1">
      <c r="A36" s="618" t="s">
        <v>2766</v>
      </c>
      <c r="B36" s="891"/>
      <c r="C36" s="2660" t="e">
        <f>R37</f>
        <v>#DIV/0!</v>
      </c>
      <c r="D36" s="2661"/>
      <c r="E36" s="2662" t="e">
        <f>R36</f>
        <v>#DIV/0!</v>
      </c>
      <c r="F36" s="2662"/>
      <c r="G36" s="2660" t="e">
        <f>T36</f>
        <v>#DIV/0!</v>
      </c>
      <c r="H36" s="2661"/>
      <c r="I36" s="2662" t="e">
        <f>V36</f>
        <v>#DIV/0!</v>
      </c>
      <c r="J36" s="2661"/>
      <c r="K36" s="1616"/>
      <c r="L36" s="2147"/>
      <c r="M36" s="2148"/>
      <c r="N36" s="2137"/>
      <c r="O36" s="2148"/>
      <c r="P36" s="3360" t="str">
        <f>A36</f>
        <v>比较价格（元/平方米）</v>
      </c>
      <c r="Q36" s="3360"/>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1563"/>
      <c r="Y36" s="1563"/>
      <c r="Z36" s="1563"/>
      <c r="AA36" s="1563"/>
      <c r="AB36" s="1563"/>
      <c r="AC36" s="1563"/>
    </row>
    <row r="37" spans="1:29" ht="15.75" thickBot="1">
      <c r="A37" s="624" t="s">
        <v>2939</v>
      </c>
      <c r="B37" s="625"/>
      <c r="C37" s="2663" t="e">
        <f>R37</f>
        <v>#DIV/0!</v>
      </c>
      <c r="D37" s="2663"/>
      <c r="E37" s="2663"/>
      <c r="F37" s="2663"/>
      <c r="G37" s="2663"/>
      <c r="H37" s="2663"/>
      <c r="I37" s="2663"/>
      <c r="J37" s="2663"/>
      <c r="K37" s="1617"/>
      <c r="L37" s="2147"/>
      <c r="M37" s="2148"/>
      <c r="N37" s="2148"/>
      <c r="O37" s="2148"/>
      <c r="P37" s="3357" t="str">
        <f>A37</f>
        <v>估价对象XX用房的比较价格（楼面单价，元/平方米）</v>
      </c>
      <c r="Q37" s="3358"/>
      <c r="R37" s="3452" t="e">
        <f>IF(F1="售价",ROUND(AVERAGE(R36:V36),0),ROUND(AVERAGE(R36:V36),1))</f>
        <v>#DIV/0!</v>
      </c>
      <c r="S37" s="3452"/>
      <c r="T37" s="3452"/>
      <c r="U37" s="3452"/>
      <c r="V37" s="3452"/>
      <c r="W37" s="3452"/>
      <c r="X37" s="1563"/>
      <c r="Y37" s="1563"/>
      <c r="Z37" s="1563"/>
      <c r="AA37" s="1563"/>
      <c r="AB37" s="1563"/>
      <c r="AC37" s="1563"/>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8" customFormat="1" ht="13.5" customHeight="1">
      <c r="A42" s="2149"/>
      <c r="B42" s="2149"/>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8"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8" t="s">
        <v>575</v>
      </c>
      <c r="B45" s="1563"/>
      <c r="C45" s="1587"/>
      <c r="D45" s="1587"/>
      <c r="E45" s="1587"/>
      <c r="F45" s="1589"/>
      <c r="G45" s="1589"/>
      <c r="H45" s="1587"/>
      <c r="I45" s="1587"/>
      <c r="J45" s="1587"/>
      <c r="K45" s="1590"/>
      <c r="L45" s="1586"/>
      <c r="M45" s="1587"/>
      <c r="N45" s="1587"/>
      <c r="O45" s="1587"/>
      <c r="P45" s="2160"/>
      <c r="Q45" s="2161"/>
      <c r="R45" s="2148"/>
      <c r="S45" s="2148"/>
      <c r="T45" s="2148"/>
      <c r="U45" s="2148"/>
      <c r="V45" s="2148"/>
      <c r="W45" s="2148"/>
      <c r="X45" s="2148"/>
      <c r="Y45" s="2148"/>
      <c r="Z45" s="2148"/>
      <c r="AA45" s="2148"/>
      <c r="AB45" s="2148"/>
      <c r="AC45" s="2148"/>
    </row>
    <row r="46" spans="1:29" s="1350" customFormat="1" ht="15">
      <c r="A46" s="648" t="s">
        <v>530</v>
      </c>
      <c r="B46" s="649"/>
      <c r="C46" s="2833" t="str">
        <f>YEAR(C7)&amp;"-"&amp;MONTH(C7)</f>
        <v>2017-10</v>
      </c>
      <c r="D46" s="2835">
        <f>EDATE(C46,-1)</f>
        <v>42979</v>
      </c>
      <c r="E46" s="2835">
        <f t="shared" ref="E46:O46" si="16">EDATE(D46,-1)</f>
        <v>42948</v>
      </c>
      <c r="F46" s="2835">
        <f t="shared" si="16"/>
        <v>42917</v>
      </c>
      <c r="G46" s="2835">
        <f t="shared" si="16"/>
        <v>42887</v>
      </c>
      <c r="H46" s="2835">
        <f t="shared" si="16"/>
        <v>42856</v>
      </c>
      <c r="I46" s="2835">
        <f t="shared" si="16"/>
        <v>42826</v>
      </c>
      <c r="J46" s="2835">
        <f t="shared" si="16"/>
        <v>42795</v>
      </c>
      <c r="K46" s="2835">
        <f t="shared" si="16"/>
        <v>42767</v>
      </c>
      <c r="L46" s="2835">
        <f t="shared" si="16"/>
        <v>42736</v>
      </c>
      <c r="M46" s="2835">
        <f t="shared" si="16"/>
        <v>42705</v>
      </c>
      <c r="N46" s="2835">
        <f t="shared" si="16"/>
        <v>42675</v>
      </c>
      <c r="O46" s="2835">
        <f t="shared" si="16"/>
        <v>42644</v>
      </c>
      <c r="P46" s="2163"/>
      <c r="Q46" s="2164"/>
      <c r="R46" s="2164"/>
      <c r="S46" s="2164"/>
      <c r="T46" s="2164"/>
      <c r="U46" s="2164"/>
      <c r="V46" s="2164"/>
      <c r="W46" s="2164"/>
      <c r="X46" s="2164"/>
      <c r="Y46" s="2164"/>
      <c r="Z46" s="2164"/>
      <c r="AA46" s="2164"/>
      <c r="AB46" s="2164"/>
      <c r="AC46" s="2164"/>
    </row>
    <row r="47" spans="1:29" s="1223" customFormat="1" ht="15">
      <c r="A47" s="650"/>
      <c r="B47" s="651"/>
      <c r="C47" s="652">
        <v>100</v>
      </c>
      <c r="D47" s="653"/>
      <c r="E47" s="653"/>
      <c r="F47" s="653"/>
      <c r="G47" s="653"/>
      <c r="H47" s="653"/>
      <c r="I47" s="653"/>
      <c r="J47" s="653"/>
      <c r="K47" s="653"/>
      <c r="L47" s="653"/>
      <c r="M47" s="654"/>
      <c r="N47" s="653"/>
      <c r="O47" s="655"/>
      <c r="P47" s="2161"/>
      <c r="Q47" s="1996"/>
      <c r="R47" s="1996"/>
      <c r="S47" s="1996"/>
      <c r="T47" s="1996"/>
      <c r="U47" s="1996"/>
      <c r="V47" s="1996"/>
      <c r="W47" s="1996"/>
      <c r="X47" s="1996"/>
      <c r="Y47" s="1996"/>
      <c r="Z47" s="1996"/>
      <c r="AA47" s="1996"/>
      <c r="AB47" s="1996"/>
      <c r="AC47" s="1996"/>
    </row>
    <row r="48" spans="1:29" s="1223" customFormat="1" ht="15.75" thickBot="1">
      <c r="A48" s="656" t="s">
        <v>576</v>
      </c>
      <c r="B48" s="657"/>
      <c r="C48" s="658"/>
      <c r="D48" s="659"/>
      <c r="E48" s="659"/>
      <c r="F48" s="659"/>
      <c r="G48" s="659"/>
      <c r="H48" s="659"/>
      <c r="I48" s="659"/>
      <c r="J48" s="659"/>
      <c r="K48" s="659"/>
      <c r="L48" s="659"/>
      <c r="M48" s="660"/>
      <c r="N48" s="659"/>
      <c r="O48" s="661"/>
      <c r="P48" s="2161"/>
      <c r="Q48" s="2161"/>
      <c r="R48" s="1996"/>
      <c r="S48" s="1996"/>
      <c r="T48" s="1996"/>
      <c r="U48" s="1996"/>
      <c r="V48" s="1996"/>
      <c r="W48" s="1996"/>
      <c r="X48" s="1996"/>
      <c r="Y48" s="1996"/>
      <c r="Z48" s="1996"/>
      <c r="AA48" s="1996"/>
      <c r="AB48" s="1996"/>
      <c r="AC48" s="1996"/>
    </row>
    <row r="49" spans="1:29" s="1223" customFormat="1" ht="15">
      <c r="A49" s="662" t="s">
        <v>532</v>
      </c>
      <c r="B49" s="651"/>
      <c r="C49" s="663" t="s">
        <v>577</v>
      </c>
      <c r="D49" s="664"/>
      <c r="E49" s="664"/>
      <c r="F49" s="664"/>
      <c r="G49" s="664"/>
      <c r="H49" s="664"/>
      <c r="I49" s="664"/>
      <c r="J49" s="664"/>
      <c r="K49" s="664"/>
      <c r="L49" s="665"/>
      <c r="M49" s="666"/>
      <c r="N49" s="2165"/>
      <c r="O49" s="2165"/>
      <c r="P49" s="2166"/>
      <c r="Q49" s="2161"/>
      <c r="R49" s="1996"/>
      <c r="S49" s="1996"/>
      <c r="T49" s="1996"/>
      <c r="U49" s="1996"/>
      <c r="V49" s="1996"/>
      <c r="W49" s="1996"/>
      <c r="X49" s="1996"/>
      <c r="Y49" s="1996"/>
      <c r="Z49" s="1996"/>
      <c r="AA49" s="1996"/>
      <c r="AB49" s="1996"/>
      <c r="AC49" s="1996"/>
    </row>
    <row r="50" spans="1:29" s="1223" customFormat="1" ht="15.75" thickBot="1">
      <c r="A50" s="662"/>
      <c r="B50" s="651"/>
      <c r="C50" s="652">
        <v>100</v>
      </c>
      <c r="D50" s="653"/>
      <c r="E50" s="653"/>
      <c r="F50" s="653"/>
      <c r="G50" s="653"/>
      <c r="H50" s="653"/>
      <c r="I50" s="653"/>
      <c r="J50" s="653"/>
      <c r="K50" s="653"/>
      <c r="L50" s="653"/>
      <c r="M50" s="655"/>
      <c r="N50" s="2165"/>
      <c r="O50" s="2165"/>
      <c r="P50" s="2161"/>
      <c r="Q50" s="2161"/>
      <c r="R50" s="1996"/>
      <c r="S50" s="1996"/>
      <c r="T50" s="1996"/>
      <c r="U50" s="1996"/>
      <c r="V50" s="1996"/>
      <c r="W50" s="1996"/>
      <c r="X50" s="1996"/>
      <c r="Y50" s="1996"/>
      <c r="Z50" s="1996"/>
      <c r="AA50" s="1996"/>
      <c r="AB50" s="1996"/>
      <c r="AC50" s="1996"/>
    </row>
    <row r="51" spans="1:29">
      <c r="A51" s="667" t="s">
        <v>578</v>
      </c>
      <c r="B51" s="668" t="s">
        <v>535</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8">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2"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2"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2"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2"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899" t="s">
        <v>2561</v>
      </c>
      <c r="C63" s="711" t="s">
        <v>580</v>
      </c>
      <c r="D63" s="711" t="s">
        <v>581</v>
      </c>
      <c r="E63" s="711" t="s">
        <v>582</v>
      </c>
      <c r="F63" s="711" t="s">
        <v>583</v>
      </c>
      <c r="G63" s="711" t="s">
        <v>584</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2562</v>
      </c>
      <c r="C65" s="2625" t="s">
        <v>2563</v>
      </c>
      <c r="D65" s="2625" t="s">
        <v>2564</v>
      </c>
      <c r="E65" s="2625" t="s">
        <v>2565</v>
      </c>
      <c r="F65" s="2625" t="s">
        <v>2566</v>
      </c>
      <c r="G65" s="2625" t="s">
        <v>2567</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745</v>
      </c>
      <c r="C67" s="711" t="s">
        <v>580</v>
      </c>
      <c r="D67" s="711" t="s">
        <v>581</v>
      </c>
      <c r="E67" s="711" t="s">
        <v>582</v>
      </c>
      <c r="F67" s="711" t="s">
        <v>583</v>
      </c>
      <c r="G67" s="711" t="s">
        <v>584</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746</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3" customFormat="1" ht="15.75" thickTop="1">
      <c r="A71" s="712"/>
      <c r="B71" s="676">
        <f>B23</f>
        <v>111</v>
      </c>
      <c r="C71" s="544"/>
      <c r="D71" s="544"/>
      <c r="E71" s="544"/>
      <c r="F71" s="544"/>
      <c r="G71" s="691"/>
      <c r="H71" s="691"/>
      <c r="I71" s="691"/>
      <c r="J71" s="691"/>
      <c r="K71" s="691"/>
      <c r="L71" s="893"/>
      <c r="M71" s="894"/>
      <c r="N71" s="2165"/>
      <c r="O71" s="2165"/>
      <c r="P71" s="2168"/>
      <c r="Q71" s="2161"/>
      <c r="R71" s="1996"/>
      <c r="S71" s="1996"/>
      <c r="T71" s="1996"/>
      <c r="U71" s="1996"/>
      <c r="V71" s="1996"/>
      <c r="W71" s="1996"/>
      <c r="X71" s="1996"/>
      <c r="Y71" s="1996"/>
      <c r="Z71" s="1996"/>
      <c r="AA71" s="1996"/>
      <c r="AB71" s="1996"/>
      <c r="AC71" s="1996"/>
    </row>
    <row r="72" spans="1:29" s="1223" customFormat="1" ht="15.75" thickBot="1">
      <c r="A72" s="712"/>
      <c r="B72" s="681"/>
      <c r="C72" s="695"/>
      <c r="D72" s="674"/>
      <c r="E72" s="674"/>
      <c r="F72" s="674"/>
      <c r="G72" s="674"/>
      <c r="H72" s="674"/>
      <c r="I72" s="674"/>
      <c r="J72" s="674"/>
      <c r="K72" s="674"/>
      <c r="L72" s="674"/>
      <c r="M72" s="675"/>
      <c r="N72" s="2169"/>
      <c r="O72" s="2169"/>
      <c r="P72" s="2168"/>
      <c r="Q72" s="2161"/>
      <c r="R72" s="1996"/>
      <c r="S72" s="1996"/>
      <c r="T72" s="1996"/>
      <c r="U72" s="1996"/>
      <c r="V72" s="1996"/>
      <c r="W72" s="1996"/>
      <c r="X72" s="1996"/>
      <c r="Y72" s="1996"/>
      <c r="Z72" s="1996"/>
      <c r="AA72" s="1996"/>
      <c r="AB72" s="1996"/>
      <c r="AC72" s="1996"/>
    </row>
    <row r="73" spans="1:29" s="1223" customFormat="1" ht="15.75" thickTop="1">
      <c r="A73" s="712"/>
      <c r="B73" s="676">
        <f>B24</f>
        <v>111</v>
      </c>
      <c r="C73" s="544"/>
      <c r="D73" s="544"/>
      <c r="E73" s="544"/>
      <c r="F73" s="544"/>
      <c r="G73" s="691"/>
      <c r="H73" s="691"/>
      <c r="I73" s="691"/>
      <c r="J73" s="691"/>
      <c r="K73" s="691"/>
      <c r="L73" s="691"/>
      <c r="M73" s="894"/>
      <c r="N73" s="2165"/>
      <c r="O73" s="2165"/>
      <c r="P73" s="2168"/>
      <c r="Q73" s="2161"/>
      <c r="R73" s="1996"/>
      <c r="S73" s="1996"/>
      <c r="T73" s="1996"/>
      <c r="U73" s="1996"/>
      <c r="V73" s="1996"/>
      <c r="W73" s="1996"/>
      <c r="X73" s="1996"/>
      <c r="Y73" s="1996"/>
      <c r="Z73" s="1996"/>
      <c r="AA73" s="1996"/>
      <c r="AB73" s="1996"/>
      <c r="AC73" s="1996"/>
    </row>
    <row r="74" spans="1:29" s="1223"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342"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2"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552</v>
      </c>
      <c r="B77" s="668" t="s">
        <v>752</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7">
        <v>0.5</v>
      </c>
      <c r="D80" s="897">
        <v>0.6</v>
      </c>
      <c r="E80" s="897">
        <v>0.7</v>
      </c>
      <c r="F80" s="897">
        <v>0.8</v>
      </c>
      <c r="G80" s="897">
        <v>0.9</v>
      </c>
      <c r="H80" s="897">
        <v>1.0001</v>
      </c>
      <c r="I80" s="938"/>
      <c r="J80" s="938"/>
      <c r="K80" s="948"/>
      <c r="L80" s="949"/>
      <c r="M80" s="950"/>
      <c r="N80" s="2165"/>
      <c r="O80" s="2165"/>
      <c r="P80" s="2168"/>
      <c r="Q80" s="2161"/>
      <c r="R80" s="2148"/>
      <c r="S80" s="2148"/>
      <c r="T80" s="2148"/>
      <c r="U80" s="2148"/>
      <c r="V80" s="2148"/>
      <c r="W80" s="2148"/>
      <c r="X80" s="2148"/>
      <c r="Y80" s="2148"/>
      <c r="Z80" s="2148"/>
      <c r="AA80" s="2148"/>
      <c r="AB80" s="2148"/>
      <c r="AC80" s="2148"/>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818</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826</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2" customFormat="1" ht="15" thickTop="1">
      <c r="A89" s="731"/>
      <c r="B89" s="676" t="s">
        <v>828</v>
      </c>
      <c r="C89" s="691"/>
      <c r="D89" s="691"/>
      <c r="E89" s="691"/>
      <c r="F89" s="691"/>
      <c r="G89" s="691"/>
      <c r="H89" s="691"/>
      <c r="I89" s="691"/>
      <c r="J89" s="691"/>
      <c r="K89" s="691"/>
      <c r="L89" s="691"/>
      <c r="M89" s="894"/>
      <c r="N89" s="2170"/>
      <c r="O89" s="2170"/>
      <c r="P89" s="2171"/>
      <c r="Q89" s="2172"/>
      <c r="R89" s="2173"/>
      <c r="S89" s="2173"/>
      <c r="T89" s="2173"/>
      <c r="U89" s="2173"/>
      <c r="V89" s="2173"/>
      <c r="W89" s="2173"/>
      <c r="X89" s="2173"/>
      <c r="Y89" s="2173"/>
      <c r="Z89" s="2173"/>
      <c r="AA89" s="2173"/>
      <c r="AB89" s="2173"/>
      <c r="AC89" s="2173"/>
    </row>
    <row r="90" spans="1:29" s="1342"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20">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7" t="s">
        <v>2305</v>
      </c>
      <c r="C1" s="3487" t="s">
        <v>2306</v>
      </c>
      <c r="D1" s="3488"/>
      <c r="E1" s="3488"/>
      <c r="F1" s="3488"/>
      <c r="G1" s="3488"/>
      <c r="H1" s="3488"/>
      <c r="I1" s="3488"/>
      <c r="J1" s="3488"/>
      <c r="K1" s="3488"/>
      <c r="L1" s="3488"/>
      <c r="M1" s="3488"/>
      <c r="N1" s="3488"/>
      <c r="O1" s="3488"/>
      <c r="P1" s="3488"/>
      <c r="Q1" s="3488"/>
      <c r="R1" s="3488"/>
      <c r="S1" s="3489"/>
      <c r="T1" s="2237" t="s">
        <v>2307</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38"/>
      <c r="B2" s="952" t="s">
        <v>2308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39" t="str">
        <f>S3&amp;"(含)"&amp;"-"</f>
        <v>(含)-</v>
      </c>
      <c r="T2" s="955"/>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6"/>
      <c r="C3" s="957"/>
      <c r="D3" s="958"/>
      <c r="E3" s="958"/>
      <c r="F3" s="958"/>
      <c r="G3" s="958"/>
      <c r="H3" s="958"/>
      <c r="I3" s="958"/>
      <c r="J3" s="959"/>
      <c r="K3" s="959"/>
      <c r="L3" s="960"/>
      <c r="M3" s="2242"/>
      <c r="N3" s="2243"/>
      <c r="O3" s="958"/>
      <c r="P3" s="958"/>
      <c r="Q3" s="958"/>
      <c r="R3" s="958"/>
      <c r="S3" s="2244"/>
      <c r="T3" s="961"/>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c r="A5" s="2254"/>
      <c r="B5" s="3121" t="s">
        <v>2932</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c r="A7" s="2254"/>
      <c r="B7" s="3123" t="s">
        <v>2931</v>
      </c>
      <c r="C7" s="1964"/>
      <c r="D7" s="1965"/>
      <c r="E7" s="1965"/>
      <c r="F7" s="1965"/>
      <c r="G7" s="1965"/>
      <c r="H7" s="1965"/>
      <c r="I7" s="1965"/>
      <c r="J7" s="1965"/>
      <c r="K7" s="1965"/>
      <c r="L7" s="1965"/>
      <c r="M7" s="2262"/>
      <c r="N7" s="2263"/>
      <c r="O7" s="2264"/>
      <c r="P7" s="2265"/>
      <c r="Q7" s="2266"/>
      <c r="R7" s="2267"/>
      <c r="S7" s="2268"/>
      <c r="T7" s="962"/>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c r="A9" s="2254"/>
      <c r="B9" s="3123" t="s">
        <v>2930</v>
      </c>
      <c r="C9" s="1964"/>
      <c r="D9" s="1965"/>
      <c r="E9" s="1965"/>
      <c r="F9" s="1965"/>
      <c r="G9" s="1965"/>
      <c r="H9" s="1965"/>
      <c r="I9" s="1965"/>
      <c r="J9" s="1965"/>
      <c r="K9" s="1965"/>
      <c r="L9" s="1966"/>
      <c r="M9" s="2262"/>
      <c r="N9" s="2263"/>
      <c r="O9" s="2264"/>
      <c r="P9" s="2265"/>
      <c r="Q9" s="2266"/>
      <c r="R9" s="2267"/>
      <c r="S9" s="2268"/>
      <c r="T9" s="962"/>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22"/>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21" t="s">
        <v>2945</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c r="A13" s="2254"/>
      <c r="B13" s="3121" t="s">
        <v>2929</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c r="A15" s="2254"/>
      <c r="B15" s="3121" t="s">
        <v>2928</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c r="A17" s="2280" t="s">
        <v>2309</v>
      </c>
      <c r="B17" s="2281" t="s">
        <v>2310</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1"/>
      <c r="C19" s="1993"/>
      <c r="D19" s="1993"/>
      <c r="E19" s="1993"/>
      <c r="F19" s="1993"/>
      <c r="G19" s="1993"/>
      <c r="H19" s="1993"/>
      <c r="I19" s="1993"/>
      <c r="J19" s="1993"/>
      <c r="K19" s="1993"/>
      <c r="L19" s="1993"/>
      <c r="M19" s="1993"/>
      <c r="N19" s="1993"/>
      <c r="O19" s="1993"/>
      <c r="P19" s="1993"/>
      <c r="Q19" s="1993"/>
      <c r="R19" s="2228"/>
      <c r="S19" s="2031"/>
    </row>
    <row r="20" spans="1:45" ht="15.75">
      <c r="A20" s="963" t="s">
        <v>829</v>
      </c>
      <c r="B20" s="778">
        <f>S22</f>
        <v>0</v>
      </c>
      <c r="C20" s="1993"/>
      <c r="D20" s="1993"/>
      <c r="E20" s="1993"/>
      <c r="F20" s="1993"/>
      <c r="G20" s="1993"/>
      <c r="H20" s="1993"/>
      <c r="I20" s="1993"/>
      <c r="J20" s="1993"/>
      <c r="K20" s="1993"/>
      <c r="L20" s="1993"/>
      <c r="M20" s="1993"/>
      <c r="N20" s="1993"/>
      <c r="O20" s="1993"/>
      <c r="P20" s="1993"/>
      <c r="Q20" s="1993"/>
      <c r="R20" s="2228"/>
      <c r="S20" s="2031"/>
    </row>
    <row r="21" spans="1:45" ht="15.75">
      <c r="A21" s="963" t="s">
        <v>830</v>
      </c>
      <c r="B21" s="778" t="e">
        <f>R22</f>
        <v>#DIV/0!</v>
      </c>
      <c r="C21" s="1993"/>
      <c r="D21" s="1993"/>
      <c r="E21" s="1993"/>
      <c r="F21" s="1993"/>
      <c r="G21" s="1993"/>
      <c r="H21" s="1993"/>
      <c r="I21" s="1993"/>
      <c r="J21" s="1993"/>
      <c r="K21" s="1993"/>
      <c r="L21" s="1993"/>
      <c r="M21" s="1993"/>
      <c r="N21" s="1993"/>
      <c r="O21" s="1993"/>
      <c r="P21" s="1993"/>
      <c r="Q21" s="1993"/>
      <c r="R21" s="2228"/>
      <c r="S21" s="2031"/>
    </row>
    <row r="22" spans="1:45">
      <c r="A22" s="802" t="s">
        <v>831</v>
      </c>
      <c r="B22" s="53">
        <f>SUM(B24:B10000)</f>
        <v>0</v>
      </c>
      <c r="C22" s="3484" t="s">
        <v>20</v>
      </c>
      <c r="D22" s="3485"/>
      <c r="E22" s="3485"/>
      <c r="F22" s="3485"/>
      <c r="G22" s="3485"/>
      <c r="H22" s="3485"/>
      <c r="I22" s="3485"/>
      <c r="J22" s="3485"/>
      <c r="K22" s="3485"/>
      <c r="L22" s="3485"/>
      <c r="M22" s="3485"/>
      <c r="N22" s="3485"/>
      <c r="O22" s="3485"/>
      <c r="P22" s="3485"/>
      <c r="Q22" s="3486"/>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大业信托有限责任公司：</v>
      </c>
    </row>
    <row r="4" spans="1:4" ht="37.5">
      <c r="A4" s="1794" t="str">
        <f>"受贵公司委托，我公司对"&amp;项目基本情况!K2&amp;项目基本情况!B9&amp;"进行了预评估。"</f>
        <v>受贵公司委托，我公司对沈阳市沈阳市浑南区香堤路197号出让国有建设用地使用权抵押价格进行了预评估。</v>
      </c>
    </row>
    <row r="5" spans="1:4" ht="18.75">
      <c r="A5" s="1797" t="s">
        <v>1907</v>
      </c>
    </row>
    <row r="6" spans="1:4" ht="112.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沈阳颐和城地产开发有限公司使用的、位于沈阳市沈阳市浑南区香堤路197号出让国有建设用地使用权。根据《国有建设用地使用权出让合同》[电子监管号：2101122013B03485]及附件，估价对象（分摊）出让国有建设用地使用权面积为72507.13平方米。根据《不动产权证书》[辽（2017）沈阳市不动产权第9000184号]，估价对象规划建筑面积为108760.69平方米。</v>
      </c>
    </row>
    <row r="7" spans="1:4" ht="93.75">
      <c r="A7" s="2904" t="s">
        <v>2754</v>
      </c>
    </row>
    <row r="8" spans="1:4" ht="18.75">
      <c r="A8" s="1797" t="s">
        <v>1908</v>
      </c>
    </row>
    <row r="9" spans="1:4" ht="93.75">
      <c r="A9" s="1799" t="str">
        <f>IF(项目基本情况!B8="抵押",IF(项目基本情况!B5=项目基本情况!B6,定义!C51,定义!B51),定义!D51)</f>
        <v>沈阳颐和城地产开发有限公司拟使用沈阳市沈阳市浑南区香堤路197号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2017年10月10日（评估专业人员勘察现场之日）</v>
      </c>
    </row>
    <row r="12" spans="1:4" ht="18.75">
      <c r="A12" s="1800" t="s">
        <v>2027</v>
      </c>
    </row>
    <row r="13" spans="1:4" ht="18.75">
      <c r="A13" s="1794" t="s">
        <v>2073</v>
      </c>
    </row>
    <row r="14" spans="1:4" ht="37.5">
      <c r="A14" s="1794" t="str">
        <f>"根据"&amp;项目基本情况!F12&amp;"，本次评估估价对象证载（地类）用途为"&amp;项目基本情况!B12&amp;"。"</f>
        <v>根据《不动产权证书》[辽（2017）沈阳市不动产权第9000184号]，本次评估估价对象证载（地类）用途为城镇住宅用地和其他商服用地。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2075</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2101122013B03485]及附件，估价对象（分摊）出让国有建设用地使用权面积为72507.13平方米。根据《不动产权证书》[辽（2017）沈阳市不动产权第9000184号]，估价对象规划建筑面积为108760.69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2076</v>
      </c>
    </row>
    <row r="23" spans="1:1" ht="18.75">
      <c r="A23" s="2906" t="s">
        <v>2755</v>
      </c>
    </row>
    <row r="24" spans="1:1" ht="18.75">
      <c r="A24" s="1794" t="s">
        <v>2077</v>
      </c>
    </row>
    <row r="25" spans="1:1" ht="93.75">
      <c r="A25" s="1794" t="str">
        <f>定义!C53</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住宅、商业，剩余土地使用年限为住宅66.84年，商业36.90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2794</v>
      </c>
      <c r="C1" s="3035">
        <f>项目基本情况!D3</f>
        <v>43018</v>
      </c>
      <c r="H1" s="2969">
        <f>IF(C1&gt;C13,0,MATCH(C1,C$13:C$100,-1))+IF(SUMIF(C13:C100,C1,D13:D100)=0,13,12)</f>
        <v>13</v>
      </c>
      <c r="I1" s="2969">
        <f>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2825</v>
      </c>
      <c r="C2" s="3036">
        <f>'数据-取费表'!B22</f>
        <v>2</v>
      </c>
      <c r="D2" s="3031" t="s">
        <v>2795</v>
      </c>
      <c r="E2" s="3034">
        <f ca="1">INDIRECT("I"&amp;$I$1)/100</f>
        <v>4.7500000000000001E-2</v>
      </c>
      <c r="G2" s="2971"/>
      <c r="H2" s="2971"/>
      <c r="I2" s="2971" t="s">
        <v>2796</v>
      </c>
      <c r="K2" s="2971"/>
      <c r="L2" s="2971"/>
      <c r="M2" s="2971"/>
      <c r="N2" s="2971" t="s">
        <v>2797</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2827</v>
      </c>
      <c r="C3" s="3033">
        <f>'数据-取费表'!B19</f>
        <v>0</v>
      </c>
      <c r="D3" s="3031" t="s">
        <v>2795</v>
      </c>
      <c r="E3" s="3034">
        <f ca="1">INDIRECT("J"&amp;$J$1)/100</f>
        <v>0</v>
      </c>
      <c r="G3" s="2973" t="s">
        <v>2798</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2826</v>
      </c>
      <c r="C4" s="3034">
        <f ca="1">N4/100</f>
        <v>1.4999999999999999E-2</v>
      </c>
      <c r="G4" s="2979" t="s">
        <v>2799</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2800</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2801</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2802</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2803</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2804</v>
      </c>
      <c r="C10" s="2998"/>
      <c r="D10" s="2998"/>
      <c r="E10" s="2998"/>
      <c r="F10" s="2998"/>
      <c r="G10" s="2998"/>
      <c r="H10" s="2998"/>
      <c r="I10" s="2972"/>
      <c r="J10" s="2972"/>
      <c r="K10" s="2998"/>
      <c r="L10" s="2999" t="s">
        <v>2805</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2806</v>
      </c>
      <c r="C11" s="3003" t="s">
        <v>2807</v>
      </c>
      <c r="D11" s="3004" t="s">
        <v>2808</v>
      </c>
      <c r="E11" s="3005"/>
      <c r="F11" s="3004" t="s">
        <v>2809</v>
      </c>
      <c r="G11" s="3006"/>
      <c r="H11" s="3005"/>
      <c r="I11" s="3004" t="s">
        <v>2810</v>
      </c>
      <c r="J11" s="3005"/>
      <c r="K11" s="3001"/>
      <c r="L11" s="3002" t="s">
        <v>2806</v>
      </c>
      <c r="M11" s="3003" t="s">
        <v>2807</v>
      </c>
      <c r="N11" s="3002" t="s">
        <v>2811</v>
      </c>
      <c r="O11" s="3004" t="s">
        <v>2812</v>
      </c>
      <c r="P11" s="3006"/>
      <c r="Q11" s="3006"/>
      <c r="R11" s="3006"/>
      <c r="S11" s="3006"/>
      <c r="T11" s="3005"/>
      <c r="U11" s="3004" t="s">
        <v>2813</v>
      </c>
      <c r="V11" s="3006"/>
      <c r="W11" s="3005"/>
      <c r="X11" s="3002" t="s">
        <v>2814</v>
      </c>
      <c r="Y11" s="3002" t="s">
        <v>2815</v>
      </c>
      <c r="Z11" s="3002" t="s">
        <v>2816</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2817</v>
      </c>
      <c r="E12" s="3011" t="s">
        <v>2818</v>
      </c>
      <c r="F12" s="3011" t="s">
        <v>2819</v>
      </c>
      <c r="G12" s="3011" t="s">
        <v>2820</v>
      </c>
      <c r="H12" s="3011" t="s">
        <v>2802</v>
      </c>
      <c r="I12" s="3012" t="s">
        <v>2821</v>
      </c>
      <c r="J12" s="3012" t="s">
        <v>2821</v>
      </c>
      <c r="K12" s="3008"/>
      <c r="L12" s="3009"/>
      <c r="M12" s="3010"/>
      <c r="N12" s="3009"/>
      <c r="O12" s="3012" t="s">
        <v>2822</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2823</v>
      </c>
      <c r="C13" s="3016">
        <v>42301</v>
      </c>
      <c r="D13" s="3017">
        <v>4.3499999999999996</v>
      </c>
      <c r="E13" s="3017">
        <v>4.3499999999999996</v>
      </c>
      <c r="F13" s="3017">
        <v>4.75</v>
      </c>
      <c r="G13" s="3017">
        <v>4.75</v>
      </c>
      <c r="H13" s="3017">
        <v>4.9000000000000004</v>
      </c>
      <c r="I13" s="3017">
        <v>2.75</v>
      </c>
      <c r="J13" s="3017">
        <v>3.25</v>
      </c>
      <c r="K13" s="3014"/>
      <c r="L13" s="3015" t="s">
        <v>2823</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2824</v>
      </c>
      <c r="Y42" s="3021" t="s">
        <v>2824</v>
      </c>
      <c r="Z42" s="3021" t="s">
        <v>2824</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2824</v>
      </c>
      <c r="Y43" s="3021" t="s">
        <v>2824</v>
      </c>
      <c r="Z43" s="3021" t="s">
        <v>2824</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2824</v>
      </c>
      <c r="Y44" s="3021" t="s">
        <v>2824</v>
      </c>
      <c r="Z44" s="3021" t="s">
        <v>2824</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2824</v>
      </c>
      <c r="Y45" s="3021" t="s">
        <v>2824</v>
      </c>
      <c r="Z45" s="3021" t="s">
        <v>2824</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2824</v>
      </c>
      <c r="Y46" s="3021" t="s">
        <v>2824</v>
      </c>
      <c r="Z46" s="3021" t="s">
        <v>2824</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2824</v>
      </c>
      <c r="Y47" s="3021" t="s">
        <v>2824</v>
      </c>
      <c r="Z47" s="3021" t="s">
        <v>2824</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2824</v>
      </c>
      <c r="Y48" s="3021" t="s">
        <v>2824</v>
      </c>
      <c r="Z48" s="3021" t="s">
        <v>2824</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2824</v>
      </c>
      <c r="Y49" s="3021" t="s">
        <v>2824</v>
      </c>
      <c r="Z49" s="3021" t="s">
        <v>2824</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2824</v>
      </c>
      <c r="Y50" s="3021" t="s">
        <v>2824</v>
      </c>
      <c r="Z50" s="3021" t="s">
        <v>2824</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2824</v>
      </c>
      <c r="V51" s="3021" t="s">
        <v>2824</v>
      </c>
      <c r="W51" s="3021" t="s">
        <v>2824</v>
      </c>
      <c r="X51" s="3021" t="s">
        <v>2824</v>
      </c>
      <c r="Y51" s="3021" t="s">
        <v>2824</v>
      </c>
      <c r="Z51" s="3021" t="s">
        <v>2824</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2824</v>
      </c>
      <c r="J55" s="3021" t="s">
        <v>2824</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B2:E10"/>
  <sheetViews>
    <sheetView workbookViewId="0">
      <selection activeCell="N38" sqref="N38"/>
    </sheetView>
  </sheetViews>
  <sheetFormatPr defaultRowHeight="13.5"/>
  <sheetData>
    <row r="2" spans="2:5">
      <c r="B2" s="3171" t="s">
        <v>3076</v>
      </c>
    </row>
    <row r="3" spans="2:5" ht="14.25" thickBot="1">
      <c r="B3" s="3172" t="s">
        <v>3077</v>
      </c>
      <c r="C3" s="3173" t="s">
        <v>3078</v>
      </c>
      <c r="D3" s="3173" t="s">
        <v>3079</v>
      </c>
      <c r="E3" s="3173" t="s">
        <v>3080</v>
      </c>
    </row>
    <row r="4" spans="2:5" ht="14.25">
      <c r="B4" s="3183">
        <v>2016.2</v>
      </c>
      <c r="C4" s="3184">
        <v>2892</v>
      </c>
      <c r="D4" s="3184">
        <v>1.69</v>
      </c>
      <c r="E4" s="3182"/>
    </row>
    <row r="5" spans="2:5">
      <c r="B5" s="3174">
        <v>2016.3</v>
      </c>
      <c r="C5" s="3176">
        <v>2944</v>
      </c>
      <c r="D5" s="3176">
        <v>1.8</v>
      </c>
      <c r="E5" s="3175"/>
    </row>
    <row r="6" spans="2:5">
      <c r="B6" s="3177">
        <v>2016.4</v>
      </c>
      <c r="C6" s="3179">
        <v>3004</v>
      </c>
      <c r="D6" s="3179">
        <v>2.04</v>
      </c>
      <c r="E6" s="3178"/>
    </row>
    <row r="7" spans="2:5">
      <c r="B7" s="3174">
        <v>2017.1</v>
      </c>
      <c r="C7" s="3176">
        <v>3070</v>
      </c>
      <c r="D7" s="3176">
        <v>2.2000000000000002</v>
      </c>
      <c r="E7" s="3175"/>
    </row>
    <row r="8" spans="2:5" ht="14.25">
      <c r="B8" s="3180">
        <v>2017.2</v>
      </c>
      <c r="C8" s="3181">
        <v>3137</v>
      </c>
      <c r="D8" s="3181">
        <v>2.1800000000000002</v>
      </c>
    </row>
    <row r="9" spans="2:5">
      <c r="D9">
        <f>SUM(D4:D8)</f>
        <v>9.91</v>
      </c>
    </row>
    <row r="10" spans="2:5">
      <c r="D10">
        <f>D9/4</f>
        <v>2.4775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2040</v>
      </c>
      <c r="B1" s="3196"/>
      <c r="C1" s="3196"/>
      <c r="D1" s="3196"/>
      <c r="E1" s="3196"/>
      <c r="F1" s="3196"/>
      <c r="G1" s="3196"/>
      <c r="H1" s="3196"/>
      <c r="I1" s="3196"/>
      <c r="J1" s="3196"/>
      <c r="K1" s="3196"/>
      <c r="L1" s="3196"/>
      <c r="M1" s="3196"/>
      <c r="N1" s="3196"/>
      <c r="O1" s="3196"/>
      <c r="P1" s="3196"/>
      <c r="Q1" s="3196"/>
      <c r="R1" s="3196"/>
    </row>
    <row r="2" spans="1:18">
      <c r="A2" s="1810" t="s">
        <v>2042</v>
      </c>
      <c r="B2" s="1810"/>
      <c r="C2" s="1810"/>
      <c r="D2" s="1810"/>
      <c r="E2" s="1810"/>
      <c r="F2" s="1810"/>
      <c r="G2" s="1810"/>
      <c r="H2" s="1810"/>
      <c r="I2" s="1811"/>
      <c r="J2" s="1811"/>
      <c r="K2" s="1812" t="str">
        <f>"估价期日："&amp;TEXT(项目基本情况!D3,"yyyy年m月d日;;")</f>
        <v>估价期日：2017年10月10日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97" t="s">
        <v>2031</v>
      </c>
      <c r="B3" s="3197" t="s">
        <v>2737</v>
      </c>
      <c r="C3" s="3198" t="s">
        <v>2032</v>
      </c>
      <c r="D3" s="3197" t="s">
        <v>2741</v>
      </c>
      <c r="E3" s="3200" t="s">
        <v>2033</v>
      </c>
      <c r="F3" s="3200"/>
      <c r="G3" s="3200"/>
      <c r="H3" s="3200" t="s">
        <v>2034</v>
      </c>
      <c r="I3" s="3200"/>
      <c r="J3" s="3200"/>
      <c r="K3" s="3198" t="s">
        <v>2035</v>
      </c>
      <c r="L3" s="3198" t="s">
        <v>2036</v>
      </c>
      <c r="M3" s="3197" t="s">
        <v>2738</v>
      </c>
      <c r="N3" s="3199" t="str">
        <f>"（分摊）"&amp;项目基本情况!B16&amp;"国有建设用地使用权面积/㎡"</f>
        <v>（分摊）出让国有建设用地使用权面积/㎡</v>
      </c>
      <c r="O3" s="3197" t="s">
        <v>2065</v>
      </c>
      <c r="P3" s="3198" t="s">
        <v>2045</v>
      </c>
      <c r="Q3" s="3198" t="s">
        <v>2066</v>
      </c>
      <c r="R3" s="3198" t="s">
        <v>2037</v>
      </c>
    </row>
    <row r="4" spans="1:18" ht="36.75" customHeight="1">
      <c r="A4" s="3197"/>
      <c r="B4" s="3197"/>
      <c r="C4" s="3198"/>
      <c r="D4" s="3197"/>
      <c r="E4" s="2677" t="s">
        <v>2044</v>
      </c>
      <c r="F4" s="2677" t="s">
        <v>2750</v>
      </c>
      <c r="G4" s="2677" t="s">
        <v>2038</v>
      </c>
      <c r="H4" s="2677" t="s">
        <v>2039</v>
      </c>
      <c r="I4" s="2677" t="s">
        <v>2751</v>
      </c>
      <c r="J4" s="2677" t="s">
        <v>2038</v>
      </c>
      <c r="K4" s="3198"/>
      <c r="L4" s="3198"/>
      <c r="M4" s="3197"/>
      <c r="N4" s="3199"/>
      <c r="O4" s="3197"/>
      <c r="P4" s="3198"/>
      <c r="Q4" s="3198"/>
      <c r="R4" s="3198"/>
    </row>
    <row r="5" spans="1:18" ht="135" customHeight="1">
      <c r="A5" s="1946" t="s">
        <v>2661</v>
      </c>
      <c r="B5" s="2898" t="s">
        <v>2659</v>
      </c>
      <c r="C5" s="2676">
        <v>22</v>
      </c>
      <c r="D5" s="2675" t="s">
        <v>2660</v>
      </c>
      <c r="E5" s="1813" t="str">
        <f>项目基本情况!B12</f>
        <v>城镇住宅用地和其他商服用地</v>
      </c>
      <c r="F5" s="2675">
        <v>258</v>
      </c>
      <c r="G5" s="1813" t="str">
        <f>项目基本情况!B13</f>
        <v>住宅、商业</v>
      </c>
      <c r="H5" s="2675">
        <v>1.5</v>
      </c>
      <c r="I5" s="2675">
        <v>1.5</v>
      </c>
      <c r="J5" s="2675">
        <v>1.5</v>
      </c>
      <c r="K5" s="1813" t="str">
        <f>"红线外"&amp;项目基本情况!T40&amp;"、宗地红线内"&amp;项目基本情况!B35</f>
        <v>红线外七通、宗地红线内场地平整</v>
      </c>
      <c r="L5" s="1813" t="str">
        <f>"红线外"&amp;项目基本情况!T40&amp;"、宗地红线内场地"&amp;项目基本情况!D36</f>
        <v>红线外七通、宗地红线内场地平整</v>
      </c>
      <c r="M5" s="1813" t="str">
        <f>IF(项目基本情况!B16="出让",项目基本情况!D20,"——")</f>
        <v>住宅66.84年，商业36.90年</v>
      </c>
      <c r="N5" s="1813">
        <f>项目基本情况!C22</f>
        <v>72507.13</v>
      </c>
      <c r="O5" s="1813">
        <f>项目基本情况!C21</f>
        <v>108760.69</v>
      </c>
      <c r="P5" s="1813">
        <f ca="1">结果表!E42</f>
        <v>3925</v>
      </c>
      <c r="Q5" s="1813">
        <f ca="1">结果表!D42</f>
        <v>2616</v>
      </c>
      <c r="R5" s="1814">
        <f ca="1">结果表!C42</f>
        <v>28456</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5">
        <f ca="1">结果表!O39</f>
        <v>28456</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5" t="str">
        <f>结果表!O40</f>
        <v>——</v>
      </c>
    </row>
    <row r="8" spans="1:18">
      <c r="A8" s="3193">
        <f>IF(项目基本情况!B9="市场价格","——",项目基本情况!E9)</f>
        <v>0</v>
      </c>
      <c r="B8" s="3194"/>
      <c r="C8" s="3194"/>
      <c r="D8" s="3194"/>
      <c r="E8" s="3194"/>
      <c r="F8" s="3194"/>
      <c r="G8" s="3194"/>
      <c r="H8" s="3194"/>
      <c r="I8" s="3194"/>
      <c r="J8" s="3194"/>
      <c r="K8" s="3194"/>
      <c r="L8" s="3194"/>
      <c r="M8" s="3194"/>
      <c r="N8" s="3194"/>
      <c r="O8" s="3194"/>
      <c r="P8" s="3194"/>
      <c r="Q8" s="3195"/>
      <c r="R8" s="1815" t="str">
        <f>结果表!O41</f>
        <v>——</v>
      </c>
    </row>
    <row r="9" spans="1:18">
      <c r="A9" s="1816" t="s">
        <v>2043</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2030</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02" t="s">
        <v>2067</v>
      </c>
      <c r="B1" s="3202"/>
      <c r="C1" s="3202"/>
      <c r="D1" s="3202"/>
    </row>
    <row r="2" spans="1:4" ht="47.25" customHeight="1">
      <c r="A2" s="3203" t="str">
        <f>"1.权利限制："&amp;项目基本情况!L24&amp;"未设定租赁等其他他项权利。"</f>
        <v>1.权利限制：根据估价对象《不动产权证书》原件，截至估价期日，估价对象抵押权未见登记。未设定租赁等其他他项权利。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2"/>
      <c r="C3" s="3202"/>
      <c r="D3" s="3202"/>
    </row>
    <row r="4" spans="1:4" ht="36.75" customHeight="1">
      <c r="A4" s="3202" t="str">
        <f>"3.估价规划限制条件：详见"&amp;项目基本情况!E21&amp;"。"</f>
        <v>3.估价规划限制条件：详见《不动产权证书》[辽（2017）沈阳市不动产权第9000184号]。</v>
      </c>
      <c r="B4" s="3202"/>
      <c r="C4" s="3202"/>
      <c r="D4" s="3202"/>
    </row>
    <row r="5" spans="1:4">
      <c r="A5" s="3201" t="s">
        <v>2068</v>
      </c>
      <c r="B5" s="3201"/>
      <c r="C5" s="3201"/>
      <c r="D5" s="3201"/>
    </row>
    <row r="6" spans="1:4">
      <c r="A6" s="3202" t="s">
        <v>2046</v>
      </c>
      <c r="B6" s="3202"/>
      <c r="C6" s="3202"/>
      <c r="D6" s="3202"/>
    </row>
    <row r="7" spans="1:4" ht="33" customHeight="1">
      <c r="A7" s="3202" t="s">
        <v>2579</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（1）根据估价对象《不动产权证书》原件，截至估价期日，估价对象抵押权未见登记。</v>
      </c>
      <c r="B11" s="3204"/>
      <c r="C11" s="3204"/>
      <c r="D11" s="3204"/>
    </row>
    <row r="12" spans="1:4" ht="168" customHeight="1">
      <c r="A12" s="3201" t="s">
        <v>2070</v>
      </c>
      <c r="B12" s="3201"/>
      <c r="C12" s="3201"/>
      <c r="D12" s="3201"/>
    </row>
    <row r="13" spans="1:4">
      <c r="A13" s="3205" t="s">
        <v>2752</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2708</v>
      </c>
      <c r="B17" s="3202"/>
      <c r="C17" s="3202"/>
      <c r="D17" s="3202"/>
    </row>
    <row r="18" spans="1:4">
      <c r="A18" s="3202" t="s">
        <v>2700</v>
      </c>
      <c r="B18" s="3202"/>
      <c r="C18" s="3202"/>
      <c r="D18" s="3202"/>
    </row>
    <row r="19" spans="1:4">
      <c r="A19" s="2899" t="s">
        <v>2701</v>
      </c>
      <c r="B19" s="2899" t="s">
        <v>2702</v>
      </c>
      <c r="C19" s="2899" t="s">
        <v>2703</v>
      </c>
      <c r="D19" s="2899" t="s">
        <v>2704</v>
      </c>
    </row>
    <row r="20" spans="1:4">
      <c r="A20" s="2899" t="str">
        <f>项目基本情况!B4</f>
        <v>梁津</v>
      </c>
      <c r="B20" s="2899">
        <f ca="1">项目基本情况!C4</f>
        <v>96010014</v>
      </c>
      <c r="C20" s="2901"/>
      <c r="D20" s="1803" t="s">
        <v>2709</v>
      </c>
    </row>
    <row r="21" spans="1:4">
      <c r="A21" s="2899" t="str">
        <f>项目基本情况!D4</f>
        <v>王鹏</v>
      </c>
      <c r="B21" s="2899">
        <f ca="1">项目基本情况!E4</f>
        <v>2002110030</v>
      </c>
      <c r="C21" s="2901"/>
      <c r="D21" s="1803" t="s">
        <v>2710</v>
      </c>
    </row>
    <row r="23" spans="1:4">
      <c r="A23" s="3202" t="s">
        <v>2705</v>
      </c>
      <c r="B23" s="3202"/>
      <c r="C23" s="3202"/>
      <c r="D23" s="3202"/>
    </row>
    <row r="24" spans="1:4">
      <c r="A24" s="2899" t="s">
        <v>2701</v>
      </c>
      <c r="B24" s="2899" t="s">
        <v>2706</v>
      </c>
      <c r="C24" s="2899" t="s">
        <v>2703</v>
      </c>
      <c r="D24" s="2899" t="s">
        <v>2704</v>
      </c>
    </row>
    <row r="25" spans="1:4">
      <c r="A25" s="2902" t="s">
        <v>2707</v>
      </c>
      <c r="B25" s="2899" t="s">
        <v>953</v>
      </c>
      <c r="C25" s="2901"/>
      <c r="D25" s="1803" t="s">
        <v>2710</v>
      </c>
    </row>
    <row r="29" spans="1:4">
      <c r="D29" s="2900" t="s">
        <v>2041</v>
      </c>
    </row>
    <row r="30" spans="1:4">
      <c r="D30" s="290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13" t="s">
        <v>53</v>
      </c>
      <c r="B15" s="3214" t="s">
        <v>847</v>
      </c>
      <c r="C15" s="3210"/>
    </row>
    <row r="16" spans="1:7" ht="14.25">
      <c r="A16" s="3213"/>
      <c r="B16" s="3211" t="s">
        <v>54</v>
      </c>
      <c r="C16" s="1175" t="s">
        <v>53</v>
      </c>
    </row>
    <row r="17" spans="1:3" ht="14.25">
      <c r="A17" s="3213"/>
      <c r="B17" s="3211"/>
      <c r="C17" s="1175" t="s">
        <v>55</v>
      </c>
    </row>
    <row r="18" spans="1:3" ht="14.25">
      <c r="A18" s="3213"/>
      <c r="B18" s="3211"/>
      <c r="C18" s="1175" t="s">
        <v>56</v>
      </c>
    </row>
    <row r="19" spans="1:3" ht="14.25">
      <c r="A19" s="3213"/>
      <c r="B19" s="3209" t="s">
        <v>57</v>
      </c>
      <c r="C19" s="3210"/>
    </row>
    <row r="20" spans="1:3" ht="14.25">
      <c r="A20" s="1176" t="s">
        <v>58</v>
      </c>
      <c r="B20" s="1177"/>
      <c r="C20" s="1178"/>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9" t="s">
        <v>838</v>
      </c>
    </row>
    <row r="25" spans="1:3" ht="14.25">
      <c r="A25" s="3212"/>
      <c r="B25" s="3216"/>
      <c r="C25" s="1179" t="s">
        <v>839</v>
      </c>
    </row>
    <row r="26" spans="1:3" ht="14.25">
      <c r="A26" s="3212"/>
      <c r="B26" s="3216"/>
      <c r="C26" s="1179" t="s">
        <v>840</v>
      </c>
    </row>
    <row r="27" spans="1:3" ht="14.25">
      <c r="A27" s="3212"/>
      <c r="B27" s="3216"/>
      <c r="C27" s="1179" t="s">
        <v>841</v>
      </c>
    </row>
    <row r="28" spans="1:3" ht="14.25">
      <c r="A28" s="3212"/>
      <c r="B28" s="3216"/>
      <c r="C28" s="1179" t="s">
        <v>842</v>
      </c>
    </row>
    <row r="29" spans="1:3" ht="14.25">
      <c r="A29" s="3212"/>
      <c r="B29" s="3216"/>
      <c r="C29" s="1179" t="s">
        <v>843</v>
      </c>
    </row>
    <row r="30" spans="1:3" ht="14.25">
      <c r="A30" s="3212"/>
      <c r="B30" s="3216"/>
      <c r="C30" s="1179" t="s">
        <v>844</v>
      </c>
    </row>
    <row r="31" spans="1:3" ht="14.25">
      <c r="A31" s="3212"/>
      <c r="B31" s="3216"/>
      <c r="C31" s="1179" t="s">
        <v>845</v>
      </c>
    </row>
    <row r="32" spans="1:3" ht="14.25">
      <c r="A32" s="3212"/>
      <c r="B32" s="3216"/>
      <c r="C32" s="1179" t="s">
        <v>1648</v>
      </c>
    </row>
    <row r="33" spans="1:3" ht="14.25">
      <c r="A33" s="3212"/>
      <c r="B33" s="3206" t="s">
        <v>1654</v>
      </c>
      <c r="C33" s="1179" t="s">
        <v>1649</v>
      </c>
    </row>
    <row r="34" spans="1:3" ht="14.25">
      <c r="A34" s="3212"/>
      <c r="B34" s="3207"/>
      <c r="C34" s="1184" t="s">
        <v>1650</v>
      </c>
    </row>
    <row r="35" spans="1:3" ht="14.25">
      <c r="A35" s="3212"/>
      <c r="B35" s="3207"/>
      <c r="C35" s="1185" t="s">
        <v>1651</v>
      </c>
    </row>
    <row r="36" spans="1:3" ht="14.25">
      <c r="A36" s="3212"/>
      <c r="B36" s="3207"/>
      <c r="C36" s="1185" t="s">
        <v>1652</v>
      </c>
    </row>
    <row r="37" spans="1:3" ht="14.25">
      <c r="A37" s="3212"/>
      <c r="B37" s="3208"/>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1909</v>
      </c>
      <c r="B2" s="1661">
        <f ca="1">TODAY()</f>
        <v>43024</v>
      </c>
      <c r="C2" s="2342" t="s">
        <v>1910</v>
      </c>
      <c r="D2" s="2343"/>
    </row>
    <row r="3" spans="1:6" ht="20.25" customHeight="1">
      <c r="A3" s="2345" t="s">
        <v>1911</v>
      </c>
      <c r="B3" s="2346" t="s">
        <v>1912</v>
      </c>
      <c r="C3" s="2346" t="s">
        <v>1913</v>
      </c>
      <c r="D3" s="2347" t="s">
        <v>1914</v>
      </c>
      <c r="E3" s="2346" t="s">
        <v>1915</v>
      </c>
      <c r="F3" s="2346" t="s">
        <v>1913</v>
      </c>
    </row>
    <row r="4" spans="1:6" ht="20.25" customHeight="1">
      <c r="A4" s="2346" t="s">
        <v>1916</v>
      </c>
      <c r="B4" s="2346">
        <f ca="1">IF(C4&lt;B2,"已过期",1119970066)</f>
        <v>1119970066</v>
      </c>
      <c r="C4" s="3037">
        <v>43849</v>
      </c>
      <c r="D4" s="2346" t="s">
        <v>1916</v>
      </c>
      <c r="E4" s="2346">
        <f ca="1">IF(F4&lt;B2,"已过期",96010014)</f>
        <v>96010014</v>
      </c>
      <c r="F4" s="3038">
        <v>47118</v>
      </c>
    </row>
    <row r="5" spans="1:6" ht="20.25" customHeight="1">
      <c r="A5" s="2346" t="s">
        <v>1917</v>
      </c>
      <c r="B5" s="2346">
        <f ca="1">IF(C5&lt;B2,"已过期",1119970074)</f>
        <v>1119970074</v>
      </c>
      <c r="C5" s="3037">
        <v>43849</v>
      </c>
      <c r="D5" s="2346" t="s">
        <v>1917</v>
      </c>
      <c r="E5" s="2346">
        <f ca="1">IF(F5&lt;B2,"已过期",2002110027)</f>
        <v>2002110027</v>
      </c>
      <c r="F5" s="3038">
        <v>46752</v>
      </c>
    </row>
    <row r="6" spans="1:6" ht="20.25" customHeight="1">
      <c r="A6" s="2346" t="s">
        <v>1918</v>
      </c>
      <c r="B6" s="2346">
        <f ca="1">IF(C6&lt;B2,"已过期",1119970111)</f>
        <v>1119970111</v>
      </c>
      <c r="C6" s="3037">
        <v>43849</v>
      </c>
      <c r="D6" s="2346" t="s">
        <v>1918</v>
      </c>
      <c r="E6" s="2346">
        <f ca="1">IF(F6&lt;B2,"已过期",94010078)</f>
        <v>94010078</v>
      </c>
      <c r="F6" s="3038">
        <v>46387</v>
      </c>
    </row>
    <row r="7" spans="1:6" ht="20.25" customHeight="1">
      <c r="A7" s="2346" t="s">
        <v>1919</v>
      </c>
      <c r="B7" s="2346">
        <f ca="1">IF(C7&lt;B2,"已过期",1120050019)</f>
        <v>1120050019</v>
      </c>
      <c r="C7" s="3037">
        <v>43359</v>
      </c>
      <c r="D7" s="2346" t="s">
        <v>1919</v>
      </c>
      <c r="E7" s="2346">
        <f ca="1">IF(F7&lt;B2,"已过期",2002110030)</f>
        <v>2002110030</v>
      </c>
      <c r="F7" s="3038">
        <v>46387</v>
      </c>
    </row>
    <row r="8" spans="1:6" ht="20.25" customHeight="1">
      <c r="A8" s="2346" t="s">
        <v>1920</v>
      </c>
      <c r="B8" s="2346">
        <f ca="1">IF(C8&lt;B2,"已过期",1120000080)</f>
        <v>1120000080</v>
      </c>
      <c r="C8" s="3037">
        <v>43849</v>
      </c>
      <c r="D8" s="2346" t="s">
        <v>1920</v>
      </c>
      <c r="E8" s="2346">
        <f ca="1">IF(F8&lt;B2,"已过期",2000110082)</f>
        <v>2000110082</v>
      </c>
      <c r="F8" s="3038">
        <v>46387</v>
      </c>
    </row>
    <row r="9" spans="1:6" ht="20.25" customHeight="1">
      <c r="A9" s="2346" t="s">
        <v>1921</v>
      </c>
      <c r="B9" s="2346">
        <f ca="1">IF(C9&lt;B2,"已过期",1419970001)</f>
        <v>1419970001</v>
      </c>
      <c r="C9" s="3037">
        <v>43867</v>
      </c>
      <c r="D9" s="2346" t="s">
        <v>1921</v>
      </c>
      <c r="E9" s="2346">
        <f ca="1">IF(F9&lt;B2,"已过期",2002110125)</f>
        <v>2002110125</v>
      </c>
      <c r="F9" s="3038">
        <v>47118</v>
      </c>
    </row>
    <row r="10" spans="1:6" ht="20.25" customHeight="1">
      <c r="A10" s="2346" t="s">
        <v>1922</v>
      </c>
      <c r="B10" s="2346">
        <f ca="1">IF(C10&lt;B2,"已过期",1120060040)</f>
        <v>1120060040</v>
      </c>
      <c r="C10" s="3037">
        <v>43483</v>
      </c>
      <c r="D10" s="2346" t="s">
        <v>1922</v>
      </c>
      <c r="E10" s="2346">
        <f ca="1">IF(F10&lt;B2,"已过期",2004110096)</f>
        <v>2004110096</v>
      </c>
      <c r="F10" s="3038">
        <v>47118</v>
      </c>
    </row>
    <row r="11" spans="1:6" ht="20.25" customHeight="1">
      <c r="A11" s="2346" t="s">
        <v>1923</v>
      </c>
      <c r="B11" s="2346">
        <f ca="1">IF(C11&lt;B2,"已过期",1120100036)</f>
        <v>1120100036</v>
      </c>
      <c r="C11" s="3037">
        <v>43622</v>
      </c>
      <c r="D11" s="2346" t="s">
        <v>1923</v>
      </c>
      <c r="E11" s="2346">
        <f ca="1">IF(F11&lt;B2,"已过期",2010110070)</f>
        <v>2010110070</v>
      </c>
      <c r="F11" s="3038">
        <v>47907</v>
      </c>
    </row>
    <row r="12" spans="1:6" ht="20.25" customHeight="1">
      <c r="A12" s="2346"/>
      <c r="B12" s="2346"/>
      <c r="C12" s="3037"/>
      <c r="D12" s="2346"/>
      <c r="E12" s="2346"/>
      <c r="F12" s="2346"/>
    </row>
    <row r="13" spans="1:6" ht="20.25" customHeight="1">
      <c r="A13" s="2346" t="s">
        <v>1924</v>
      </c>
      <c r="B13" s="2346">
        <f ca="1">IF(C13&lt;B2,"已过期",1120070131)</f>
        <v>1120070131</v>
      </c>
      <c r="C13" s="3037">
        <v>43814</v>
      </c>
      <c r="D13" s="2346" t="s">
        <v>1924</v>
      </c>
      <c r="E13" s="2346">
        <v>2014110011</v>
      </c>
      <c r="F13" s="3038">
        <v>49302</v>
      </c>
    </row>
    <row r="14" spans="1:6" ht="20.25" customHeight="1">
      <c r="A14" s="2346" t="s">
        <v>1925</v>
      </c>
      <c r="B14" s="2346">
        <f ca="1">IF(C14&lt;B2,"已过期",1120130020)</f>
        <v>1120130020</v>
      </c>
      <c r="C14" s="3037">
        <v>43622</v>
      </c>
      <c r="D14" s="2346"/>
      <c r="E14" s="2346"/>
      <c r="F14" s="2346"/>
    </row>
    <row r="15" spans="1:6" ht="20.25" customHeight="1">
      <c r="A15" s="2346" t="s">
        <v>2578</v>
      </c>
      <c r="B15" s="2346">
        <v>1120070085</v>
      </c>
      <c r="C15" s="3037">
        <v>43814</v>
      </c>
      <c r="D15" s="2346" t="s">
        <v>2578</v>
      </c>
      <c r="E15" s="2346">
        <v>2004110128</v>
      </c>
      <c r="F15" s="3038">
        <v>47118</v>
      </c>
    </row>
    <row r="16" spans="1:6" ht="20.25" customHeight="1">
      <c r="A16" s="2346" t="s">
        <v>1926</v>
      </c>
      <c r="B16" s="2346">
        <f ca="1">IF(C16&lt;B2,"已过期",1120140022)</f>
        <v>1120140022</v>
      </c>
      <c r="C16" s="3037">
        <v>44029</v>
      </c>
      <c r="D16" s="2346" t="s">
        <v>1926</v>
      </c>
      <c r="E16" s="2346">
        <f ca="1">IF(F16&lt;B2,"已过期",2008110059)</f>
        <v>2008110059</v>
      </c>
      <c r="F16" s="3038">
        <v>47177</v>
      </c>
    </row>
    <row r="17" spans="1:7" ht="20.25" customHeight="1">
      <c r="A17" s="2346"/>
      <c r="B17" s="2346"/>
      <c r="C17" s="3037"/>
      <c r="D17" s="2346"/>
      <c r="E17" s="2346"/>
      <c r="F17" s="3038"/>
    </row>
    <row r="18" spans="1:7" ht="20.25" customHeight="1">
      <c r="A18" s="2346"/>
      <c r="B18" s="2346"/>
      <c r="C18" s="3037"/>
      <c r="D18" s="2346"/>
      <c r="E18" s="2346"/>
      <c r="F18" s="3038"/>
    </row>
    <row r="19" spans="1:7" ht="20.25" customHeight="1">
      <c r="A19" s="2346"/>
      <c r="B19" s="2346"/>
      <c r="C19" s="3037"/>
      <c r="D19" s="2346"/>
      <c r="E19" s="2346"/>
      <c r="F19" s="2346"/>
    </row>
    <row r="20" spans="1:7" ht="20.25" customHeight="1">
      <c r="A20" s="2346"/>
      <c r="B20" s="2346"/>
      <c r="C20" s="3037"/>
      <c r="D20" s="2346"/>
      <c r="E20" s="2346"/>
      <c r="F20" s="2346"/>
    </row>
    <row r="21" spans="1:7" ht="20.25" customHeight="1">
      <c r="A21" s="2346"/>
      <c r="B21" s="2346"/>
      <c r="C21" s="3037"/>
      <c r="D21" s="2346" t="s">
        <v>1927</v>
      </c>
      <c r="E21" s="2346">
        <f ca="1">IF(F21&lt;B2,"已过期",2011110090)</f>
        <v>2011110090</v>
      </c>
      <c r="F21" s="3038">
        <v>48302</v>
      </c>
    </row>
    <row r="22" spans="1:7" ht="20.25" customHeight="1">
      <c r="A22" s="2346" t="s">
        <v>1928</v>
      </c>
      <c r="B22" s="2346">
        <f ca="1">IF(C22&lt;B2,"已过期",1120020033)</f>
        <v>1120020033</v>
      </c>
      <c r="C22" s="3037">
        <v>43304</v>
      </c>
      <c r="D22" s="2346" t="s">
        <v>1928</v>
      </c>
      <c r="E22" s="2346">
        <f ca="1">IF(F22&lt;B2,"已过期",2000110137)</f>
        <v>2000110137</v>
      </c>
      <c r="F22" s="3038">
        <v>46387</v>
      </c>
    </row>
    <row r="23" spans="1:7" ht="20.25" customHeight="1">
      <c r="A23" s="2346" t="s">
        <v>1929</v>
      </c>
      <c r="B23" s="2346">
        <f ca="1">IF(C23&lt;B2,"已过期",1120130048)</f>
        <v>1120130048</v>
      </c>
      <c r="C23" s="3037">
        <v>43686</v>
      </c>
      <c r="D23" s="2346"/>
      <c r="E23" s="2346"/>
      <c r="F23" s="2346"/>
    </row>
    <row r="24" spans="1:7" s="2350" customFormat="1" ht="20.25" customHeight="1">
      <c r="A24" s="2348" t="s">
        <v>2055</v>
      </c>
      <c r="B24" s="2348" t="s">
        <v>2055</v>
      </c>
      <c r="C24" s="3037"/>
      <c r="D24" s="3039" t="s">
        <v>2055</v>
      </c>
      <c r="E24" s="2348" t="s">
        <v>2055</v>
      </c>
      <c r="F24" s="2349"/>
    </row>
    <row r="25" spans="1:7" ht="20.25" customHeight="1">
      <c r="A25" s="3217" t="s">
        <v>1930</v>
      </c>
      <c r="B25" s="3217"/>
      <c r="C25" s="3217"/>
      <c r="D25" s="3217"/>
      <c r="E25" s="3217"/>
      <c r="F25" s="3217"/>
      <c r="G25" s="3217"/>
    </row>
    <row r="26" spans="1:7" ht="20.25" customHeight="1">
      <c r="A26" s="3218" t="s">
        <v>1931</v>
      </c>
      <c r="B26" s="3218"/>
      <c r="C26" s="3218"/>
      <c r="D26" s="3218" t="s">
        <v>1932</v>
      </c>
      <c r="E26" s="3218"/>
      <c r="F26" s="3218"/>
    </row>
    <row r="27" spans="1:7" s="2354" customFormat="1" ht="20.25" customHeight="1">
      <c r="A27" s="2351" t="s">
        <v>1933</v>
      </c>
      <c r="B27" s="2352" t="s">
        <v>1934</v>
      </c>
      <c r="C27" s="2352" t="s">
        <v>1935</v>
      </c>
      <c r="D27" s="2353" t="s">
        <v>1933</v>
      </c>
      <c r="E27" s="2352" t="s">
        <v>1934</v>
      </c>
      <c r="F27" s="2352" t="s">
        <v>1935</v>
      </c>
    </row>
    <row r="28" spans="1:7" s="2354" customFormat="1" ht="20.25" customHeight="1">
      <c r="A28" s="2355" t="s">
        <v>1936</v>
      </c>
      <c r="B28" s="2355" t="s">
        <v>1937</v>
      </c>
      <c r="C28" s="2356">
        <v>43725</v>
      </c>
      <c r="D28" s="2355" t="s">
        <v>1938</v>
      </c>
      <c r="E28" s="2355" t="s">
        <v>1939</v>
      </c>
      <c r="F28" s="2357">
        <v>44377</v>
      </c>
    </row>
    <row r="29" spans="1:7" s="2354" customFormat="1" ht="20.25" customHeight="1">
      <c r="A29" s="2355"/>
      <c r="B29" s="2355"/>
      <c r="C29" s="2358"/>
      <c r="D29" s="2355" t="s">
        <v>1940</v>
      </c>
      <c r="E29" s="2359" t="s">
        <v>2949</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36" sqref="B3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2549</v>
      </c>
      <c r="R1" s="2609" t="s">
        <v>2543</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2544</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2545</v>
      </c>
      <c r="S3" s="9" t="s">
        <v>84</v>
      </c>
      <c r="T3" s="9" t="s">
        <v>85</v>
      </c>
      <c r="U3" s="9" t="s">
        <v>84</v>
      </c>
      <c r="V3" s="9" t="s">
        <v>86</v>
      </c>
      <c r="W3" s="9" t="s">
        <v>877</v>
      </c>
    </row>
    <row r="4" spans="1:23">
      <c r="A4" s="8" t="s">
        <v>87</v>
      </c>
      <c r="B4" s="8" t="s">
        <v>152</v>
      </c>
      <c r="C4" s="1555" t="s">
        <v>1713</v>
      </c>
      <c r="D4" s="9" t="s">
        <v>1997</v>
      </c>
      <c r="E4" s="9" t="s">
        <v>88</v>
      </c>
      <c r="F4" s="9" t="s">
        <v>89</v>
      </c>
      <c r="G4" s="9">
        <v>70</v>
      </c>
      <c r="H4" s="9" t="s">
        <v>90</v>
      </c>
      <c r="I4" s="9" t="s">
        <v>91</v>
      </c>
      <c r="K4" s="9" t="s">
        <v>92</v>
      </c>
      <c r="L4" s="9" t="s">
        <v>92</v>
      </c>
      <c r="M4" s="9" t="s">
        <v>92</v>
      </c>
      <c r="N4" s="9" t="s">
        <v>92</v>
      </c>
      <c r="O4" s="9" t="s">
        <v>92</v>
      </c>
      <c r="P4" s="1009" t="s">
        <v>761</v>
      </c>
      <c r="Q4" s="9" t="s">
        <v>92</v>
      </c>
      <c r="R4" s="1009" t="s">
        <v>2546</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2547</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2548</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48" t="s">
        <v>2962</v>
      </c>
      <c r="C18" s="1558"/>
    </row>
    <row r="19" spans="1:3">
      <c r="A19" s="8" t="s">
        <v>120</v>
      </c>
      <c r="B19" s="3148" t="s">
        <v>2970</v>
      </c>
      <c r="C19" s="1558"/>
    </row>
    <row r="20" spans="1:3">
      <c r="A20" s="8" t="s">
        <v>121</v>
      </c>
      <c r="B20" s="8" t="s">
        <v>1643</v>
      </c>
      <c r="C20" s="1558"/>
    </row>
    <row r="21" spans="1:3">
      <c r="A21" s="8" t="s">
        <v>122</v>
      </c>
      <c r="B21" s="8" t="s">
        <v>1643</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8" t="s">
        <v>1643</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68" t="s">
        <v>1946</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沈阳颐和城地产开发有限公司拟使用沈阳市沈阳市浑南区香堤路197号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1989</v>
      </c>
      <c r="B52" s="1771" t="s">
        <v>1990</v>
      </c>
      <c r="C52" s="1769" t="s">
        <v>1991</v>
      </c>
      <c r="D52" s="1769" t="s">
        <v>1992</v>
      </c>
      <c r="E52" s="1770"/>
    </row>
    <row r="53" spans="1:5">
      <c r="A53" s="3219" t="s">
        <v>1993</v>
      </c>
      <c r="B53" s="1769" t="s">
        <v>1999</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住宅、商业，剩余土地使用年限为住宅66.84年，商业36.90年的出让国有建设用地使用权价格。</v>
      </c>
      <c r="D53" s="1770"/>
      <c r="E53" s="1770"/>
    </row>
    <row r="54" spans="1:5">
      <c r="A54" s="3219"/>
      <c r="B54" s="1769" t="s">
        <v>2000</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19"/>
      <c r="B55" s="1769" t="s">
        <v>1994</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19"/>
      <c r="B56" s="1769" t="s">
        <v>1995</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19"/>
      <c r="B57" s="1769" t="s">
        <v>1996</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2051</v>
      </c>
      <c r="B58" s="1769" t="s">
        <v>2052</v>
      </c>
      <c r="C58" s="11" t="s">
        <v>2053</v>
      </c>
      <c r="D58" s="132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2017-10-16T08:30:39Z</dcterms:modified>
</cp:coreProperties>
</file>