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李诗霖\诗霖wuli报告们\2022年\法院\2022-1-0531 康泽佳苑 北京市房山区长阳镇康泽路10号院12号楼17层1单元1703号住宅用房（经适房）房地产市场价值评估\"/>
    </mc:Choice>
  </mc:AlternateContent>
  <xr:revisionPtr revIDLastSave="0" documentId="13_ncr:1_{B3D0EEC1-26F7-4B5B-928D-39513C696997}" xr6:coauthVersionLast="45" xr6:coauthVersionMax="45" xr10:uidLastSave="{00000000-0000-0000-0000-000000000000}"/>
  <bookViews>
    <workbookView xWindow="0" yWindow="105" windowWidth="13980" windowHeight="10815" tabRatio="885" firstSheet="9"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结果表" sheetId="9" r:id="rId14"/>
    <sheet name="结果表 (1修多)" sheetId="57" state="hidden" r:id="rId15"/>
    <sheet name="成本法" sheetId="11" state="hidden" r:id="rId16"/>
    <sheet name="假设开发法" sheetId="12" state="hidden" r:id="rId17"/>
    <sheet name="收益法" sheetId="15" r:id="rId18"/>
    <sheet name="租金案例" sheetId="64" r:id="rId19"/>
    <sheet name="收益法-酒店模型" sheetId="63" state="hidden" r:id="rId20"/>
    <sheet name="典型户型修正" sheetId="31" state="hidden" r:id="rId21"/>
    <sheet name="比较法-住宅" sheetId="21" r:id="rId22"/>
    <sheet name="成交案例" sheetId="66"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2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 i="64" l="1"/>
  <c r="J21" i="64"/>
  <c r="J16" i="64"/>
  <c r="J10" i="64"/>
  <c r="J4" i="64"/>
  <c r="F20" i="15" l="1"/>
  <c r="F21" i="15"/>
  <c r="F40" i="15"/>
  <c r="B27" i="9"/>
  <c r="D5" i="9"/>
  <c r="D17" i="9" s="1"/>
  <c r="F92" i="21"/>
  <c r="E92" i="21"/>
  <c r="D92" i="21"/>
  <c r="C92" i="21"/>
  <c r="I47" i="21"/>
  <c r="G47" i="21"/>
  <c r="E47" i="21"/>
  <c r="I41" i="21"/>
  <c r="G41" i="21"/>
  <c r="E41" i="21"/>
  <c r="C41" i="21"/>
  <c r="D2" i="4"/>
  <c r="B2" i="1" s="1"/>
  <c r="E7" i="21"/>
  <c r="G7" i="21"/>
  <c r="I7" i="21"/>
  <c r="I6" i="21"/>
  <c r="G6" i="21"/>
  <c r="E6" i="21"/>
  <c r="I5" i="21"/>
  <c r="G5" i="21"/>
  <c r="E5" i="21"/>
  <c r="E43" i="1"/>
  <c r="E44" i="1"/>
  <c r="E45" i="1"/>
  <c r="E46" i="1"/>
  <c r="E47" i="1"/>
  <c r="E42" i="1"/>
  <c r="G15" i="61"/>
  <c r="F15" i="61"/>
  <c r="E15" i="61"/>
  <c r="AH5" i="59"/>
  <c r="AG5" i="59"/>
  <c r="AE5" i="59"/>
  <c r="AF5" i="59"/>
  <c r="AD5" i="59"/>
  <c r="Q5" i="59"/>
  <c r="AB5" i="59" s="1"/>
  <c r="P5" i="59"/>
  <c r="O5" i="59"/>
  <c r="N5" i="59"/>
  <c r="AH6" i="59"/>
  <c r="AG6" i="59"/>
  <c r="AE6" i="59"/>
  <c r="AF6" i="59" s="1"/>
  <c r="AD6" i="59"/>
  <c r="Q6" i="59"/>
  <c r="P6" i="59"/>
  <c r="O6" i="59"/>
  <c r="N6" i="59"/>
  <c r="AH7" i="59"/>
  <c r="AG7" i="59"/>
  <c r="AE7" i="59"/>
  <c r="AF7" i="59"/>
  <c r="AD7" i="59"/>
  <c r="Q7" i="59"/>
  <c r="P7" i="59"/>
  <c r="O7" i="59"/>
  <c r="N7" i="59"/>
  <c r="AH8" i="59"/>
  <c r="AG8" i="59"/>
  <c r="AE8" i="59"/>
  <c r="AF8" i="59" s="1"/>
  <c r="AD8" i="59"/>
  <c r="Q8" i="59"/>
  <c r="P8" i="59"/>
  <c r="AA8" i="59" s="1"/>
  <c r="O8" i="59"/>
  <c r="N8" i="59"/>
  <c r="G16" i="61"/>
  <c r="F16" i="61"/>
  <c r="E16" i="61"/>
  <c r="G17" i="61"/>
  <c r="F17" i="61"/>
  <c r="E17" i="61"/>
  <c r="AH9" i="59"/>
  <c r="AG9" i="59"/>
  <c r="AE9" i="59"/>
  <c r="AF9" i="59"/>
  <c r="AD9" i="59"/>
  <c r="Q9" i="59"/>
  <c r="P9" i="59"/>
  <c r="O9" i="59"/>
  <c r="N9" i="59"/>
  <c r="O10" i="59"/>
  <c r="O11" i="59"/>
  <c r="O12" i="59"/>
  <c r="O13" i="59"/>
  <c r="O14" i="59"/>
  <c r="O15" i="59"/>
  <c r="O16" i="59"/>
  <c r="Y15" i="59" s="1"/>
  <c r="Z15" i="59" s="1"/>
  <c r="O17" i="59"/>
  <c r="O18" i="59"/>
  <c r="O19" i="59"/>
  <c r="O20" i="59"/>
  <c r="O21" i="59"/>
  <c r="O22" i="59"/>
  <c r="O23" i="59"/>
  <c r="O24" i="59"/>
  <c r="Y24" i="59" s="1"/>
  <c r="O25" i="59"/>
  <c r="O26" i="59"/>
  <c r="Y25" i="59" s="1"/>
  <c r="O27" i="59"/>
  <c r="O28" i="59"/>
  <c r="O29" i="59"/>
  <c r="O30" i="59"/>
  <c r="O31" i="59"/>
  <c r="O32" i="59"/>
  <c r="Y31" i="59" s="1"/>
  <c r="O33" i="59"/>
  <c r="O34" i="59"/>
  <c r="Y33" i="59" s="1"/>
  <c r="O35" i="59"/>
  <c r="O36" i="59"/>
  <c r="Y35" i="59" s="1"/>
  <c r="O37" i="59"/>
  <c r="O38" i="59"/>
  <c r="Y37" i="59" s="1"/>
  <c r="O39" i="59"/>
  <c r="O40" i="59"/>
  <c r="Q10" i="59"/>
  <c r="Q11" i="59"/>
  <c r="AB10" i="59" s="1"/>
  <c r="Q12" i="59"/>
  <c r="Q13" i="59"/>
  <c r="Q14" i="59"/>
  <c r="Q15" i="59"/>
  <c r="Q16" i="59"/>
  <c r="Q17" i="59"/>
  <c r="Q18" i="59"/>
  <c r="Q19" i="59"/>
  <c r="Q20" i="59"/>
  <c r="Q21" i="59"/>
  <c r="Q22" i="59"/>
  <c r="Q23" i="59"/>
  <c r="AB23" i="59" s="1"/>
  <c r="Q24" i="59"/>
  <c r="Q25" i="59"/>
  <c r="F25" i="59" s="1"/>
  <c r="F24" i="59" s="1"/>
  <c r="F23" i="59" s="1"/>
  <c r="Q26" i="59"/>
  <c r="Q27" i="59"/>
  <c r="Q28" i="59"/>
  <c r="Q29" i="59"/>
  <c r="Q30" i="59"/>
  <c r="Q31" i="59"/>
  <c r="AB30" i="59" s="1"/>
  <c r="Q32" i="59"/>
  <c r="Q33" i="59"/>
  <c r="AB32" i="59" s="1"/>
  <c r="Q34" i="59"/>
  <c r="Q35" i="59"/>
  <c r="AB34" i="59" s="1"/>
  <c r="Q36" i="59"/>
  <c r="Q37" i="59"/>
  <c r="AB36" i="59" s="1"/>
  <c r="Q38" i="59"/>
  <c r="Q39" i="59"/>
  <c r="AB38" i="59" s="1"/>
  <c r="Q40" i="59"/>
  <c r="AB7" i="59"/>
  <c r="N10" i="59"/>
  <c r="N11" i="59"/>
  <c r="N12" i="59"/>
  <c r="X12" i="59" s="1"/>
  <c r="N13" i="59"/>
  <c r="N14" i="59"/>
  <c r="N15" i="59"/>
  <c r="N16" i="59"/>
  <c r="X16" i="59" s="1"/>
  <c r="N17" i="59"/>
  <c r="N18" i="59"/>
  <c r="N19" i="59"/>
  <c r="N20" i="59"/>
  <c r="N21" i="59"/>
  <c r="N22" i="59"/>
  <c r="N23" i="59"/>
  <c r="N24" i="59"/>
  <c r="X23" i="59" s="1"/>
  <c r="N25" i="59"/>
  <c r="N26" i="59"/>
  <c r="X25" i="59" s="1"/>
  <c r="N27" i="59"/>
  <c r="N28" i="59"/>
  <c r="N29" i="59"/>
  <c r="N30" i="59"/>
  <c r="X30" i="59" s="1"/>
  <c r="N31" i="59"/>
  <c r="N32" i="59"/>
  <c r="X32" i="59" s="1"/>
  <c r="N33" i="59"/>
  <c r="N34" i="59"/>
  <c r="X34" i="59" s="1"/>
  <c r="N35" i="59"/>
  <c r="N36" i="59"/>
  <c r="X36" i="59" s="1"/>
  <c r="N37" i="59"/>
  <c r="N38" i="59"/>
  <c r="X38" i="59" s="1"/>
  <c r="N39" i="59"/>
  <c r="N40" i="59"/>
  <c r="X39" i="59" s="1"/>
  <c r="X5" i="59"/>
  <c r="P10" i="59"/>
  <c r="P11" i="59"/>
  <c r="P12" i="59"/>
  <c r="P13" i="59"/>
  <c r="P14" i="59"/>
  <c r="P15" i="59"/>
  <c r="P16" i="59"/>
  <c r="P17" i="59"/>
  <c r="P18" i="59"/>
  <c r="P19" i="59"/>
  <c r="AA18" i="59" s="1"/>
  <c r="P20" i="59"/>
  <c r="P21" i="59"/>
  <c r="AA20" i="59" s="1"/>
  <c r="P22" i="59"/>
  <c r="P23" i="59"/>
  <c r="P24" i="59"/>
  <c r="P25" i="59"/>
  <c r="E25" i="59" s="1"/>
  <c r="P26" i="59"/>
  <c r="P27" i="59"/>
  <c r="P28" i="59"/>
  <c r="P29" i="59"/>
  <c r="P30" i="59"/>
  <c r="P31" i="59"/>
  <c r="AA31" i="59" s="1"/>
  <c r="P32" i="59"/>
  <c r="P33" i="59"/>
  <c r="AA33" i="59" s="1"/>
  <c r="P34" i="59"/>
  <c r="P35" i="59"/>
  <c r="AA35" i="59" s="1"/>
  <c r="P36" i="59"/>
  <c r="P37" i="59"/>
  <c r="AA37" i="59" s="1"/>
  <c r="P38" i="59"/>
  <c r="P39" i="59"/>
  <c r="AA39" i="59" s="1"/>
  <c r="P40" i="59"/>
  <c r="AA7" i="59"/>
  <c r="R43" i="63"/>
  <c r="R40" i="63"/>
  <c r="R41" i="63"/>
  <c r="R35" i="63" s="1"/>
  <c r="U34" i="63" s="1"/>
  <c r="F36" i="63"/>
  <c r="R34" i="63"/>
  <c r="R33" i="63"/>
  <c r="C30" i="63"/>
  <c r="R27" i="63"/>
  <c r="M24" i="63"/>
  <c r="R23" i="63"/>
  <c r="C23" i="63"/>
  <c r="R22" i="63"/>
  <c r="R24" i="63" s="1"/>
  <c r="R21" i="63"/>
  <c r="N19" i="63"/>
  <c r="R18" i="63"/>
  <c r="D18" i="63"/>
  <c r="R17" i="63"/>
  <c r="D17" i="63"/>
  <c r="R16" i="63"/>
  <c r="D16" i="63"/>
  <c r="D15" i="63"/>
  <c r="M14" i="63"/>
  <c r="N14" i="63" s="1"/>
  <c r="D14" i="63"/>
  <c r="R13" i="63"/>
  <c r="R12" i="63"/>
  <c r="D12" i="63"/>
  <c r="R11" i="63"/>
  <c r="R10" i="63"/>
  <c r="D10" i="63"/>
  <c r="R9" i="63"/>
  <c r="D9" i="63"/>
  <c r="R8" i="63"/>
  <c r="R7" i="63"/>
  <c r="R14" i="63" s="1"/>
  <c r="R4" i="63"/>
  <c r="R3" i="63"/>
  <c r="AH10" i="59"/>
  <c r="AG10" i="59"/>
  <c r="AE10" i="59"/>
  <c r="AF10" i="59"/>
  <c r="AD10" i="59"/>
  <c r="AB9" i="59"/>
  <c r="X9" i="59"/>
  <c r="R19" i="63"/>
  <c r="AH11" i="59"/>
  <c r="AG11" i="59"/>
  <c r="AE11" i="59"/>
  <c r="AF11" i="59"/>
  <c r="AD11" i="59"/>
  <c r="Y10" i="59"/>
  <c r="Z10" i="59" s="1"/>
  <c r="AB11" i="59"/>
  <c r="E20" i="43"/>
  <c r="AH12" i="59"/>
  <c r="AG12" i="59"/>
  <c r="AE12" i="59"/>
  <c r="AF12" i="59" s="1"/>
  <c r="AD12" i="59"/>
  <c r="D29" i="43"/>
  <c r="G13" i="61"/>
  <c r="F13" i="61"/>
  <c r="E13" i="61"/>
  <c r="G18" i="61"/>
  <c r="F18" i="61"/>
  <c r="E18" i="61"/>
  <c r="G19" i="61"/>
  <c r="F19" i="61"/>
  <c r="E19" i="61"/>
  <c r="E20" i="61"/>
  <c r="F20" i="61"/>
  <c r="G20" i="61"/>
  <c r="G21" i="61"/>
  <c r="F21" i="61"/>
  <c r="E21" i="61"/>
  <c r="AH13" i="59"/>
  <c r="AG13" i="59"/>
  <c r="AE13" i="59"/>
  <c r="AF13" i="59"/>
  <c r="AD13" i="59"/>
  <c r="AH14" i="59"/>
  <c r="AG14" i="59"/>
  <c r="AE14" i="59"/>
  <c r="AF14" i="59" s="1"/>
  <c r="AD14" i="59"/>
  <c r="D15" i="48"/>
  <c r="I1" i="4"/>
  <c r="F61" i="57"/>
  <c r="F59" i="9"/>
  <c r="E61" i="57"/>
  <c r="K42" i="40"/>
  <c r="K47" i="39"/>
  <c r="K36" i="36"/>
  <c r="K38" i="35"/>
  <c r="K42" i="37"/>
  <c r="K49" i="34"/>
  <c r="K48" i="33"/>
  <c r="K48" i="21"/>
  <c r="E59" i="9"/>
  <c r="B14" i="62"/>
  <c r="A14" i="55"/>
  <c r="B44" i="60" s="1"/>
  <c r="I108" i="57"/>
  <c r="I106" i="9"/>
  <c r="AH15" i="59"/>
  <c r="AG15" i="59"/>
  <c r="AE15" i="59"/>
  <c r="AF15" i="59"/>
  <c r="AD15" i="59"/>
  <c r="AB14" i="59"/>
  <c r="X14" i="59"/>
  <c r="F22" i="59"/>
  <c r="F21" i="59" s="1"/>
  <c r="F20" i="59" s="1"/>
  <c r="F19" i="59" s="1"/>
  <c r="F18" i="59" s="1"/>
  <c r="F17" i="59" s="1"/>
  <c r="E24" i="59"/>
  <c r="E23" i="59" s="1"/>
  <c r="E22" i="59" s="1"/>
  <c r="E21" i="59" s="1"/>
  <c r="E20" i="59" s="1"/>
  <c r="E19" i="59" s="1"/>
  <c r="E18" i="59" s="1"/>
  <c r="E17" i="59" s="1"/>
  <c r="C25" i="59"/>
  <c r="C24" i="59"/>
  <c r="C23" i="59" s="1"/>
  <c r="C22" i="59" s="1"/>
  <c r="C21" i="59" s="1"/>
  <c r="C20" i="59" s="1"/>
  <c r="C19" i="59" s="1"/>
  <c r="C18" i="59" s="1"/>
  <c r="B25" i="59"/>
  <c r="B24" i="59"/>
  <c r="B23" i="59" s="1"/>
  <c r="B22" i="59" s="1"/>
  <c r="B21" i="59" s="1"/>
  <c r="B20" i="59" s="1"/>
  <c r="B19" i="59" s="1"/>
  <c r="B18" i="59" s="1"/>
  <c r="B17" i="59" s="1"/>
  <c r="AH16" i="59"/>
  <c r="AG16" i="59"/>
  <c r="AE16" i="59"/>
  <c r="AF16" i="59"/>
  <c r="AD16" i="59"/>
  <c r="AB15" i="59"/>
  <c r="X15" i="59"/>
  <c r="AH17" i="59"/>
  <c r="AG17" i="59"/>
  <c r="AE17" i="59"/>
  <c r="AF17" i="59"/>
  <c r="AD17" i="59"/>
  <c r="AB16" i="59"/>
  <c r="Y16" i="59"/>
  <c r="Z16" i="59" s="1"/>
  <c r="B2" i="48"/>
  <c r="B5" i="48" s="1"/>
  <c r="D5" i="48" s="1"/>
  <c r="Y18" i="59"/>
  <c r="Z18" i="59" s="1"/>
  <c r="AH18" i="59"/>
  <c r="AG18" i="59"/>
  <c r="AE18" i="59"/>
  <c r="AF18" i="59" s="1"/>
  <c r="AD18"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L3" i="59"/>
  <c r="AH3" i="59" s="1"/>
  <c r="K3" i="59"/>
  <c r="AG3" i="59" s="1"/>
  <c r="J3" i="59"/>
  <c r="AE3" i="59" s="1"/>
  <c r="I3" i="59"/>
  <c r="AD3" i="59" s="1"/>
  <c r="AH22" i="59"/>
  <c r="AG22" i="59"/>
  <c r="AE22" i="59"/>
  <c r="AF22" i="59"/>
  <c r="AD22" i="59"/>
  <c r="AB22" i="59"/>
  <c r="Y22" i="59"/>
  <c r="Z22" i="59" s="1"/>
  <c r="X22" i="59"/>
  <c r="AD23" i="59"/>
  <c r="AE23" i="59"/>
  <c r="AF23" i="59" s="1"/>
  <c r="AG23" i="59"/>
  <c r="AH23" i="59"/>
  <c r="E39" i="59"/>
  <c r="E40" i="59" s="1"/>
  <c r="E41" i="59"/>
  <c r="M48" i="15"/>
  <c r="F30" i="1"/>
  <c r="C28" i="15" s="1"/>
  <c r="B24" i="1"/>
  <c r="J50" i="15"/>
  <c r="J51" i="15"/>
  <c r="B26" i="1"/>
  <c r="AH24" i="59"/>
  <c r="AG24" i="59"/>
  <c r="AE24" i="59"/>
  <c r="AF24" i="59"/>
  <c r="AD24" i="59"/>
  <c r="AH25" i="59"/>
  <c r="AG25" i="59"/>
  <c r="AE25" i="59"/>
  <c r="AF25" i="59" s="1"/>
  <c r="AD25" i="59"/>
  <c r="AA22" i="59"/>
  <c r="Z24" i="59"/>
  <c r="D26" i="59"/>
  <c r="T25" i="59"/>
  <c r="Z25" i="59"/>
  <c r="A2" i="50"/>
  <c r="D25" i="59"/>
  <c r="K60" i="15"/>
  <c r="P59" i="15"/>
  <c r="P72" i="15"/>
  <c r="A127" i="57"/>
  <c r="A123" i="9"/>
  <c r="A16" i="54"/>
  <c r="B14" i="60" s="1"/>
  <c r="A14" i="54"/>
  <c r="B12" i="60" s="1"/>
  <c r="A19" i="55"/>
  <c r="A13" i="55"/>
  <c r="A1" i="52"/>
  <c r="A4" i="50"/>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Y30" i="59"/>
  <c r="Z30" i="59" s="1"/>
  <c r="AA30" i="59"/>
  <c r="X31" i="59"/>
  <c r="Z31" i="59"/>
  <c r="AB31" i="59"/>
  <c r="Y32" i="59"/>
  <c r="Z32" i="59" s="1"/>
  <c r="AA32" i="59"/>
  <c r="X33" i="59"/>
  <c r="Z33" i="59"/>
  <c r="AB33" i="59"/>
  <c r="Y34" i="59"/>
  <c r="Z34" i="59" s="1"/>
  <c r="AA34" i="59"/>
  <c r="X35" i="59"/>
  <c r="Z35" i="59"/>
  <c r="AB35" i="59"/>
  <c r="Y36" i="59"/>
  <c r="Z36" i="59" s="1"/>
  <c r="AA36" i="59"/>
  <c r="X37" i="59"/>
  <c r="Z37" i="59"/>
  <c r="AB37" i="59"/>
  <c r="Y38" i="59"/>
  <c r="Z38" i="59" s="1"/>
  <c r="AA38" i="59"/>
  <c r="AB39" i="59"/>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s="1"/>
  <c r="B65" i="60" s="1"/>
  <c r="F110" i="9"/>
  <c r="B15" i="50"/>
  <c r="F116" i="57"/>
  <c r="A133" i="57"/>
  <c r="A120" i="57"/>
  <c r="A116" i="9"/>
  <c r="F114" i="57"/>
  <c r="A118" i="57"/>
  <c r="A131" i="57"/>
  <c r="A114" i="9"/>
  <c r="A127" i="9"/>
  <c r="F114" i="9"/>
  <c r="A129" i="9"/>
  <c r="A12" i="52"/>
  <c r="B67" i="60" s="1"/>
  <c r="F112" i="9"/>
  <c r="B18" i="50" s="1"/>
  <c r="B45" i="50"/>
  <c r="B59" i="60"/>
  <c r="D2" i="52"/>
  <c r="B60" i="60"/>
  <c r="B10" i="50"/>
  <c r="B31" i="50" s="1"/>
  <c r="C6" i="50"/>
  <c r="B18" i="60" s="1"/>
  <c r="A13" i="54"/>
  <c r="B10" i="60" s="1"/>
  <c r="B51" i="60"/>
  <c r="B50" i="60"/>
  <c r="B47" i="60"/>
  <c r="B16" i="60"/>
  <c r="B51" i="10"/>
  <c r="B49" i="60"/>
  <c r="A15" i="55"/>
  <c r="B45" i="60"/>
  <c r="B43" i="60"/>
  <c r="C10" i="50"/>
  <c r="B24" i="60"/>
  <c r="C7" i="50"/>
  <c r="C15" i="50"/>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B81" i="59"/>
  <c r="S81" i="59"/>
  <c r="Q81" i="59"/>
  <c r="P81" i="59"/>
  <c r="O81" i="59"/>
  <c r="N81" i="59"/>
  <c r="F81" i="59"/>
  <c r="V81" i="59"/>
  <c r="E81" i="59"/>
  <c r="U81" i="59"/>
  <c r="C81" i="59"/>
  <c r="T81" i="59"/>
  <c r="Q80" i="59"/>
  <c r="P80" i="59"/>
  <c r="O80" i="59"/>
  <c r="N80" i="59"/>
  <c r="F80" i="59"/>
  <c r="F79" i="59"/>
  <c r="B80" i="59"/>
  <c r="B79" i="59"/>
  <c r="Q79" i="59"/>
  <c r="P79" i="59"/>
  <c r="O79" i="59"/>
  <c r="N79" i="59"/>
  <c r="Q78" i="59"/>
  <c r="P78" i="59"/>
  <c r="O78" i="59"/>
  <c r="N78" i="59"/>
  <c r="D78" i="59"/>
  <c r="B77" i="59"/>
  <c r="S77" i="59" s="1"/>
  <c r="Q77" i="59"/>
  <c r="P77" i="59"/>
  <c r="O77" i="59"/>
  <c r="N77" i="59"/>
  <c r="F77" i="59"/>
  <c r="V77" i="59" s="1"/>
  <c r="E77" i="59"/>
  <c r="U77" i="59" s="1"/>
  <c r="C77" i="59"/>
  <c r="T77" i="59" s="1"/>
  <c r="Q76" i="59"/>
  <c r="P76" i="59"/>
  <c r="O76" i="59"/>
  <c r="N76" i="59"/>
  <c r="B76" i="59"/>
  <c r="B75" i="59" s="1"/>
  <c r="Q75" i="59"/>
  <c r="P75" i="59"/>
  <c r="O75" i="59"/>
  <c r="N75" i="59"/>
  <c r="Q74" i="59"/>
  <c r="P74" i="59"/>
  <c r="O74" i="59"/>
  <c r="N74" i="59"/>
  <c r="D74" i="59"/>
  <c r="B73" i="59"/>
  <c r="S73" i="59"/>
  <c r="Q73" i="59"/>
  <c r="P73" i="59"/>
  <c r="O73" i="59"/>
  <c r="N73" i="59"/>
  <c r="F73" i="59"/>
  <c r="V73" i="59"/>
  <c r="E73" i="59"/>
  <c r="C73" i="59"/>
  <c r="Q72" i="59"/>
  <c r="P72" i="59"/>
  <c r="O72" i="59"/>
  <c r="N72" i="59"/>
  <c r="F72" i="59"/>
  <c r="F71" i="59"/>
  <c r="B72" i="59"/>
  <c r="B71" i="59"/>
  <c r="Q71" i="59"/>
  <c r="P71" i="59"/>
  <c r="O71" i="59"/>
  <c r="N71" i="59"/>
  <c r="Q70" i="59"/>
  <c r="P70" i="59"/>
  <c r="O70" i="59"/>
  <c r="N70" i="59"/>
  <c r="D70" i="59"/>
  <c r="E69" i="59"/>
  <c r="U69" i="59" s="1"/>
  <c r="B69" i="59"/>
  <c r="P69" i="59"/>
  <c r="F69" i="59"/>
  <c r="E68" i="59"/>
  <c r="C69" i="59"/>
  <c r="B68" i="59"/>
  <c r="D66" i="59"/>
  <c r="Q65" i="59"/>
  <c r="P65" i="59"/>
  <c r="O65" i="59"/>
  <c r="N65" i="59"/>
  <c r="Q64" i="59"/>
  <c r="P64" i="59"/>
  <c r="O64" i="59"/>
  <c r="N64" i="59"/>
  <c r="Q62" i="59"/>
  <c r="F63" i="59" s="1"/>
  <c r="Q63" i="59"/>
  <c r="P63" i="59"/>
  <c r="O63" i="59"/>
  <c r="N63" i="59"/>
  <c r="P62" i="59"/>
  <c r="E63" i="59"/>
  <c r="O62" i="59"/>
  <c r="C63" i="59"/>
  <c r="N62" i="59"/>
  <c r="B63" i="59"/>
  <c r="B64" i="59" s="1"/>
  <c r="B65" i="59" s="1"/>
  <c r="S65" i="59" s="1"/>
  <c r="D62" i="59"/>
  <c r="Q61" i="59"/>
  <c r="P61" i="59"/>
  <c r="O61" i="59"/>
  <c r="N61" i="59"/>
  <c r="Q60" i="59"/>
  <c r="P60" i="59"/>
  <c r="O60" i="59"/>
  <c r="N60" i="59"/>
  <c r="Q58" i="59"/>
  <c r="F59" i="59"/>
  <c r="Q59" i="59"/>
  <c r="F60" i="59"/>
  <c r="F61" i="59" s="1"/>
  <c r="V61" i="59" s="1"/>
  <c r="P59" i="59"/>
  <c r="O59" i="59"/>
  <c r="N59" i="59"/>
  <c r="P58" i="59"/>
  <c r="E59" i="59" s="1"/>
  <c r="O58" i="59"/>
  <c r="C59" i="59" s="1"/>
  <c r="N58" i="59"/>
  <c r="B59" i="59" s="1"/>
  <c r="B60" i="59"/>
  <c r="B61" i="59" s="1"/>
  <c r="S61" i="59" s="1"/>
  <c r="D58" i="59"/>
  <c r="Q57" i="59"/>
  <c r="P57" i="59"/>
  <c r="O57" i="59"/>
  <c r="N57" i="59"/>
  <c r="Q56" i="59"/>
  <c r="P56" i="59"/>
  <c r="O56" i="59"/>
  <c r="N56" i="59"/>
  <c r="Q54" i="59"/>
  <c r="F55" i="59" s="1"/>
  <c r="Q55" i="59"/>
  <c r="P55" i="59"/>
  <c r="O55" i="59"/>
  <c r="N55" i="59"/>
  <c r="P54" i="59"/>
  <c r="E55" i="59"/>
  <c r="O54" i="59"/>
  <c r="C55" i="59"/>
  <c r="N54" i="59"/>
  <c r="B55" i="59"/>
  <c r="B56" i="59" s="1"/>
  <c r="B57" i="59" s="1"/>
  <c r="S57" i="59" s="1"/>
  <c r="D54" i="59"/>
  <c r="Q53" i="59"/>
  <c r="P53" i="59"/>
  <c r="O53" i="59"/>
  <c r="N53" i="59"/>
  <c r="Q52" i="59"/>
  <c r="P52" i="59"/>
  <c r="O52" i="59"/>
  <c r="N52" i="59"/>
  <c r="Q51" i="59"/>
  <c r="P51" i="59"/>
  <c r="O51" i="59"/>
  <c r="N51" i="59"/>
  <c r="P50" i="59"/>
  <c r="E51" i="59"/>
  <c r="E52" i="59" s="1"/>
  <c r="E53" i="59" s="1"/>
  <c r="U53" i="59" s="1"/>
  <c r="Q50" i="59"/>
  <c r="F51" i="59" s="1"/>
  <c r="F52" i="59" s="1"/>
  <c r="F53" i="59" s="1"/>
  <c r="V53" i="59" s="1"/>
  <c r="O50" i="59"/>
  <c r="C51" i="59"/>
  <c r="D51" i="59" s="1"/>
  <c r="N50" i="59"/>
  <c r="B51" i="59"/>
  <c r="B52" i="59" s="1"/>
  <c r="B53" i="59" s="1"/>
  <c r="S53" i="59" s="1"/>
  <c r="D50" i="59"/>
  <c r="T49" i="59"/>
  <c r="Q49" i="59"/>
  <c r="P49" i="59"/>
  <c r="O49" i="59"/>
  <c r="N49" i="59"/>
  <c r="D49" i="59"/>
  <c r="Q48" i="59"/>
  <c r="P48" i="59"/>
  <c r="O48" i="59"/>
  <c r="N48" i="59"/>
  <c r="Q47" i="59"/>
  <c r="P47" i="59"/>
  <c r="O47" i="59"/>
  <c r="N47" i="59"/>
  <c r="Q46" i="59"/>
  <c r="F47" i="59"/>
  <c r="F48" i="59" s="1"/>
  <c r="F49" i="59" s="1"/>
  <c r="V49" i="59" s="1"/>
  <c r="P46" i="59"/>
  <c r="E47" i="59" s="1"/>
  <c r="E48" i="59" s="1"/>
  <c r="E49" i="59" s="1"/>
  <c r="U49" i="59" s="1"/>
  <c r="O46" i="59"/>
  <c r="C47" i="59"/>
  <c r="C48" i="59" s="1"/>
  <c r="D48" i="59" s="1"/>
  <c r="N46" i="59"/>
  <c r="B47" i="59"/>
  <c r="B48" i="59" s="1"/>
  <c r="B49" i="59" s="1"/>
  <c r="S49"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c r="C44" i="59" s="1"/>
  <c r="D44" i="59" s="1"/>
  <c r="N42" i="59"/>
  <c r="B43" i="59"/>
  <c r="B44" i="59" s="1"/>
  <c r="B45" i="59" s="1"/>
  <c r="S45" i="59" s="1"/>
  <c r="D42" i="59"/>
  <c r="Q41" i="59"/>
  <c r="P41" i="59"/>
  <c r="O41" i="59"/>
  <c r="N41" i="59"/>
  <c r="AB40" i="59"/>
  <c r="AA40" i="59"/>
  <c r="Y40" i="59"/>
  <c r="Z40" i="59"/>
  <c r="X40" i="59"/>
  <c r="Z39" i="59"/>
  <c r="F39" i="59"/>
  <c r="F40" i="59"/>
  <c r="F41" i="59" s="1"/>
  <c r="V41" i="59" s="1"/>
  <c r="C39" i="59"/>
  <c r="C40" i="59" s="1"/>
  <c r="D40" i="59" s="1"/>
  <c r="B39" i="59"/>
  <c r="B40" i="59"/>
  <c r="B41" i="59" s="1"/>
  <c r="S41" i="59" s="1"/>
  <c r="D38" i="59"/>
  <c r="F35" i="59"/>
  <c r="F36" i="59" s="1"/>
  <c r="F37" i="59"/>
  <c r="V37" i="59" s="1"/>
  <c r="E35" i="59"/>
  <c r="E36" i="59" s="1"/>
  <c r="E37" i="59"/>
  <c r="U37" i="59" s="1"/>
  <c r="C35" i="59"/>
  <c r="B35" i="59"/>
  <c r="B36" i="59"/>
  <c r="B37" i="59" s="1"/>
  <c r="S37" i="59"/>
  <c r="D34" i="59"/>
  <c r="F31" i="59"/>
  <c r="F32" i="59" s="1"/>
  <c r="F33" i="59" s="1"/>
  <c r="V33" i="59" s="1"/>
  <c r="E31" i="59"/>
  <c r="E32" i="59" s="1"/>
  <c r="E33" i="59" s="1"/>
  <c r="U33" i="59" s="1"/>
  <c r="C31" i="59"/>
  <c r="C32" i="59" s="1"/>
  <c r="D32" i="59" s="1"/>
  <c r="B31" i="59"/>
  <c r="B32" i="59"/>
  <c r="B33" i="59" s="1"/>
  <c r="S33" i="59" s="1"/>
  <c r="D30" i="59"/>
  <c r="C29" i="59"/>
  <c r="T29" i="59" s="1"/>
  <c r="Y26" i="59"/>
  <c r="Z26" i="59" s="1"/>
  <c r="Y27" i="59"/>
  <c r="Z27" i="59" s="1"/>
  <c r="Y29" i="59"/>
  <c r="Z29" i="59" s="1"/>
  <c r="Y28" i="59"/>
  <c r="Z28" i="59" s="1"/>
  <c r="B29" i="59"/>
  <c r="B28" i="59" s="1"/>
  <c r="B27" i="59" s="1"/>
  <c r="X29" i="59"/>
  <c r="X28" i="59"/>
  <c r="X26" i="59"/>
  <c r="X27" i="59"/>
  <c r="D31" i="59"/>
  <c r="C36" i="59"/>
  <c r="D35" i="59"/>
  <c r="D39" i="59"/>
  <c r="D43" i="59"/>
  <c r="C52" i="59"/>
  <c r="C53" i="59" s="1"/>
  <c r="D53" i="59" s="1"/>
  <c r="E56" i="59"/>
  <c r="E57" i="59" s="1"/>
  <c r="U57" i="59" s="1"/>
  <c r="E60" i="59"/>
  <c r="E61" i="59"/>
  <c r="U61" i="59" s="1"/>
  <c r="E64" i="59"/>
  <c r="E65" i="59" s="1"/>
  <c r="U65" i="59" s="1"/>
  <c r="U73" i="59"/>
  <c r="E72" i="59"/>
  <c r="E71" i="59" s="1"/>
  <c r="C56" i="59"/>
  <c r="D56" i="59" s="1"/>
  <c r="D55" i="59"/>
  <c r="C60" i="59"/>
  <c r="D60" i="59" s="1"/>
  <c r="D59" i="59"/>
  <c r="C64" i="59"/>
  <c r="D64" i="59" s="1"/>
  <c r="D63" i="59"/>
  <c r="N68" i="59"/>
  <c r="B67" i="59"/>
  <c r="T69" i="59"/>
  <c r="O69" i="59"/>
  <c r="D69" i="59"/>
  <c r="C68" i="59"/>
  <c r="C67" i="59" s="1"/>
  <c r="T73" i="59"/>
  <c r="D73" i="59"/>
  <c r="C72" i="59"/>
  <c r="Q69" i="59"/>
  <c r="C76" i="59"/>
  <c r="E76" i="59"/>
  <c r="E75" i="59" s="1"/>
  <c r="D77" i="59"/>
  <c r="C80" i="59"/>
  <c r="E80" i="59"/>
  <c r="E79" i="59" s="1"/>
  <c r="D81" i="59"/>
  <c r="C84" i="59"/>
  <c r="C88" i="59"/>
  <c r="D88" i="59" s="1"/>
  <c r="F29" i="59"/>
  <c r="V29" i="59" s="1"/>
  <c r="AB3" i="59"/>
  <c r="AB26" i="59"/>
  <c r="AB27" i="59"/>
  <c r="AB28" i="59"/>
  <c r="AB29" i="59"/>
  <c r="E29" i="59"/>
  <c r="AA27" i="59"/>
  <c r="AA28" i="59"/>
  <c r="AA29" i="59"/>
  <c r="AA3" i="59"/>
  <c r="AA26" i="59"/>
  <c r="C28" i="59"/>
  <c r="C27" i="59" s="1"/>
  <c r="D29" i="59"/>
  <c r="D84" i="59"/>
  <c r="C83" i="59"/>
  <c r="D83" i="59"/>
  <c r="D76" i="59"/>
  <c r="C75" i="59"/>
  <c r="D75" i="59" s="1"/>
  <c r="C71" i="59"/>
  <c r="D71" i="59" s="1"/>
  <c r="D72" i="59"/>
  <c r="D52" i="59"/>
  <c r="C87" i="59"/>
  <c r="D87" i="59" s="1"/>
  <c r="D80" i="59"/>
  <c r="C79" i="59"/>
  <c r="D79" i="59"/>
  <c r="O68" i="59"/>
  <c r="C65" i="59"/>
  <c r="D65" i="59" s="1"/>
  <c r="C61" i="59"/>
  <c r="D61" i="59" s="1"/>
  <c r="C57" i="59"/>
  <c r="D57" i="59" s="1"/>
  <c r="N66" i="59"/>
  <c r="N67" i="59"/>
  <c r="C45" i="59"/>
  <c r="D45" i="59" s="1"/>
  <c r="C37" i="59"/>
  <c r="D37" i="59" s="1"/>
  <c r="D36" i="59"/>
  <c r="C33" i="59"/>
  <c r="D33" i="59" s="1"/>
  <c r="D27" i="59"/>
  <c r="F28" i="59"/>
  <c r="F27" i="59" s="1"/>
  <c r="D67" i="59"/>
  <c r="T33" i="59"/>
  <c r="T57" i="59"/>
  <c r="T65" i="59"/>
  <c r="G20" i="20"/>
  <c r="B86" i="43" s="1"/>
  <c r="C22" i="20"/>
  <c r="Q25" i="40"/>
  <c r="Z25" i="40" s="1"/>
  <c r="D93" i="40"/>
  <c r="E93" i="40" s="1"/>
  <c r="F93" i="40"/>
  <c r="G93" i="40" s="1"/>
  <c r="H25" i="40"/>
  <c r="U25" i="40" s="1"/>
  <c r="F25" i="40"/>
  <c r="AA25" i="40" s="1"/>
  <c r="C25" i="40"/>
  <c r="Q27" i="39"/>
  <c r="Z27" i="39"/>
  <c r="D100" i="39"/>
  <c r="E100" i="39"/>
  <c r="F100" i="39" s="1"/>
  <c r="G100" i="39" s="1"/>
  <c r="C29" i="39"/>
  <c r="C21" i="20"/>
  <c r="C27" i="39" s="1"/>
  <c r="Q18" i="36"/>
  <c r="Z18" i="36" s="1"/>
  <c r="F18" i="36"/>
  <c r="AA18" i="36" s="1"/>
  <c r="C18" i="36"/>
  <c r="D66" i="36"/>
  <c r="E66" i="36"/>
  <c r="F66" i="36" s="1"/>
  <c r="G66" i="36" s="1"/>
  <c r="Q18" i="35"/>
  <c r="Z18" i="35"/>
  <c r="D68" i="35"/>
  <c r="E68" i="35"/>
  <c r="F68" i="35" s="1"/>
  <c r="G68" i="35" s="1"/>
  <c r="J18" i="35"/>
  <c r="AC18" i="35"/>
  <c r="H18" i="35"/>
  <c r="AB18" i="35" s="1"/>
  <c r="F18" i="35"/>
  <c r="AA18" i="35" s="1"/>
  <c r="C18" i="35"/>
  <c r="Q21" i="37"/>
  <c r="Z21" i="37"/>
  <c r="D77" i="37"/>
  <c r="E77" i="37"/>
  <c r="F77" i="37" s="1"/>
  <c r="G77" i="37" s="1"/>
  <c r="H21" i="37"/>
  <c r="AB21" i="37" s="1"/>
  <c r="F21" i="37"/>
  <c r="AA21" i="37" s="1"/>
  <c r="C21" i="37"/>
  <c r="Q21" i="34"/>
  <c r="Z21" i="34"/>
  <c r="D84" i="34"/>
  <c r="E84" i="34"/>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18" i="36"/>
  <c r="W18" i="35"/>
  <c r="U18" i="35"/>
  <c r="S18" i="35"/>
  <c r="U21" i="37"/>
  <c r="S21" i="34"/>
  <c r="U21" i="33"/>
  <c r="S21" i="33"/>
  <c r="J25" i="40"/>
  <c r="J27" i="39"/>
  <c r="H27" i="39"/>
  <c r="F27" i="39"/>
  <c r="H18" i="36"/>
  <c r="J18" i="36"/>
  <c r="J21" i="37"/>
  <c r="F84" i="34"/>
  <c r="H21" i="34"/>
  <c r="J21" i="33"/>
  <c r="H21" i="21"/>
  <c r="F8" i="15"/>
  <c r="F52" i="15"/>
  <c r="F15" i="15"/>
  <c r="F16" i="15"/>
  <c r="F17" i="15"/>
  <c r="F18" i="15"/>
  <c r="F23" i="15"/>
  <c r="D23" i="15"/>
  <c r="F26" i="15"/>
  <c r="C27" i="15" s="1"/>
  <c r="C21" i="15"/>
  <c r="F33" i="15"/>
  <c r="F62" i="15"/>
  <c r="F36" i="15"/>
  <c r="F65" i="15"/>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c r="B1" i="4"/>
  <c r="B9" i="49"/>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U25" i="31" s="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C8" i="11"/>
  <c r="H16" i="48"/>
  <c r="D16" i="48"/>
  <c r="B21" i="49"/>
  <c r="B5" i="60" s="1"/>
  <c r="B12" i="49"/>
  <c r="B3" i="60" s="1"/>
  <c r="I2" i="43"/>
  <c r="H6" i="44"/>
  <c r="G2" i="43"/>
  <c r="E31" i="4"/>
  <c r="C7" i="4"/>
  <c r="G3" i="43"/>
  <c r="C121" i="9"/>
  <c r="C4" i="52"/>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69" i="15"/>
  <c r="G54" i="40"/>
  <c r="C54" i="40" s="1"/>
  <c r="G53" i="40"/>
  <c r="C53" i="40" s="1"/>
  <c r="G52" i="40"/>
  <c r="C52" i="40" s="1"/>
  <c r="G57" i="39"/>
  <c r="C57" i="39" s="1"/>
  <c r="G62" i="39"/>
  <c r="G64" i="39" s="1"/>
  <c r="C64" i="39" s="1"/>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39" i="11"/>
  <c r="F21" i="11"/>
  <c r="F40" i="11"/>
  <c r="F7" i="11"/>
  <c r="C7" i="11"/>
  <c r="C5" i="11" s="1"/>
  <c r="F12" i="12"/>
  <c r="F13" i="12"/>
  <c r="F15" i="12"/>
  <c r="E14" i="12"/>
  <c r="E19" i="12"/>
  <c r="E20" i="12"/>
  <c r="E17" i="12"/>
  <c r="F22" i="12"/>
  <c r="F23" i="12"/>
  <c r="F24" i="12"/>
  <c r="C17" i="9"/>
  <c r="C18" i="9" s="1"/>
  <c r="D18" i="9" s="1"/>
  <c r="I55" i="9"/>
  <c r="F55" i="9"/>
  <c r="P53" i="9" s="1"/>
  <c r="D89" i="9"/>
  <c r="C89" i="9" s="1"/>
  <c r="C87" i="9" s="1"/>
  <c r="E15" i="1"/>
  <c r="E19" i="11"/>
  <c r="E40" i="1"/>
  <c r="F34" i="15"/>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B115" i="40"/>
  <c r="D114" i="40"/>
  <c r="E114" i="40" s="1"/>
  <c r="F114" i="40" s="1"/>
  <c r="G114" i="40" s="1"/>
  <c r="H114" i="40" s="1"/>
  <c r="I114" i="40" s="1"/>
  <c r="J114" i="40" s="1"/>
  <c r="K114" i="40" s="1"/>
  <c r="L114" i="40" s="1"/>
  <c r="M114" i="40" s="1"/>
  <c r="D112" i="40"/>
  <c r="E112" i="40" s="1"/>
  <c r="F112" i="40"/>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c r="D99" i="40"/>
  <c r="E99" i="40"/>
  <c r="F99" i="40" s="1"/>
  <c r="G99" i="40" s="1"/>
  <c r="H99" i="40" s="1"/>
  <c r="I99" i="40" s="1"/>
  <c r="J99" i="40" s="1"/>
  <c r="K99" i="40" s="1"/>
  <c r="L99" i="40" s="1"/>
  <c r="M99" i="40" s="1"/>
  <c r="D97" i="40"/>
  <c r="E97" i="40"/>
  <c r="F97" i="40" s="1"/>
  <c r="D95" i="40"/>
  <c r="E95" i="40" s="1"/>
  <c r="F95" i="40"/>
  <c r="G95" i="40" s="1"/>
  <c r="H95" i="40" s="1"/>
  <c r="I95" i="40" s="1"/>
  <c r="J95" i="40" s="1"/>
  <c r="K95" i="40" s="1"/>
  <c r="L95" i="40" s="1"/>
  <c r="M95" i="40" s="1"/>
  <c r="B94" i="40"/>
  <c r="D91" i="40"/>
  <c r="E91" i="40"/>
  <c r="F91" i="40" s="1"/>
  <c r="G91" i="40" s="1"/>
  <c r="D89" i="40"/>
  <c r="E89" i="40"/>
  <c r="D87" i="40"/>
  <c r="E87" i="40"/>
  <c r="F87" i="40" s="1"/>
  <c r="G87" i="40"/>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c r="G121" i="39" s="1"/>
  <c r="H121" i="39" s="1"/>
  <c r="I121" i="39" s="1"/>
  <c r="J121" i="39" s="1"/>
  <c r="K121" i="39" s="1"/>
  <c r="L121" i="39" s="1"/>
  <c r="M121" i="39" s="1"/>
  <c r="B103" i="39"/>
  <c r="D96" i="39"/>
  <c r="D94" i="39"/>
  <c r="E94" i="39" s="1"/>
  <c r="F94" i="39" s="1"/>
  <c r="G94" i="39" s="1"/>
  <c r="J21" i="39"/>
  <c r="AC21" i="39" s="1"/>
  <c r="D92" i="39"/>
  <c r="E92" i="39" s="1"/>
  <c r="F92" i="39"/>
  <c r="G92" i="39" s="1"/>
  <c r="D90" i="39"/>
  <c r="E90" i="39" s="1"/>
  <c r="F90" i="39"/>
  <c r="G90" i="39" s="1"/>
  <c r="D88" i="39"/>
  <c r="E88" i="39" s="1"/>
  <c r="F88" i="39"/>
  <c r="G88" i="39" s="1"/>
  <c r="B85" i="39"/>
  <c r="F14" i="39" s="1"/>
  <c r="AA14" i="39"/>
  <c r="B83" i="39"/>
  <c r="B81" i="39"/>
  <c r="H12" i="39" s="1"/>
  <c r="U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F117" i="21" s="1"/>
  <c r="D115" i="21"/>
  <c r="E115" i="21" s="1"/>
  <c r="F115" i="21" s="1"/>
  <c r="G115" i="21" s="1"/>
  <c r="H115" i="21" s="1"/>
  <c r="I115" i="21" s="1"/>
  <c r="J115" i="21" s="1"/>
  <c r="K115" i="21" s="1"/>
  <c r="L115" i="21" s="1"/>
  <c r="M115" i="21" s="1"/>
  <c r="D113" i="21"/>
  <c r="E113" i="21" s="1"/>
  <c r="F113" i="21" s="1"/>
  <c r="G113" i="21" s="1"/>
  <c r="D110" i="21"/>
  <c r="E110" i="2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c r="Q37" i="21"/>
  <c r="Z37" i="21"/>
  <c r="Q38" i="21"/>
  <c r="Z38" i="21"/>
  <c r="J39" i="21"/>
  <c r="AC39" i="21" s="1"/>
  <c r="Q39" i="21"/>
  <c r="Z39" i="21"/>
  <c r="Q40" i="21"/>
  <c r="Z40" i="21"/>
  <c r="Q41" i="21"/>
  <c r="Z41" i="21"/>
  <c r="Q42" i="21"/>
  <c r="Z42" i="21"/>
  <c r="Q43" i="21"/>
  <c r="Z43" i="21" s="1"/>
  <c r="Q44" i="21"/>
  <c r="Z44" i="21"/>
  <c r="Q45" i="21"/>
  <c r="Z45" i="21"/>
  <c r="Q46" i="21"/>
  <c r="Z46" i="21"/>
  <c r="P47" i="21"/>
  <c r="R47" i="21"/>
  <c r="T47" i="21"/>
  <c r="V47" i="21"/>
  <c r="P48" i="21"/>
  <c r="P49" i="21"/>
  <c r="F8" i="21"/>
  <c r="AA8" i="21"/>
  <c r="E10" i="11"/>
  <c r="E9" i="1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H39" i="37"/>
  <c r="AB39" i="37"/>
  <c r="S27" i="35"/>
  <c r="F11" i="40"/>
  <c r="AA11" i="40" s="1"/>
  <c r="S8" i="40"/>
  <c r="H11" i="40"/>
  <c r="AB11" i="40"/>
  <c r="U9" i="40"/>
  <c r="U34" i="40"/>
  <c r="W39" i="40"/>
  <c r="F42" i="39"/>
  <c r="AA42" i="39" s="1"/>
  <c r="F41" i="39"/>
  <c r="AA41" i="39" s="1"/>
  <c r="H40" i="39"/>
  <c r="AB40" i="39" s="1"/>
  <c r="H39" i="39"/>
  <c r="U39" i="39" s="1"/>
  <c r="S38" i="39"/>
  <c r="H34" i="39"/>
  <c r="AB34" i="39"/>
  <c r="E108" i="39"/>
  <c r="F108" i="39"/>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c r="J23" i="40"/>
  <c r="AC23" i="40"/>
  <c r="H42" i="39"/>
  <c r="AB42" i="39"/>
  <c r="J34" i="39"/>
  <c r="AC34" i="39"/>
  <c r="J31" i="39"/>
  <c r="W31" i="39"/>
  <c r="H29" i="39"/>
  <c r="U29" i="39" s="1"/>
  <c r="J19" i="39"/>
  <c r="AC19" i="39" s="1"/>
  <c r="J17" i="39"/>
  <c r="W17" i="39" s="1"/>
  <c r="J29" i="39"/>
  <c r="AC29" i="39" s="1"/>
  <c r="F29" i="39"/>
  <c r="AA29" i="39" s="1"/>
  <c r="F11" i="21"/>
  <c r="S11" i="21" s="1"/>
  <c r="C25" i="39"/>
  <c r="H11" i="39"/>
  <c r="AB11" i="39" s="1"/>
  <c r="AB39" i="39"/>
  <c r="H36" i="40"/>
  <c r="U36" i="40" s="1"/>
  <c r="F35" i="40"/>
  <c r="S35" i="40" s="1"/>
  <c r="J30" i="40"/>
  <c r="W30" i="40" s="1"/>
  <c r="F30" i="40"/>
  <c r="AA30" i="40" s="1"/>
  <c r="H27" i="40"/>
  <c r="U27" i="40" s="1"/>
  <c r="H23" i="40"/>
  <c r="AB23" i="40" s="1"/>
  <c r="J11" i="40"/>
  <c r="W11" i="40" s="1"/>
  <c r="AB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B30" i="36"/>
  <c r="W32" i="35"/>
  <c r="F29" i="35"/>
  <c r="S29" i="35"/>
  <c r="U34" i="37"/>
  <c r="AB42" i="34"/>
  <c r="H38" i="34"/>
  <c r="U15" i="34"/>
  <c r="H37" i="33"/>
  <c r="AB37" i="33"/>
  <c r="AA37" i="33"/>
  <c r="H36" i="33"/>
  <c r="U36" i="33" s="1"/>
  <c r="S25" i="33"/>
  <c r="F17" i="33"/>
  <c r="AA17" i="33"/>
  <c r="H15" i="33"/>
  <c r="AB15" i="33"/>
  <c r="AB11" i="33"/>
  <c r="AC42" i="34"/>
  <c r="W42" i="34"/>
  <c r="AA42" i="34"/>
  <c r="S42" i="34"/>
  <c r="W38" i="34"/>
  <c r="J37" i="33"/>
  <c r="AC37" i="33"/>
  <c r="J36" i="33"/>
  <c r="AC36" i="33"/>
  <c r="J11" i="33"/>
  <c r="AC11" i="33"/>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J10" i="36"/>
  <c r="AC10" i="36" s="1"/>
  <c r="AB46" i="21"/>
  <c r="AC14" i="21"/>
  <c r="AC13" i="36"/>
  <c r="U32" i="36"/>
  <c r="U31" i="33"/>
  <c r="AC29" i="33"/>
  <c r="W29"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S25" i="37"/>
  <c r="AB8" i="34"/>
  <c r="AA13" i="33"/>
  <c r="AA30" i="33"/>
  <c r="S11" i="33"/>
  <c r="AC33" i="21"/>
  <c r="AA23" i="37"/>
  <c r="W10" i="36"/>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F37" i="47" s="1"/>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E65" i="39"/>
  <c r="E60" i="40"/>
  <c r="F34" i="43"/>
  <c r="C21" i="11"/>
  <c r="C29" i="11"/>
  <c r="D27" i="11" s="1"/>
  <c r="H55" i="39"/>
  <c r="S30" i="40"/>
  <c r="H16" i="44"/>
  <c r="D17" i="43"/>
  <c r="I17" i="43"/>
  <c r="D108" i="9"/>
  <c r="F22" i="43"/>
  <c r="G22" i="43"/>
  <c r="H14" i="44"/>
  <c r="W40" i="39"/>
  <c r="AC20" i="35"/>
  <c r="S39" i="34"/>
  <c r="AC10" i="34"/>
  <c r="AB30" i="34"/>
  <c r="AB12" i="34"/>
  <c r="AC30" i="34"/>
  <c r="H23" i="34"/>
  <c r="AB23" i="34"/>
  <c r="F33" i="34"/>
  <c r="S33" i="34"/>
  <c r="F109" i="34"/>
  <c r="G109" i="34"/>
  <c r="H109" i="34" s="1"/>
  <c r="I109" i="34"/>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c r="H110" i="9" s="1"/>
  <c r="F23" i="21"/>
  <c r="AA23" i="21" s="1"/>
  <c r="J23" i="21"/>
  <c r="AC23" i="21" s="1"/>
  <c r="H23" i="21"/>
  <c r="U23" i="21" s="1"/>
  <c r="F17" i="21"/>
  <c r="AA17" i="21" s="1"/>
  <c r="J17" i="21"/>
  <c r="H17" i="21"/>
  <c r="AB17" i="21" s="1"/>
  <c r="J15" i="21"/>
  <c r="W15" i="21" s="1"/>
  <c r="AC35" i="21"/>
  <c r="H103" i="57"/>
  <c r="A131" i="9"/>
  <c r="A135" i="57"/>
  <c r="B103" i="57"/>
  <c r="B107" i="57"/>
  <c r="C112" i="57"/>
  <c r="H107" i="57"/>
  <c r="D128" i="57"/>
  <c r="AC15" i="21"/>
  <c r="C110" i="57"/>
  <c r="H104" i="57"/>
  <c r="T27" i="31"/>
  <c r="S27" i="31"/>
  <c r="B113" i="43"/>
  <c r="I118" i="43"/>
  <c r="J118" i="43" s="1"/>
  <c r="K118" i="43"/>
  <c r="L118" i="43" s="1"/>
  <c r="M118" i="43" s="1"/>
  <c r="M101" i="43"/>
  <c r="M109" i="43"/>
  <c r="K101" i="43"/>
  <c r="K107" i="43"/>
  <c r="I101" i="43"/>
  <c r="I102" i="43"/>
  <c r="G101" i="43"/>
  <c r="G105" i="43"/>
  <c r="E101" i="43"/>
  <c r="E109" i="43"/>
  <c r="C101" i="43"/>
  <c r="N101" i="43"/>
  <c r="N107" i="43" s="1"/>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AC13" i="21" s="1"/>
  <c r="F13" i="21"/>
  <c r="AA13" i="21"/>
  <c r="J45" i="21"/>
  <c r="F45" i="21"/>
  <c r="B41" i="47"/>
  <c r="C23" i="40"/>
  <c r="AC8" i="34"/>
  <c r="W8" i="34"/>
  <c r="W12" i="34"/>
  <c r="AC12" i="34"/>
  <c r="J9" i="34"/>
  <c r="AC9" i="34" s="1"/>
  <c r="F9" i="34"/>
  <c r="S9" i="34" s="1"/>
  <c r="AA19" i="34"/>
  <c r="S19" i="34"/>
  <c r="AB23" i="36"/>
  <c r="U23" i="36"/>
  <c r="J12" i="36"/>
  <c r="W12" i="36" s="1"/>
  <c r="H12" i="36"/>
  <c r="AA9" i="39"/>
  <c r="S9" i="39"/>
  <c r="AB12" i="39"/>
  <c r="J12" i="39"/>
  <c r="AC12" i="39" s="1"/>
  <c r="F12" i="39"/>
  <c r="S12" i="39"/>
  <c r="R29" i="31"/>
  <c r="T29" i="31"/>
  <c r="F15" i="21"/>
  <c r="S15" i="21"/>
  <c r="C106" i="9"/>
  <c r="H102" i="9"/>
  <c r="AA30" i="21"/>
  <c r="J36" i="34"/>
  <c r="S8" i="34"/>
  <c r="J19" i="40"/>
  <c r="AC19" i="40"/>
  <c r="W9" i="39"/>
  <c r="U14" i="39"/>
  <c r="H32" i="39"/>
  <c r="U32" i="39"/>
  <c r="F21" i="39"/>
  <c r="AA21" i="39"/>
  <c r="B35" i="47"/>
  <c r="F31" i="37"/>
  <c r="AA31" i="37"/>
  <c r="U25" i="36"/>
  <c r="S44" i="21"/>
  <c r="F17" i="37"/>
  <c r="AA17" i="37" s="1"/>
  <c r="AA29" i="33"/>
  <c r="AB28" i="36"/>
  <c r="AB13" i="40"/>
  <c r="U33"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c r="H34" i="21"/>
  <c r="U34" i="21"/>
  <c r="J34" i="21"/>
  <c r="AC34"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s="1"/>
  <c r="H31" i="21"/>
  <c r="U31" i="21" s="1"/>
  <c r="F31" i="21"/>
  <c r="AA31" i="21"/>
  <c r="H39" i="21"/>
  <c r="U39" i="21" s="1"/>
  <c r="G117" i="21"/>
  <c r="S9" i="21"/>
  <c r="AA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S12" i="34"/>
  <c r="AA12" i="34"/>
  <c r="AA11"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W36" i="37" s="1"/>
  <c r="J40" i="37"/>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F24" i="36"/>
  <c r="AA24" i="36" s="1"/>
  <c r="AA32" i="36"/>
  <c r="S32" i="36"/>
  <c r="J26" i="37"/>
  <c r="AC26" i="37" s="1"/>
  <c r="H26" i="37"/>
  <c r="AB26" i="37" s="1"/>
  <c r="F26" i="37"/>
  <c r="J23" i="39"/>
  <c r="W23" i="39" s="1"/>
  <c r="E96" i="39"/>
  <c r="F96"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H25" i="34"/>
  <c r="AB35" i="39"/>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W12" i="39"/>
  <c r="W9" i="34"/>
  <c r="AB13" i="21"/>
  <c r="AC37" i="37"/>
  <c r="U38" i="40"/>
  <c r="F23" i="39"/>
  <c r="AA23" i="39"/>
  <c r="G96" i="39"/>
  <c r="S24" i="36"/>
  <c r="F44" i="34"/>
  <c r="F126" i="34"/>
  <c r="G126" i="34" s="1"/>
  <c r="J44" i="34"/>
  <c r="AC44" i="34" s="1"/>
  <c r="S40" i="21"/>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AC45" i="21"/>
  <c r="W45" i="21"/>
  <c r="W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c r="D93" i="9"/>
  <c r="D37" i="11"/>
  <c r="C37" i="11" s="1"/>
  <c r="M29" i="15"/>
  <c r="P51" i="15"/>
  <c r="D10" i="11"/>
  <c r="C2" i="31"/>
  <c r="I23" i="31"/>
  <c r="P60" i="15"/>
  <c r="D3" i="35"/>
  <c r="D3" i="34"/>
  <c r="D78" i="9"/>
  <c r="D95" i="57"/>
  <c r="D80" i="57"/>
  <c r="A16" i="55"/>
  <c r="B46" i="60"/>
  <c r="D3" i="33"/>
  <c r="D3" i="37"/>
  <c r="D3" i="36"/>
  <c r="C14" i="12"/>
  <c r="AB36" i="40"/>
  <c r="W31" i="40"/>
  <c r="AC9" i="40"/>
  <c r="S9" i="40"/>
  <c r="AA27" i="40"/>
  <c r="AC38" i="40"/>
  <c r="S40" i="40"/>
  <c r="W35" i="40"/>
  <c r="W33" i="40"/>
  <c r="W34" i="40"/>
  <c r="J37" i="40"/>
  <c r="H35" i="40"/>
  <c r="H37" i="40"/>
  <c r="H28" i="40"/>
  <c r="F28" i="40"/>
  <c r="J28" i="40"/>
  <c r="G97" i="40"/>
  <c r="H97" i="40" s="1"/>
  <c r="I97" i="40" s="1"/>
  <c r="J97" i="40" s="1"/>
  <c r="K97" i="40" s="1"/>
  <c r="L97" i="40" s="1"/>
  <c r="M97" i="40" s="1"/>
  <c r="F21" i="40"/>
  <c r="H21" i="40"/>
  <c r="F89" i="40"/>
  <c r="G89" i="40" s="1"/>
  <c r="J21" i="40"/>
  <c r="W21" i="40" s="1"/>
  <c r="W19" i="40"/>
  <c r="F85" i="40"/>
  <c r="G85" i="40"/>
  <c r="H17" i="40"/>
  <c r="U17" i="40"/>
  <c r="J17" i="40"/>
  <c r="F17" i="40"/>
  <c r="S17" i="40" s="1"/>
  <c r="F83" i="40"/>
  <c r="G83" i="40" s="1"/>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A34" i="21"/>
  <c r="AA15" i="21"/>
  <c r="AC32" i="21"/>
  <c r="W40" i="21"/>
  <c r="W34" i="21"/>
  <c r="U27" i="21"/>
  <c r="AB23" i="21"/>
  <c r="AB44" i="21"/>
  <c r="U30" i="21"/>
  <c r="AB36" i="21"/>
  <c r="S17" i="21"/>
  <c r="AA36" i="21"/>
  <c r="AB32" i="21"/>
  <c r="AB21" i="21"/>
  <c r="U21" i="21"/>
  <c r="U17" i="21"/>
  <c r="S13" i="21"/>
  <c r="U12"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c r="D31" i="50"/>
  <c r="D32" i="50"/>
  <c r="D10" i="50"/>
  <c r="D11" i="50"/>
  <c r="B25" i="60" s="1"/>
  <c r="D112" i="57"/>
  <c r="D35" i="50"/>
  <c r="D14" i="50"/>
  <c r="B28" i="60" s="1"/>
  <c r="D22" i="15"/>
  <c r="A14" i="52"/>
  <c r="B61" i="60"/>
  <c r="Y25" i="31"/>
  <c r="C37" i="57" s="1"/>
  <c r="F125" i="57" s="1"/>
  <c r="V25" i="31"/>
  <c r="C36" i="57" s="1"/>
  <c r="D125" i="57" s="1"/>
  <c r="H102" i="43"/>
  <c r="D3" i="21"/>
  <c r="M6" i="43"/>
  <c r="M5" i="43"/>
  <c r="F81" i="43"/>
  <c r="H85" i="43" s="1"/>
  <c r="H13" i="44"/>
  <c r="H11" i="44"/>
  <c r="C51" i="10"/>
  <c r="A8" i="54"/>
  <c r="B8" i="60"/>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20" i="12"/>
  <c r="C19" i="12"/>
  <c r="G22" i="11"/>
  <c r="G41" i="11"/>
  <c r="E48" i="43"/>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7" i="39" s="1"/>
  <c r="C53" i="10"/>
  <c r="D123" i="9"/>
  <c r="D6" i="52"/>
  <c r="D124" i="9"/>
  <c r="D7" i="52"/>
  <c r="N49" i="57"/>
  <c r="B58" i="60"/>
  <c r="L109" i="43"/>
  <c r="K106" i="43"/>
  <c r="C104" i="43"/>
  <c r="A125" i="57"/>
  <c r="N47" i="9"/>
  <c r="N104" i="46"/>
  <c r="J17" i="43"/>
  <c r="C7" i="21"/>
  <c r="C58" i="21" s="1"/>
  <c r="C7" i="33"/>
  <c r="C58" i="33"/>
  <c r="D58" i="33" s="1"/>
  <c r="C7" i="37"/>
  <c r="C52" i="37"/>
  <c r="D52" i="37" s="1"/>
  <c r="L104" i="43"/>
  <c r="H104" i="43"/>
  <c r="D105" i="43"/>
  <c r="D102" i="43"/>
  <c r="K103" i="43"/>
  <c r="G104" i="43"/>
  <c r="C105" i="43"/>
  <c r="D115" i="43"/>
  <c r="E115" i="43"/>
  <c r="F115" i="43" s="1"/>
  <c r="G115" i="43" s="1"/>
  <c r="H115" i="43" s="1"/>
  <c r="B117" i="43"/>
  <c r="C117" i="43" s="1"/>
  <c r="N106" i="43"/>
  <c r="G37" i="47"/>
  <c r="G19" i="43"/>
  <c r="O19" i="43" s="1"/>
  <c r="F36" i="43"/>
  <c r="C17" i="43"/>
  <c r="F35" i="43"/>
  <c r="F37" i="43"/>
  <c r="F39" i="43"/>
  <c r="K17" i="43"/>
  <c r="C7" i="34"/>
  <c r="C59" i="34" s="1"/>
  <c r="D59" i="34" s="1"/>
  <c r="C7" i="36"/>
  <c r="C46" i="36" s="1"/>
  <c r="F38" i="43"/>
  <c r="K86" i="43"/>
  <c r="J86" i="43"/>
  <c r="D86" i="43"/>
  <c r="M87" i="43"/>
  <c r="N87" i="43" s="1"/>
  <c r="K82" i="43"/>
  <c r="J82" i="43" s="1"/>
  <c r="D82" i="43"/>
  <c r="M83" i="43"/>
  <c r="N83" i="43"/>
  <c r="H65" i="43"/>
  <c r="D117" i="43"/>
  <c r="E117" i="43" s="1"/>
  <c r="F117" i="43" s="1"/>
  <c r="G117" i="43" s="1"/>
  <c r="H117" i="43" s="1"/>
  <c r="B116" i="43"/>
  <c r="C116" i="43"/>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c r="D116" i="43"/>
  <c r="E116" i="43"/>
  <c r="F116" i="43" s="1"/>
  <c r="G116" i="43" s="1"/>
  <c r="H116" i="43" s="1"/>
  <c r="D118" i="43"/>
  <c r="E118" i="43" s="1"/>
  <c r="F118" i="43" s="1"/>
  <c r="M7" i="15"/>
  <c r="J6" i="15"/>
  <c r="F35" i="15"/>
  <c r="F64" i="15"/>
  <c r="E18" i="1"/>
  <c r="C34" i="1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W21" i="21"/>
  <c r="M86" i="43"/>
  <c r="N86" i="43"/>
  <c r="F34" i="11"/>
  <c r="E19" i="1"/>
  <c r="D20" i="1"/>
  <c r="D18" i="1"/>
  <c r="F50" i="11"/>
  <c r="F19" i="1"/>
  <c r="F18" i="1"/>
  <c r="D19" i="1"/>
  <c r="K87" i="43"/>
  <c r="J87" i="43"/>
  <c r="D87" i="43"/>
  <c r="C3" i="4"/>
  <c r="B4" i="55" s="1"/>
  <c r="B53" i="60" s="1"/>
  <c r="L106" i="9"/>
  <c r="A18" i="55"/>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c r="C24" i="43"/>
  <c r="C13" i="12"/>
  <c r="D118" i="57"/>
  <c r="D119" i="57"/>
  <c r="I115" i="57"/>
  <c r="D132" i="57" s="1"/>
  <c r="D134" i="57"/>
  <c r="D130" i="9"/>
  <c r="D13" i="52"/>
  <c r="N46" i="9"/>
  <c r="H59" i="43"/>
  <c r="H60" i="43"/>
  <c r="H67" i="43"/>
  <c r="H66" i="43"/>
  <c r="H84" i="43"/>
  <c r="H9" i="44"/>
  <c r="H7" i="44"/>
  <c r="H10" i="44"/>
  <c r="N12" i="43"/>
  <c r="N4" i="43"/>
  <c r="F70" i="43"/>
  <c r="H76" i="43" s="1"/>
  <c r="M7" i="43"/>
  <c r="N1" i="43"/>
  <c r="M10" i="43"/>
  <c r="M2" i="43"/>
  <c r="H15" i="44"/>
  <c r="H64" i="43"/>
  <c r="H87" i="43"/>
  <c r="H86" i="43"/>
  <c r="H61" i="43"/>
  <c r="H5" i="44"/>
  <c r="N10" i="43"/>
  <c r="N2" i="43"/>
  <c r="N11" i="43"/>
  <c r="N9" i="43"/>
  <c r="M4" i="43"/>
  <c r="C6" i="43"/>
  <c r="C5" i="43" s="1"/>
  <c r="N5" i="43"/>
  <c r="N3" i="43"/>
  <c r="M9" i="43"/>
  <c r="E17" i="43"/>
  <c r="N17" i="43"/>
  <c r="L17" i="43"/>
  <c r="G17" i="43" s="1"/>
  <c r="O17" i="43"/>
  <c r="M17" i="43"/>
  <c r="D23" i="59"/>
  <c r="D24"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c r="K59" i="9" s="1"/>
  <c r="K61" i="9" s="1"/>
  <c r="L58" i="57"/>
  <c r="T21" i="59"/>
  <c r="X3" i="59"/>
  <c r="Y3" i="59"/>
  <c r="Z3" i="59" s="1"/>
  <c r="D22" i="59"/>
  <c r="F48" i="43"/>
  <c r="H50" i="43"/>
  <c r="G4" i="47"/>
  <c r="S25" i="59"/>
  <c r="S21" i="59"/>
  <c r="V21" i="59"/>
  <c r="AC30" i="35"/>
  <c r="AB30" i="35"/>
  <c r="U30" i="35"/>
  <c r="D21" i="59"/>
  <c r="D20" i="59"/>
  <c r="I116" i="57"/>
  <c r="D133" i="57" s="1"/>
  <c r="I114" i="9"/>
  <c r="D129" i="9" s="1"/>
  <c r="D120" i="57"/>
  <c r="D19" i="59"/>
  <c r="I112" i="9"/>
  <c r="D39" i="50" s="1"/>
  <c r="D40" i="50" s="1"/>
  <c r="D116" i="9"/>
  <c r="D114" i="9"/>
  <c r="D115" i="9"/>
  <c r="I113" i="9"/>
  <c r="C6" i="15"/>
  <c r="C14" i="15"/>
  <c r="C15" i="15" s="1"/>
  <c r="C16" i="15"/>
  <c r="F31" i="15"/>
  <c r="C31" i="15" s="1"/>
  <c r="U15" i="40"/>
  <c r="W32" i="40"/>
  <c r="AC32" i="40"/>
  <c r="AA32" i="40"/>
  <c r="S12" i="40"/>
  <c r="AC27" i="40"/>
  <c r="S39" i="40"/>
  <c r="S34" i="40"/>
  <c r="W8" i="40"/>
  <c r="S25" i="40"/>
  <c r="S21" i="39"/>
  <c r="S11" i="39"/>
  <c r="AB15" i="39"/>
  <c r="AC15" i="39"/>
  <c r="AA15" i="39"/>
  <c r="G63" i="39"/>
  <c r="C63" i="39" s="1"/>
  <c r="G58" i="40"/>
  <c r="C58" i="40" s="1"/>
  <c r="G59" i="40"/>
  <c r="C59" i="40" s="1"/>
  <c r="E8" i="43"/>
  <c r="C7" i="43" s="1"/>
  <c r="E11" i="43"/>
  <c r="E9" i="43"/>
  <c r="E10" i="43"/>
  <c r="A10" i="52"/>
  <c r="B66" i="60"/>
  <c r="H70" i="43"/>
  <c r="H78" i="43"/>
  <c r="H73" i="43"/>
  <c r="G26" i="47"/>
  <c r="H62" i="43"/>
  <c r="H88" i="43"/>
  <c r="H83" i="43"/>
  <c r="H82" i="43"/>
  <c r="H54" i="43"/>
  <c r="H51" i="43"/>
  <c r="B20" i="60"/>
  <c r="C18" i="50"/>
  <c r="AA8" i="37"/>
  <c r="AC8" i="37"/>
  <c r="AC36" i="37"/>
  <c r="S36" i="37"/>
  <c r="S30" i="37"/>
  <c r="W31" i="37"/>
  <c r="AA29" i="37"/>
  <c r="C18" i="12"/>
  <c r="C21" i="50"/>
  <c r="M17" i="15"/>
  <c r="D127" i="9"/>
  <c r="H14" i="62" s="1"/>
  <c r="B7" i="62" s="1"/>
  <c r="C7" i="62" s="1"/>
  <c r="C10" i="11"/>
  <c r="B103" i="9"/>
  <c r="C40" i="11"/>
  <c r="C47" i="11" s="1"/>
  <c r="D45" i="11" s="1"/>
  <c r="M18" i="15"/>
  <c r="J18" i="15"/>
  <c r="F55" i="57"/>
  <c r="F52" i="9"/>
  <c r="F32" i="15"/>
  <c r="F61" i="15" s="1"/>
  <c r="F50" i="57"/>
  <c r="P54" i="57" s="1"/>
  <c r="F56" i="57"/>
  <c r="F54" i="9"/>
  <c r="F53" i="9"/>
  <c r="D70" i="57"/>
  <c r="F31" i="12"/>
  <c r="F48" i="9"/>
  <c r="P52" i="9"/>
  <c r="F30" i="11"/>
  <c r="F48" i="11"/>
  <c r="F28" i="15"/>
  <c r="F54" i="57"/>
  <c r="D68" i="9"/>
  <c r="C19" i="11"/>
  <c r="B105" i="57"/>
  <c r="C118" i="57"/>
  <c r="H114" i="57"/>
  <c r="S29" i="31"/>
  <c r="S25" i="31"/>
  <c r="T28" i="31"/>
  <c r="T25" i="31"/>
  <c r="B23" i="31" s="1"/>
  <c r="C116" i="57"/>
  <c r="H112" i="57"/>
  <c r="C17" i="12"/>
  <c r="B36" i="50"/>
  <c r="B56" i="60"/>
  <c r="H53" i="43"/>
  <c r="C12" i="12"/>
  <c r="C16" i="12"/>
  <c r="C21" i="12" s="1"/>
  <c r="C22" i="12" s="1"/>
  <c r="C16" i="43"/>
  <c r="J20" i="15"/>
  <c r="F51" i="15"/>
  <c r="C50" i="15" s="1"/>
  <c r="D62" i="40"/>
  <c r="E62" i="40" s="1"/>
  <c r="C64"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c r="I116" i="43"/>
  <c r="J116" i="43"/>
  <c r="K116" i="43" s="1"/>
  <c r="L116" i="43" s="1"/>
  <c r="M116" i="43" s="1"/>
  <c r="I115" i="43"/>
  <c r="J115" i="43" s="1"/>
  <c r="K115" i="43" s="1"/>
  <c r="L115" i="43" s="1"/>
  <c r="M115" i="43" s="1"/>
  <c r="C35" i="11"/>
  <c r="C38" i="11"/>
  <c r="C79" i="57"/>
  <c r="C76" i="57" s="1"/>
  <c r="C77" i="9"/>
  <c r="C74" i="9" s="1"/>
  <c r="H48" i="43"/>
  <c r="H49" i="43"/>
  <c r="H55" i="43"/>
  <c r="B13" i="1"/>
  <c r="I20" i="43" s="1"/>
  <c r="I48" i="35"/>
  <c r="J48" i="35"/>
  <c r="K48" i="35" s="1"/>
  <c r="H74"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s="1"/>
  <c r="D21" i="50"/>
  <c r="D41" i="50"/>
  <c r="B63" i="60"/>
  <c r="C12" i="50"/>
  <c r="C94" i="57"/>
  <c r="C96" i="57"/>
  <c r="C113" i="57"/>
  <c r="H108" i="57" s="1"/>
  <c r="C115" i="57"/>
  <c r="H110" i="57" s="1"/>
  <c r="C23" i="12"/>
  <c r="D128" i="9"/>
  <c r="D11" i="52" s="1"/>
  <c r="D20" i="50"/>
  <c r="C20" i="11"/>
  <c r="C28" i="11"/>
  <c r="C27" i="11" s="1"/>
  <c r="C34" i="15"/>
  <c r="C14" i="50"/>
  <c r="F11" i="48"/>
  <c r="H11" i="48" s="1"/>
  <c r="X17" i="59"/>
  <c r="Y17" i="59"/>
  <c r="Z17" i="59"/>
  <c r="AF3" i="59"/>
  <c r="P25" i="43"/>
  <c r="B10" i="48"/>
  <c r="D10" i="48" s="1"/>
  <c r="K1" i="61"/>
  <c r="C30" i="11"/>
  <c r="C32" i="15"/>
  <c r="D5" i="43"/>
  <c r="C33" i="11"/>
  <c r="C39" i="11" s="1"/>
  <c r="E3" i="4"/>
  <c r="F60" i="15"/>
  <c r="R25" i="31"/>
  <c r="D64" i="40"/>
  <c r="L49" i="15"/>
  <c r="E59" i="34"/>
  <c r="F59" i="34" s="1"/>
  <c r="G59" i="34" s="1"/>
  <c r="H59" i="34" s="1"/>
  <c r="I59" i="34" s="1"/>
  <c r="J59" i="34" s="1"/>
  <c r="K59" i="34" s="1"/>
  <c r="L59" i="34" s="1"/>
  <c r="S4" i="43"/>
  <c r="S6" i="43"/>
  <c r="S5" i="43"/>
  <c r="C23" i="43"/>
  <c r="S3" i="43"/>
  <c r="S2" i="43"/>
  <c r="D22" i="50"/>
  <c r="B35" i="60" s="1"/>
  <c r="B33" i="60"/>
  <c r="P24" i="43"/>
  <c r="B65" i="40" s="1"/>
  <c r="P21" i="43"/>
  <c r="B70" i="39" s="1"/>
  <c r="P23" i="43"/>
  <c r="P22" i="43"/>
  <c r="P28" i="43"/>
  <c r="N28" i="43"/>
  <c r="M28" i="43"/>
  <c r="O28" i="43"/>
  <c r="G20" i="43"/>
  <c r="B5" i="55"/>
  <c r="B55" i="60"/>
  <c r="B18" i="49"/>
  <c r="B4" i="60"/>
  <c r="I55" i="15"/>
  <c r="L59" i="15"/>
  <c r="Q58" i="15" s="1"/>
  <c r="C61" i="15"/>
  <c r="D10" i="52"/>
  <c r="N51" i="57"/>
  <c r="J19" i="15"/>
  <c r="J17" i="15"/>
  <c r="C33" i="15"/>
  <c r="C62" i="15"/>
  <c r="M70" i="57"/>
  <c r="N70" i="57"/>
  <c r="M69" i="57"/>
  <c r="N69" i="57"/>
  <c r="M68" i="57"/>
  <c r="N68" i="57"/>
  <c r="M67" i="57"/>
  <c r="N67" i="57"/>
  <c r="M65" i="57"/>
  <c r="N65" i="57"/>
  <c r="M66" i="57"/>
  <c r="N66" i="57"/>
  <c r="N71" i="57"/>
  <c r="O71" i="57" s="1"/>
  <c r="L47" i="15"/>
  <c r="D55" i="9"/>
  <c r="N53" i="9"/>
  <c r="D56" i="9"/>
  <c r="N54" i="9"/>
  <c r="D59" i="9"/>
  <c r="N55" i="9"/>
  <c r="N49" i="9"/>
  <c r="M67" i="9"/>
  <c r="N67" i="9" s="1"/>
  <c r="M66" i="9"/>
  <c r="N66" i="9" s="1"/>
  <c r="M68" i="9"/>
  <c r="N68" i="9" s="1"/>
  <c r="M64" i="9"/>
  <c r="N64" i="9" s="1"/>
  <c r="M65" i="9"/>
  <c r="N65" i="9" s="1"/>
  <c r="M63" i="9"/>
  <c r="N63" i="9" s="1"/>
  <c r="N69" i="9" s="1"/>
  <c r="O69" i="9" s="1"/>
  <c r="E2" i="35"/>
  <c r="D19" i="57"/>
  <c r="F3" i="61"/>
  <c r="F4" i="61"/>
  <c r="F5" i="61"/>
  <c r="C19" i="57"/>
  <c r="E2" i="21"/>
  <c r="F7" i="61"/>
  <c r="E2" i="36"/>
  <c r="H23" i="31"/>
  <c r="E2" i="11"/>
  <c r="E2" i="37"/>
  <c r="F6" i="61"/>
  <c r="C20" i="57"/>
  <c r="D20" i="57"/>
  <c r="E2" i="34"/>
  <c r="E2" i="33"/>
  <c r="AB39" i="21" l="1"/>
  <c r="W39" i="21"/>
  <c r="B11" i="48"/>
  <c r="D11" i="48" s="1"/>
  <c r="F5" i="48"/>
  <c r="H5" i="48" s="1"/>
  <c r="B9" i="48"/>
  <c r="D9" i="48" s="1"/>
  <c r="B6" i="48"/>
  <c r="D6" i="48" s="1"/>
  <c r="B4" i="48"/>
  <c r="D4" i="48" s="1"/>
  <c r="U35" i="21"/>
  <c r="W23" i="21"/>
  <c r="S23" i="21"/>
  <c r="F62" i="40"/>
  <c r="E64" i="40"/>
  <c r="C69" i="39"/>
  <c r="D67" i="39"/>
  <c r="Q71" i="15"/>
  <c r="B14" i="1"/>
  <c r="C48" i="11"/>
  <c r="C31" i="12"/>
  <c r="C24" i="12"/>
  <c r="C29" i="12" s="1"/>
  <c r="D28" i="12" s="1"/>
  <c r="C60" i="15"/>
  <c r="J1" i="61"/>
  <c r="H7" i="34"/>
  <c r="M59" i="34"/>
  <c r="N59" i="34" s="1"/>
  <c r="O59" i="34" s="1"/>
  <c r="J7" i="34"/>
  <c r="F7" i="34"/>
  <c r="E41" i="43"/>
  <c r="C41" i="43" s="1"/>
  <c r="C20" i="43"/>
  <c r="D113" i="43"/>
  <c r="D7" i="62"/>
  <c r="C46" i="11"/>
  <c r="C45" i="11" s="1"/>
  <c r="L48" i="35"/>
  <c r="M48" i="35" s="1"/>
  <c r="N48" i="35" s="1"/>
  <c r="O48" i="35" s="1"/>
  <c r="F7" i="35"/>
  <c r="H7" i="35"/>
  <c r="J7" i="35"/>
  <c r="E52" i="37"/>
  <c r="F52" i="37" s="1"/>
  <c r="G52" i="37" s="1"/>
  <c r="H52" i="37" s="1"/>
  <c r="I52" i="37" s="1"/>
  <c r="J52" i="37" s="1"/>
  <c r="K52" i="37" s="1"/>
  <c r="L52" i="37" s="1"/>
  <c r="M52" i="37" s="1"/>
  <c r="N52" i="37" s="1"/>
  <c r="O52" i="37" s="1"/>
  <c r="F7" i="37"/>
  <c r="H7" i="37"/>
  <c r="J7" i="37"/>
  <c r="E58" i="33"/>
  <c r="F58" i="33" s="1"/>
  <c r="G58" i="33" s="1"/>
  <c r="H58" i="33" s="1"/>
  <c r="I58" i="33" s="1"/>
  <c r="J58" i="33" s="1"/>
  <c r="K58" i="33" s="1"/>
  <c r="L58" i="33" s="1"/>
  <c r="M58" i="33" s="1"/>
  <c r="N58" i="33" s="1"/>
  <c r="O58" i="33" s="1"/>
  <c r="J7" i="33"/>
  <c r="H7" i="33"/>
  <c r="F7" i="33"/>
  <c r="D58" i="21"/>
  <c r="G125" i="57"/>
  <c r="F126" i="57"/>
  <c r="H10" i="40"/>
  <c r="AB10" i="40" s="1"/>
  <c r="C30" i="12"/>
  <c r="C28" i="12" s="1"/>
  <c r="B24" i="31"/>
  <c r="B3" i="31" s="1"/>
  <c r="C35" i="57" s="1"/>
  <c r="I125" i="57" s="1"/>
  <c r="B2" i="31"/>
  <c r="C34" i="57" s="1"/>
  <c r="H125" i="57" s="1"/>
  <c r="I14" i="62"/>
  <c r="B8" i="62" s="1"/>
  <c r="D12" i="52"/>
  <c r="D46" i="36"/>
  <c r="L108" i="57"/>
  <c r="E125" i="57"/>
  <c r="D126" i="57"/>
  <c r="H77" i="43"/>
  <c r="H72" i="43"/>
  <c r="H75" i="43"/>
  <c r="D18" i="50"/>
  <c r="C18" i="15"/>
  <c r="C19" i="15" s="1"/>
  <c r="D42" i="50"/>
  <c r="D43" i="50" s="1"/>
  <c r="U25" i="34"/>
  <c r="AB25" i="34"/>
  <c r="AA26" i="37"/>
  <c r="S26" i="37"/>
  <c r="U24" i="36"/>
  <c r="AB24" i="36"/>
  <c r="U27" i="37"/>
  <c r="AB27" i="37"/>
  <c r="AA24" i="35"/>
  <c r="S24" i="35"/>
  <c r="W36" i="34"/>
  <c r="AC36" i="34"/>
  <c r="AB12" i="36"/>
  <c r="U12" i="36"/>
  <c r="AC17" i="21"/>
  <c r="W17" i="21"/>
  <c r="W40" i="37"/>
  <c r="AC40" i="37"/>
  <c r="AB31" i="37"/>
  <c r="U31" i="37"/>
  <c r="S12" i="37"/>
  <c r="AA12" i="37"/>
  <c r="U43" i="33"/>
  <c r="AB43" i="33"/>
  <c r="AA45" i="21"/>
  <c r="S45" i="21"/>
  <c r="F81" i="21"/>
  <c r="G81" i="21" s="1"/>
  <c r="F19" i="21"/>
  <c r="H19" i="21"/>
  <c r="J19" i="21"/>
  <c r="F37" i="21"/>
  <c r="H113" i="21"/>
  <c r="H37" i="21"/>
  <c r="J37" i="21"/>
  <c r="U39" i="40"/>
  <c r="AB39" i="40"/>
  <c r="AC36" i="40"/>
  <c r="AC13" i="39"/>
  <c r="AC9" i="37"/>
  <c r="W38" i="37"/>
  <c r="AB10" i="33"/>
  <c r="AC31" i="33"/>
  <c r="W14" i="33"/>
  <c r="W47" i="34"/>
  <c r="U23" i="37"/>
  <c r="AB28" i="33"/>
  <c r="AB45" i="33"/>
  <c r="AC11" i="36"/>
  <c r="S46" i="33"/>
  <c r="U14" i="21"/>
  <c r="AC14" i="34"/>
  <c r="S14" i="33"/>
  <c r="S47" i="34"/>
  <c r="AB37" i="37"/>
  <c r="AA44" i="33"/>
  <c r="AC34" i="36"/>
  <c r="AC11" i="40"/>
  <c r="AC9" i="21"/>
  <c r="AA12" i="33"/>
  <c r="U33" i="21"/>
  <c r="J11" i="21"/>
  <c r="H11" i="21"/>
  <c r="C21" i="39"/>
  <c r="W8" i="21"/>
  <c r="F38" i="21"/>
  <c r="H43" i="21"/>
  <c r="H38" i="21"/>
  <c r="F43" i="21"/>
  <c r="J43" i="21"/>
  <c r="J38" i="21"/>
  <c r="J36" i="21"/>
  <c r="J23" i="35"/>
  <c r="H9" i="36"/>
  <c r="J9" i="36"/>
  <c r="F9" i="36"/>
  <c r="N100" i="43"/>
  <c r="J100" i="43"/>
  <c r="F100" i="43"/>
  <c r="M100" i="43"/>
  <c r="I100" i="43"/>
  <c r="E100" i="43"/>
  <c r="B75" i="43"/>
  <c r="B55" i="43"/>
  <c r="E28" i="59"/>
  <c r="E27" i="59" s="1"/>
  <c r="U29" i="59"/>
  <c r="O67" i="59"/>
  <c r="O66" i="59"/>
  <c r="B16" i="59"/>
  <c r="B15" i="59" s="1"/>
  <c r="B14" i="59" s="1"/>
  <c r="B13" i="59" s="1"/>
  <c r="S17" i="59"/>
  <c r="C17" i="59"/>
  <c r="D18" i="59"/>
  <c r="E16" i="59"/>
  <c r="E15" i="59" s="1"/>
  <c r="E14" i="59" s="1"/>
  <c r="E13" i="59" s="1"/>
  <c r="U17" i="59"/>
  <c r="S21" i="21"/>
  <c r="S21" i="37"/>
  <c r="B66" i="43"/>
  <c r="T61" i="59"/>
  <c r="T45" i="59"/>
  <c r="T37" i="59"/>
  <c r="T53" i="59"/>
  <c r="D28" i="59"/>
  <c r="C41" i="59"/>
  <c r="F16" i="59"/>
  <c r="F15" i="59" s="1"/>
  <c r="F14" i="59" s="1"/>
  <c r="F13" i="59" s="1"/>
  <c r="V17" i="59"/>
  <c r="D68" i="59"/>
  <c r="S29" i="59"/>
  <c r="D47" i="59"/>
  <c r="F56" i="59"/>
  <c r="F57" i="59" s="1"/>
  <c r="V57" i="59" s="1"/>
  <c r="F64" i="59"/>
  <c r="F65" i="59" s="1"/>
  <c r="V65" i="59" s="1"/>
  <c r="P68" i="59"/>
  <c r="E67" i="59"/>
  <c r="F76" i="59"/>
  <c r="F75" i="59" s="1"/>
  <c r="V69" i="59"/>
  <c r="F68" i="59"/>
  <c r="S69" i="59"/>
  <c r="N69" i="59"/>
  <c r="M19" i="43"/>
  <c r="U41" i="59"/>
  <c r="D23" i="63"/>
  <c r="C29" i="63"/>
  <c r="AA17" i="59"/>
  <c r="AA14" i="59"/>
  <c r="AA15" i="59"/>
  <c r="AA12" i="59"/>
  <c r="AA9" i="59"/>
  <c r="AA11" i="59"/>
  <c r="X18" i="59"/>
  <c r="X13" i="59"/>
  <c r="X10" i="59"/>
  <c r="AB18" i="59"/>
  <c r="AB17" i="59"/>
  <c r="AB13" i="59"/>
  <c r="Y20" i="59"/>
  <c r="Z20" i="59" s="1"/>
  <c r="Y13" i="59"/>
  <c r="Z13" i="59" s="1"/>
  <c r="Y12" i="59"/>
  <c r="Z12" i="59" s="1"/>
  <c r="Y11" i="59"/>
  <c r="Z11" i="59" s="1"/>
  <c r="Y8" i="59"/>
  <c r="Z8" i="59" s="1"/>
  <c r="AB8" i="59"/>
  <c r="X8" i="59"/>
  <c r="Y5" i="59"/>
  <c r="Z5" i="59" s="1"/>
  <c r="V25" i="59"/>
  <c r="AA25" i="59"/>
  <c r="J52" i="15"/>
  <c r="L60" i="15" s="1"/>
  <c r="Y19" i="59"/>
  <c r="Z19" i="59" s="1"/>
  <c r="AA16" i="59"/>
  <c r="Y14" i="59"/>
  <c r="Z14" i="59" s="1"/>
  <c r="AB12" i="59"/>
  <c r="AA13" i="59"/>
  <c r="AA10" i="59"/>
  <c r="X11" i="59"/>
  <c r="Y9" i="59"/>
  <c r="Z9" i="59" s="1"/>
  <c r="R25" i="63"/>
  <c r="R5" i="63"/>
  <c r="U5" i="63" s="1"/>
  <c r="D11" i="63"/>
  <c r="E11" i="63" s="1"/>
  <c r="E7" i="63" s="1"/>
  <c r="C27" i="63" s="1"/>
  <c r="X7" i="59"/>
  <c r="Y6" i="59"/>
  <c r="Z6" i="59" s="1"/>
  <c r="Y7" i="59"/>
  <c r="Z7" i="59" s="1"/>
  <c r="AB6" i="59"/>
  <c r="X6" i="59"/>
  <c r="AA5" i="59"/>
  <c r="AA6" i="59"/>
  <c r="B13" i="48"/>
  <c r="D13" i="48" s="1"/>
  <c r="F8" i="48"/>
  <c r="H8" i="48" s="1"/>
  <c r="F6" i="48"/>
  <c r="H6" i="48" s="1"/>
  <c r="F4" i="48"/>
  <c r="H4" i="48" s="1"/>
  <c r="B7" i="48"/>
  <c r="D7" i="48" s="1"/>
  <c r="B12" i="48"/>
  <c r="D12" i="48" s="1"/>
  <c r="F7" i="48"/>
  <c r="H7" i="48" s="1"/>
  <c r="F42" i="21"/>
  <c r="F123" i="21"/>
  <c r="G123" i="21" s="1"/>
  <c r="H123" i="21" s="1"/>
  <c r="I123" i="21" s="1"/>
  <c r="J123" i="21" s="1"/>
  <c r="K123" i="21" s="1"/>
  <c r="L123" i="21" s="1"/>
  <c r="M123" i="21" s="1"/>
  <c r="J42" i="21"/>
  <c r="AC42" i="21" s="1"/>
  <c r="U42" i="21"/>
  <c r="U28" i="21"/>
  <c r="S28" i="21"/>
  <c r="AC28" i="21"/>
  <c r="F89" i="21"/>
  <c r="G89" i="21" s="1"/>
  <c r="H89" i="21" s="1"/>
  <c r="J26" i="21"/>
  <c r="F26" i="21"/>
  <c r="U10" i="40"/>
  <c r="F10" i="40"/>
  <c r="N60" i="15"/>
  <c r="L57" i="15"/>
  <c r="L61" i="15"/>
  <c r="J54" i="15"/>
  <c r="G20" i="57"/>
  <c r="C104" i="57"/>
  <c r="D104" i="57"/>
  <c r="D103" i="57"/>
  <c r="C103" i="57"/>
  <c r="D22" i="57"/>
  <c r="G19" i="57"/>
  <c r="I1" i="61"/>
  <c r="B31" i="1" s="1"/>
  <c r="F10" i="48"/>
  <c r="H10" i="48" s="1"/>
  <c r="B8" i="48"/>
  <c r="D8" i="48" s="1"/>
  <c r="F12" i="48"/>
  <c r="H12" i="48" s="1"/>
  <c r="F9" i="48"/>
  <c r="H9" i="48" s="1"/>
  <c r="F14" i="48"/>
  <c r="H14" i="48" s="1"/>
  <c r="F13" i="48"/>
  <c r="H13" i="48" s="1"/>
  <c r="B14" i="48"/>
  <c r="D14" i="48" s="1"/>
  <c r="F15" i="48"/>
  <c r="H15" i="48" s="1"/>
  <c r="D4" i="61"/>
  <c r="D6" i="61"/>
  <c r="D7" i="61"/>
  <c r="D3" i="61"/>
  <c r="D5" i="61"/>
  <c r="G1" i="61"/>
  <c r="H10" i="39" l="1"/>
  <c r="J10" i="40"/>
  <c r="E67" i="39"/>
  <c r="D69" i="39"/>
  <c r="F10" i="39"/>
  <c r="J10" i="39"/>
  <c r="F64" i="40"/>
  <c r="G62" i="40"/>
  <c r="E27" i="1"/>
  <c r="F25" i="12" s="1"/>
  <c r="C20" i="15"/>
  <c r="C26" i="15"/>
  <c r="E23" i="63"/>
  <c r="D29" i="63"/>
  <c r="D38" i="63"/>
  <c r="D39" i="63" s="1"/>
  <c r="D26" i="63"/>
  <c r="D32" i="63" s="1"/>
  <c r="P67" i="59"/>
  <c r="P66" i="59"/>
  <c r="F12" i="59"/>
  <c r="F11" i="59" s="1"/>
  <c r="F10" i="59" s="1"/>
  <c r="F9" i="59" s="1"/>
  <c r="V13" i="59"/>
  <c r="S9" i="36"/>
  <c r="AA9" i="36"/>
  <c r="U9" i="36"/>
  <c r="AB9" i="36"/>
  <c r="AC36" i="21"/>
  <c r="W36" i="21"/>
  <c r="W43" i="21"/>
  <c r="AC43" i="21"/>
  <c r="U38" i="21"/>
  <c r="AB38" i="21"/>
  <c r="AA38" i="21"/>
  <c r="S38" i="21"/>
  <c r="AC11" i="21"/>
  <c r="W11" i="21"/>
  <c r="U37" i="21"/>
  <c r="AB37" i="21"/>
  <c r="AA37" i="21"/>
  <c r="S37" i="21"/>
  <c r="AB19" i="21"/>
  <c r="U19" i="21"/>
  <c r="C19" i="43"/>
  <c r="D8" i="62"/>
  <c r="C8" i="62"/>
  <c r="C108" i="57"/>
  <c r="I105" i="57"/>
  <c r="D111" i="57"/>
  <c r="S7" i="33"/>
  <c r="AA7" i="33"/>
  <c r="R48" i="33" s="1"/>
  <c r="W7" i="33"/>
  <c r="AC7" i="33"/>
  <c r="V48" i="33" s="1"/>
  <c r="I48" i="33" s="1"/>
  <c r="AC7" i="37"/>
  <c r="V42" i="37" s="1"/>
  <c r="I42" i="37" s="1"/>
  <c r="W7" i="37"/>
  <c r="S7" i="37"/>
  <c r="AA7" i="37"/>
  <c r="R42" i="37" s="1"/>
  <c r="W7" i="35"/>
  <c r="AC7" i="35"/>
  <c r="V38" i="35" s="1"/>
  <c r="I38" i="35" s="1"/>
  <c r="S7" i="35"/>
  <c r="AA7" i="35"/>
  <c r="R38" i="35" s="1"/>
  <c r="W7" i="34"/>
  <c r="AC7" i="34"/>
  <c r="V49" i="34" s="1"/>
  <c r="I49" i="34" s="1"/>
  <c r="U7" i="34"/>
  <c r="AB7" i="34"/>
  <c r="T49" i="34" s="1"/>
  <c r="G49" i="34" s="1"/>
  <c r="J61" i="15"/>
  <c r="Q46" i="15" s="1"/>
  <c r="M60" i="15"/>
  <c r="J60" i="15"/>
  <c r="J58" i="15"/>
  <c r="J56" i="15" s="1"/>
  <c r="J59" i="15" s="1"/>
  <c r="Q48" i="15" s="1"/>
  <c r="D7" i="63"/>
  <c r="C26" i="63" s="1"/>
  <c r="C32" i="63" s="1"/>
  <c r="C38" i="63" s="1"/>
  <c r="C39" i="63" s="1"/>
  <c r="Q68" i="59"/>
  <c r="F67" i="59"/>
  <c r="D41" i="59"/>
  <c r="T41" i="59"/>
  <c r="E12" i="59"/>
  <c r="E11" i="59" s="1"/>
  <c r="E10" i="59" s="1"/>
  <c r="E9" i="59" s="1"/>
  <c r="U13" i="59"/>
  <c r="T17" i="59"/>
  <c r="C16" i="59"/>
  <c r="D17" i="59"/>
  <c r="B12" i="59"/>
  <c r="B11" i="59" s="1"/>
  <c r="B10" i="59" s="1"/>
  <c r="B9" i="59" s="1"/>
  <c r="S13" i="59"/>
  <c r="AC9" i="36"/>
  <c r="W9" i="36"/>
  <c r="AC23" i="35"/>
  <c r="W23" i="35"/>
  <c r="W38" i="21"/>
  <c r="AC38" i="21"/>
  <c r="S43" i="21"/>
  <c r="AA43" i="21"/>
  <c r="AB43" i="21"/>
  <c r="U43" i="21"/>
  <c r="U11" i="21"/>
  <c r="AB11" i="21"/>
  <c r="W37" i="21"/>
  <c r="AC37" i="21"/>
  <c r="W19" i="21"/>
  <c r="AC19" i="21"/>
  <c r="AA19" i="21"/>
  <c r="S19" i="21"/>
  <c r="B31" i="60"/>
  <c r="D19" i="50"/>
  <c r="B32" i="60" s="1"/>
  <c r="E46" i="36"/>
  <c r="H126" i="57"/>
  <c r="I104" i="57"/>
  <c r="C107" i="57"/>
  <c r="D110" i="57"/>
  <c r="W10" i="39"/>
  <c r="AC10" i="39"/>
  <c r="E58" i="21"/>
  <c r="AB7" i="33"/>
  <c r="T48" i="33" s="1"/>
  <c r="G48" i="33" s="1"/>
  <c r="U7" i="33"/>
  <c r="AB7" i="37"/>
  <c r="T42" i="37" s="1"/>
  <c r="G42" i="37" s="1"/>
  <c r="U7" i="37"/>
  <c r="AB7" i="35"/>
  <c r="T38" i="35" s="1"/>
  <c r="G38" i="35" s="1"/>
  <c r="U7" i="35"/>
  <c r="S7" i="34"/>
  <c r="AA7" i="34"/>
  <c r="R49" i="34" s="1"/>
  <c r="AA42" i="21"/>
  <c r="S42" i="21"/>
  <c r="W42" i="21"/>
  <c r="W26" i="21"/>
  <c r="AC26" i="21"/>
  <c r="S26" i="21"/>
  <c r="AA26" i="21"/>
  <c r="I89" i="21"/>
  <c r="J89" i="21" s="1"/>
  <c r="K89" i="21" s="1"/>
  <c r="L89" i="21" s="1"/>
  <c r="M89" i="21" s="1"/>
  <c r="H26" i="21"/>
  <c r="S10" i="40"/>
  <c r="AA10" i="40"/>
  <c r="AA10" i="39"/>
  <c r="S10" i="39"/>
  <c r="B34" i="1"/>
  <c r="F41" i="15" s="1"/>
  <c r="F70" i="15" s="1"/>
  <c r="Q50" i="15"/>
  <c r="Q64" i="15"/>
  <c r="Q55" i="15"/>
  <c r="Q59" i="15"/>
  <c r="Q72" i="15"/>
  <c r="F11" i="15"/>
  <c r="M11" i="15"/>
  <c r="J10" i="15" s="1"/>
  <c r="J5" i="15" s="1"/>
  <c r="F24" i="15"/>
  <c r="C106" i="57"/>
  <c r="C105" i="57"/>
  <c r="F22" i="11" l="1"/>
  <c r="F41" i="11" s="1"/>
  <c r="H62" i="40"/>
  <c r="G64" i="40"/>
  <c r="W10" i="40"/>
  <c r="AC10" i="40"/>
  <c r="E69" i="39"/>
  <c r="F67" i="39"/>
  <c r="U10" i="39"/>
  <c r="AB10" i="39"/>
  <c r="E49" i="34"/>
  <c r="R50" i="34"/>
  <c r="G42" i="35"/>
  <c r="H42" i="35" s="1"/>
  <c r="G43" i="35"/>
  <c r="H43" i="35" s="1"/>
  <c r="G46" i="37"/>
  <c r="H46" i="37" s="1"/>
  <c r="G47" i="37"/>
  <c r="H47" i="37" s="1"/>
  <c r="G52" i="33"/>
  <c r="H52" i="33" s="1"/>
  <c r="G53" i="33"/>
  <c r="H53" i="33" s="1"/>
  <c r="F58" i="21"/>
  <c r="S9" i="59"/>
  <c r="B8" i="59"/>
  <c r="B7" i="59" s="1"/>
  <c r="B6" i="59" s="1"/>
  <c r="B5" i="59" s="1"/>
  <c r="D16" i="59"/>
  <c r="C15" i="59"/>
  <c r="Q67" i="59"/>
  <c r="Q66" i="59"/>
  <c r="I46" i="37"/>
  <c r="J46" i="37" s="1"/>
  <c r="E26" i="63"/>
  <c r="E32" i="63"/>
  <c r="E29" i="63"/>
  <c r="E38" i="63"/>
  <c r="E39" i="63" s="1"/>
  <c r="C40" i="63" s="1"/>
  <c r="D116" i="57"/>
  <c r="D117" i="57" s="1"/>
  <c r="I113" i="57" s="1"/>
  <c r="D130" i="57" s="1"/>
  <c r="D121" i="57"/>
  <c r="I117" i="57" s="1"/>
  <c r="D47" i="57"/>
  <c r="I112" i="57"/>
  <c r="D129" i="57" s="1"/>
  <c r="N50" i="57"/>
  <c r="F46" i="36"/>
  <c r="U9" i="59"/>
  <c r="E8" i="59"/>
  <c r="E7" i="59" s="1"/>
  <c r="E6" i="59" s="1"/>
  <c r="E5" i="59" s="1"/>
  <c r="U5" i="59" s="1"/>
  <c r="G54" i="34"/>
  <c r="H54" i="34" s="1"/>
  <c r="G53" i="34"/>
  <c r="H53" i="34" s="1"/>
  <c r="I53" i="34"/>
  <c r="J53" i="34" s="1"/>
  <c r="I54" i="34"/>
  <c r="J54" i="34" s="1"/>
  <c r="E38" i="35"/>
  <c r="R39" i="35"/>
  <c r="I42" i="35"/>
  <c r="J42" i="35" s="1"/>
  <c r="I43" i="35"/>
  <c r="J43" i="35" s="1"/>
  <c r="R43" i="37"/>
  <c r="E42" i="37"/>
  <c r="I52" i="33"/>
  <c r="J52" i="33" s="1"/>
  <c r="R49" i="33"/>
  <c r="E48" i="33"/>
  <c r="I53" i="33" s="1"/>
  <c r="J53" i="33" s="1"/>
  <c r="T9" i="43"/>
  <c r="V9" i="43" s="1"/>
  <c r="T12" i="43"/>
  <c r="V12" i="43" s="1"/>
  <c r="T16" i="43"/>
  <c r="V16" i="43" s="1"/>
  <c r="T14" i="43"/>
  <c r="V14" i="43" s="1"/>
  <c r="C29" i="43"/>
  <c r="C39" i="43"/>
  <c r="T6" i="43"/>
  <c r="V6" i="43" s="1"/>
  <c r="C33" i="43"/>
  <c r="C37" i="43"/>
  <c r="T4" i="43"/>
  <c r="V4" i="43" s="1"/>
  <c r="C34" i="43"/>
  <c r="T8" i="43"/>
  <c r="V8" i="43" s="1"/>
  <c r="T13" i="43"/>
  <c r="V13" i="43" s="1"/>
  <c r="T7" i="43"/>
  <c r="V7" i="43" s="1"/>
  <c r="T15" i="43"/>
  <c r="V15" i="43" s="1"/>
  <c r="C36" i="43"/>
  <c r="T5" i="43"/>
  <c r="V5" i="43" s="1"/>
  <c r="T11" i="43"/>
  <c r="V11" i="43" s="1"/>
  <c r="T3" i="43"/>
  <c r="V3" i="43" s="1"/>
  <c r="T10" i="43"/>
  <c r="V10" i="43" s="1"/>
  <c r="T2" i="43"/>
  <c r="V2" i="43" s="1"/>
  <c r="C38" i="43"/>
  <c r="C35" i="43"/>
  <c r="V9" i="59"/>
  <c r="F8" i="59"/>
  <c r="F7" i="59" s="1"/>
  <c r="F6" i="59" s="1"/>
  <c r="F5" i="59" s="1"/>
  <c r="V5" i="59" s="1"/>
  <c r="AB26" i="21"/>
  <c r="U26" i="21"/>
  <c r="C27" i="12"/>
  <c r="C25" i="12" s="1"/>
  <c r="C26" i="12"/>
  <c r="D25" i="12" s="1"/>
  <c r="J26" i="15"/>
  <c r="J29" i="15" s="1"/>
  <c r="J24" i="15"/>
  <c r="C26" i="11"/>
  <c r="D22" i="11" s="1"/>
  <c r="C24" i="15"/>
  <c r="C23" i="15"/>
  <c r="C10" i="15"/>
  <c r="C5" i="15" s="1"/>
  <c r="C54" i="15"/>
  <c r="C49" i="15" s="1"/>
  <c r="C43" i="11" l="1"/>
  <c r="C24" i="11"/>
  <c r="C23" i="11"/>
  <c r="C44" i="11"/>
  <c r="D41" i="11" s="1"/>
  <c r="C25" i="11"/>
  <c r="C42" i="11"/>
  <c r="G67" i="39"/>
  <c r="F69" i="39"/>
  <c r="H64" i="40"/>
  <c r="I62" i="40"/>
  <c r="C41" i="63"/>
  <c r="B2" i="63"/>
  <c r="B3" i="63" s="1"/>
  <c r="E38" i="43"/>
  <c r="G38" i="43"/>
  <c r="I38" i="43" s="1"/>
  <c r="G33" i="43"/>
  <c r="I33" i="43" s="1"/>
  <c r="E33" i="43"/>
  <c r="G39" i="43"/>
  <c r="I39" i="43" s="1"/>
  <c r="E39" i="43"/>
  <c r="E53" i="33"/>
  <c r="F53" i="33" s="1"/>
  <c r="E52" i="33"/>
  <c r="F52" i="33" s="1"/>
  <c r="E46" i="37"/>
  <c r="F46" i="37" s="1"/>
  <c r="E47" i="37"/>
  <c r="F47" i="37" s="1"/>
  <c r="G35" i="43"/>
  <c r="I35" i="43" s="1"/>
  <c r="E35" i="43"/>
  <c r="G34" i="43"/>
  <c r="I34" i="43" s="1"/>
  <c r="E34" i="43"/>
  <c r="E37" i="43"/>
  <c r="G37" i="43"/>
  <c r="I37" i="43" s="1"/>
  <c r="C30" i="43"/>
  <c r="E30" i="43" s="1"/>
  <c r="E29" i="43"/>
  <c r="C49" i="33"/>
  <c r="B2" i="33" s="1"/>
  <c r="B3" i="33" s="1"/>
  <c r="C48" i="33"/>
  <c r="C42" i="37"/>
  <c r="C43" i="37"/>
  <c r="B2" i="37" s="1"/>
  <c r="B3" i="37" s="1"/>
  <c r="E42" i="35"/>
  <c r="F42" i="35" s="1"/>
  <c r="E43" i="35"/>
  <c r="F43" i="35" s="1"/>
  <c r="G46" i="36"/>
  <c r="D57" i="57"/>
  <c r="N55" i="57" s="1"/>
  <c r="C80" i="57"/>
  <c r="C75" i="57" s="1"/>
  <c r="C95" i="57"/>
  <c r="C88" i="57" s="1"/>
  <c r="C66" i="57"/>
  <c r="C65" i="57" s="1"/>
  <c r="C69" i="57" s="1"/>
  <c r="C70" i="57" s="1"/>
  <c r="D56" i="57" s="1"/>
  <c r="C74" i="57"/>
  <c r="C87" i="57"/>
  <c r="D61" i="57"/>
  <c r="N57" i="57" s="1"/>
  <c r="D54" i="57"/>
  <c r="D55" i="57"/>
  <c r="D50" i="57" s="1"/>
  <c r="N54" i="57" s="1"/>
  <c r="G58" i="21"/>
  <c r="E53" i="34"/>
  <c r="F53" i="34" s="1"/>
  <c r="E54" i="34"/>
  <c r="F54" i="34" s="1"/>
  <c r="E36" i="43"/>
  <c r="G36" i="43"/>
  <c r="I36" i="43" s="1"/>
  <c r="C39" i="35"/>
  <c r="C38" i="35"/>
  <c r="I47" i="37"/>
  <c r="J47" i="37" s="1"/>
  <c r="D15" i="59"/>
  <c r="C14" i="59"/>
  <c r="S5" i="59"/>
  <c r="C49" i="34"/>
  <c r="C50" i="34"/>
  <c r="B2" i="34" s="1"/>
  <c r="B3" i="34" s="1"/>
  <c r="C32" i="12"/>
  <c r="B2" i="12" s="1"/>
  <c r="C29" i="15"/>
  <c r="C36" i="15" s="1"/>
  <c r="C67" i="15"/>
  <c r="C38" i="15"/>
  <c r="C41" i="11" l="1"/>
  <c r="C49" i="11" s="1"/>
  <c r="C51" i="11" s="1"/>
  <c r="C22" i="11"/>
  <c r="C31" i="11" s="1"/>
  <c r="C81" i="57"/>
  <c r="I64" i="40"/>
  <c r="J62" i="40"/>
  <c r="G69" i="39"/>
  <c r="H67" i="39"/>
  <c r="C13" i="59"/>
  <c r="D14" i="59"/>
  <c r="B3" i="35"/>
  <c r="B2" i="35"/>
  <c r="H58" i="21"/>
  <c r="I58" i="21" s="1"/>
  <c r="J58" i="21" s="1"/>
  <c r="K58" i="21" s="1"/>
  <c r="L58" i="21" s="1"/>
  <c r="M58" i="21" s="1"/>
  <c r="N58" i="21" s="1"/>
  <c r="O58" i="21" s="1"/>
  <c r="F7" i="21"/>
  <c r="C97" i="57"/>
  <c r="H46" i="36"/>
  <c r="C27" i="43"/>
  <c r="C26" i="43"/>
  <c r="B2" i="43" s="1"/>
  <c r="B3" i="43" s="1"/>
  <c r="C82" i="57"/>
  <c r="E82" i="57" s="1"/>
  <c r="E83" i="57" s="1"/>
  <c r="C83" i="57"/>
  <c r="B3" i="12"/>
  <c r="J14" i="15"/>
  <c r="J22" i="15" s="1"/>
  <c r="C13" i="15"/>
  <c r="C37" i="15" s="1"/>
  <c r="C30" i="15" s="1"/>
  <c r="C39" i="15" s="1"/>
  <c r="C52" i="11"/>
  <c r="B3" i="11" s="1"/>
  <c r="C58" i="15"/>
  <c r="C65" i="15" s="1"/>
  <c r="Q47" i="15"/>
  <c r="C57" i="15"/>
  <c r="C66" i="15" s="1"/>
  <c r="C59" i="15" s="1"/>
  <c r="C68" i="15" s="1"/>
  <c r="C69" i="15" s="1"/>
  <c r="J7" i="21" l="1"/>
  <c r="H7" i="21"/>
  <c r="U7" i="21" s="1"/>
  <c r="I67" i="39"/>
  <c r="H69" i="39"/>
  <c r="K62" i="40"/>
  <c r="J64" i="40"/>
  <c r="C98" i="57"/>
  <c r="E98" i="57" s="1"/>
  <c r="E99" i="57" s="1"/>
  <c r="C99" i="57"/>
  <c r="D60" i="57" s="1"/>
  <c r="D58" i="57" s="1"/>
  <c r="N56" i="57" s="1"/>
  <c r="O59" i="57" s="1"/>
  <c r="AB7" i="21"/>
  <c r="T48" i="21" s="1"/>
  <c r="G48" i="21" s="1"/>
  <c r="I46" i="36"/>
  <c r="W7" i="21"/>
  <c r="AC7" i="21"/>
  <c r="V48" i="21" s="1"/>
  <c r="I48" i="21" s="1"/>
  <c r="S7" i="21"/>
  <c r="AA7" i="21"/>
  <c r="R48" i="21" s="1"/>
  <c r="C12" i="59"/>
  <c r="T13" i="59"/>
  <c r="D13" i="59"/>
  <c r="Q68" i="15"/>
  <c r="C56" i="11"/>
  <c r="C57" i="11" s="1"/>
  <c r="J13" i="15"/>
  <c r="J23" i="15" s="1"/>
  <c r="B2" i="11"/>
  <c r="J34" i="15"/>
  <c r="J38" i="15" s="1"/>
  <c r="J39" i="15" s="1"/>
  <c r="C40" i="15"/>
  <c r="C47" i="15" s="1"/>
  <c r="Q67" i="15"/>
  <c r="Q66" i="15" s="1"/>
  <c r="C72" i="15"/>
  <c r="J16" i="15"/>
  <c r="J25" i="15" s="1"/>
  <c r="L62" i="40" l="1"/>
  <c r="K64" i="40"/>
  <c r="I69" i="39"/>
  <c r="J67" i="39"/>
  <c r="E48" i="21"/>
  <c r="R49" i="21"/>
  <c r="I53" i="21"/>
  <c r="J53" i="21" s="1"/>
  <c r="I52" i="21"/>
  <c r="J52" i="21" s="1"/>
  <c r="J46" i="36"/>
  <c r="G52" i="21"/>
  <c r="H52" i="21" s="1"/>
  <c r="G53" i="21"/>
  <c r="H53" i="21" s="1"/>
  <c r="D12" i="59"/>
  <c r="C11" i="59"/>
  <c r="O60" i="57"/>
  <c r="O61" i="57"/>
  <c r="Q59" i="57"/>
  <c r="B3" i="15"/>
  <c r="L52" i="15"/>
  <c r="B2" i="15"/>
  <c r="C43" i="15"/>
  <c r="Q45" i="15"/>
  <c r="Q51" i="15" s="1"/>
  <c r="Q63" i="15"/>
  <c r="Q73" i="15" s="1"/>
  <c r="Q54" i="15"/>
  <c r="Q60" i="15" s="1"/>
  <c r="J41" i="15"/>
  <c r="D20" i="9"/>
  <c r="D19" i="9"/>
  <c r="L64" i="40" l="1"/>
  <c r="M62" i="40"/>
  <c r="J69" i="39"/>
  <c r="K67" i="39"/>
  <c r="O63" i="57"/>
  <c r="O62" i="57"/>
  <c r="D11" i="59"/>
  <c r="C10" i="59"/>
  <c r="C48" i="21"/>
  <c r="C49" i="21"/>
  <c r="K46" i="36"/>
  <c r="E52" i="21"/>
  <c r="F52" i="21" s="1"/>
  <c r="E53" i="21"/>
  <c r="F53" i="21" s="1"/>
  <c r="D102" i="9"/>
  <c r="D101" i="9"/>
  <c r="J42" i="15"/>
  <c r="D35" i="9"/>
  <c r="D34" i="9" s="1"/>
  <c r="Q65" i="15"/>
  <c r="L58" i="15"/>
  <c r="L67" i="39" l="1"/>
  <c r="K69" i="39"/>
  <c r="M64" i="40"/>
  <c r="N62" i="40"/>
  <c r="B2" i="21"/>
  <c r="B3" i="21"/>
  <c r="C9" i="59"/>
  <c r="D10" i="59"/>
  <c r="L46" i="36"/>
  <c r="C19" i="9"/>
  <c r="C20" i="9"/>
  <c r="L69" i="39" l="1"/>
  <c r="M67" i="39"/>
  <c r="O62" i="40"/>
  <c r="O64" i="40" s="1"/>
  <c r="F7" i="40" s="1"/>
  <c r="N64" i="40"/>
  <c r="H7" i="40"/>
  <c r="C102" i="9"/>
  <c r="G20" i="9"/>
  <c r="C101" i="9"/>
  <c r="G19" i="9"/>
  <c r="D22" i="9"/>
  <c r="M46" i="36"/>
  <c r="N46" i="36" s="1"/>
  <c r="O46" i="36" s="1"/>
  <c r="F7" i="36" s="1"/>
  <c r="H7" i="36"/>
  <c r="J7" i="36"/>
  <c r="T9" i="59"/>
  <c r="C8" i="59"/>
  <c r="D9" i="59"/>
  <c r="S7" i="40" l="1"/>
  <c r="AA7" i="40"/>
  <c r="R42" i="40" s="1"/>
  <c r="J7" i="40"/>
  <c r="U7" i="40"/>
  <c r="AB7" i="40"/>
  <c r="T42" i="40" s="1"/>
  <c r="G42" i="40" s="1"/>
  <c r="M69" i="39"/>
  <c r="N67" i="39"/>
  <c r="D8" i="59"/>
  <c r="C7" i="59"/>
  <c r="U7" i="36"/>
  <c r="AB7" i="36"/>
  <c r="T36" i="36" s="1"/>
  <c r="G36" i="36" s="1"/>
  <c r="G24" i="9"/>
  <c r="G25" i="9" s="1"/>
  <c r="G26" i="9" s="1"/>
  <c r="G27" i="9" s="1"/>
  <c r="C32" i="9"/>
  <c r="W7" i="36"/>
  <c r="AC7" i="36"/>
  <c r="V36" i="36" s="1"/>
  <c r="I36" i="36" s="1"/>
  <c r="AA7" i="36"/>
  <c r="R36" i="36" s="1"/>
  <c r="S7" i="36"/>
  <c r="J7" i="39" l="1"/>
  <c r="W7" i="39" s="1"/>
  <c r="E42" i="40"/>
  <c r="R43" i="40"/>
  <c r="O67" i="39"/>
  <c r="O69" i="39" s="1"/>
  <c r="N69" i="39"/>
  <c r="G46" i="40"/>
  <c r="H46" i="40" s="1"/>
  <c r="AC7" i="40"/>
  <c r="V42" i="40" s="1"/>
  <c r="I42" i="40" s="1"/>
  <c r="W7" i="40"/>
  <c r="I40" i="36"/>
  <c r="J40" i="36" s="1"/>
  <c r="I121" i="9"/>
  <c r="C35" i="9"/>
  <c r="G41" i="36"/>
  <c r="H41" i="36" s="1"/>
  <c r="G40" i="36"/>
  <c r="H40" i="36" s="1"/>
  <c r="C6" i="59"/>
  <c r="D7" i="59"/>
  <c r="E36" i="36"/>
  <c r="R37" i="36"/>
  <c r="AC7" i="39" l="1"/>
  <c r="V47" i="39" s="1"/>
  <c r="I47" i="39" s="1"/>
  <c r="H7" i="39"/>
  <c r="F7" i="39"/>
  <c r="C43" i="40"/>
  <c r="C42" i="40"/>
  <c r="I47" i="40"/>
  <c r="J47" i="40" s="1"/>
  <c r="I46" i="40"/>
  <c r="J46" i="40" s="1"/>
  <c r="G47" i="40"/>
  <c r="H47" i="40" s="1"/>
  <c r="E46" i="40"/>
  <c r="F46" i="40" s="1"/>
  <c r="E47" i="40"/>
  <c r="F47" i="40" s="1"/>
  <c r="C37" i="36"/>
  <c r="B2" i="36" s="1"/>
  <c r="B3" i="36" s="1"/>
  <c r="C36" i="36"/>
  <c r="G121" i="9"/>
  <c r="C34" i="9"/>
  <c r="E121" i="9" s="1"/>
  <c r="I51" i="39"/>
  <c r="J51" i="39" s="1"/>
  <c r="E40" i="36"/>
  <c r="F40" i="36" s="1"/>
  <c r="E41" i="36"/>
  <c r="F41" i="36" s="1"/>
  <c r="D6" i="59"/>
  <c r="C5" i="59"/>
  <c r="I103" i="9"/>
  <c r="H121" i="9"/>
  <c r="D107" i="9"/>
  <c r="C104" i="9"/>
  <c r="I4" i="52"/>
  <c r="I41" i="36"/>
  <c r="J41" i="36" s="1"/>
  <c r="B57" i="40" l="1"/>
  <c r="F57" i="40" s="1"/>
  <c r="B58" i="40"/>
  <c r="F58" i="40" s="1"/>
  <c r="B59" i="40"/>
  <c r="F59" i="40" s="1"/>
  <c r="B52" i="40"/>
  <c r="F52" i="40" s="1"/>
  <c r="B53" i="40"/>
  <c r="F53" i="40" s="1"/>
  <c r="B56" i="40"/>
  <c r="F56" i="40" s="1"/>
  <c r="B55" i="40"/>
  <c r="F55" i="40" s="1"/>
  <c r="B54" i="40"/>
  <c r="F54" i="40" s="1"/>
  <c r="B51" i="40"/>
  <c r="F51" i="40" s="1"/>
  <c r="F60" i="40" s="1"/>
  <c r="B2" i="40" s="1"/>
  <c r="B3" i="40" s="1"/>
  <c r="AB7" i="39"/>
  <c r="T47" i="39" s="1"/>
  <c r="G47" i="39" s="1"/>
  <c r="U7" i="39"/>
  <c r="S7" i="39"/>
  <c r="AA7" i="39"/>
  <c r="R47" i="39" s="1"/>
  <c r="D9" i="50"/>
  <c r="B21" i="60" s="1"/>
  <c r="D30" i="50"/>
  <c r="G4" i="52"/>
  <c r="B41" i="60" s="1"/>
  <c r="F121" i="9"/>
  <c r="H4" i="52"/>
  <c r="I102" i="9"/>
  <c r="D14" i="62"/>
  <c r="D106" i="9"/>
  <c r="D112" i="9" s="1"/>
  <c r="H122" i="9"/>
  <c r="H5" i="52" s="1"/>
  <c r="C103" i="9"/>
  <c r="D5" i="59"/>
  <c r="T5" i="59"/>
  <c r="M20" i="43"/>
  <c r="E4" i="52"/>
  <c r="B38" i="60" s="1"/>
  <c r="D121" i="9"/>
  <c r="G51" i="39" l="1"/>
  <c r="H51" i="39" s="1"/>
  <c r="G52" i="39"/>
  <c r="H52" i="39" s="1"/>
  <c r="R48" i="39"/>
  <c r="E47" i="39"/>
  <c r="F14" i="62"/>
  <c r="E14" i="62"/>
  <c r="B5" i="62"/>
  <c r="D122" i="9"/>
  <c r="D5" i="52" s="1"/>
  <c r="B39" i="60" s="1"/>
  <c r="D4" i="52"/>
  <c r="B37" i="60" s="1"/>
  <c r="D113" i="9"/>
  <c r="D117" i="9"/>
  <c r="D28" i="50"/>
  <c r="D29" i="50" s="1"/>
  <c r="I110" i="9"/>
  <c r="D45" i="9"/>
  <c r="N48" i="9"/>
  <c r="D7" i="50"/>
  <c r="F4" i="52"/>
  <c r="B40" i="60" s="1"/>
  <c r="F122" i="9"/>
  <c r="F5" i="52" s="1"/>
  <c r="B42" i="60" s="1"/>
  <c r="E51" i="39" l="1"/>
  <c r="F51" i="39" s="1"/>
  <c r="I52" i="39"/>
  <c r="J52" i="39" s="1"/>
  <c r="E52" i="39"/>
  <c r="F52" i="39" s="1"/>
  <c r="C47" i="39"/>
  <c r="C48" i="39"/>
  <c r="D8" i="50"/>
  <c r="B22" i="60" s="1"/>
  <c r="B19" i="60"/>
  <c r="C64" i="9"/>
  <c r="C63" i="9" s="1"/>
  <c r="C67" i="9" s="1"/>
  <c r="C68" i="9" s="1"/>
  <c r="D54" i="9" s="1"/>
  <c r="D52" i="9"/>
  <c r="C72" i="9"/>
  <c r="D53" i="9"/>
  <c r="D48" i="9" s="1"/>
  <c r="N52" i="9" s="1"/>
  <c r="O57" i="9" s="1"/>
  <c r="C93" i="9"/>
  <c r="C86" i="9" s="1"/>
  <c r="C85" i="9"/>
  <c r="C78" i="9"/>
  <c r="C73" i="9" s="1"/>
  <c r="D38" i="50"/>
  <c r="B62" i="60" s="1"/>
  <c r="I111" i="9"/>
  <c r="C5" i="62"/>
  <c r="D5" i="62"/>
  <c r="D36" i="50"/>
  <c r="D37" i="50" s="1"/>
  <c r="D125" i="9"/>
  <c r="D15" i="50"/>
  <c r="D44" i="50"/>
  <c r="I115" i="9"/>
  <c r="D23" i="50" s="1"/>
  <c r="B34" i="60" s="1"/>
  <c r="B57" i="39" l="1"/>
  <c r="F57" i="39" s="1"/>
  <c r="B61" i="39"/>
  <c r="F61" i="39" s="1"/>
  <c r="B60" i="39"/>
  <c r="F60" i="39" s="1"/>
  <c r="B63" i="39"/>
  <c r="F63" i="39" s="1"/>
  <c r="B59" i="39"/>
  <c r="F59" i="39" s="1"/>
  <c r="B62" i="39"/>
  <c r="F62" i="39" s="1"/>
  <c r="B56" i="39"/>
  <c r="F56" i="39" s="1"/>
  <c r="F65" i="39" s="1"/>
  <c r="B2" i="39" s="1"/>
  <c r="B3" i="39" s="1"/>
  <c r="B58" i="39"/>
  <c r="F58" i="39" s="1"/>
  <c r="B64" i="39"/>
  <c r="F64" i="39" s="1"/>
  <c r="D8" i="52"/>
  <c r="G14" i="62"/>
  <c r="B6" i="62" s="1"/>
  <c r="D17" i="50"/>
  <c r="D126" i="9"/>
  <c r="D9" i="52" s="1"/>
  <c r="C79" i="9"/>
  <c r="C80" i="9" s="1"/>
  <c r="E80" i="9" s="1"/>
  <c r="E81" i="9" s="1"/>
  <c r="B29" i="60"/>
  <c r="D16" i="50"/>
  <c r="B30" i="60" s="1"/>
  <c r="C95" i="9"/>
  <c r="O59" i="9"/>
  <c r="O58" i="9"/>
  <c r="Q57" i="9"/>
  <c r="C81" i="9" l="1"/>
  <c r="C96" i="9"/>
  <c r="E96" i="9" s="1"/>
  <c r="E97" i="9" s="1"/>
  <c r="D6" i="62"/>
  <c r="C6" i="62"/>
  <c r="O60" i="9"/>
  <c r="O61"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D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D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1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1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1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1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1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1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<sst xmlns="http://schemas.openxmlformats.org/spreadsheetml/2006/main" count="7165" uniqueCount="3145">
  <si>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</si>
  <si>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</si>
  <si>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</si>
  <si>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</si>
  <si>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</si>
  <si>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</si>
  <si>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</si>
  <si>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</si>
  <si>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</si>
  <si>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</si>
  <si>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</si>
  <si>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</si>
  <si>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</si>
  <si>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</si>
  <si>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</si>
  <si>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</si>
  <si>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</si>
  <si>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</si>
  <si>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</si>
  <si>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</si>
  <si>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</si>
  <si>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</si>
  <si>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</si>
  <si>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</si>
  <si>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</si>
  <si>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</si>
  <si>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</si>
  <si>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</si>
  <si>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</si>
  <si>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</si>
  <si>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</si>
  <si>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</si>
  <si>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</si>
  <si>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</si>
  <si>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</si>
  <si>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</si>
  <si>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</si>
  <si>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</si>
  <si>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</si>
  <si>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</si>
  <si>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</si>
  <si>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</si>
  <si>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</si>
  <si>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</si>
  <si>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</si>
  <si>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</si>
  <si>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</si>
  <si>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</si>
  <si>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</si>
  <si>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</si>
  <si>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</si>
  <si>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</si>
  <si>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</si>
  <si>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</si>
  <si>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</si>
  <si>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</si>
  <si>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</si>
  <si>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</si>
  <si>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</si>
  <si>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</si>
  <si>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</si>
  <si>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</si>
  <si>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</si>
  <si>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</si>
  <si>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</si>
  <si>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</si>
  <si>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</si>
  <si>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</si>
  <si>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</si>
  <si>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</si>
  <si>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</si>
  <si>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</si>
  <si>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</si>
  <si>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</si>
  <si>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</si>
  <si>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</si>
  <si>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</si>
  <si>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</si>
  <si>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</si>
  <si>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</si>
  <si>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</si>
  <si>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</si>
  <si>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</si>
  <si>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</si>
  <si>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</si>
  <si>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</si>
  <si>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</si>
  <si>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</si>
  <si>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</si>
  <si>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</si>
  <si>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</si>
  <si>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</si>
  <si>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</si>
  <si>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</si>
  <si>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</si>
  <si>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</si>
  <si>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</si>
  <si>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</si>
  <si>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</si>
  <si>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</si>
  <si>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</si>
  <si>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</si>
  <si>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</si>
  <si>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</si>
  <si>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</si>
  <si>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</si>
  <si>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</si>
  <si>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</si>
  <si>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</si>
  <si>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</si>
  <si>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</si>
  <si>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</si>
  <si>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</si>
  <si>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</si>
  <si>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</si>
  <si>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</si>
  <si>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</si>
  <si>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</si>
  <si>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</si>
  <si>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</si>
  <si>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</si>
  <si>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</si>
  <si>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</si>
  <si>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</si>
  <si>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</si>
  <si>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</si>
  <si>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</si>
  <si>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</si>
  <si>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</si>
  <si>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</si>
  <si>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</si>
  <si>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</si>
  <si>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</si>
  <si>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</si>
  <si>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</si>
  <si>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</si>
  <si>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</si>
  <si>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</si>
  <si>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</si>
  <si>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</si>
  <si>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</si>
  <si>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</si>
  <si>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</si>
  <si>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</si>
  <si>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</si>
  <si>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</si>
  <si>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</si>
  <si>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</si>
  <si>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</si>
  <si>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</si>
  <si>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</si>
  <si>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</si>
  <si>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</si>
  <si>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</si>
  <si>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</si>
  <si>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</si>
  <si>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</si>
  <si>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</si>
  <si>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</si>
  <si>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</si>
  <si>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</si>
  <si>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</si>
  <si>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</si>
  <si>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</si>
  <si>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</si>
  <si>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</si>
  <si>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</si>
  <si>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</si>
  <si>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</si>
  <si>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</si>
  <si>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</si>
  <si>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</si>
  <si>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</si>
  <si>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</si>
  <si>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</si>
  <si>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</si>
  <si>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</si>
  <si>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</si>
  <si>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</si>
  <si>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</si>
  <si>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</si>
  <si>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</si>
  <si>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</si>
  <si>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</si>
  <si>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</si>
  <si>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</si>
  <si>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</si>
  <si>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</si>
  <si>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</si>
  <si>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</si>
  <si>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</si>
  <si>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</si>
  <si>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</si>
  <si>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</si>
  <si>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</si>
  <si>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</si>
  <si>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</si>
  <si>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</si>
  <si>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</si>
  <si>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</si>
  <si>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</si>
  <si>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</si>
  <si>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</si>
  <si>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</si>
  <si>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</si>
  <si>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</si>
  <si>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</si>
  <si>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</si>
  <si>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</si>
  <si>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</si>
  <si>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</si>
  <si>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</si>
  <si>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</si>
  <si>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</si>
  <si>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</si>
  <si>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</si>
  <si>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</si>
  <si>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</si>
  <si>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</si>
  <si>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</si>
  <si>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</si>
  <si>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</si>
  <si>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</si>
  <si>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</si>
  <si>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</si>
  <si>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</si>
  <si>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</si>
  <si>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</si>
  <si>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</si>
  <si>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</si>
  <si>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</si>
  <si>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</si>
  <si>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</si>
  <si>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</si>
  <si>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</si>
  <si>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</si>
  <si>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</si>
  <si>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</si>
  <si>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</si>
  <si>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</si>
  <si>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</si>
  <si>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</si>
  <si>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</si>
  <si>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</si>
  <si>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</si>
  <si>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</si>
  <si>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</si>
  <si>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</si>
  <si>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</si>
  <si>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</si>
  <si>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</si>
  <si>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</si>
  <si>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</si>
  <si>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</si>
  <si>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</si>
  <si>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</si>
  <si>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</si>
  <si>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</si>
  <si>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</si>
  <si>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</si>
  <si>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</si>
  <si>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</si>
  <si>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</si>
  <si>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</si>
  <si>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</si>
  <si>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</si>
  <si>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</si>
  <si>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</si>
  <si>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</si>
  <si>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</si>
  <si>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</si>
  <si>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</si>
  <si>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</si>
  <si>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</si>
  <si>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</si>
  <si>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</si>
  <si>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</si>
  <si>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</si>
  <si>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</si>
  <si>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</si>
  <si>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</si>
  <si>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</si>
  <si>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</si>
  <si>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</si>
  <si>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</si>
  <si>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</si>
  <si>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</si>
  <si>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</si>
  <si>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</si>
  <si>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</si>
  <si>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</si>
  <si>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</si>
  <si>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</si>
  <si>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</si>
  <si>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</si>
  <si>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</si>
  <si>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</si>
  <si>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</si>
  <si>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</si>
  <si>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</si>
  <si>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</si>
  <si>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</si>
  <si>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</si>
  <si>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</si>
  <si>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</si>
  <si>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</si>
  <si>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</si>
  <si>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</si>
  <si>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</si>
  <si>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</si>
  <si>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</si>
  <si>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</si>
  <si>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</si>
  <si>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</si>
  <si>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</si>
  <si>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</si>
  <si>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</si>
  <si>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</si>
  <si>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</si>
  <si>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</si>
  <si>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</si>
  <si>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</si>
  <si>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</si>
  <si>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</si>
  <si>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</si>
  <si>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</si>
  <si>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</si>
  <si>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</si>
  <si>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</si>
  <si>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</si>
  <si>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</si>
  <si>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</si>
  <si>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</si>
  <si>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</si>
  <si>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</si>
  <si>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</si>
  <si>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</si>
  <si>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</si>
  <si>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</si>
  <si>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</si>
  <si>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</si>
  <si>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</si>
  <si>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</si>
  <si>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</si>
  <si>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</si>
  <si>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</si>
  <si>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</si>
  <si>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</si>
  <si>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</si>
  <si>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</si>
  <si>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</si>
  <si>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</si>
  <si>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</si>
  <si>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</si>
  <si>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</si>
  <si>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</si>
  <si>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</si>
  <si>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</si>
  <si>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</si>
  <si>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</si>
  <si>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</si>
  <si>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</si>
  <si>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</si>
  <si>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</si>
  <si>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</si>
  <si>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</si>
  <si>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</si>
  <si>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</si>
  <si>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</si>
  <si>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</si>
  <si>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</si>
  <si>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</si>
  <si>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</si>
  <si>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</si>
  <si>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</si>
  <si>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</si>
  <si>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</si>
  <si>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</si>
  <si>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</si>
  <si>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</si>
  <si>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</si>
  <si>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</si>
  <si>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</si>
  <si>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</si>
  <si>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</si>
  <si>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</si>
  <si>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</si>
  <si>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</si>
  <si>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</si>
  <si>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</si>
  <si>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</si>
  <si>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</si>
  <si>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</si>
  <si>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</si>
  <si>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</si>
  <si>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</si>
  <si>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</si>
  <si>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</si>
  <si>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</si>
  <si>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</si>
  <si>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</si>
  <si>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</si>
  <si>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</si>
  <si>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</si>
  <si>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</si>
  <si>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</si>
  <si>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</si>
  <si>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</si>
  <si>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</si>
  <si>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</si>
  <si>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</si>
  <si>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</si>
  <si>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</si>
  <si>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</si>
  <si>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</si>
  <si>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</si>
  <si>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</si>
  <si>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</si>
  <si>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</si>
  <si>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</si>
  <si>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</si>
  <si>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</si>
  <si>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</si>
  <si>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</si>
  <si>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</si>
  <si>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</si>
  <si>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</si>
  <si>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</si>
  <si>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</si>
  <si>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</si>
  <si>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</si>
  <si>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</si>
  <si>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</si>
  <si>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</si>
  <si>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</si>
  <si>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</si>
  <si>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</si>
  <si>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</si>
  <si>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</si>
  <si>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</si>
  <si>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</si>
  <si>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</si>
  <si>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</si>
  <si>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</si>
  <si>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</si>
  <si>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</si>
  <si>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</si>
  <si>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</si>
  <si>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</si>
  <si>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</si>
  <si>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</si>
  <si>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</si>
  <si>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</si>
  <si>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</si>
  <si>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</si>
  <si>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</si>
  <si>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</si>
  <si>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</si>
  <si>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</si>
  <si>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</si>
  <si>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</si>
  <si>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</si>
  <si>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</si>
  <si>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</si>
  <si>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</si>
  <si>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</si>
  <si>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</si>
  <si>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</si>
  <si>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</si>
  <si>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</si>
  <si>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</si>
  <si>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</si>
  <si>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</si>
  <si>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</si>
  <si>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</si>
  <si>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</si>
  <si>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</si>
  <si>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</si>
  <si>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</si>
  <si>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</si>
  <si>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</si>
  <si>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</si>
  <si>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</si>
  <si>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</si>
  <si>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</si>
  <si>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</si>
  <si>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</si>
  <si>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</si>
  <si>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</si>
  <si>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</si>
  <si>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</si>
  <si>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</si>
  <si>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</si>
  <si>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</si>
  <si>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</si>
  <si>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</si>
  <si>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</si>
  <si>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</si>
  <si>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</si>
  <si>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</si>
  <si>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</si>
  <si>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</si>
  <si>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</si>
  <si>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</si>
  <si>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</si>
  <si>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</si>
  <si>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</si>
  <si>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</si>
  <si>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</si>
  <si>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</si>
  <si>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</si>
  <si>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</si>
  <si>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</si>
  <si>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</si>
  <si>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</si>
  <si>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</si>
  <si>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</si>
  <si>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</si>
  <si>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</si>
  <si>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</si>
  <si>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</si>
  <si>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</si>
  <si>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</si>
  <si>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</si>
  <si>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</si>
  <si>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</si>
  <si>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</si>
  <si>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</si>
  <si>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</si>
  <si>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</si>
  <si>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</si>
  <si>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</si>
  <si>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</si>
  <si>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</si>
  <si>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</si>
  <si>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</si>
  <si>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</si>
  <si>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</si>
  <si>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</si>
  <si>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</si>
  <si>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</si>
  <si>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</si>
  <si>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</si>
  <si>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</si>
  <si>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</si>
  <si>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</si>
  <si>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</si>
  <si>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</si>
  <si>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</si>
  <si>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</si>
  <si>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</si>
  <si>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</si>
  <si>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</si>
  <si>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</si>
  <si>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</si>
  <si>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</si>
  <si>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</si>
  <si>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</si>
  <si>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</si>
  <si>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</si>
  <si>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</si>
  <si>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</si>
  <si>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</si>
  <si>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</si>
  <si>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</si>
  <si>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</si>
  <si>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</si>
  <si>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</si>
  <si>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</si>
  <si>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</si>
  <si>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</si>
  <si>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</si>
  <si>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</si>
  <si>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</si>
  <si>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</si>
  <si>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</si>
  <si>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</si>
  <si>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</si>
  <si>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</si>
  <si>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</si>
  <si>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</si>
  <si>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</si>
  <si>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</si>
  <si>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</si>
  <si>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</si>
  <si>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</si>
  <si>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</si>
  <si>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</si>
  <si>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</si>
  <si>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</si>
  <si>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</si>
  <si>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</si>
  <si>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</si>
  <si>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</si>
  <si>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</si>
  <si>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</si>
  <si>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</si>
  <si>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</si>
  <si>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</si>
  <si>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</si>
  <si>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</si>
  <si>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</si>
  <si>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</si>
  <si>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</si>
  <si>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</si>
  <si>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</si>
  <si>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</si>
  <si>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</si>
  <si>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</si>
  <si>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</si>
  <si>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</si>
  <si>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</si>
  <si>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</si>
  <si>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</si>
  <si>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</si>
  <si>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</si>
  <si>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</si>
  <si>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</si>
  <si>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</si>
  <si>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</si>
  <si>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</si>
  <si>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</si>
  <si>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</si>
  <si>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</si>
  <si>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</si>
  <si>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</si>
  <si>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</si>
  <si>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</si>
  <si>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</si>
  <si>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</si>
  <si>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</si>
  <si>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</si>
  <si>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</si>
  <si>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</si>
  <si>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</si>
  <si>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</si>
  <si>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</si>
  <si>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</si>
  <si>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</si>
  <si>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</si>
  <si>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</si>
  <si>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</si>
  <si>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</si>
  <si>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</si>
  <si>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</si>
  <si>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</si>
  <si>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</si>
  <si>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</si>
  <si>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</si>
  <si>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</si>
  <si>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</si>
  <si>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</si>
  <si>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</si>
  <si>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</si>
  <si>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</si>
  <si>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</si>
  <si>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</si>
  <si>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</si>
  <si>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</si>
  <si>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</si>
  <si>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</si>
  <si>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</si>
  <si>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</si>
  <si>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</si>
  <si>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</si>
  <si>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</si>
  <si>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</si>
  <si>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</si>
  <si>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</si>
  <si>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</si>
  <si>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</si>
  <si>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</si>
  <si>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</si>
  <si>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</si>
  <si>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</si>
  <si>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</si>
  <si>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</si>
  <si>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</si>
  <si>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</si>
  <si>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</si>
  <si>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</si>
  <si>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</si>
  <si>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</si>
  <si>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</si>
  <si>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</si>
  <si>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</si>
  <si>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</si>
  <si>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</si>
  <si>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</si>
  <si>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</si>
  <si>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</si>
  <si>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</si>
  <si>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</si>
  <si>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</si>
  <si>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</si>
  <si>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</si>
  <si>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</si>
  <si>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</si>
  <si>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</si>
  <si>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</si>
  <si>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</si>
  <si>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</si>
  <si>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</si>
  <si>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</si>
  <si>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</si>
  <si>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</si>
  <si>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</si>
  <si>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</si>
  <si>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</si>
  <si>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</si>
  <si>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</si>
  <si>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</si>
  <si>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</si>
  <si>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</si>
  <si>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</si>
  <si>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</si>
  <si>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</si>
  <si>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</si>
  <si>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</si>
  <si>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</si>
  <si>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</si>
  <si>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</si>
  <si>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</si>
  <si>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</si>
  <si>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</si>
  <si>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</si>
  <si>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</si>
  <si>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</si>
  <si>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</si>
  <si>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</si>
  <si>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</si>
  <si>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</si>
  <si>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</si>
  <si>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</si>
  <si>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</si>
  <si>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</si>
  <si>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</si>
  <si>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</si>
  <si>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</si>
  <si>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</si>
  <si>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</si>
  <si>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</si>
  <si>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</si>
  <si>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</si>
  <si>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</si>
  <si>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</si>
  <si>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</si>
  <si>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</si>
  <si>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</si>
  <si>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</si>
  <si>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</si>
  <si>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</si>
  <si>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</si>
  <si>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</si>
  <si>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</si>
  <si>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</si>
  <si>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</si>
  <si>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</si>
  <si>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</si>
  <si>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</si>
  <si>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</si>
  <si>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</si>
  <si>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</si>
  <si>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</si>
  <si>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</si>
  <si>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</si>
  <si>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</si>
  <si>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</si>
  <si>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</si>
  <si>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</si>
  <si>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</si>
  <si>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</si>
  <si>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</si>
  <si>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</si>
  <si>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</si>
  <si>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</si>
  <si>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</si>
  <si>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</si>
  <si>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</si>
  <si>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</si>
  <si>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</si>
  <si>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</si>
  <si>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</si>
  <si>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</si>
  <si>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</si>
  <si>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</si>
  <si>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</si>
  <si>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</si>
  <si>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</si>
  <si>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</si>
  <si>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</si>
  <si>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</si>
  <si>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</si>
  <si>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</si>
  <si>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</si>
  <si>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</si>
  <si>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</si>
  <si>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</si>
  <si>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</si>
  <si>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</si>
  <si>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</si>
  <si>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</si>
  <si>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</si>
  <si>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</si>
  <si>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</si>
  <si>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</si>
  <si>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</si>
  <si>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</si>
  <si>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</si>
  <si>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</si>
  <si>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</si>
  <si>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</si>
  <si>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</si>
  <si>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</si>
  <si>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</si>
  <si>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</si>
  <si>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</si>
  <si>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</si>
  <si>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</si>
  <si>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</si>
  <si>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</si>
  <si>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</si>
  <si>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</si>
  <si>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</si>
  <si>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</si>
  <si>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</si>
  <si>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</si>
  <si>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</si>
  <si>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</si>
  <si>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</si>
  <si>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</si>
  <si>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</si>
  <si>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</si>
  <si>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</si>
  <si>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</si>
  <si>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</si>
  <si>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</si>
  <si>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</si>
  <si>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</si>
  <si>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</si>
  <si>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</si>
  <si>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</si>
  <si>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</si>
  <si>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</si>
  <si>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</si>
  <si>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</si>
  <si>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</si>
  <si>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</si>
  <si>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</si>
  <si>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</si>
  <si>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</si>
  <si>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</si>
  <si>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</si>
  <si>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</si>
  <si>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</si>
  <si>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</si>
  <si>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</si>
  <si>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</si>
  <si>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</si>
  <si>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</si>
  <si>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</si>
  <si>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</si>
  <si>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</si>
  <si>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</si>
  <si>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</si>
  <si>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</si>
  <si>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</si>
  <si>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</si>
  <si>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</si>
  <si>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</si>
  <si>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</si>
  <si>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</si>
  <si>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</si>
  <si>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</si>
  <si>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</si>
  <si>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</si>
  <si>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</si>
  <si>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</si>
  <si>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</si>
  <si>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</si>
  <si>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</si>
  <si>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</si>
  <si>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</si>
  <si>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</si>
  <si>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</si>
  <si>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</si>
  <si>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</si>
  <si>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</si>
  <si>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</si>
  <si>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</si>
  <si>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</si>
  <si>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</si>
  <si>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</si>
  <si>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</si>
  <si>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</si>
  <si>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</si>
  <si>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</si>
  <si>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</si>
  <si>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</si>
  <si>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</si>
  <si>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</si>
  <si>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</si>
  <si>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</si>
  <si>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</si>
  <si>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</si>
  <si>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</si>
  <si>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</si>
  <si>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</si>
  <si>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</si>
  <si>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</si>
  <si>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</si>
  <si>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</si>
  <si>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</si>
  <si>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</si>
  <si>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</si>
  <si>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</si>
  <si>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</si>
  <si>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</si>
  <si>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</si>
  <si>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</si>
  <si>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</si>
  <si>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</si>
  <si>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</si>
  <si>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</si>
  <si>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</si>
  <si>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</si>
  <si>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</si>
  <si>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</si>
  <si>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</si>
  <si>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</si>
  <si>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</si>
  <si>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</si>
  <si>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</si>
  <si>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</si>
  <si>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</si>
  <si>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</si>
  <si>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</si>
  <si>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</si>
  <si>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</si>
  <si>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</si>
  <si>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</si>
  <si>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</si>
  <si>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</si>
  <si>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</si>
  <si>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</si>
  <si>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</si>
  <si>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</si>
  <si>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</si>
  <si>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</si>
  <si>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</si>
  <si>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</si>
  <si>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</si>
  <si>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</si>
  <si>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</si>
  <si>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</si>
  <si>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</si>
  <si>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</si>
  <si>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</si>
  <si>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</si>
  <si>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</si>
  <si>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</si>
  <si>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</si>
  <si>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</si>
  <si>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</si>
  <si>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</si>
  <si>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</si>
  <si>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</si>
  <si>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</si>
  <si>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</si>
  <si>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</si>
  <si>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</si>
  <si>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</si>
  <si>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</si>
  <si>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</si>
  <si>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</si>
  <si>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</si>
  <si>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</si>
  <si>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</si>
  <si>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</si>
  <si>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</si>
  <si>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</si>
  <si>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</si>
  <si>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</si>
  <si>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</si>
  <si>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</si>
  <si>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</si>
  <si>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</si>
  <si>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</si>
  <si>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</si>
  <si>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</si>
  <si>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</si>
  <si>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</si>
  <si>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</si>
  <si>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</si>
  <si>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</si>
  <si>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</si>
  <si>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</si>
  <si>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</si>
  <si>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</si>
  <si>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</si>
  <si>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</si>
  <si>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</si>
  <si>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</si>
  <si>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</si>
  <si>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</si>
  <si>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</si>
  <si>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</si>
  <si>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</si>
  <si>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</si>
  <si>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</si>
  <si>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</si>
  <si>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</si>
  <si>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</si>
  <si>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</si>
  <si>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</si>
  <si>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</si>
  <si>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</si>
  <si>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</si>
  <si>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</si>
  <si>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</si>
  <si>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</si>
  <si>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</si>
  <si>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</si>
  <si>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</si>
  <si>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</si>
  <si>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</si>
  <si>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</si>
  <si>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</si>
  <si>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</si>
  <si>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</si>
  <si>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</si>
  <si>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</si>
  <si>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</si>
  <si>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</si>
  <si>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</si>
  <si>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</si>
  <si>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</si>
  <si>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</si>
  <si>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</si>
  <si>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</si>
  <si>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</si>
  <si>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</si>
  <si>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</si>
  <si>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</si>
  <si>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</si>
  <si>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</si>
  <si>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</si>
  <si>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</si>
  <si>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</si>
  <si>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</si>
  <si>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</si>
  <si>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</si>
  <si>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</si>
  <si>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</si>
  <si>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</si>
  <si>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</si>
  <si>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</si>
  <si>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</si>
  <si>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</si>
  <si>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</si>
  <si>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</si>
  <si>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</si>
  <si>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</si>
  <si>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</si>
  <si>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</si>
  <si>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</si>
  <si>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</si>
  <si>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</si>
  <si>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</si>
  <si>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</si>
  <si>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</si>
  <si>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</si>
  <si>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</si>
  <si>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</si>
  <si>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</si>
  <si>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</si>
  <si>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</si>
  <si>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</si>
  <si>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</si>
  <si>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</si>
  <si>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</si>
  <si>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</si>
  <si>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</si>
  <si>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</si>
  <si>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</si>
  <si>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</si>
  <si>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</si>
  <si>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</si>
  <si>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</si>
  <si>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</si>
  <si>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</si>
  <si>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</si>
  <si>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</si>
  <si>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</si>
  <si>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</si>
  <si>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</si>
  <si>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</si>
  <si>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</si>
  <si>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</si>
  <si>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</si>
  <si>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</si>
  <si>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</si>
  <si>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</si>
  <si>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</si>
  <si>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</si>
  <si>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</si>
  <si>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</si>
  <si>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</si>
  <si>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</si>
  <si>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</si>
  <si>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</si>
  <si>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</si>
  <si>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</si>
  <si>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</si>
  <si>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</si>
  <si>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</si>
  <si>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</si>
  <si>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</si>
  <si>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</si>
  <si>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</si>
  <si>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</si>
  <si>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</si>
  <si>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</si>
  <si>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</si>
  <si>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</si>
  <si>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</si>
  <si>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</si>
  <si>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</si>
  <si>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</si>
  <si>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</si>
  <si>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</si>
  <si>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</si>
  <si>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</si>
  <si>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</si>
  <si>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</si>
  <si>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</si>
  <si>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</si>
  <si>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</si>
  <si>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</si>
  <si>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</si>
  <si>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</si>
  <si>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</si>
  <si>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</si>
  <si>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</si>
  <si>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</si>
  <si>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</si>
  <si>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</si>
  <si>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</si>
  <si>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</si>
  <si>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</si>
  <si>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</si>
  <si>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</si>
  <si>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</si>
  <si>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</si>
  <si>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</si>
  <si>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</si>
  <si>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</si>
  <si>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</si>
  <si>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</si>
  <si>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</si>
  <si>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</si>
  <si>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</si>
  <si>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</si>
  <si>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</si>
  <si>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</si>
  <si>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</si>
  <si>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</si>
  <si>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</si>
  <si>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</si>
  <si>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</si>
  <si>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</si>
  <si>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</si>
  <si>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</si>
  <si>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</si>
  <si>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</si>
  <si>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</si>
  <si>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</si>
  <si>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</si>
  <si>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</si>
  <si>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</si>
  <si>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</si>
  <si>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</si>
  <si>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</si>
  <si>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</si>
  <si>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</si>
  <si>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</si>
  <si>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</si>
  <si>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</si>
  <si>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</si>
  <si>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</si>
  <si>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</si>
  <si>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</si>
  <si>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</si>
  <si>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</si>
  <si>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</si>
  <si>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</si>
  <si>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</si>
  <si>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</si>
  <si>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</si>
  <si>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</si>
  <si>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</si>
  <si>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</si>
  <si>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</si>
  <si>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</si>
  <si>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</si>
  <si>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</si>
  <si>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</si>
  <si>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</si>
  <si>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</si>
  <si>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</si>
  <si>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</si>
  <si>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</si>
  <si>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</si>
  <si>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</si>
  <si>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</si>
  <si>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</si>
  <si>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</si>
  <si>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</si>
  <si>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</si>
  <si>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</si>
  <si>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</si>
  <si>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</si>
  <si>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</si>
  <si>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</si>
  <si>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</si>
  <si>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</si>
  <si>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</si>
  <si>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</si>
  <si>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</si>
  <si>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</si>
  <si>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</si>
  <si>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</si>
  <si>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</si>
  <si>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</si>
  <si>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</si>
  <si>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</si>
  <si>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</si>
  <si>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</si>
  <si>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</si>
  <si>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</si>
  <si>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</si>
  <si>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</si>
  <si>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</si>
  <si>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</si>
  <si>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</si>
  <si>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</si>
  <si>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</si>
  <si>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</si>
  <si>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</si>
  <si>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</si>
  <si>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</si>
  <si>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</si>
  <si>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</si>
  <si>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</si>
  <si>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</si>
  <si>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</si>
  <si>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</si>
  <si>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</si>
  <si>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</si>
  <si>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</si>
  <si>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</si>
  <si>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</si>
  <si>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</si>
  <si>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</si>
  <si>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</si>
  <si>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</si>
  <si>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</si>
  <si>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</si>
  <si>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</si>
  <si>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</si>
  <si>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</si>
  <si>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</si>
  <si>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</si>
  <si>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</si>
  <si>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</si>
  <si>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</si>
  <si>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</si>
  <si>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</si>
  <si>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</si>
  <si>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</si>
  <si>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</si>
  <si>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</si>
  <si>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</si>
  <si>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</si>
  <si>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</si>
  <si>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</si>
  <si>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</si>
  <si>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</si>
  <si>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</si>
  <si>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</si>
  <si>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</si>
  <si>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</si>
  <si>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</si>
  <si>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</si>
  <si>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</si>
  <si>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</si>
  <si>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</si>
  <si>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</si>
  <si>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</si>
  <si>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</si>
  <si>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</si>
  <si>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</si>
  <si>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</si>
  <si>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</si>
  <si>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</si>
  <si>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</si>
  <si>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</si>
  <si>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</si>
  <si>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</si>
  <si>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</si>
  <si>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</si>
  <si>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</si>
  <si>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</si>
  <si>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</si>
  <si>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</si>
  <si>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</si>
  <si>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</si>
  <si>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</si>
  <si>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</si>
  <si>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</si>
  <si>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</si>
  <si>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</si>
  <si>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</si>
  <si>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</si>
  <si>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</si>
  <si>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</si>
  <si>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</si>
  <si>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</si>
  <si>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</si>
  <si>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</si>
  <si>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</si>
  <si>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</si>
  <si>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</si>
  <si>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</si>
  <si>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</si>
  <si>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</si>
  <si>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</si>
  <si>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</si>
  <si>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</si>
  <si>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</si>
  <si>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</si>
  <si>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</si>
  <si>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</si>
  <si>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</si>
  <si>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</si>
  <si>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</si>
  <si>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</si>
  <si>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</si>
  <si>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</si>
  <si>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</si>
  <si>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</si>
  <si>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</si>
  <si>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</si>
  <si>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</si>
  <si>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</si>
  <si>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</si>
  <si>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</si>
  <si>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</si>
  <si>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</si>
  <si>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</si>
  <si>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</si>
  <si>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</si>
  <si>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</si>
  <si>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</si>
  <si>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</si>
  <si>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</si>
  <si>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</si>
  <si>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</si>
  <si>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</si>
  <si>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</si>
  <si>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</si>
  <si>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</si>
  <si>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</si>
  <si>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</si>
  <si>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</si>
  <si>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</si>
  <si>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</si>
  <si>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</si>
  <si>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</si>
  <si>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</si>
  <si>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</si>
  <si>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</si>
  <si>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</si>
  <si>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</si>
  <si>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</si>
  <si>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</si>
  <si>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</si>
  <si>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</si>
  <si>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</si>
  <si>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</si>
  <si>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</si>
  <si>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</si>
  <si>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</si>
  <si>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</si>
  <si>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</si>
  <si>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</si>
  <si>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</si>
  <si>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</si>
  <si>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</si>
  <si>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</si>
  <si>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</si>
  <si>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</si>
  <si>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</si>
  <si>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</si>
  <si>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</si>
  <si>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</si>
  <si>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</si>
  <si>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</si>
  <si>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</si>
  <si>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</si>
  <si>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</si>
  <si>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</si>
  <si>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</si>
  <si>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</si>
  <si>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</si>
  <si>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</si>
  <si>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</si>
  <si>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</si>
  <si>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</si>
  <si>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</si>
  <si>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</si>
  <si>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</si>
  <si>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</si>
  <si>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</si>
  <si>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</si>
  <si>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</si>
  <si>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</si>
  <si>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</si>
  <si>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</si>
  <si>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</si>
  <si>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</si>
  <si>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</si>
  <si>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</si>
  <si>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</si>
  <si>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</si>
  <si>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</si>
  <si>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</si>
  <si>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</si>
  <si>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</si>
  <si>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</si>
  <si>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</si>
  <si>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</si>
  <si>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</si>
  <si>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</si>
  <si>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</si>
  <si>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</si>
  <si>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</si>
  <si>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</si>
  <si>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</si>
  <si>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</si>
  <si>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</si>
  <si>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</si>
  <si>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</si>
  <si>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</si>
  <si>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</si>
  <si>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</si>
  <si>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</si>
  <si>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</si>
  <si>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</si>
  <si>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</si>
  <si>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</si>
  <si>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</si>
  <si>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</si>
  <si>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</si>
  <si>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</si>
  <si>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</si>
  <si>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</si>
  <si>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</si>
  <si>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</si>
  <si>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</si>
  <si>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</si>
  <si>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</si>
  <si>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</si>
  <si>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</si>
  <si>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</si>
  <si>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</si>
  <si>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</si>
  <si>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</si>
  <si>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</si>
  <si>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</si>
  <si>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</si>
  <si>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</si>
  <si>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</si>
  <si>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</si>
  <si>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</si>
  <si>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</si>
  <si>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</si>
  <si>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</si>
  <si>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</si>
  <si>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</si>
  <si>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</si>
  <si>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</si>
  <si>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</si>
  <si>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</si>
  <si>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</si>
  <si>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</si>
  <si>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</si>
  <si>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</si>
  <si>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</si>
  <si>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</si>
  <si>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</si>
  <si>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</si>
  <si>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</si>
  <si>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</si>
  <si>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</si>
  <si>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</si>
  <si>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</si>
  <si>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</si>
  <si>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</si>
  <si>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</si>
  <si>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</si>
  <si>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</si>
  <si>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</si>
  <si>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</si>
  <si>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</si>
  <si>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</si>
  <si>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</si>
  <si>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</si>
  <si>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</si>
  <si>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</si>
  <si>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</si>
  <si>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</si>
  <si>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</si>
  <si>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</si>
  <si>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</si>
  <si>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</si>
  <si>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</si>
  <si>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</si>
  <si>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</si>
  <si>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</si>
  <si>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</si>
  <si>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</si>
  <si>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</si>
  <si>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</si>
  <si>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</si>
  <si>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</si>
  <si>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</si>
  <si>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</si>
  <si>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</si>
  <si>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</si>
  <si>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</si>
  <si>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</si>
  <si>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</si>
  <si>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</si>
  <si>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</si>
  <si>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</si>
  <si>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</si>
  <si>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</si>
  <si>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</si>
  <si>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</si>
  <si>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</si>
  <si>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</si>
  <si>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</si>
  <si>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</si>
  <si>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</si>
  <si>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</si>
  <si>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</si>
  <si>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</si>
  <si>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</si>
  <si>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</si>
  <si>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</si>
  <si>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</si>
  <si>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</si>
  <si>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</si>
  <si>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</si>
  <si>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</si>
  <si>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</si>
  <si>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</si>
  <si>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</si>
  <si>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</si>
  <si>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</si>
  <si>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</si>
  <si>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</si>
  <si>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</si>
  <si>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</si>
  <si>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</si>
  <si>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</si>
  <si>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</si>
  <si>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</si>
  <si>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</si>
  <si>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</si>
  <si>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</si>
  <si>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</si>
  <si>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</si>
  <si>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</si>
  <si>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</si>
  <si>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</si>
  <si>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</si>
  <si>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</si>
  <si>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</si>
  <si>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</si>
  <si>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</si>
  <si>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</si>
  <si>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</si>
  <si>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</si>
  <si>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</si>
  <si>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</si>
  <si>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</si>
  <si>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</si>
  <si>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</si>
  <si>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</si>
  <si>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</si>
  <si>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</si>
  <si>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</si>
  <si>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</si>
  <si>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</si>
  <si>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</si>
  <si>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</si>
  <si>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</si>
  <si>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</si>
  <si>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</si>
  <si>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</si>
  <si>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</si>
  <si>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</si>
  <si>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</si>
  <si>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</si>
  <si>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</si>
  <si>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</si>
  <si>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</si>
  <si>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</si>
  <si>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</si>
  <si>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</si>
  <si>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</si>
  <si>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</si>
  <si>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</si>
  <si>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</si>
  <si>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</si>
  <si>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</si>
  <si>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</si>
  <si>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</si>
  <si>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</si>
  <si>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</si>
  <si>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</si>
  <si>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</si>
  <si>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</si>
  <si>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</si>
  <si>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</si>
  <si>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</si>
  <si>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</si>
  <si>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</si>
  <si>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</si>
  <si>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</si>
  <si>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</si>
  <si>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</si>
  <si>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</si>
  <si>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</si>
  <si>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</si>
  <si>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</si>
  <si>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</si>
  <si>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</si>
  <si>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</si>
  <si>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</si>
  <si>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</si>
  <si>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</si>
  <si>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</si>
  <si>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</si>
  <si>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</si>
  <si>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</si>
  <si>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</si>
  <si>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</si>
  <si>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</si>
  <si>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</si>
  <si>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</si>
  <si>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</si>
  <si>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</si>
  <si>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</si>
  <si>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</si>
  <si>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</si>
  <si>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</si>
  <si>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</si>
  <si>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</si>
  <si>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</si>
  <si>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</si>
  <si>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</si>
  <si>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</si>
  <si>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</si>
  <si>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</si>
  <si>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</si>
  <si>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</si>
  <si>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</si>
  <si>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</si>
  <si>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</si>
  <si>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</si>
  <si>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</si>
  <si>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</si>
  <si>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</si>
  <si>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</si>
  <si>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</si>
  <si>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</si>
  <si>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</si>
  <si>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</si>
  <si>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</si>
  <si>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</si>
  <si>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</si>
  <si>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</si>
  <si>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</si>
  <si>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</si>
  <si>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</si>
  <si>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</si>
  <si>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</si>
  <si>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</si>
  <si>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</si>
  <si>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</si>
  <si>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</si>
  <si>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</si>
  <si>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</si>
  <si>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</si>
  <si>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</si>
  <si>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</si>
  <si>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</si>
  <si>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</si>
  <si>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</si>
  <si>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</si>
  <si>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</si>
  <si>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</si>
  <si>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</si>
  <si>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</si>
  <si>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</si>
  <si>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</si>
  <si>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</si>
  <si>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</si>
  <si>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</si>
  <si>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</si>
  <si>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</si>
  <si>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</si>
  <si>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</si>
  <si>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</si>
  <si>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</si>
  <si>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</si>
  <si>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</si>
  <si>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</si>
  <si>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</si>
  <si>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</si>
  <si>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</si>
  <si>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</si>
  <si>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</si>
  <si>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</si>
  <si>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</si>
  <si>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</si>
  <si>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</si>
  <si>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</si>
  <si>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</si>
  <si>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</si>
  <si>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</si>
  <si>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</si>
  <si>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</si>
  <si>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</si>
  <si>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</si>
  <si>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</si>
  <si>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</si>
  <si>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</si>
  <si>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</si>
  <si>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</si>
  <si>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</si>
  <si>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</si>
  <si>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</si>
  <si>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</si>
  <si>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</si>
  <si>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</si>
  <si>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</si>
  <si>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</si>
  <si>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</si>
  <si>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</si>
  <si>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</si>
  <si>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</si>
  <si>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</si>
  <si>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</si>
  <si>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</si>
  <si>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</si>
  <si>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</si>
  <si>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</si>
  <si>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</si>
  <si>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</si>
  <si>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</si>
  <si>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</si>
  <si>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</si>
  <si>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</si>
  <si>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</si>
  <si>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</si>
  <si>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</si>
  <si>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</si>
  <si>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</si>
  <si>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</si>
  <si>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</si>
  <si>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</si>
  <si>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</si>
  <si>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</si>
  <si>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</si>
  <si>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</si>
  <si>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</si>
  <si>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</si>
  <si>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</si>
  <si>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</si>
  <si>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</si>
  <si>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</si>
  <si>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</si>
  <si>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</si>
  <si>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</si>
  <si>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</si>
  <si>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</si>
  <si>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</si>
  <si>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</si>
  <si>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</si>
  <si>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</si>
  <si>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</si>
  <si>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</si>
  <si>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</si>
  <si>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</si>
  <si>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</si>
  <si>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</si>
  <si>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</si>
  <si>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</si>
  <si>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</si>
  <si>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</si>
  <si>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</si>
  <si>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</si>
  <si>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</si>
  <si>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</si>
  <si>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</si>
  <si>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</si>
  <si>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</si>
  <si>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</si>
  <si>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</si>
  <si>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</si>
  <si>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</si>
  <si>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</si>
  <si>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</si>
  <si>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</si>
  <si>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</si>
  <si>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</si>
  <si>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</si>
  <si>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</si>
  <si>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</si>
  <si>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</si>
  <si>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</si>
  <si>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</si>
  <si>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</si>
  <si>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</si>
  <si>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</si>
  <si>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</si>
  <si>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</si>
  <si>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</si>
  <si>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</si>
  <si>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</si>
  <si>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</si>
  <si>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</si>
  <si>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</si>
  <si>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</si>
  <si>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</si>
  <si>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</si>
  <si>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</si>
  <si>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</si>
  <si>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</si>
  <si>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</si>
  <si>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</si>
  <si>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</si>
  <si>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</si>
  <si>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</si>
  <si>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</si>
  <si>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</si>
  <si>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</si>
  <si>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</si>
  <si>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</si>
  <si>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</si>
  <si>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</si>
  <si>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</si>
  <si>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</si>
  <si>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</si>
  <si>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</si>
  <si>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</si>
  <si>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</si>
  <si>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</si>
  <si>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</si>
  <si>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</si>
  <si>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</si>
  <si>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</si>
  <si>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</si>
  <si>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</si>
  <si>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</si>
  <si>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</si>
  <si>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</si>
  <si>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</si>
  <si>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</si>
  <si>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</si>
  <si>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</si>
  <si>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</si>
  <si>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</si>
  <si>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</si>
  <si>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</si>
  <si>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</si>
  <si>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</si>
  <si>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</si>
  <si>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</si>
  <si>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</si>
  <si>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</si>
  <si>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</si>
  <si>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</si>
  <si>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</si>
  <si>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</si>
  <si>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</si>
  <si>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</si>
  <si>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</si>
  <si>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</si>
  <si>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</si>
  <si>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</si>
  <si>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</si>
  <si>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</si>
  <si>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</si>
  <si>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</si>
  <si>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</si>
  <si>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</si>
  <si>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</si>
  <si>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</si>
  <si>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</si>
  <si>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</si>
  <si>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</si>
  <si>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</si>
  <si>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</si>
  <si>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</si>
  <si>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</si>
  <si>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</si>
  <si>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</si>
  <si>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</si>
  <si>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</si>
  <si>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</si>
  <si>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</si>
  <si>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</si>
  <si>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</si>
  <si>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</si>
  <si>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</si>
  <si>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</si>
  <si>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</si>
  <si>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</si>
  <si>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</si>
  <si>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</si>
  <si>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</si>
  <si>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</si>
  <si>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</si>
  <si>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</si>
  <si>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</si>
  <si>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</si>
  <si>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</si>
  <si>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</si>
  <si>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</si>
  <si>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</si>
  <si>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</si>
  <si>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</si>
  <si>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</si>
  <si>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</si>
  <si>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</si>
  <si>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</si>
  <si>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</si>
  <si>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</si>
  <si>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</si>
  <si>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</si>
  <si>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</si>
  <si>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</si>
  <si>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</si>
  <si>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</si>
  <si>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</si>
  <si>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</si>
  <si>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</si>
  <si>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</si>
  <si>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</si>
  <si>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</si>
  <si>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</si>
  <si>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</si>
  <si>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</si>
  <si>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</si>
  <si>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</si>
  <si>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</si>
  <si>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</si>
  <si>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</si>
  <si>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</si>
  <si>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</si>
  <si>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</si>
  <si>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</si>
  <si>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</si>
  <si>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</si>
  <si>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</si>
  <si>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</si>
  <si>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</si>
  <si>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</si>
  <si>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</si>
  <si>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</si>
  <si>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</si>
  <si>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</si>
  <si>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</si>
  <si>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</si>
  <si>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</si>
  <si>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</si>
  <si>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</si>
  <si>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</si>
  <si>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</si>
  <si>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</si>
  <si>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</si>
  <si>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</si>
  <si>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</si>
  <si>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</si>
  <si>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</si>
  <si>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</si>
  <si>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</si>
  <si>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</si>
  <si>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</si>
  <si>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</si>
  <si>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</si>
  <si>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</si>
  <si>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</si>
  <si>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</si>
  <si>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</si>
  <si>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</si>
  <si>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</si>
  <si>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</si>
  <si>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</si>
  <si>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</si>
  <si>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</si>
  <si>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</si>
  <si>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</si>
  <si>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</si>
  <si>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</si>
  <si>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</si>
  <si>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</si>
  <si>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</si>
  <si>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</si>
  <si>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</si>
  <si>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</si>
  <si>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</si>
  <si>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</si>
  <si>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</si>
  <si>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</si>
  <si>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</si>
  <si>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</si>
  <si>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</si>
  <si>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</si>
  <si>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</si>
  <si>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</si>
  <si>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</si>
  <si>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</si>
  <si>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</si>
  <si>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</si>
  <si>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</si>
  <si>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</si>
  <si>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</si>
  <si>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</si>
  <si>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</si>
  <si>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</si>
  <si>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</si>
  <si>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</si>
  <si>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</si>
  <si>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</si>
  <si>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</si>
  <si>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</si>
  <si>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</si>
  <si>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</si>
  <si>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</si>
  <si>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</si>
  <si>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</si>
  <si>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</si>
  <si>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</si>
  <si>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</si>
  <si>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</si>
  <si>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</si>
  <si>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</si>
  <si>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</si>
  <si>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</si>
  <si>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</si>
  <si>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</si>
  <si>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</si>
  <si>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</si>
  <si>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</si>
  <si>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</si>
  <si>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</si>
  <si>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</si>
  <si>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</si>
  <si>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</si>
  <si>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</si>
  <si>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</si>
  <si>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</si>
  <si>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</si>
  <si>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</si>
  <si>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</si>
  <si>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</si>
  <si>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</si>
  <si>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</si>
  <si>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</si>
  <si>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</si>
  <si>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</si>
  <si>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</si>
  <si>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</si>
  <si>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</si>
  <si>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</si>
  <si>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</si>
  <si>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</si>
  <si>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</si>
  <si>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</si>
  <si>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</si>
  <si>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</si>
  <si>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</si>
  <si>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</si>
  <si>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</si>
  <si>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</si>
  <si>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</si>
  <si>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</si>
  <si>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</si>
  <si>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</si>
  <si>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</si>
  <si>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</si>
  <si>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</si>
  <si>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</si>
  <si>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</si>
  <si>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</si>
  <si>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</si>
  <si>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</si>
  <si>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</si>
  <si>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</si>
  <si>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</si>
  <si>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</si>
  <si>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</si>
  <si>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</si>
  <si>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</si>
  <si>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</si>
  <si>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</si>
  <si>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</si>
  <si>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</si>
  <si>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</si>
  <si>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</si>
  <si>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</si>
  <si>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</si>
  <si>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</si>
  <si>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</si>
  <si>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</si>
  <si>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</si>
  <si>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</si>
  <si>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</si>
  <si>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</si>
  <si>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</si>
  <si>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</si>
  <si>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</si>
  <si>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</si>
  <si>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</si>
  <si>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</si>
  <si>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</si>
  <si>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</si>
  <si>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</si>
  <si>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</si>
  <si>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</si>
  <si>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</si>
  <si>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</si>
  <si>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</si>
  <si>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</si>
  <si>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</si>
  <si>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</si>
  <si>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</si>
  <si>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</si>
  <si>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</si>
  <si>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</si>
  <si>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</si>
  <si>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</si>
  <si>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</si>
  <si>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</si>
  <si>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</si>
  <si>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</si>
  <si>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</si>
  <si>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</si>
  <si>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</si>
  <si>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</si>
  <si>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</si>
  <si>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</si>
  <si>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</si>
  <si>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</si>
  <si>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</si>
  <si>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</si>
  <si>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</si>
  <si>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</si>
  <si>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</si>
  <si>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</si>
  <si>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</si>
  <si>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</si>
  <si>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</si>
  <si>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</si>
  <si>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</si>
  <si>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</si>
  <si>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</si>
  <si>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</si>
  <si>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</si>
  <si>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</si>
  <si>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</si>
  <si>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</si>
  <si>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</si>
  <si>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</si>
  <si>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</si>
  <si>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</si>
  <si>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</si>
  <si>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</si>
  <si>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</si>
  <si>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</si>
  <si>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</si>
  <si>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</si>
  <si>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</si>
  <si>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</si>
  <si>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</si>
  <si>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</si>
  <si>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</si>
  <si>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</si>
  <si>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</si>
  <si>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</si>
  <si>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</si>
  <si>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</si>
  <si>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</si>
  <si>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</si>
  <si>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</si>
  <si>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</si>
  <si>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</si>
  <si>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</si>
  <si>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</si>
  <si>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</si>
  <si>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</si>
  <si>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</si>
  <si>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</si>
  <si>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</si>
  <si>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</si>
  <si>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</si>
  <si>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</si>
  <si>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</si>
  <si>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</si>
  <si>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</si>
  <si>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</si>
  <si>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</si>
  <si>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</si>
  <si>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</si>
  <si>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</si>
  <si>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</si>
  <si>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</si>
  <si>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</si>
  <si>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</si>
  <si>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</si>
  <si>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</si>
  <si>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</si>
  <si>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</si>
  <si>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</si>
  <si>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</si>
  <si>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</si>
  <si>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</si>
  <si>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</si>
  <si>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</si>
  <si>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</si>
  <si>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</si>
  <si>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</si>
  <si>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</si>
  <si>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</si>
  <si>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</si>
  <si>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</si>
  <si>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</si>
  <si>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</si>
  <si>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</si>
  <si>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</si>
  <si>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</si>
  <si>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</si>
  <si>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</si>
  <si>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</si>
  <si>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</si>
  <si>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</si>
  <si>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</si>
  <si>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</si>
  <si>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</si>
  <si>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</si>
  <si>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</si>
  <si>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</si>
  <si>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</si>
  <si>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</si>
  <si>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</si>
  <si>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</si>
  <si>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</si>
  <si>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</si>
  <si>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</si>
  <si>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</si>
  <si>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</si>
  <si>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</si>
  <si>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</si>
  <si>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</si>
  <si>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</si>
  <si>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</si>
  <si>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</si>
  <si>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</si>
  <si>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</si>
  <si>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</si>
  <si>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</si>
  <si>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</si>
  <si>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</si>
  <si>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</si>
  <si>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</si>
  <si>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</si>
  <si>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</si>
  <si>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</si>
  <si>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</si>
  <si>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</si>
  <si>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</si>
  <si>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</si>
  <si>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</si>
  <si>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</si>
  <si>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</si>
  <si>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</si>
  <si>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</si>
  <si>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</si>
  <si>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</si>
  <si>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</si>
  <si>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</si>
  <si>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</si>
  <si>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</si>
  <si>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</si>
  <si>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</si>
  <si>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</si>
  <si>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</si>
  <si>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</si>
  <si>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</si>
  <si>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</si>
  <si>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</si>
  <si>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</si>
  <si>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</si>
  <si>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</si>
  <si>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</si>
  <si>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</si>
  <si>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</si>
  <si>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</si>
  <si>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</si>
  <si>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</si>
  <si>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</si>
  <si>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</si>
  <si>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</si>
  <si>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</si>
  <si>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</si>
  <si>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</si>
  <si>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</si>
  <si>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</si>
  <si>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</si>
  <si>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</si>
  <si>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</si>
  <si>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</si>
  <si>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</si>
  <si>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</si>
  <si>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</si>
  <si>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</si>
  <si>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</si>
  <si>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</si>
  <si>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</si>
  <si>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</si>
  <si>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</si>
  <si>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</si>
  <si>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</si>
  <si>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</si>
  <si>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</si>
  <si>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</si>
  <si>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</si>
  <si>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</si>
  <si>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</si>
  <si>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</si>
  <si>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</si>
  <si>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</si>
  <si>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</si>
  <si>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</si>
  <si>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</si>
  <si>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</si>
  <si>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</si>
  <si>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</si>
  <si>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</si>
  <si>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</si>
  <si>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</si>
  <si>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</si>
  <si>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</si>
  <si>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</si>
  <si>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</si>
  <si>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</si>
  <si>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</si>
  <si>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</si>
  <si>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</si>
  <si>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</si>
  <si>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</si>
  <si>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</si>
  <si>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</si>
  <si>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</si>
  <si>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</si>
  <si>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</si>
  <si>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</si>
  <si>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</si>
  <si>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</si>
  <si>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</si>
  <si>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</si>
  <si>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</si>
  <si>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</si>
  <si>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</si>
  <si>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</si>
  <si>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</si>
  <si>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</si>
  <si>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</si>
  <si>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</si>
  <si>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</si>
  <si>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</si>
  <si>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</si>
  <si>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</si>
  <si>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</si>
  <si>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</si>
  <si>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</si>
  <si>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</si>
  <si>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</si>
  <si>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</si>
  <si>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</si>
  <si>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</si>
  <si>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</si>
  <si>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</si>
  <si>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</si>
  <si>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</si>
  <si>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</si>
  <si>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</si>
  <si>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</si>
  <si>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</si>
  <si>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</si>
  <si>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</si>
  <si>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</si>
  <si>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</si>
  <si>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</si>
  <si>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</si>
  <si>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</si>
  <si>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</si>
  <si>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</si>
  <si>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</si>
  <si>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</si>
  <si>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</si>
  <si>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</si>
  <si>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</si>
  <si>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</si>
  <si>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</si>
  <si>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</si>
  <si>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</si>
  <si>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</si>
  <si>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</si>
  <si>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</si>
  <si>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</si>
  <si>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</si>
  <si>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</si>
  <si>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</si>
  <si>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</si>
  <si>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</si>
  <si>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</si>
  <si>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</si>
  <si>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</si>
  <si>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</si>
  <si>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</si>
  <si>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</si>
  <si>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</si>
  <si>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</si>
  <si>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</si>
  <si>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</si>
  <si>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</si>
  <si>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</si>
  <si>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</si>
  <si>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</si>
  <si>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</si>
  <si>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</si>
  <si>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</si>
  <si>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</si>
  <si>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</si>
  <si>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</si>
  <si>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</si>
  <si>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</si>
  <si>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</si>
  <si>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</si>
  <si>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</si>
  <si>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</si>
  <si>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</si>
  <si>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</si>
  <si>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</si>
  <si>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</si>
  <si>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</si>
  <si>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</si>
  <si>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</si>
  <si>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</si>
  <si>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</si>
  <si>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</si>
  <si>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</si>
  <si>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</si>
  <si>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</si>
  <si>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</si>
  <si>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</si>
  <si>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</si>
  <si>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</si>
  <si>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</si>
  <si>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</si>
  <si>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</si>
  <si>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</si>
  <si>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</si>
  <si>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</si>
  <si>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</si>
  <si>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</si>
  <si>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</si>
  <si>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</si>
  <si>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</si>
  <si>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</si>
  <si>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</si>
  <si>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</si>
  <si>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</si>
  <si>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</si>
  <si>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</si>
  <si>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</si>
  <si>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</si>
  <si>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</si>
  <si>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</si>
  <si>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</si>
  <si>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</si>
  <si>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</si>
  <si>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</si>
  <si>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</si>
  <si>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</si>
  <si>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</si>
  <si>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</si>
  <si>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</si>
  <si>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</si>
  <si>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</si>
  <si>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</si>
  <si>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</si>
  <si>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</si>
  <si>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</si>
  <si>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</si>
  <si>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</si>
  <si>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</si>
  <si>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</si>
  <si>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</si>
  <si>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</si>
  <si>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</si>
  <si>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</si>
  <si>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</si>
  <si>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</si>
  <si>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</si>
  <si>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</si>
  <si>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</si>
  <si>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</si>
  <si>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</si>
  <si>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</si>
  <si>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</si>
  <si>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</si>
  <si>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</si>
  <si>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</si>
  <si>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</si>
  <si>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</si>
  <si>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</si>
  <si>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</si>
  <si>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</si>
  <si>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</si>
  <si>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</si>
  <si>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</si>
  <si>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</si>
  <si>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</si>
  <si>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</si>
  <si>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</si>
  <si>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</si>
  <si>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</si>
  <si>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</si>
  <si>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</si>
  <si>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</si>
  <si>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</si>
  <si>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</si>
  <si>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</si>
  <si>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</si>
  <si>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</si>
  <si>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</si>
  <si>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</si>
  <si>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</si>
  <si>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</si>
  <si>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</si>
  <si>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</si>
  <si>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</si>
  <si>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</si>
  <si>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</si>
  <si>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</si>
  <si>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</si>
  <si>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</si>
  <si>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</si>
  <si>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</si>
  <si>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</si>
  <si>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</si>
  <si>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</si>
  <si>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</si>
  <si>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</si>
  <si>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</si>
  <si>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</si>
  <si>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</si>
  <si>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</si>
  <si>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</si>
  <si>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</si>
  <si>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</si>
  <si>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</si>
  <si>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</si>
  <si>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</si>
  <si>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</si>
  <si>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</si>
  <si>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</si>
  <si>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</si>
  <si>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</si>
  <si>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</si>
  <si>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</si>
  <si>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</si>
  <si>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</si>
  <si>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</si>
  <si>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</si>
  <si>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</si>
  <si>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</si>
  <si>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</si>
  <si>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</si>
  <si>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</si>
  <si>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</si>
  <si>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</si>
  <si>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</si>
  <si>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</si>
  <si>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</si>
  <si>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</si>
  <si>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</si>
  <si>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</si>
  <si>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</si>
  <si>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</si>
  <si>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</si>
  <si>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</si>
  <si>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</si>
  <si>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</si>
  <si>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</si>
  <si>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</si>
  <si>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</si>
  <si>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</si>
  <si>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</si>
  <si>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</si>
  <si>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</si>
  <si>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</si>
  <si>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</si>
  <si>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</si>
  <si>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</si>
  <si>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</si>
  <si>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</si>
  <si>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</si>
  <si>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</si>
  <si>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</si>
  <si>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</si>
  <si>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</si>
  <si>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</si>
  <si>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</si>
  <si>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</si>
  <si>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</si>
  <si>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</si>
  <si>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</si>
  <si>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</si>
  <si>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</si>
  <si>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</si>
  <si>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</si>
  <si>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</si>
  <si>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</si>
  <si>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</si>
  <si>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</si>
  <si>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</si>
  <si>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</si>
  <si>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</si>
  <si>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</si>
  <si>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</si>
  <si>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</si>
  <si>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</si>
  <si>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</si>
  <si>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</si>
  <si>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</si>
  <si>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</si>
  <si>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</si>
  <si>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</si>
  <si>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</si>
  <si>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</si>
  <si>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</si>
  <si>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</si>
  <si>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</si>
  <si>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</si>
  <si>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</si>
  <si>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</si>
  <si>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</si>
  <si>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</si>
  <si>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</si>
  <si>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</si>
  <si>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</si>
  <si>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</si>
  <si>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</si>
  <si>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</si>
  <si>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</si>
  <si>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</si>
  <si>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</si>
  <si>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</si>
  <si>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</si>
  <si>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</si>
  <si>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</si>
  <si>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</si>
  <si>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</si>
  <si>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</si>
  <si>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</si>
  <si>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</si>
  <si>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</si>
  <si>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</si>
  <si>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</si>
  <si>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</si>
  <si>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</si>
  <si>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</si>
  <si>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</si>
  <si>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</si>
  <si>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</si>
  <si>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</si>
  <si>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</si>
  <si>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</si>
  <si>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</si>
  <si>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</si>
  <si>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</si>
  <si>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</si>
  <si>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</si>
  <si>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</si>
  <si>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</si>
  <si>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</si>
  <si>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</si>
  <si>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</si>
  <si>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</si>
  <si>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</si>
  <si>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</si>
  <si>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</si>
  <si>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</si>
  <si>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</si>
  <si>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</si>
  <si>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</si>
  <si>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</si>
  <si>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</si>
  <si>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</si>
  <si>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</si>
  <si>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</si>
  <si>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</si>
  <si>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</si>
  <si>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</si>
  <si>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</si>
  <si>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</si>
  <si>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</si>
  <si>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</si>
  <si>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</si>
  <si>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</si>
  <si>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</si>
  <si>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</si>
  <si>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</si>
  <si>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</si>
  <si>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</si>
  <si>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</si>
  <si>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</si>
  <si>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</si>
  <si>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</si>
  <si>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</si>
  <si>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</si>
  <si>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</si>
  <si>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</si>
  <si>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</si>
  <si>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</si>
  <si>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</si>
  <si>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</si>
  <si>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</si>
  <si>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</si>
  <si>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</si>
  <si>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</si>
  <si>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</si>
  <si>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</si>
  <si>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</si>
  <si>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</si>
  <si>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</si>
  <si>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</si>
  <si>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</si>
  <si>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</si>
  <si>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</si>
  <si>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</si>
  <si>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</si>
  <si>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</si>
  <si>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</si>
  <si>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</si>
  <si>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</si>
  <si>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</si>
  <si>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</si>
  <si>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</si>
  <si>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</si>
  <si>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</si>
  <si>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</si>
  <si>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</si>
  <si>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</si>
  <si>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</si>
  <si>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</si>
  <si>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</si>
  <si>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</si>
  <si>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</si>
  <si>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</si>
  <si>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</si>
  <si>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</si>
  <si>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</si>
  <si>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5" type="noConversion"/>
  </si>
  <si>
    <t>2022-2</t>
    <phoneticPr fontId="5" type="noConversion"/>
  </si>
  <si>
    <t>2022-3</t>
    <phoneticPr fontId="5" type="noConversion"/>
  </si>
  <si>
    <t>2022-4</t>
    <phoneticPr fontId="5" type="noConversion"/>
  </si>
  <si>
    <t>2023-1</t>
    <phoneticPr fontId="5" type="noConversion"/>
  </si>
  <si>
    <t>宁小鳗</t>
    <phoneticPr fontId="82" type="noConversion"/>
  </si>
  <si>
    <t>2022A-022</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</si>
  <si>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</si>
  <si>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</si>
  <si>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</si>
  <si>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</si>
  <si>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</si>
  <si>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</si>
  <si>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参照基准</t>
    <phoneticPr fontId="5" type="noConversion"/>
  </si>
  <si>
    <t>一级类</t>
    <phoneticPr fontId="5" type="noConversion"/>
  </si>
  <si>
    <t>商服</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</si>
  <si>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</si>
  <si>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</si>
  <si>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</si>
  <si>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</si>
  <si>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</si>
  <si>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</si>
  <si>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</si>
  <si>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</si>
  <si>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</si>
  <si>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</si>
  <si>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</si>
  <si>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</si>
  <si>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5"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</si>
  <si>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</si>
  <si>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</si>
  <si>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</si>
  <si>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</si>
  <si>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</si>
  <si>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</si>
  <si>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</si>
  <si>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</si>
  <si>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</si>
  <si>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</si>
  <si>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5" type="noConversion"/>
  </si>
  <si>
    <t>宗教用地</t>
  </si>
  <si>
    <t>殡葬用地</t>
  </si>
  <si>
    <t>风景名胜设施用地</t>
  </si>
  <si>
    <t>住宅</t>
    <phoneticPr fontId="5" type="noConversion"/>
  </si>
  <si>
    <t>城镇住宅用地</t>
    <phoneticPr fontId="5" type="noConversion"/>
  </si>
  <si>
    <t>工业</t>
    <phoneticPr fontId="5" type="noConversion"/>
  </si>
  <si>
    <t>工矿仓储</t>
    <phoneticPr fontId="5"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</si>
  <si>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</si>
  <si>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</si>
  <si>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</si>
  <si>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</si>
  <si>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</si>
  <si>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</si>
  <si>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</si>
  <si>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5"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</si>
  <si>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</si>
  <si>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</si>
  <si>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</si>
  <si>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</si>
  <si>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</si>
  <si>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</si>
  <si>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</si>
  <si>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</si>
  <si>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</si>
  <si>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</si>
  <si>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</si>
  <si>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</si>
  <si>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</si>
  <si>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</si>
  <si>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</si>
  <si>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</si>
  <si>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</si>
  <si>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</si>
  <si>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</si>
  <si>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</si>
  <si>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</si>
  <si>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</si>
  <si>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</si>
  <si>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</si>
  <si>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</si>
  <si>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</si>
  <si>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</si>
  <si>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</si>
  <si>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</si>
  <si>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</si>
  <si>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</si>
  <si>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</si>
  <si>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</si>
  <si>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</si>
  <si>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</si>
  <si>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</si>
  <si>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</si>
  <si>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</si>
  <si>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</si>
  <si>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</si>
  <si>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</si>
  <si>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</si>
  <si>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</si>
  <si>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</si>
  <si>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</si>
  <si>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</si>
  <si>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</si>
  <si>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</si>
  <si>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</si>
  <si>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</si>
  <si>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</si>
  <si>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</si>
  <si>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</si>
  <si>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</si>
  <si>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</si>
  <si>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</si>
  <si>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</si>
  <si>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</si>
  <si>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</si>
  <si>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</si>
  <si>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</si>
  <si>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</si>
  <si>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</si>
  <si>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</si>
  <si>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</si>
  <si>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</si>
  <si>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</si>
  <si>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</si>
  <si>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</si>
  <si>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</si>
  <si>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</si>
  <si>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</si>
  <si>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</si>
  <si>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</si>
  <si>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</si>
  <si>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</si>
  <si>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</si>
  <si>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</si>
  <si>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</si>
  <si>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</si>
  <si>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</si>
  <si>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</si>
  <si>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</si>
  <si>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</si>
  <si>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</si>
  <si>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</si>
  <si>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</si>
  <si>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</si>
  <si>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</si>
  <si>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</si>
  <si>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</si>
  <si>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</si>
  <si>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</si>
  <si>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</si>
  <si>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</si>
  <si>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</si>
  <si>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</si>
  <si>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</si>
  <si>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</si>
  <si>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</si>
  <si>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</si>
  <si>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</si>
  <si>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</si>
  <si>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</si>
  <si>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</si>
  <si>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</si>
  <si>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</si>
  <si>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</si>
  <si>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</si>
  <si>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</si>
  <si>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</si>
  <si>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</si>
  <si>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</si>
  <si>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</si>
  <si>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</si>
  <si>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</si>
  <si>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</si>
  <si>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</si>
  <si>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</si>
  <si>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</si>
  <si>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</si>
  <si>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</si>
  <si>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</si>
  <si>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</si>
  <si>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</si>
  <si>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</si>
  <si>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</si>
  <si>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</si>
  <si>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</si>
  <si>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</si>
  <si>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</si>
  <si>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</si>
  <si>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</si>
  <si>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</si>
  <si>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</si>
  <si>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</si>
  <si>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</si>
  <si>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</si>
  <si>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</si>
  <si>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</si>
  <si>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</si>
  <si>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</si>
  <si>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</si>
  <si>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</si>
  <si>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</si>
  <si>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</si>
  <si>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</si>
  <si>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</si>
  <si>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</si>
  <si>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</si>
  <si>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</si>
  <si>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</si>
  <si>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</si>
  <si>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</si>
  <si>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</si>
  <si>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</si>
  <si>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</si>
  <si>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</si>
  <si>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</si>
  <si>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</si>
  <si>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</si>
  <si>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</si>
  <si>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</si>
  <si>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</si>
  <si>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</si>
  <si>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</si>
  <si>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</si>
  <si>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</si>
  <si>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</si>
  <si>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</si>
  <si>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</si>
  <si>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</si>
  <si>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</si>
  <si>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</si>
  <si>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</si>
  <si>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</si>
  <si>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用途修正系数</t>
    <phoneticPr fontId="5" type="noConversion"/>
  </si>
  <si>
    <t>城市规划及区域土地利用方向</t>
    <phoneticPr fontId="21" type="noConversion"/>
  </si>
  <si>
    <t>城市规划及区域土地利用方向</t>
    <phoneticPr fontId="25" type="noConversion"/>
  </si>
  <si>
    <t>估价对象1（结果表）</t>
  </si>
  <si>
    <t>北京市</t>
  </si>
  <si>
    <t>自然人</t>
  </si>
  <si>
    <t>与房产证证载一致</t>
  </si>
  <si>
    <t>核定资产</t>
  </si>
  <si>
    <t>房地产市场价值</t>
  </si>
  <si>
    <t>楼面单价</t>
  </si>
  <si>
    <t>无租约</t>
  </si>
  <si>
    <t>万元</t>
  </si>
  <si>
    <t>利息：取LPR加浮动点数</t>
  </si>
  <si>
    <t>房屋坐落</t>
  </si>
  <si>
    <t>物业名称</t>
  </si>
  <si>
    <t>产权性质</t>
  </si>
  <si>
    <t>建筑面积</t>
  </si>
  <si>
    <t>房屋用途</t>
  </si>
  <si>
    <t>总层数</t>
  </si>
  <si>
    <t>所在楼层</t>
  </si>
  <si>
    <t>产权年代</t>
  </si>
  <si>
    <t>成交单价</t>
  </si>
  <si>
    <t>评估单价</t>
  </si>
  <si>
    <t>评估总价</t>
  </si>
  <si>
    <t>估价时点</t>
  </si>
  <si>
    <t>长阳镇康泽路10号院2号楼8层2单元802</t>
  </si>
  <si>
    <t>康泽佳苑</t>
  </si>
  <si>
    <t>商品房</t>
  </si>
  <si>
    <t>28（-02）</t>
  </si>
  <si>
    <t>长阳镇康泽路10号院22号楼4层402</t>
  </si>
  <si>
    <t>18（-01）</t>
  </si>
  <si>
    <t>长阳镇康泽路10号院22号楼9层904</t>
  </si>
  <si>
    <t>长阳镇康泽路10号院22号楼24层2401</t>
  </si>
  <si>
    <t>康泽佳苑南区</t>
  </si>
  <si>
    <t>长阳镇康泽路10号院1号楼18层2单元1804</t>
  </si>
  <si>
    <t>长阳镇康泽路10号院3号楼16层1608</t>
  </si>
  <si>
    <t>长阳镇康泽路10号院9号楼28层2807</t>
  </si>
  <si>
    <t>序号</t>
    <phoneticPr fontId="147" type="noConversion"/>
  </si>
  <si>
    <t>长阳镇康泽路10号院12号楼2层3单元201</t>
  </si>
  <si>
    <t>长阳镇康泽路10号院17号楼4层4单元401</t>
  </si>
  <si>
    <t>长阳镇康泽路10号院14号楼7层705</t>
  </si>
  <si>
    <t>长阳镇康泽路10号院1号楼8层2单元802</t>
  </si>
  <si>
    <t>长阳镇康泽路10号院2号楼13层2单元1303</t>
  </si>
  <si>
    <t>康泽佳苑南区</t>
    <phoneticPr fontId="5" type="noConversion"/>
  </si>
  <si>
    <t>长阳镇康泽路10号院11号楼6层3单元601</t>
    <phoneticPr fontId="147" type="noConversion"/>
  </si>
  <si>
    <t>长阳镇康泽路10号院12号楼17层1单元1703</t>
    <phoneticPr fontId="5" type="noConversion"/>
  </si>
  <si>
    <t>住宅</t>
    <phoneticPr fontId="21" type="noConversion"/>
  </si>
  <si>
    <t>60-70（含）</t>
  </si>
  <si>
    <t>七通</t>
  </si>
  <si>
    <t>朝向</t>
    <phoneticPr fontId="147" type="noConversion"/>
  </si>
  <si>
    <t>南</t>
  </si>
  <si>
    <t>南</t>
    <phoneticPr fontId="147" type="noConversion"/>
  </si>
  <si>
    <t>装修</t>
    <phoneticPr fontId="147" type="noConversion"/>
  </si>
  <si>
    <t>普通装修</t>
  </si>
  <si>
    <t>普通装修</t>
    <phoneticPr fontId="147" type="noConversion"/>
  </si>
  <si>
    <t>基础设施</t>
    <phoneticPr fontId="147" type="noConversion"/>
  </si>
  <si>
    <t>七通</t>
    <phoneticPr fontId="147" type="noConversion"/>
  </si>
  <si>
    <t>楼层</t>
    <phoneticPr fontId="21" type="noConversion"/>
  </si>
  <si>
    <t>多层板楼</t>
  </si>
  <si>
    <t>高层板楼</t>
  </si>
  <si>
    <t>超高层板楼</t>
  </si>
  <si>
    <t>板塔结合</t>
  </si>
  <si>
    <t>塔楼</t>
  </si>
  <si>
    <t>钢结构</t>
  </si>
  <si>
    <t>钢混</t>
  </si>
  <si>
    <t>砖混</t>
  </si>
  <si>
    <t>混合</t>
  </si>
  <si>
    <t>框架</t>
  </si>
  <si>
    <t>精装修</t>
  </si>
  <si>
    <t>毛坯</t>
  </si>
  <si>
    <t>专业</t>
  </si>
  <si>
    <t>普通</t>
  </si>
  <si>
    <t>单位自管</t>
  </si>
  <si>
    <t>居委会</t>
  </si>
  <si>
    <t>六通</t>
  </si>
  <si>
    <t>五通</t>
  </si>
  <si>
    <t>四通</t>
  </si>
  <si>
    <t>三通</t>
  </si>
  <si>
    <t>复式</t>
  </si>
  <si>
    <t>平层</t>
  </si>
  <si>
    <t>简单装修</t>
  </si>
  <si>
    <t>简单装修</t>
    <phoneticPr fontId="21" type="noConversion"/>
  </si>
  <si>
    <t>南北东</t>
  </si>
  <si>
    <t>南北西</t>
  </si>
  <si>
    <t>南北</t>
  </si>
  <si>
    <t>东南</t>
  </si>
  <si>
    <t>西南</t>
  </si>
  <si>
    <t>东西北</t>
  </si>
  <si>
    <t>东北</t>
  </si>
  <si>
    <t>西</t>
  </si>
  <si>
    <t>东</t>
  </si>
  <si>
    <t>北</t>
  </si>
  <si>
    <t>高速路</t>
  </si>
  <si>
    <t>快速路</t>
  </si>
  <si>
    <t>城市主干道</t>
  </si>
  <si>
    <t>城市次干道</t>
  </si>
  <si>
    <t>支路</t>
  </si>
  <si>
    <t>建成年份</t>
    <phoneticPr fontId="21" type="noConversion"/>
  </si>
  <si>
    <t>城市次干道</t>
    <phoneticPr fontId="21" type="noConversion"/>
  </si>
  <si>
    <r>
      <t>17/18</t>
    </r>
    <r>
      <rPr>
        <sz val="11"/>
        <rFont val="宋体"/>
        <family val="3"/>
        <charset val="134"/>
      </rPr>
      <t>（高楼层）</t>
    </r>
    <phoneticPr fontId="21" type="noConversion"/>
  </si>
  <si>
    <r>
      <t>18/18</t>
    </r>
    <r>
      <rPr>
        <sz val="11"/>
        <rFont val="宋体"/>
        <family val="3"/>
        <charset val="134"/>
      </rPr>
      <t>（顶层）</t>
    </r>
    <phoneticPr fontId="21" type="noConversion"/>
  </si>
  <si>
    <t>比较法-住宅</t>
  </si>
  <si>
    <t>收益法</t>
  </si>
  <si>
    <t>否</t>
  </si>
  <si>
    <t>南北</t>
    <phoneticPr fontId="147" type="noConversion"/>
  </si>
  <si>
    <r>
      <t>6/18</t>
    </r>
    <r>
      <rPr>
        <sz val="11"/>
        <rFont val="宋体"/>
        <family val="3"/>
        <charset val="134"/>
      </rPr>
      <t>（低楼层）</t>
    </r>
    <phoneticPr fontId="21" type="noConversion"/>
  </si>
  <si>
    <r>
      <t>12/18</t>
    </r>
    <r>
      <rPr>
        <sz val="11"/>
        <rFont val="宋体"/>
        <family val="3"/>
        <charset val="134"/>
      </rPr>
      <t>（中楼层）</t>
    </r>
    <phoneticPr fontId="21" type="noConversion"/>
  </si>
  <si>
    <t>东北</t>
    <phoneticPr fontId="147" type="noConversion"/>
  </si>
  <si>
    <t>西北</t>
    <phoneticPr fontId="147" type="noConversion"/>
  </si>
  <si>
    <t>西</t>
    <phoneticPr fontId="147" type="noConversion"/>
  </si>
  <si>
    <t>按经适房管理</t>
  </si>
  <si>
    <t>原购房款</t>
    <phoneticPr fontId="9" type="noConversion"/>
  </si>
  <si>
    <t>评估价格</t>
    <phoneticPr fontId="9" type="noConversion"/>
  </si>
  <si>
    <r>
      <rPr>
        <sz val="10"/>
        <color indexed="8"/>
        <rFont val="宋体"/>
        <family val="3"/>
        <charset val="134"/>
      </rPr>
      <t>差价的</t>
    </r>
    <r>
      <rPr>
        <sz val="10"/>
        <color indexed="8"/>
        <rFont val="Arial"/>
        <family val="2"/>
      </rPr>
      <t>70%</t>
    </r>
    <phoneticPr fontId="9" type="noConversion"/>
  </si>
  <si>
    <t>扣除土地收益总价</t>
    <phoneticPr fontId="9" type="noConversion"/>
  </si>
  <si>
    <t>单价</t>
    <phoneticPr fontId="9" type="noConversion"/>
  </si>
  <si>
    <t>买卖合同</t>
    <phoneticPr fontId="9" type="noConversion"/>
  </si>
  <si>
    <t>非生产用房</t>
  </si>
  <si>
    <t>设定收益年期(n)</t>
  </si>
  <si>
    <t>比较法</t>
  </si>
  <si>
    <t>长阳镇康泽路10号院7号楼18层3单元1802</t>
    <phoneticPr fontId="147" type="noConversion"/>
  </si>
  <si>
    <t>长阳镇康泽路10号院11号楼12层2单元1203</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</si>
</sst>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9"/>
      <color rgb="FF000000"/>
      <name val="Microsoft YaHei"/>
      <family val="2"/>
      <charset val="134"/>
    </font>
    <font>
      <sz val="9"/>
      <color theme="1"/>
      <name val="宋体"/>
      <family val="3"/>
      <charset val="134"/>
      <scheme val="minor"/>
    </font>
    <font>
      <sz val="9"/>
      <color rgb="FF333333"/>
      <name val="Microsoft YaHei"/>
      <family val="2"/>
      <charset val="134"/>
    </font>
    <font>
      <sz val="9"/>
      <color rgb="FFFF0000"/>
      <name val="Microsoft YaHei"/>
      <family val="2"/>
      <charset val="134"/>
    </font>
    <font>
      <sz val="11"/>
      <name val="楷体_GB2312"/>
      <charset val="134"/>
    </font>
    <font>
      <sz val="9"/>
      <name val="Microsoft YaHei"/>
      <family val="2"/>
      <charset val="134"/>
    </font>
    <font>
      <sz val="10"/>
      <color indexed="8"/>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cellStyleXfs>
  <cellXfs count="3778">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9" fillId="0" borderId="1" xfId="0" applyNumberFormat="1" applyFont="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6"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6"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6"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5" borderId="0" xfId="7" applyFont="1" applyFill="1" applyAlignment="1">
      <alignment horizontal="left" vertical="center"/>
    </xf>
    <xf numFmtId="0" fontId="99" fillId="15" borderId="0" xfId="8" applyFont="1" applyFill="1" applyAlignment="1" applyProtection="1">
      <alignment horizontal="left" vertical="center"/>
    </xf>
    <xf numFmtId="0" fontId="19" fillId="15" borderId="0" xfId="8" applyFont="1" applyFill="1" applyAlignment="1" applyProtection="1">
      <alignment horizontal="left" vertical="center"/>
    </xf>
    <xf numFmtId="0" fontId="103" fillId="15" borderId="129" xfId="7" applyFont="1" applyFill="1" applyBorder="1" applyAlignment="1">
      <alignment horizontal="left" vertical="center"/>
    </xf>
    <xf numFmtId="0" fontId="103" fillId="15" borderId="0" xfId="7" applyFont="1" applyFill="1" applyBorder="1" applyAlignment="1">
      <alignment horizontal="left" vertical="center"/>
    </xf>
    <xf numFmtId="0" fontId="151" fillId="15" borderId="134" xfId="7" applyFont="1" applyFill="1" applyBorder="1" applyAlignment="1" applyProtection="1">
      <alignment horizontal="left" vertical="center" wrapText="1"/>
    </xf>
    <xf numFmtId="0" fontId="151" fillId="15" borderId="138" xfId="7" applyFont="1" applyFill="1" applyBorder="1" applyAlignment="1" applyProtection="1">
      <alignment horizontal="left" vertical="center" wrapText="1"/>
    </xf>
    <xf numFmtId="0" fontId="103" fillId="15" borderId="0" xfId="7" applyFont="1" applyFill="1" applyAlignment="1">
      <alignment horizontal="left" vertical="center"/>
    </xf>
    <xf numFmtId="0" fontId="148" fillId="15" borderId="0" xfId="7" applyFont="1" applyFill="1" applyAlignment="1">
      <alignment horizontal="left" vertical="center"/>
    </xf>
    <xf numFmtId="0" fontId="102" fillId="15" borderId="0" xfId="7" applyFont="1" applyFill="1" applyAlignment="1">
      <alignment horizontal="left" vertical="center"/>
    </xf>
    <xf numFmtId="10" fontId="102" fillId="15"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0" fontId="151" fillId="11" borderId="133" xfId="7" applyFont="1" applyFill="1" applyBorder="1" applyAlignment="1" applyProtection="1">
      <alignment horizontal="left" vertical="center" wrapText="1"/>
    </xf>
    <xf numFmtId="0" fontId="103" fillId="13" borderId="0" xfId="7"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6"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6" borderId="0" xfId="0" applyFont="1" applyFill="1" applyAlignment="1" applyProtection="1">
      <alignment horizontal="left" vertical="center"/>
    </xf>
    <xf numFmtId="10" fontId="43" fillId="16"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6" borderId="44" xfId="0" applyFont="1" applyFill="1" applyBorder="1" applyAlignment="1" applyProtection="1">
      <alignment horizontal="left" vertical="center"/>
    </xf>
    <xf numFmtId="10" fontId="43" fillId="16"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6"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6" borderId="41" xfId="0" applyNumberFormat="1" applyFont="1" applyFill="1" applyBorder="1" applyAlignment="1" applyProtection="1">
      <alignment horizontal="center" vertical="center" wrapText="1"/>
    </xf>
    <xf numFmtId="0" fontId="43" fillId="16"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7" borderId="0" xfId="0" applyFont="1" applyFill="1" applyProtection="1">
      <alignment vertical="center"/>
    </xf>
    <xf numFmtId="0" fontId="223" fillId="17" borderId="0" xfId="0" applyFont="1" applyFill="1" applyAlignment="1" applyProtection="1">
      <alignment horizontal="center" vertical="center"/>
    </xf>
    <xf numFmtId="0" fontId="43" fillId="17" borderId="0" xfId="0" applyFont="1" applyFill="1" applyBorder="1" applyAlignment="1" applyProtection="1">
      <alignment horizontal="center" vertical="center"/>
    </xf>
    <xf numFmtId="0" fontId="43" fillId="17" borderId="0" xfId="0" applyFont="1" applyFill="1" applyBorder="1" applyAlignment="1" applyProtection="1">
      <alignment horizontal="left" vertical="center" wrapText="1"/>
    </xf>
    <xf numFmtId="0" fontId="43" fillId="17" borderId="0" xfId="0" applyFont="1" applyFill="1" applyAlignment="1" applyProtection="1">
      <alignment horizontal="left" vertical="center"/>
    </xf>
    <xf numFmtId="0" fontId="76" fillId="17" borderId="0" xfId="0" applyFont="1" applyFill="1" applyAlignment="1" applyProtection="1">
      <alignment horizontal="left" vertical="center"/>
    </xf>
    <xf numFmtId="0" fontId="176" fillId="17" borderId="171" xfId="0" applyFont="1" applyFill="1" applyBorder="1" applyAlignment="1" applyProtection="1">
      <alignment horizontal="right"/>
    </xf>
    <xf numFmtId="0" fontId="43" fillId="17" borderId="170" xfId="0" applyFont="1" applyFill="1" applyBorder="1" applyAlignment="1" applyProtection="1">
      <alignment horizontal="left" vertical="center"/>
    </xf>
    <xf numFmtId="0" fontId="40" fillId="17" borderId="0" xfId="0" applyFont="1" applyFill="1" applyAlignment="1" applyProtection="1">
      <alignment horizontal="left" vertical="center"/>
    </xf>
    <xf numFmtId="0" fontId="118" fillId="17" borderId="0" xfId="0" applyFont="1" applyFill="1" applyAlignment="1" applyProtection="1">
      <alignment horizontal="left" vertical="center"/>
    </xf>
    <xf numFmtId="0" fontId="169" fillId="17" borderId="0" xfId="0" applyFont="1" applyFill="1" applyBorder="1" applyAlignment="1" applyProtection="1">
      <alignment horizontal="right" vertical="center"/>
    </xf>
    <xf numFmtId="9" fontId="43" fillId="17" borderId="0" xfId="0" applyNumberFormat="1"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17" borderId="0" xfId="2" applyFont="1" applyFill="1" applyBorder="1" applyAlignment="1" applyProtection="1">
      <alignment horizontal="left" vertical="center" wrapText="1"/>
    </xf>
    <xf numFmtId="0" fontId="99" fillId="17" borderId="0" xfId="2" applyFont="1" applyFill="1" applyAlignment="1" applyProtection="1">
      <alignment vertical="center" wrapText="1"/>
    </xf>
    <xf numFmtId="0" fontId="99" fillId="17" borderId="0" xfId="0" applyFont="1" applyFill="1" applyProtection="1">
      <alignment vertical="center"/>
    </xf>
    <xf numFmtId="0" fontId="99" fillId="17" borderId="0" xfId="2" applyFont="1" applyFill="1" applyProtection="1"/>
    <xf numFmtId="0" fontId="99" fillId="17" borderId="0" xfId="0" applyFont="1" applyFill="1" applyBorder="1" applyProtection="1">
      <alignment vertical="center"/>
      <protection locked="0"/>
    </xf>
    <xf numFmtId="0" fontId="41" fillId="17" borderId="0" xfId="0" applyFont="1" applyFill="1" applyBorder="1" applyAlignment="1" applyProtection="1">
      <alignment horizontal="center" vertical="center" wrapText="1"/>
    </xf>
    <xf numFmtId="0" fontId="48" fillId="17" borderId="0" xfId="0" applyFont="1" applyFill="1" applyBorder="1" applyAlignment="1" applyProtection="1">
      <alignment horizontal="left" vertical="center" wrapText="1"/>
    </xf>
    <xf numFmtId="0" fontId="102" fillId="17" borderId="0" xfId="0" applyFont="1" applyFill="1" applyBorder="1" applyAlignment="1" applyProtection="1">
      <alignment horizontal="left" vertical="center" shrinkToFit="1"/>
    </xf>
    <xf numFmtId="0" fontId="102" fillId="17" borderId="0" xfId="0" applyFont="1" applyFill="1" applyBorder="1" applyAlignment="1" applyProtection="1">
      <alignment horizontal="left" vertical="center" wrapText="1"/>
    </xf>
    <xf numFmtId="0" fontId="43" fillId="17" borderId="0" xfId="0" applyFont="1" applyFill="1" applyBorder="1" applyAlignment="1" applyProtection="1">
      <alignment horizontal="left" vertical="center" shrinkToFit="1"/>
    </xf>
    <xf numFmtId="0" fontId="130" fillId="17" borderId="0" xfId="0" applyFont="1" applyFill="1" applyBorder="1" applyAlignment="1" applyProtection="1">
      <alignment horizontal="center" vertical="center" shrinkToFit="1"/>
    </xf>
    <xf numFmtId="0" fontId="102" fillId="17" borderId="0" xfId="0" applyFont="1" applyFill="1" applyBorder="1" applyAlignment="1" applyProtection="1">
      <alignment horizontal="left" vertical="center"/>
    </xf>
    <xf numFmtId="0" fontId="42" fillId="17" borderId="0" xfId="0" applyFont="1" applyFill="1" applyBorder="1" applyAlignment="1" applyProtection="1">
      <alignment horizontal="center" vertical="center"/>
    </xf>
    <xf numFmtId="182" fontId="43" fillId="17" borderId="0" xfId="0" applyNumberFormat="1" applyFont="1" applyFill="1" applyBorder="1" applyAlignment="1" applyProtection="1">
      <alignment horizontal="left" vertical="center" shrinkToFit="1"/>
    </xf>
    <xf numFmtId="182" fontId="43" fillId="17" borderId="0" xfId="0" applyNumberFormat="1" applyFont="1" applyFill="1" applyBorder="1" applyAlignment="1" applyProtection="1">
      <alignment horizontal="left" vertical="center" wrapText="1"/>
    </xf>
    <xf numFmtId="0" fontId="43" fillId="17" borderId="0" xfId="0" applyFont="1" applyFill="1" applyBorder="1" applyAlignment="1" applyProtection="1">
      <alignment horizontal="left" vertical="center"/>
    </xf>
    <xf numFmtId="0" fontId="43" fillId="17" borderId="0" xfId="0" applyFont="1" applyFill="1" applyBorder="1" applyProtection="1">
      <alignment vertical="center"/>
      <protection locked="0"/>
    </xf>
    <xf numFmtId="0" fontId="43" fillId="17" borderId="0" xfId="0" applyFont="1" applyFill="1" applyProtection="1">
      <alignment vertical="center"/>
      <protection locked="0"/>
    </xf>
    <xf numFmtId="0" fontId="43" fillId="17" borderId="0" xfId="0" applyFont="1" applyFill="1" applyBorder="1" applyAlignment="1" applyProtection="1">
      <alignment horizontal="right" vertical="center"/>
      <protection locked="0"/>
    </xf>
    <xf numFmtId="0" fontId="226" fillId="17" borderId="0" xfId="0" applyFont="1" applyFill="1" applyAlignment="1" applyProtection="1">
      <alignment horizontal="center" vertical="center"/>
    </xf>
    <xf numFmtId="0" fontId="226" fillId="17" borderId="0" xfId="0" applyFont="1" applyFill="1" applyBorder="1" applyAlignment="1" applyProtection="1">
      <alignment horizontal="left" vertical="center"/>
    </xf>
    <xf numFmtId="0" fontId="221" fillId="17" borderId="0" xfId="0" applyFont="1" applyFill="1" applyBorder="1" applyAlignment="1" applyProtection="1">
      <alignment horizontal="left" vertical="center"/>
    </xf>
    <xf numFmtId="0" fontId="99" fillId="17" borderId="0" xfId="2" applyFont="1" applyFill="1" applyAlignment="1" applyProtection="1">
      <alignment horizontal="left" vertical="center" wrapText="1"/>
    </xf>
    <xf numFmtId="0" fontId="99" fillId="17" borderId="0" xfId="0" applyFont="1" applyFill="1" applyAlignment="1" applyProtection="1">
      <alignment horizontal="left" vertical="center"/>
    </xf>
    <xf numFmtId="0" fontId="99" fillId="17" borderId="0" xfId="2" applyFont="1" applyFill="1" applyAlignment="1" applyProtection="1">
      <alignment horizontal="left"/>
    </xf>
    <xf numFmtId="0" fontId="99" fillId="17" borderId="0" xfId="0" applyFont="1" applyFill="1" applyBorder="1" applyAlignment="1" applyProtection="1">
      <alignment horizontal="left" vertical="center"/>
      <protection locked="0"/>
    </xf>
    <xf numFmtId="0" fontId="42" fillId="17" borderId="0" xfId="0" applyFont="1" applyFill="1" applyBorder="1" applyAlignment="1" applyProtection="1">
      <alignment horizontal="center" vertical="center" wrapText="1"/>
    </xf>
    <xf numFmtId="0" fontId="76" fillId="16" borderId="0" xfId="0" applyFont="1" applyFill="1" applyBorder="1" applyAlignment="1" applyProtection="1">
      <alignment horizontal="left" vertical="center" wrapText="1"/>
    </xf>
    <xf numFmtId="0" fontId="76" fillId="16"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6" borderId="2" xfId="1" applyNumberFormat="1" applyFont="1" applyFill="1" applyBorder="1" applyAlignment="1" applyProtection="1">
      <alignment horizontal="center" vertical="center"/>
    </xf>
    <xf numFmtId="9" fontId="50" fillId="16" borderId="2" xfId="1" applyNumberFormat="1" applyFont="1" applyFill="1" applyBorder="1" applyAlignment="1" applyProtection="1">
      <alignment horizontal="center" vertical="center"/>
    </xf>
    <xf numFmtId="0" fontId="50" fillId="16" borderId="1" xfId="0" applyFont="1" applyFill="1" applyBorder="1" applyAlignment="1" applyProtection="1">
      <alignment horizontal="left" vertical="center" wrapText="1"/>
    </xf>
    <xf numFmtId="0" fontId="43" fillId="18" borderId="54" xfId="0" applyFont="1" applyFill="1" applyBorder="1" applyAlignment="1" applyProtection="1">
      <alignment vertical="center" wrapText="1"/>
    </xf>
    <xf numFmtId="0" fontId="43" fillId="18" borderId="32" xfId="0" applyFont="1" applyFill="1" applyBorder="1" applyAlignment="1" applyProtection="1">
      <alignment vertical="center" wrapText="1"/>
    </xf>
    <xf numFmtId="0" fontId="43" fillId="18" borderId="1" xfId="0" applyFont="1" applyFill="1" applyBorder="1" applyAlignment="1" applyProtection="1">
      <alignment vertical="center"/>
    </xf>
    <xf numFmtId="0" fontId="43" fillId="18" borderId="1" xfId="0" applyFont="1" applyFill="1" applyBorder="1" applyAlignment="1" applyProtection="1">
      <alignment vertical="center" wrapText="1"/>
    </xf>
    <xf numFmtId="0" fontId="43" fillId="18" borderId="7" xfId="0" applyFont="1" applyFill="1" applyBorder="1" applyAlignment="1" applyProtection="1">
      <alignment vertical="center"/>
    </xf>
    <xf numFmtId="0" fontId="43" fillId="18" borderId="124" xfId="0" applyFont="1" applyFill="1" applyBorder="1" applyAlignment="1" applyProtection="1">
      <alignment vertical="center"/>
    </xf>
    <xf numFmtId="0" fontId="43" fillId="18" borderId="23" xfId="0" applyFont="1" applyFill="1" applyBorder="1" applyAlignment="1" applyProtection="1">
      <alignment vertical="center" wrapText="1"/>
    </xf>
    <xf numFmtId="0" fontId="43" fillId="18" borderId="42" xfId="0" applyFont="1" applyFill="1" applyBorder="1" applyAlignment="1" applyProtection="1">
      <alignment vertical="center" wrapText="1"/>
    </xf>
    <xf numFmtId="0" fontId="43" fillId="18" borderId="11" xfId="0" applyFont="1" applyFill="1" applyBorder="1" applyAlignment="1" applyProtection="1">
      <alignment vertical="center" wrapText="1"/>
    </xf>
    <xf numFmtId="0" fontId="43" fillId="18" borderId="61" xfId="0" applyFont="1" applyFill="1" applyBorder="1" applyAlignment="1" applyProtection="1">
      <alignment vertical="center" wrapText="1"/>
    </xf>
    <xf numFmtId="0" fontId="43" fillId="18"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2"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3"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4" fillId="5" borderId="7" xfId="0" applyFont="1" applyFill="1" applyBorder="1" applyAlignment="1" applyProtection="1">
      <alignment horizontal="left" vertical="center"/>
    </xf>
    <xf numFmtId="0" fontId="94"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4"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9" fillId="5" borderId="11" xfId="0" applyFont="1" applyFill="1" applyBorder="1" applyAlignment="1" applyProtection="1">
      <alignment horizontal="left" vertical="center" wrapText="1"/>
    </xf>
    <xf numFmtId="0" fontId="109" fillId="5" borderId="31" xfId="0" applyFont="1" applyFill="1" applyBorder="1" applyAlignment="1" applyProtection="1">
      <alignment horizontal="left" vertical="center" wrapText="1"/>
    </xf>
    <xf numFmtId="0" fontId="109" fillId="5" borderId="1" xfId="0" applyFont="1" applyFill="1" applyBorder="1" applyAlignment="1" applyProtection="1">
      <alignment horizontal="left" vertical="center" wrapText="1"/>
    </xf>
    <xf numFmtId="0" fontId="109" fillId="5" borderId="6" xfId="0" applyFont="1" applyFill="1" applyBorder="1" applyAlignment="1" applyProtection="1">
      <alignment horizontal="left" vertical="center" wrapText="1"/>
    </xf>
    <xf numFmtId="0" fontId="109" fillId="5" borderId="18" xfId="0" applyFont="1" applyFill="1" applyBorder="1" applyAlignment="1" applyProtection="1">
      <alignment horizontal="left" vertical="center" wrapText="1"/>
    </xf>
    <xf numFmtId="0" fontId="109" fillId="5" borderId="58" xfId="0" applyFont="1" applyFill="1" applyBorder="1" applyAlignment="1" applyProtection="1">
      <alignment horizontal="left" vertical="center" wrapText="1"/>
    </xf>
    <xf numFmtId="0" fontId="109" fillId="5" borderId="3" xfId="0" applyFont="1" applyFill="1" applyBorder="1" applyAlignment="1" applyProtection="1">
      <alignment horizontal="left" vertical="center" wrapText="1"/>
    </xf>
    <xf numFmtId="0" fontId="109" fillId="5" borderId="35" xfId="0" applyFont="1" applyFill="1" applyBorder="1" applyAlignment="1" applyProtection="1">
      <alignment horizontal="left" vertical="center" wrapText="1"/>
    </xf>
    <xf numFmtId="0" fontId="109" fillId="5" borderId="13" xfId="0" applyFont="1" applyFill="1" applyBorder="1" applyAlignment="1" applyProtection="1">
      <alignment horizontal="left" vertical="center"/>
    </xf>
    <xf numFmtId="0" fontId="109" fillId="5" borderId="28" xfId="0" applyFont="1" applyFill="1" applyBorder="1" applyAlignment="1" applyProtection="1">
      <alignment horizontal="left" vertical="center"/>
    </xf>
    <xf numFmtId="0" fontId="109" fillId="5" borderId="31" xfId="0" applyFont="1" applyFill="1" applyBorder="1" applyAlignment="1" applyProtection="1">
      <alignment horizontal="left" vertical="center"/>
    </xf>
    <xf numFmtId="0" fontId="109" fillId="5" borderId="0" xfId="0" applyFont="1" applyFill="1" applyBorder="1" applyAlignment="1" applyProtection="1">
      <alignment horizontal="left" vertical="center"/>
    </xf>
    <xf numFmtId="0" fontId="109" fillId="5" borderId="6" xfId="0" applyFont="1" applyFill="1" applyBorder="1" applyAlignment="1" applyProtection="1">
      <alignment horizontal="left" vertical="center"/>
    </xf>
    <xf numFmtId="0" fontId="109" fillId="5" borderId="44" xfId="0" applyFont="1" applyFill="1" applyBorder="1" applyAlignment="1" applyProtection="1">
      <alignment horizontal="left" vertical="center"/>
    </xf>
    <xf numFmtId="0" fontId="109" fillId="5" borderId="56" xfId="0" applyFont="1" applyFill="1" applyBorder="1" applyAlignment="1" applyProtection="1">
      <alignment horizontal="left" vertical="center"/>
    </xf>
    <xf numFmtId="0" fontId="109" fillId="5" borderId="43"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84" xfId="0" applyFont="1" applyFill="1" applyBorder="1" applyAlignment="1" applyProtection="1">
      <alignment horizontal="left" vertical="center"/>
    </xf>
    <xf numFmtId="0" fontId="109" fillId="5" borderId="14" xfId="0" applyFont="1" applyFill="1" applyBorder="1" applyAlignment="1" applyProtection="1">
      <alignment horizontal="left" vertical="center"/>
    </xf>
    <xf numFmtId="0" fontId="109" fillId="5" borderId="67" xfId="0" applyFont="1" applyFill="1" applyBorder="1" applyAlignment="1" applyProtection="1">
      <alignment horizontal="left" vertical="center"/>
    </xf>
    <xf numFmtId="0" fontId="109" fillId="5" borderId="15"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09"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9" fillId="5" borderId="7" xfId="0" applyFont="1" applyFill="1" applyBorder="1" applyAlignment="1" applyProtection="1">
      <alignment horizontal="left" vertical="center" wrapText="1"/>
    </xf>
    <xf numFmtId="0" fontId="109"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9" fillId="5" borderId="1" xfId="0" applyNumberFormat="1"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7" fillId="5" borderId="65" xfId="0" applyFont="1" applyFill="1" applyBorder="1" applyAlignment="1" applyProtection="1">
      <alignment horizontal="left" vertical="center"/>
    </xf>
    <xf numFmtId="0" fontId="117" fillId="5" borderId="0" xfId="0" applyFont="1" applyFill="1" applyBorder="1" applyAlignment="1" applyProtection="1">
      <alignment horizontal="left" vertical="center"/>
    </xf>
    <xf numFmtId="0" fontId="109" fillId="5" borderId="2" xfId="0" applyFont="1" applyFill="1" applyBorder="1" applyAlignment="1" applyProtection="1">
      <alignment horizontal="left" vertical="center" wrapText="1"/>
    </xf>
    <xf numFmtId="0" fontId="109" fillId="5" borderId="0" xfId="0" applyFont="1" applyFill="1" applyBorder="1" applyAlignment="1" applyProtection="1">
      <alignment horizontal="left" vertical="center" wrapText="1"/>
    </xf>
    <xf numFmtId="0" fontId="109" fillId="0" borderId="36" xfId="0" applyFont="1" applyBorder="1" applyAlignment="1" applyProtection="1">
      <alignment horizontal="left" vertical="center"/>
    </xf>
    <xf numFmtId="0" fontId="109" fillId="0" borderId="0" xfId="0" applyFont="1" applyBorder="1" applyAlignment="1" applyProtection="1">
      <alignment horizontal="left" vertical="center"/>
    </xf>
    <xf numFmtId="0" fontId="109" fillId="5" borderId="64" xfId="0" applyFont="1" applyFill="1" applyBorder="1" applyAlignment="1" applyProtection="1">
      <alignment horizontal="left" vertical="center" wrapText="1"/>
    </xf>
    <xf numFmtId="0" fontId="109" fillId="5" borderId="17" xfId="0" applyFont="1" applyFill="1" applyBorder="1" applyAlignment="1" applyProtection="1">
      <alignment horizontal="left" vertical="center" wrapText="1"/>
    </xf>
    <xf numFmtId="0" fontId="109" fillId="5" borderId="24" xfId="0" applyFont="1" applyFill="1" applyBorder="1" applyAlignment="1" applyProtection="1">
      <alignment horizontal="left" vertical="center" wrapText="1"/>
    </xf>
    <xf numFmtId="0" fontId="109" fillId="5" borderId="0" xfId="0" applyFont="1" applyFill="1" applyAlignment="1" applyProtection="1">
      <alignment horizontal="left" vertical="center"/>
    </xf>
    <xf numFmtId="0" fontId="76" fillId="5" borderId="7" xfId="0" applyFont="1" applyFill="1" applyBorder="1" applyAlignment="1" applyProtection="1">
      <alignment horizontal="left" vertical="center" wrapText="1"/>
    </xf>
    <xf numFmtId="0" fontId="257" fillId="0" borderId="0" xfId="0" applyFont="1">
      <alignment vertical="center"/>
    </xf>
    <xf numFmtId="0" fontId="256" fillId="8" borderId="1" xfId="0" applyFont="1" applyFill="1" applyBorder="1" applyAlignment="1">
      <alignment horizontal="center" vertical="center" wrapText="1"/>
    </xf>
    <xf numFmtId="0" fontId="258" fillId="8" borderId="1" xfId="0" applyFont="1" applyFill="1" applyBorder="1" applyAlignment="1">
      <alignment horizontal="center" vertical="center" wrapText="1"/>
    </xf>
    <xf numFmtId="31" fontId="258" fillId="8" borderId="1" xfId="0" applyNumberFormat="1" applyFont="1" applyFill="1" applyBorder="1" applyAlignment="1">
      <alignment horizontal="center" vertical="center" wrapText="1"/>
    </xf>
    <xf numFmtId="0" fontId="259" fillId="8" borderId="1" xfId="0" applyFont="1" applyFill="1" applyBorder="1" applyAlignment="1">
      <alignment horizontal="center" vertical="center" wrapText="1"/>
    </xf>
    <xf numFmtId="31" fontId="259" fillId="8" borderId="1" xfId="0" applyNumberFormat="1" applyFont="1" applyFill="1" applyBorder="1" applyAlignment="1">
      <alignment horizontal="center" vertical="center" wrapText="1"/>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76" fillId="5" borderId="0" xfId="0" applyFont="1" applyFill="1" applyAlignment="1" applyProtection="1">
      <alignment horizontal="left" vertical="center"/>
      <protection locked="0"/>
    </xf>
    <xf numFmtId="0" fontId="260" fillId="0" borderId="11" xfId="0" applyFont="1" applyBorder="1" applyAlignment="1" applyProtection="1">
      <alignment horizontal="center" vertical="center" wrapText="1"/>
      <protection locked="0"/>
    </xf>
    <xf numFmtId="0" fontId="260" fillId="0" borderId="28" xfId="0" applyFont="1" applyBorder="1" applyAlignment="1" applyProtection="1">
      <alignment horizontal="center" vertical="center" wrapText="1"/>
      <protection locked="0"/>
    </xf>
    <xf numFmtId="0" fontId="93" fillId="0" borderId="28" xfId="0" applyFont="1" applyBorder="1" applyAlignment="1" applyProtection="1">
      <alignment horizontal="center" vertical="center" wrapText="1"/>
      <protection locked="0"/>
    </xf>
    <xf numFmtId="0" fontId="93" fillId="0" borderId="0" xfId="0" applyFont="1" applyFill="1" applyAlignment="1" applyProtection="1">
      <alignment horizontal="left" vertical="center"/>
      <protection locked="0"/>
    </xf>
    <xf numFmtId="0" fontId="261" fillId="8" borderId="1" xfId="0" applyFont="1" applyFill="1" applyBorder="1" applyAlignment="1">
      <alignment horizontal="center" vertical="center" wrapText="1"/>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center" vertical="center" wrapText="1"/>
      <protection locked="0"/>
    </xf>
    <xf numFmtId="0" fontId="93" fillId="0" borderId="32" xfId="0" applyNumberFormat="1"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136" fillId="0" borderId="32" xfId="0" applyFont="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136" fillId="0" borderId="33" xfId="0" applyNumberFormat="1" applyFont="1" applyFill="1" applyBorder="1" applyAlignment="1" applyProtection="1">
      <alignment horizontal="left" vertical="center" wrapText="1"/>
      <protection locked="0"/>
    </xf>
    <xf numFmtId="0" fontId="47" fillId="0" borderId="19" xfId="0" applyNumberFormat="1" applyFont="1" applyFill="1" applyBorder="1" applyAlignment="1" applyProtection="1">
      <alignment horizontal="left" vertical="center" wrapText="1"/>
      <protection locked="0"/>
    </xf>
    <xf numFmtId="0" fontId="47" fillId="2" borderId="7" xfId="0" applyNumberFormat="1" applyFont="1" applyFill="1" applyBorder="1" applyAlignment="1" applyProtection="1">
      <alignment horizontal="left" vertical="center" wrapText="1"/>
      <protection locked="0"/>
    </xf>
    <xf numFmtId="49" fontId="47" fillId="2" borderId="7" xfId="0" applyNumberFormat="1"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2" borderId="7" xfId="0"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136" fillId="0" borderId="23" xfId="0" applyNumberFormat="1" applyFont="1" applyFill="1" applyBorder="1" applyAlignment="1" applyProtection="1">
      <alignment horizontal="left" vertical="center" wrapText="1"/>
      <protection locked="0"/>
    </xf>
    <xf numFmtId="0" fontId="76" fillId="20" borderId="0" xfId="0" applyFont="1" applyFill="1" applyAlignment="1" applyProtection="1">
      <alignment horizontal="left" vertical="center"/>
      <protection locked="0"/>
    </xf>
    <xf numFmtId="0" fontId="43" fillId="20" borderId="0" xfId="0" applyFont="1" applyFill="1" applyAlignment="1" applyProtection="1">
      <alignment horizontal="left" vertical="center"/>
      <protection locked="0"/>
    </xf>
    <xf numFmtId="0" fontId="262" fillId="20" borderId="0" xfId="0" applyFont="1" applyFill="1" applyAlignment="1" applyProtection="1">
      <alignment horizontal="left" vertical="center"/>
      <protection locked="0"/>
    </xf>
    <xf numFmtId="181" fontId="40" fillId="21" borderId="6" xfId="0" applyNumberFormat="1"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19" borderId="63" xfId="4" applyFont="1" applyFill="1" applyBorder="1" applyAlignment="1" applyProtection="1">
      <alignment vertical="center"/>
      <protection locked="0"/>
    </xf>
    <xf numFmtId="0" fontId="50" fillId="19"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6" borderId="1" xfId="0" applyNumberFormat="1" applyFont="1" applyFill="1" applyBorder="1" applyAlignment="1" applyProtection="1">
      <alignment horizontal="left" vertical="center"/>
    </xf>
    <xf numFmtId="0" fontId="47"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left" vertical="center"/>
    </xf>
    <xf numFmtId="0" fontId="109" fillId="5" borderId="18" xfId="0"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109" fillId="5" borderId="49" xfId="0" applyFont="1" applyFill="1" applyBorder="1" applyAlignment="1" applyProtection="1">
      <alignment horizontal="left" vertical="center"/>
    </xf>
    <xf numFmtId="0" fontId="109" fillId="5" borderId="4" xfId="0" applyFont="1" applyFill="1" applyBorder="1" applyAlignment="1" applyProtection="1">
      <alignment horizontal="left" vertical="center"/>
    </xf>
    <xf numFmtId="0" fontId="109" fillId="5" borderId="7" xfId="0" applyFont="1" applyFill="1" applyBorder="1" applyAlignment="1" applyProtection="1">
      <alignment horizontal="left" vertical="center"/>
    </xf>
    <xf numFmtId="0" fontId="109" fillId="5" borderId="8" xfId="0" applyFont="1" applyFill="1" applyBorder="1" applyAlignment="1" applyProtection="1">
      <alignment horizontal="left" vertical="center"/>
    </xf>
    <xf numFmtId="0" fontId="109" fillId="5" borderId="57" xfId="0" applyFont="1" applyFill="1" applyBorder="1" applyAlignment="1" applyProtection="1">
      <alignment horizontal="left" vertical="center"/>
    </xf>
    <xf numFmtId="0" fontId="109" fillId="5" borderId="71" xfId="0" applyFont="1" applyFill="1" applyBorder="1" applyAlignment="1" applyProtection="1">
      <alignment horizontal="left" vertical="center"/>
    </xf>
    <xf numFmtId="0" fontId="109" fillId="5" borderId="22" xfId="0" applyFont="1" applyFill="1" applyBorder="1" applyAlignment="1" applyProtection="1">
      <alignment horizontal="left" vertical="center"/>
    </xf>
    <xf numFmtId="0" fontId="109" fillId="5" borderId="26" xfId="0" applyFont="1" applyFill="1" applyBorder="1" applyAlignment="1" applyProtection="1">
      <alignment horizontal="left" vertical="center"/>
    </xf>
    <xf numFmtId="0" fontId="109" fillId="5" borderId="42" xfId="0" applyFont="1" applyFill="1" applyBorder="1" applyAlignment="1" applyProtection="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cellXfs>
  <cellStyles count="17">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6 2 2 2" xfId="15" xr:uid="{00000000-0005-0000-0000-00000B000000}"/>
    <cellStyle name="常规 6 2 3" xfId="14" xr:uid="{00000000-0005-0000-0000-00000C000000}"/>
    <cellStyle name="常规 7" xfId="10" xr:uid="{00000000-0005-0000-0000-00000D000000}"/>
    <cellStyle name="常规 8" xfId="12" xr:uid="{00000000-0005-0000-0000-00000E000000}"/>
    <cellStyle name="常规 9" xfId="13" xr:uid="{00000000-0005-0000-0000-00000F000000}"/>
    <cellStyle name="常规 9 2" xfId="16" xr:uid="{00000000-0005-0000-0000-000010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160407</xdr:colOff>
      <xdr:row>25</xdr:row>
      <xdr:rowOff>38100</xdr:rowOff>
    </xdr:to>
    <xdr:pic>
      <xdr:nvPicPr>
        <xdr:cNvPr id="2" name="图片 1">
          <a:extLst>
            <a:ext uri="{FF2B5EF4-FFF2-40B4-BE49-F238E27FC236}">
              <a16:creationId xmlns:a16="http://schemas.microsoft.com/office/drawing/2014/main" id="{0563B1E0-836A-40DE-BB65-E5FFE9B9AC6D}"/>
            </a:ext>
          </a:extLst>
        </xdr:cNvPr>
        <xdr:cNvPicPr>
          <a:picLocks noChangeAspect="1"/>
        </xdr:cNvPicPr>
      </xdr:nvPicPr>
      <xdr:blipFill>
        <a:blip xmlns:r="http://schemas.openxmlformats.org/officeDocument/2006/relationships" r:embed="rId1"/>
        <a:stretch>
          <a:fillRect/>
        </a:stretch>
      </xdr:blipFill>
      <xdr:spPr>
        <a:xfrm>
          <a:off x="1" y="0"/>
          <a:ext cx="5646806" cy="4324350"/>
        </a:xfrm>
        <a:prstGeom prst="rect">
          <a:avLst/>
        </a:prstGeom>
      </xdr:spPr>
    </xdr:pic>
    <xdr:clientData/>
  </xdr:twoCellAnchor>
  <xdr:twoCellAnchor editAs="oneCell">
    <xdr:from>
      <xdr:col>0</xdr:col>
      <xdr:colOff>0</xdr:colOff>
      <xdr:row>25</xdr:row>
      <xdr:rowOff>38100</xdr:rowOff>
    </xdr:from>
    <xdr:to>
      <xdr:col>8</xdr:col>
      <xdr:colOff>155166</xdr:colOff>
      <xdr:row>50</xdr:row>
      <xdr:rowOff>85106</xdr:rowOff>
    </xdr:to>
    <xdr:pic>
      <xdr:nvPicPr>
        <xdr:cNvPr id="3" name="图片 2">
          <a:extLst>
            <a:ext uri="{FF2B5EF4-FFF2-40B4-BE49-F238E27FC236}">
              <a16:creationId xmlns:a16="http://schemas.microsoft.com/office/drawing/2014/main" id="{2B157FFA-6870-4A51-844A-DC223D917417}"/>
            </a:ext>
          </a:extLst>
        </xdr:cNvPr>
        <xdr:cNvPicPr>
          <a:picLocks noChangeAspect="1"/>
        </xdr:cNvPicPr>
      </xdr:nvPicPr>
      <xdr:blipFill>
        <a:blip xmlns:r="http://schemas.openxmlformats.org/officeDocument/2006/relationships" r:embed="rId2"/>
        <a:stretch>
          <a:fillRect/>
        </a:stretch>
      </xdr:blipFill>
      <xdr:spPr>
        <a:xfrm>
          <a:off x="0" y="4324350"/>
          <a:ext cx="5641566" cy="4333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f>'预评函-封皮'!B12</f>
        <v>0</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估价对象为北京市房地产，为所有。根据《》[]，估价对象建筑面积为53.46平方米。根据《》[]，估价对象（分摊）出让国有建设用地使用权面积为平方米。估价对象用途为。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2023年1月12日（评估专业人员实地查勘之日）</v>
      </c>
    </row>
    <row r="10" spans="1:2">
      <c r="A10" s="1139" t="s">
        <v>865</v>
      </c>
      <c r="B10" s="1126" t="str">
        <f>'预评函-1'!A13</f>
        <v>本次估价的“房地产价值”是指在正常市场情况下，在价值时点2023年1月12日，估价对象规划用途为，假定未设立法定优先受偿款下的房地产市场价值。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53.46</v>
      </c>
    </row>
    <row r="19" spans="1:2">
      <c r="A19" s="1139" t="s">
        <v>874</v>
      </c>
      <c r="B19" s="1126">
        <f ca="1">'预评函-2（1）'!D7</f>
        <v>206</v>
      </c>
    </row>
    <row r="20" spans="1:2">
      <c r="A20" s="1139" t="s">
        <v>912</v>
      </c>
      <c r="B20" s="1126" t="str">
        <f>'预评函-2（1）'!C7</f>
        <v>总价（万元）</v>
      </c>
    </row>
    <row r="21" spans="1:2">
      <c r="A21" s="1139" t="s">
        <v>875</v>
      </c>
      <c r="B21" s="1126">
        <f ca="1">'预评函-2（1）'!D9</f>
        <v>38599</v>
      </c>
    </row>
    <row r="22" spans="1:2">
      <c r="A22" s="1139" t="s">
        <v>876</v>
      </c>
      <c r="B22" s="1126" t="str">
        <f ca="1">'预评函-2（1）'!D8</f>
        <v>贰佰零陆万元整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206</v>
      </c>
    </row>
    <row r="30" spans="1:2">
      <c r="A30" s="1139" t="s">
        <v>882</v>
      </c>
      <c r="B30" s="1126" t="str">
        <f ca="1">'预评函-2（1）'!D16</f>
        <v>贰佰零陆万元整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178</v>
      </c>
    </row>
    <row r="38" spans="1:2">
      <c r="A38" s="1139" t="s">
        <v>890</v>
      </c>
      <c r="B38" s="1126">
        <f ca="1">'预评函-2（2）'!E4</f>
        <v>33388</v>
      </c>
    </row>
    <row r="39" spans="1:2">
      <c r="A39" s="1139" t="s">
        <v>891</v>
      </c>
      <c r="B39" s="1126" t="str">
        <f ca="1">'预评函-2（2）'!D5</f>
        <v>壹佰柒拾捌万元整</v>
      </c>
    </row>
    <row r="40" spans="1:2">
      <c r="A40" s="1139" t="s">
        <v>892</v>
      </c>
      <c r="B40" s="1126">
        <f ca="1">'预评函-2（2）'!F4</f>
        <v>28</v>
      </c>
    </row>
    <row r="41" spans="1:2">
      <c r="A41" s="1139" t="s">
        <v>893</v>
      </c>
      <c r="B41" s="1126">
        <f ca="1">'预评函-2（2）'!G4</f>
        <v>5211</v>
      </c>
    </row>
    <row r="42" spans="1:2" s="1136" customFormat="1" ht="15.75" thickBot="1">
      <c r="A42" s="1140" t="s">
        <v>894</v>
      </c>
      <c r="B42" s="1128" t="str">
        <f ca="1">'预评函-2（2）'!F5</f>
        <v>贰拾捌万元整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38599</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8" sqref="E8"/>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北京市房地产市场价值预评估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v>44938</v>
      </c>
      <c r="C2" s="2808" t="s">
        <v>1291</v>
      </c>
      <c r="D2" s="2509">
        <f>B2</f>
        <v>44938</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c r="C4" s="2809" t="s">
        <v>1294</v>
      </c>
      <c r="D4" s="1357" t="s">
        <v>3030</v>
      </c>
      <c r="E4" s="782"/>
      <c r="F4" s="782"/>
      <c r="G4" s="1121"/>
    </row>
    <row r="5" spans="1:17">
      <c r="A5" s="1358" t="s">
        <v>1295</v>
      </c>
      <c r="B5" s="1359"/>
      <c r="C5" s="2810" t="s">
        <v>1296</v>
      </c>
      <c r="D5" s="1361" t="s">
        <v>3031</v>
      </c>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3027</v>
      </c>
      <c r="C6" s="2515"/>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3028</v>
      </c>
      <c r="C7" s="1453" t="str">
        <f>IF(B7="自然人","姓名","名称")</f>
        <v>姓名</v>
      </c>
      <c r="D7" s="1366"/>
      <c r="E7" s="783"/>
      <c r="F7" s="783"/>
      <c r="G7" s="1122"/>
    </row>
    <row r="8" spans="1:17" ht="13.5" thickTop="1">
      <c r="A8" s="3421" t="s">
        <v>1301</v>
      </c>
      <c r="B8" s="1367" t="s">
        <v>1302</v>
      </c>
      <c r="C8" s="3434"/>
      <c r="D8" s="3435"/>
      <c r="E8" s="2518" t="s">
        <v>1303</v>
      </c>
      <c r="F8" s="2519" t="s">
        <v>1304</v>
      </c>
      <c r="G8" s="2520">
        <f>C6</f>
        <v>0</v>
      </c>
    </row>
    <row r="9" spans="1:17" ht="25.5">
      <c r="A9" s="3421"/>
      <c r="B9" s="259" t="s">
        <v>1305</v>
      </c>
      <c r="C9" s="1359"/>
      <c r="D9" s="1368" t="s">
        <v>3029</v>
      </c>
      <c r="E9" s="2814" t="s">
        <v>1306</v>
      </c>
      <c r="F9" s="2521"/>
      <c r="G9" s="2522"/>
    </row>
    <row r="10" spans="1:17" ht="13.5" thickBot="1">
      <c r="A10" s="3421"/>
      <c r="B10" s="259" t="s">
        <v>1307</v>
      </c>
      <c r="C10" s="3436"/>
      <c r="D10" s="3437"/>
      <c r="E10" s="2815" t="s">
        <v>1308</v>
      </c>
      <c r="F10" s="2523"/>
      <c r="G10" s="2524"/>
    </row>
    <row r="11" spans="1:17" ht="13.5" thickBot="1">
      <c r="A11" s="3421"/>
      <c r="B11" s="1370" t="s">
        <v>1309</v>
      </c>
      <c r="C11" s="3438"/>
      <c r="D11" s="3439"/>
      <c r="E11" s="769"/>
      <c r="F11" s="769"/>
      <c r="G11" s="788"/>
    </row>
    <row r="12" spans="1:17" ht="13.5" thickBot="1">
      <c r="A12" s="3425" t="s">
        <v>2583</v>
      </c>
      <c r="B12" s="2816" t="s">
        <v>1310</v>
      </c>
      <c r="C12" s="766">
        <v>53.46</v>
      </c>
      <c r="D12" s="1371" t="s">
        <v>1311</v>
      </c>
      <c r="E12" s="1372"/>
      <c r="F12" s="1373"/>
      <c r="G12" s="788"/>
    </row>
    <row r="13" spans="1:17" ht="21" customHeight="1" thickBot="1">
      <c r="A13" s="3426"/>
      <c r="B13" s="2817" t="s">
        <v>1312</v>
      </c>
      <c r="C13" s="767"/>
      <c r="D13" s="1374" t="s">
        <v>1313</v>
      </c>
      <c r="E13" s="1375"/>
      <c r="F13" s="769"/>
      <c r="G13" s="788"/>
      <c r="I13" s="3444"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2584</v>
      </c>
      <c r="C14" s="2526"/>
      <c r="D14" s="769"/>
      <c r="E14" s="769"/>
      <c r="F14" s="769"/>
      <c r="G14" s="788"/>
      <c r="I14" s="3444"/>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444"/>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40" t="s">
        <v>1320</v>
      </c>
      <c r="C17" s="3441"/>
      <c r="D17" s="3442" t="s">
        <v>1321</v>
      </c>
      <c r="E17" s="3443"/>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53" t="s">
        <v>2582</v>
      </c>
      <c r="B24" s="3453"/>
      <c r="C24" s="3453"/>
      <c r="D24" s="3453"/>
      <c r="E24" s="3453"/>
      <c r="F24" s="3453"/>
      <c r="G24" s="3453"/>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28" t="s">
        <v>1334</v>
      </c>
      <c r="D28" s="3429"/>
      <c r="E28" s="759"/>
      <c r="F28" s="761" t="s">
        <v>1334</v>
      </c>
      <c r="G28" s="759"/>
      <c r="K28" s="2821"/>
    </row>
    <row r="29" spans="1:66">
      <c r="A29" s="762" t="s">
        <v>1335</v>
      </c>
      <c r="B29" s="756"/>
      <c r="C29" s="3430" t="s">
        <v>1336</v>
      </c>
      <c r="D29" s="3431"/>
      <c r="E29" s="756"/>
      <c r="F29" s="762" t="s">
        <v>1336</v>
      </c>
      <c r="G29" s="756"/>
      <c r="K29" s="2821"/>
    </row>
    <row r="30" spans="1:66">
      <c r="A30" s="762" t="s">
        <v>1337</v>
      </c>
      <c r="B30" s="756"/>
      <c r="C30" s="3430" t="s">
        <v>1337</v>
      </c>
      <c r="D30" s="3431"/>
      <c r="E30" s="756"/>
      <c r="F30" s="762" t="s">
        <v>1338</v>
      </c>
      <c r="G30" s="756"/>
      <c r="K30" s="2821"/>
    </row>
    <row r="31" spans="1:66">
      <c r="A31" s="762" t="s">
        <v>1339</v>
      </c>
      <c r="B31" s="756"/>
      <c r="C31" s="3450" t="s">
        <v>1340</v>
      </c>
      <c r="D31" s="769"/>
      <c r="E31" s="2544" t="str">
        <f>E32&amp;" "&amp;E33&amp;" "&amp;E34&amp;" "&amp;E35</f>
        <v xml:space="preserve">   </v>
      </c>
      <c r="F31" s="762" t="s">
        <v>1341</v>
      </c>
      <c r="G31" s="756"/>
    </row>
    <row r="32" spans="1:66">
      <c r="A32" s="762" t="s">
        <v>1342</v>
      </c>
      <c r="B32" s="756"/>
      <c r="C32" s="3451"/>
      <c r="D32" s="259" t="s">
        <v>1343</v>
      </c>
      <c r="E32" s="756"/>
      <c r="F32" s="762" t="s">
        <v>1344</v>
      </c>
      <c r="G32" s="756"/>
    </row>
    <row r="33" spans="1:7" ht="24.75" thickBot="1">
      <c r="A33" s="763" t="s">
        <v>1345</v>
      </c>
      <c r="B33" s="760"/>
      <c r="C33" s="3451"/>
      <c r="D33" s="259" t="s">
        <v>1346</v>
      </c>
      <c r="E33" s="756"/>
      <c r="F33" s="762" t="s">
        <v>1347</v>
      </c>
      <c r="G33" s="756"/>
    </row>
    <row r="34" spans="1:7">
      <c r="A34" s="761" t="s">
        <v>1348</v>
      </c>
      <c r="B34" s="759"/>
      <c r="C34" s="3451"/>
      <c r="D34" s="259" t="s">
        <v>1349</v>
      </c>
      <c r="E34" s="756"/>
      <c r="F34" s="762" t="s">
        <v>1350</v>
      </c>
      <c r="G34" s="756"/>
    </row>
    <row r="35" spans="1:7" ht="13.5" thickBot="1">
      <c r="A35" s="762" t="s">
        <v>1351</v>
      </c>
      <c r="B35" s="756"/>
      <c r="C35" s="3452"/>
      <c r="D35" s="259" t="s">
        <v>1352</v>
      </c>
      <c r="E35" s="756"/>
      <c r="F35" s="763" t="s">
        <v>1353</v>
      </c>
      <c r="G35" s="2545"/>
    </row>
    <row r="36" spans="1:7">
      <c r="A36" s="762" t="s">
        <v>1310</v>
      </c>
      <c r="B36" s="756"/>
      <c r="C36" s="3430" t="s">
        <v>1354</v>
      </c>
      <c r="D36" s="3431"/>
      <c r="E36" s="756"/>
      <c r="F36" s="2546" t="s">
        <v>1355</v>
      </c>
      <c r="G36" s="759"/>
    </row>
    <row r="37" spans="1:7" ht="13.5" thickBot="1">
      <c r="A37" s="762" t="s">
        <v>1356</v>
      </c>
      <c r="B37" s="756"/>
      <c r="C37" s="3432" t="s">
        <v>1357</v>
      </c>
      <c r="D37" s="3433"/>
      <c r="E37" s="760"/>
      <c r="F37" s="1391" t="s">
        <v>1358</v>
      </c>
      <c r="G37" s="756"/>
    </row>
    <row r="38" spans="1:7" ht="13.5" thickBot="1">
      <c r="A38" s="762" t="s">
        <v>1359</v>
      </c>
      <c r="B38" s="756"/>
      <c r="C38" s="3422" t="s">
        <v>1360</v>
      </c>
      <c r="D38" s="1371" t="s">
        <v>1344</v>
      </c>
      <c r="E38" s="759"/>
      <c r="F38" s="763" t="s">
        <v>1361</v>
      </c>
      <c r="G38" s="760"/>
    </row>
    <row r="39" spans="1:7">
      <c r="A39" s="762" t="s">
        <v>1362</v>
      </c>
      <c r="B39" s="756"/>
      <c r="C39" s="3423"/>
      <c r="D39" s="259" t="s">
        <v>1351</v>
      </c>
      <c r="E39" s="756"/>
      <c r="F39" s="761" t="s">
        <v>1363</v>
      </c>
      <c r="G39" s="759"/>
    </row>
    <row r="40" spans="1:7">
      <c r="A40" s="762" t="s">
        <v>1364</v>
      </c>
      <c r="B40" s="756"/>
      <c r="C40" s="3423" t="s">
        <v>1365</v>
      </c>
      <c r="D40" s="259" t="s">
        <v>1310</v>
      </c>
      <c r="E40" s="756"/>
      <c r="F40" s="762" t="s">
        <v>1366</v>
      </c>
      <c r="G40" s="756"/>
    </row>
    <row r="41" spans="1:7" ht="24.75" customHeight="1" thickBot="1">
      <c r="A41" s="763" t="s">
        <v>1367</v>
      </c>
      <c r="B41" s="760"/>
      <c r="C41" s="3424"/>
      <c r="D41" s="1374" t="s">
        <v>1312</v>
      </c>
      <c r="E41" s="760"/>
      <c r="F41" s="763" t="s">
        <v>1368</v>
      </c>
      <c r="G41" s="760"/>
    </row>
    <row r="42" spans="1:7">
      <c r="A42" s="764" t="s">
        <v>1369</v>
      </c>
      <c r="B42" s="2547"/>
      <c r="C42" s="3445" t="s">
        <v>1369</v>
      </c>
      <c r="D42" s="3446"/>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447" t="s">
        <v>1372</v>
      </c>
      <c r="D49" s="3448"/>
      <c r="E49" s="778"/>
      <c r="F49" s="763" t="s">
        <v>1373</v>
      </c>
      <c r="G49" s="760"/>
    </row>
    <row r="50" spans="1:66">
      <c r="A50" s="762" t="s">
        <v>1374</v>
      </c>
      <c r="B50" s="777"/>
      <c r="C50" s="3422" t="s">
        <v>1375</v>
      </c>
      <c r="D50" s="3449"/>
      <c r="E50" s="2549"/>
      <c r="F50" s="795"/>
      <c r="G50" s="796"/>
    </row>
    <row r="51" spans="1:66" ht="13.5" thickBot="1">
      <c r="A51" s="762" t="s">
        <v>1376</v>
      </c>
      <c r="B51" s="777"/>
      <c r="C51" s="3424" t="s">
        <v>1377</v>
      </c>
      <c r="D51" s="3427"/>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54" t="s">
        <v>0</v>
      </c>
      <c r="B1" s="3454" t="s">
        <v>2</v>
      </c>
      <c r="C1" s="3454" t="s">
        <v>3</v>
      </c>
      <c r="D1" s="3455" t="s">
        <v>67</v>
      </c>
      <c r="E1" s="3455" t="s">
        <v>68</v>
      </c>
      <c r="F1" s="3455"/>
      <c r="G1" s="3455"/>
      <c r="H1" s="3455"/>
      <c r="I1" s="3455"/>
      <c r="J1" s="3455"/>
      <c r="K1" s="3455"/>
      <c r="L1" s="3455"/>
      <c r="M1" s="3455"/>
    </row>
    <row r="2" spans="1:13" ht="27" customHeight="1">
      <c r="A2" s="3454"/>
      <c r="B2" s="3454"/>
      <c r="C2" s="3454"/>
      <c r="D2" s="3455"/>
      <c r="E2" s="3455" t="s">
        <v>51</v>
      </c>
      <c r="F2" s="3455" t="s">
        <v>52</v>
      </c>
      <c r="G2" s="3455"/>
      <c r="H2" s="3455"/>
      <c r="I2" s="3455"/>
      <c r="J2" s="3455" t="s">
        <v>53</v>
      </c>
      <c r="K2" s="3455"/>
      <c r="L2" s="3455"/>
      <c r="M2" s="3455"/>
    </row>
    <row r="3" spans="1:13" ht="28.5">
      <c r="A3" s="3454"/>
      <c r="B3" s="3454"/>
      <c r="C3" s="3454"/>
      <c r="D3" s="3455"/>
      <c r="E3" s="34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55" t="s">
        <v>69</v>
      </c>
      <c r="B9" s="3455"/>
      <c r="C9" s="34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24"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44938</v>
      </c>
      <c r="C2" s="1613"/>
      <c r="D2" s="3456"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3034</v>
      </c>
      <c r="C3" s="1613"/>
      <c r="D3" s="3457"/>
      <c r="E3" s="2556" t="s">
        <v>3126</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3032</v>
      </c>
      <c r="C4" s="1613"/>
      <c r="D4" s="3457"/>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53.46</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2639</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70</v>
      </c>
      <c r="C11" s="1613"/>
      <c r="D11" s="2846" t="s">
        <v>1392</v>
      </c>
      <c r="E11" s="2566">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70498</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70</v>
      </c>
      <c r="C13" s="2884"/>
      <c r="D13" s="2850" t="s">
        <v>1397</v>
      </c>
      <c r="E13" s="2570">
        <v>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1</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4.4999999999999998E-2</v>
      </c>
      <c r="C15" s="2480"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3369">
        <v>0.04</v>
      </c>
      <c r="C16" s="2480" t="s">
        <v>2594</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2591</v>
      </c>
      <c r="B17" s="3006">
        <v>7.4999999999999997E-2</v>
      </c>
      <c r="C17" s="2480" t="s">
        <v>2595</v>
      </c>
      <c r="D17" s="2843" t="s">
        <v>1406</v>
      </c>
      <c r="E17" s="2574">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160380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0.05</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2600</v>
      </c>
      <c r="I25" s="2885"/>
    </row>
    <row r="26" spans="1:41" ht="15" thickBot="1">
      <c r="A26" s="2863" t="s">
        <v>1417</v>
      </c>
      <c r="B26" s="2867">
        <f>B22-B23</f>
        <v>0</v>
      </c>
      <c r="D26" s="2847" t="s">
        <v>1420</v>
      </c>
      <c r="E26" s="2582">
        <v>0.02</v>
      </c>
      <c r="F26" s="2590" t="s">
        <v>2600</v>
      </c>
      <c r="G26" s="2886"/>
      <c r="H26" s="2886"/>
      <c r="I26" s="1613"/>
      <c r="J26" s="1613"/>
      <c r="K26" s="1613"/>
      <c r="L26" s="1613"/>
      <c r="M26" s="1613"/>
      <c r="N26" s="1613"/>
    </row>
    <row r="27" spans="1:41" ht="15.75" thickBot="1">
      <c r="A27" s="2868" t="s">
        <v>1419</v>
      </c>
      <c r="B27" s="2584">
        <v>2014</v>
      </c>
      <c r="C27" s="1613"/>
      <c r="D27" s="3073" t="s">
        <v>3035</v>
      </c>
      <c r="E27" s="2869">
        <f ca="1">IF(D27="利息：取LPR",存贷款利率!G1,存贷款利率!G1+F27)</f>
        <v>4.7500000000000001E-2</v>
      </c>
      <c r="F27" s="3074">
        <v>1.0999999999999999E-2</v>
      </c>
      <c r="G27" s="2886"/>
      <c r="H27" s="2886"/>
      <c r="K27" s="1613"/>
      <c r="N27" s="1613"/>
    </row>
    <row r="28" spans="1:41" ht="15" thickBot="1">
      <c r="A28" s="905"/>
      <c r="B28" s="905"/>
      <c r="D28" s="2850" t="s">
        <v>1422</v>
      </c>
      <c r="E28" s="2586">
        <v>0.25</v>
      </c>
      <c r="G28" s="2886"/>
      <c r="H28" s="2886"/>
      <c r="K28" s="1613"/>
      <c r="N28" s="1613"/>
    </row>
    <row r="29" spans="1:41" ht="14.25">
      <c r="A29" s="2870" t="s">
        <v>1421</v>
      </c>
      <c r="B29" s="2585" t="s">
        <v>3033</v>
      </c>
      <c r="D29" s="2852" t="s">
        <v>1423</v>
      </c>
      <c r="E29" s="2871">
        <f>E30+E31</f>
        <v>5.5000000000000007E-2</v>
      </c>
      <c r="F29" s="1238"/>
      <c r="G29" s="2886"/>
      <c r="H29" s="2886"/>
      <c r="K29" s="1613"/>
      <c r="N29" s="1613"/>
    </row>
    <row r="30" spans="1:41" ht="14.25">
      <c r="A30" s="2847" t="str">
        <f>IF(B29="租赁期内按合同租金","合同租金","市场租金")</f>
        <v>市场租金</v>
      </c>
      <c r="B30" s="2587">
        <v>3300</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2">
        <v>0.03</v>
      </c>
      <c r="D32" s="2854" t="s">
        <v>1429</v>
      </c>
      <c r="E32" s="2589">
        <v>0.05</v>
      </c>
      <c r="F32" s="2590" t="s">
        <v>2487</v>
      </c>
      <c r="G32" s="2886"/>
      <c r="H32" s="2886"/>
      <c r="K32" s="1613"/>
      <c r="L32" s="1613"/>
      <c r="M32" s="1613"/>
      <c r="N32" s="1613"/>
    </row>
    <row r="33" spans="1:14" ht="14.25">
      <c r="A33" s="2847" t="s">
        <v>1428</v>
      </c>
      <c r="B33" s="2572">
        <v>0.05</v>
      </c>
      <c r="D33" s="2854" t="s">
        <v>1431</v>
      </c>
      <c r="E33" s="2588">
        <v>0.03</v>
      </c>
      <c r="F33" s="1237" t="s">
        <v>1432</v>
      </c>
      <c r="G33" s="2886"/>
      <c r="H33" s="2886"/>
      <c r="K33" s="1613"/>
      <c r="L33" s="1613"/>
      <c r="M33" s="1613"/>
      <c r="N33" s="1613"/>
    </row>
    <row r="34" spans="1:14" s="2592" customFormat="1" ht="14.25">
      <c r="A34" s="2847" t="s">
        <v>1430</v>
      </c>
      <c r="B34" s="2875">
        <f>收益法!J54</f>
        <v>70</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699" t="s">
        <v>1448</v>
      </c>
      <c r="H41" s="2886"/>
      <c r="I41" s="1613"/>
      <c r="J41" s="1613"/>
      <c r="K41" s="1613"/>
      <c r="L41" s="1613"/>
      <c r="M41" s="1613"/>
      <c r="N41" s="1613"/>
    </row>
    <row r="42" spans="1:14" ht="14.25">
      <c r="A42" s="2846" t="s">
        <v>1445</v>
      </c>
      <c r="B42" s="2597">
        <v>1</v>
      </c>
      <c r="D42" s="2600" t="s">
        <v>1450</v>
      </c>
      <c r="E42" s="2587">
        <f>F42</f>
        <v>30</v>
      </c>
      <c r="F42" s="1239">
        <v>30</v>
      </c>
      <c r="G42" s="2886"/>
      <c r="H42" s="2886"/>
      <c r="I42" s="1613"/>
      <c r="J42" s="1613"/>
      <c r="K42" s="1613"/>
      <c r="L42" s="1613"/>
      <c r="M42" s="1613"/>
      <c r="N42" s="1613"/>
    </row>
    <row r="43" spans="1:14" ht="14.25">
      <c r="A43" s="2847" t="s">
        <v>1449</v>
      </c>
      <c r="B43" s="2599">
        <v>12</v>
      </c>
      <c r="D43" s="2600" t="s">
        <v>1452</v>
      </c>
      <c r="E43" s="2587">
        <f t="shared" ref="E43:E47" si="0">F43</f>
        <v>24</v>
      </c>
      <c r="F43" s="1239">
        <v>24</v>
      </c>
      <c r="G43" s="2886"/>
      <c r="H43" s="2886"/>
      <c r="I43" s="1613"/>
      <c r="J43" s="1613"/>
      <c r="K43" s="1613"/>
      <c r="L43" s="1613"/>
      <c r="M43" s="1613"/>
      <c r="N43" s="1613"/>
    </row>
    <row r="44" spans="1:14" ht="14.25">
      <c r="A44" s="2847" t="s">
        <v>1451</v>
      </c>
      <c r="B44" s="2587"/>
      <c r="D44" s="2600" t="s">
        <v>1454</v>
      </c>
      <c r="E44" s="2587">
        <f t="shared" si="0"/>
        <v>18</v>
      </c>
      <c r="F44" s="1239">
        <v>18</v>
      </c>
      <c r="G44" s="2592"/>
      <c r="H44" s="2592"/>
      <c r="I44" s="2886"/>
      <c r="J44" s="1613"/>
      <c r="K44" s="1613"/>
      <c r="L44" s="1613"/>
      <c r="M44" s="1613"/>
      <c r="N44" s="1613"/>
    </row>
    <row r="45" spans="1:14" ht="14.25">
      <c r="A45" s="2847" t="s">
        <v>1453</v>
      </c>
      <c r="B45" s="2601">
        <v>5.0000000000000001E-3</v>
      </c>
      <c r="C45" s="2480" t="s">
        <v>2598</v>
      </c>
      <c r="D45" s="2600" t="s">
        <v>1456</v>
      </c>
      <c r="E45" s="2587">
        <f t="shared" si="0"/>
        <v>12</v>
      </c>
      <c r="F45" s="1239">
        <v>12</v>
      </c>
      <c r="G45" s="2592"/>
      <c r="H45" s="2592"/>
      <c r="M45" s="1613"/>
      <c r="N45" s="1613"/>
    </row>
    <row r="46" spans="1:14" ht="14.25">
      <c r="A46" s="2847" t="s">
        <v>1455</v>
      </c>
      <c r="B46" s="2602">
        <v>5.0000000000000001E-4</v>
      </c>
      <c r="C46" s="2480" t="s">
        <v>2596</v>
      </c>
      <c r="D46" s="2600" t="s">
        <v>1218</v>
      </c>
      <c r="E46" s="2587">
        <f t="shared" si="0"/>
        <v>3</v>
      </c>
      <c r="F46" s="1239">
        <v>3</v>
      </c>
      <c r="G46" s="2592"/>
      <c r="H46" s="2592"/>
      <c r="M46" s="1613"/>
      <c r="N46" s="1613"/>
    </row>
    <row r="47" spans="1:14" ht="15" thickBot="1">
      <c r="A47" s="2850" t="s">
        <v>1457</v>
      </c>
      <c r="B47" s="2603">
        <v>5.0000000000000001E-3</v>
      </c>
      <c r="C47" s="2480" t="s">
        <v>2597</v>
      </c>
      <c r="D47" s="2600" t="s">
        <v>1458</v>
      </c>
      <c r="E47" s="2587">
        <f t="shared" si="0"/>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14.75" style="2554" customWidth="1"/>
    <col min="2" max="2" width="24.5" style="2567" customWidth="1"/>
    <col min="3" max="3" width="37.62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58" t="s">
        <v>1463</v>
      </c>
      <c r="B1" s="3459"/>
      <c r="C1" s="3459"/>
      <c r="D1" s="3459"/>
      <c r="E1" s="3459"/>
      <c r="F1" s="3459"/>
      <c r="G1" s="3459"/>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5.5">
      <c r="A3" s="3021" t="s">
        <v>2605</v>
      </c>
      <c r="B3" s="3022" t="s">
        <v>2606</v>
      </c>
      <c r="C3" s="3023" t="s">
        <v>2607</v>
      </c>
      <c r="D3" s="3024"/>
      <c r="E3" s="3025" t="s">
        <v>2605</v>
      </c>
      <c r="F3" s="3026" t="s">
        <v>2608</v>
      </c>
      <c r="G3" s="3027" t="s">
        <v>2609</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2610</v>
      </c>
      <c r="C4" s="3028" t="s">
        <v>2611</v>
      </c>
      <c r="D4" s="3024"/>
      <c r="E4" s="3029"/>
      <c r="F4" s="3011" t="s">
        <v>2612</v>
      </c>
      <c r="G4" s="3030" t="s">
        <v>2613</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2614</v>
      </c>
      <c r="C5" s="3028" t="s">
        <v>2615</v>
      </c>
      <c r="D5" s="3024"/>
      <c r="E5" s="3029"/>
      <c r="F5" s="3009" t="s">
        <v>2616</v>
      </c>
      <c r="G5" s="3030" t="s">
        <v>2617</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24">
      <c r="A6" s="3025"/>
      <c r="B6" s="3009" t="s">
        <v>2618</v>
      </c>
      <c r="C6" s="3030" t="s">
        <v>2613</v>
      </c>
      <c r="D6" s="3024"/>
      <c r="E6" s="3029"/>
      <c r="F6" s="3009" t="s">
        <v>2619</v>
      </c>
      <c r="G6" s="3030" t="s">
        <v>2620</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2616</v>
      </c>
      <c r="C7" s="3030" t="s">
        <v>2617</v>
      </c>
      <c r="D7" s="2899"/>
      <c r="E7" s="3031"/>
      <c r="F7" s="3032" t="s">
        <v>2621</v>
      </c>
      <c r="G7" s="3033" t="s">
        <v>2622</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2619</v>
      </c>
      <c r="C8" s="3030" t="s">
        <v>2620</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2623</v>
      </c>
      <c r="C9" s="3028" t="s">
        <v>2624</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2625</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2626</v>
      </c>
      <c r="D14" s="3024"/>
      <c r="E14" s="3042"/>
      <c r="F14" s="3042"/>
      <c r="G14" s="3017" t="s">
        <v>2627</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25.5">
      <c r="A15" s="3046" t="s">
        <v>2628</v>
      </c>
      <c r="B15" s="3047" t="s">
        <v>2606</v>
      </c>
      <c r="C15" s="3048" t="str">
        <f>C3</f>
        <v>估价对象周边居住用地比例、居住小区规模和社区发展完善程度，综合评价居住社区成熟度一般</v>
      </c>
      <c r="D15" s="3024"/>
      <c r="E15" s="3049" t="s">
        <v>2629</v>
      </c>
      <c r="F15" s="3047" t="s">
        <v>2630</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2610</v>
      </c>
      <c r="C16" s="3052" t="str">
        <f>C4</f>
        <v>估价对象位于XX商圈，周边商业氛围成熟，人流量大，商业繁华度好</v>
      </c>
      <c r="D16" s="3024"/>
      <c r="E16" s="3053"/>
      <c r="F16" s="3010" t="s">
        <v>2612</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2614</v>
      </c>
      <c r="C17" s="3052" t="str">
        <f>C5</f>
        <v>估价对象位于XX商圈，周边办公楼项目较多，入驻率高，办公集聚程度较好</v>
      </c>
      <c r="D17" s="2899"/>
      <c r="E17" s="3053"/>
      <c r="F17" s="3323" t="s">
        <v>3025</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25.5">
      <c r="A18" s="3051"/>
      <c r="B18" s="3010" t="s">
        <v>2618</v>
      </c>
      <c r="C18" s="3054" t="str">
        <f>C6</f>
        <v>估价对象周边道路状况、公共交通通达情况、停车便捷程度，综合评价交通便捷度较好</v>
      </c>
      <c r="D18" s="2899"/>
      <c r="E18" s="3053"/>
      <c r="F18" s="3010" t="s">
        <v>2621</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3024</v>
      </c>
      <c r="C19" s="3055"/>
      <c r="D19" s="3024"/>
      <c r="E19" s="3053"/>
      <c r="F19" s="3009" t="s">
        <v>2616</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2631</v>
      </c>
      <c r="C20" s="3052" t="str">
        <f>C9</f>
        <v>区域自然环境：；人文环境；综合评价环境状况一般</v>
      </c>
      <c r="D20" s="2899"/>
      <c r="E20" s="3053"/>
      <c r="F20" s="3009" t="s">
        <v>2619</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12.75">
      <c r="A21" s="3051"/>
      <c r="B21" s="3009" t="s">
        <v>2616</v>
      </c>
      <c r="C21" s="3054" t="str">
        <f>C7</f>
        <v>估价对象所在区域公共配套设施齐备情况</v>
      </c>
      <c r="D21" s="3024"/>
      <c r="E21" s="3053"/>
      <c r="F21" s="3010" t="s">
        <v>2632</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2619</v>
      </c>
      <c r="C22" s="3054" t="str">
        <f>C8</f>
        <v>估价对象所在区域基础设施水平</v>
      </c>
      <c r="D22" s="3024"/>
      <c r="E22" s="3053"/>
      <c r="F22" s="3010" t="s">
        <v>2625</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2632</v>
      </c>
      <c r="C23" s="3056"/>
      <c r="D23" s="3043"/>
      <c r="E23" s="3058"/>
      <c r="F23" s="3012" t="s">
        <v>2633</v>
      </c>
      <c r="G23" s="3059"/>
      <c r="H23" s="3043"/>
      <c r="I23" s="3044"/>
      <c r="J23" s="3043"/>
      <c r="K23" s="3043"/>
      <c r="L23" s="3044"/>
      <c r="M23" s="3043"/>
      <c r="N23" s="3043"/>
      <c r="O23" s="3044"/>
      <c r="P23" s="3043"/>
      <c r="Q23" s="3043"/>
      <c r="R23" s="3045"/>
    </row>
    <row r="24" spans="1:29" s="3020" customFormat="1" ht="13.5" thickBot="1">
      <c r="A24" s="3060"/>
      <c r="B24" s="3012" t="s">
        <v>2634</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0000"/>
  </sheetPr>
  <dimension ref="A1:AJ516"/>
  <sheetViews>
    <sheetView view="pageBreakPreview" topLeftCell="A10" zoomScale="110" zoomScaleNormal="100" zoomScaleSheetLayoutView="110" zoomScalePageLayoutView="80" workbookViewId="0">
      <selection activeCell="K22" sqref="K22"/>
    </sheetView>
  </sheetViews>
  <sheetFormatPr defaultColWidth="12.625" defaultRowHeight="21.75" customHeight="1"/>
  <cols>
    <col min="1" max="2" width="12.625" style="1390"/>
    <col min="3" max="4" width="12.625" style="1390" customWidth="1"/>
    <col min="5" max="5" width="12.625" style="1390"/>
    <col min="6" max="6" width="14.625" style="1390" customWidth="1"/>
    <col min="7"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31" t="str">
        <f>项目基本情况!B1</f>
        <v>北京市房地产市场价值预评估</v>
      </c>
      <c r="B2" s="3531"/>
      <c r="C2" s="3531"/>
      <c r="D2" s="3531"/>
      <c r="E2" s="3531"/>
      <c r="F2" s="3531"/>
      <c r="G2" s="3531"/>
      <c r="H2" s="3531"/>
      <c r="I2" s="3531"/>
      <c r="J2" s="2761"/>
    </row>
    <row r="3" spans="1:15" ht="12.75">
      <c r="A3" s="3536" t="s">
        <v>1471</v>
      </c>
      <c r="B3" s="3537"/>
      <c r="C3" s="3537"/>
      <c r="D3" s="3537"/>
      <c r="E3" s="3537"/>
      <c r="F3" s="3537"/>
      <c r="G3" s="3537"/>
      <c r="H3" s="3537"/>
      <c r="I3" s="3537"/>
      <c r="J3" s="2762"/>
    </row>
    <row r="4" spans="1:15" ht="14.25">
      <c r="A4" s="2630" t="s">
        <v>1472</v>
      </c>
      <c r="B4" s="2630" t="s">
        <v>1473</v>
      </c>
      <c r="C4" s="2631" t="s">
        <v>3124</v>
      </c>
      <c r="D4" s="2631" t="s">
        <v>3125</v>
      </c>
      <c r="E4" s="3533" t="s">
        <v>1474</v>
      </c>
      <c r="F4" s="3521"/>
      <c r="G4" s="3521"/>
      <c r="H4" s="3521"/>
      <c r="I4" s="3522"/>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532" t="s">
        <v>1475</v>
      </c>
      <c r="B5" s="3532">
        <v>25</v>
      </c>
      <c r="C5" s="3538">
        <v>70</v>
      </c>
      <c r="D5" s="3535">
        <f>100-C5</f>
        <v>30</v>
      </c>
      <c r="E5" s="12" t="s">
        <v>1476</v>
      </c>
      <c r="F5" s="2016"/>
      <c r="G5" s="2016"/>
      <c r="H5" s="2016"/>
      <c r="I5" s="2011"/>
      <c r="J5" s="2763"/>
    </row>
    <row r="6" spans="1:15" ht="12.75">
      <c r="A6" s="3532"/>
      <c r="B6" s="3532"/>
      <c r="C6" s="3539"/>
      <c r="D6" s="3535"/>
      <c r="E6" s="12" t="s">
        <v>1477</v>
      </c>
      <c r="F6" s="2016"/>
      <c r="G6" s="2016"/>
      <c r="H6" s="2016"/>
      <c r="I6" s="2011"/>
      <c r="J6" s="2763"/>
    </row>
    <row r="7" spans="1:15" ht="12.75">
      <c r="A7" s="3532"/>
      <c r="B7" s="3532"/>
      <c r="C7" s="3540"/>
      <c r="D7" s="3535"/>
      <c r="E7" s="12" t="s">
        <v>1478</v>
      </c>
      <c r="F7" s="2016"/>
      <c r="G7" s="2016"/>
      <c r="H7" s="2016"/>
      <c r="I7" s="2011"/>
      <c r="J7" s="2763"/>
    </row>
    <row r="8" spans="1:15" ht="12.75">
      <c r="A8" s="3532" t="s">
        <v>1479</v>
      </c>
      <c r="B8" s="3532">
        <v>15</v>
      </c>
      <c r="C8" s="3538"/>
      <c r="D8" s="3535"/>
      <c r="E8" s="12" t="s">
        <v>1480</v>
      </c>
      <c r="F8" s="2016"/>
      <c r="G8" s="2016"/>
      <c r="H8" s="2016"/>
      <c r="I8" s="2011"/>
      <c r="J8" s="2763"/>
    </row>
    <row r="9" spans="1:15" ht="12.75">
      <c r="A9" s="3532"/>
      <c r="B9" s="3532"/>
      <c r="C9" s="3540"/>
      <c r="D9" s="3535"/>
      <c r="E9" s="12" t="s">
        <v>1481</v>
      </c>
      <c r="F9" s="2016"/>
      <c r="G9" s="2016"/>
      <c r="H9" s="2016"/>
      <c r="I9" s="2011"/>
      <c r="J9" s="2763"/>
    </row>
    <row r="10" spans="1:15" ht="12.75">
      <c r="A10" s="3532" t="s">
        <v>1482</v>
      </c>
      <c r="B10" s="3532">
        <v>15</v>
      </c>
      <c r="C10" s="3538"/>
      <c r="D10" s="3535"/>
      <c r="E10" s="12" t="s">
        <v>1483</v>
      </c>
      <c r="F10" s="2016"/>
      <c r="G10" s="2016"/>
      <c r="H10" s="2016"/>
      <c r="I10" s="2011"/>
      <c r="J10" s="2763"/>
    </row>
    <row r="11" spans="1:15" ht="12.75">
      <c r="A11" s="3532"/>
      <c r="B11" s="3532"/>
      <c r="C11" s="3540"/>
      <c r="D11" s="3535"/>
      <c r="E11" s="12" t="s">
        <v>1484</v>
      </c>
      <c r="F11" s="2016"/>
      <c r="G11" s="2016"/>
      <c r="H11" s="2016"/>
      <c r="I11" s="2011"/>
      <c r="J11" s="2763"/>
    </row>
    <row r="12" spans="1:15" ht="12.75">
      <c r="A12" s="3532" t="s">
        <v>1485</v>
      </c>
      <c r="B12" s="3532">
        <v>15</v>
      </c>
      <c r="C12" s="3538"/>
      <c r="D12" s="3535"/>
      <c r="E12" s="12" t="s">
        <v>1486</v>
      </c>
      <c r="F12" s="2016"/>
      <c r="G12" s="2016"/>
      <c r="H12" s="2016"/>
      <c r="I12" s="2011"/>
      <c r="J12" s="2763"/>
    </row>
    <row r="13" spans="1:15" ht="12.75">
      <c r="A13" s="3532"/>
      <c r="B13" s="3532"/>
      <c r="C13" s="3540"/>
      <c r="D13" s="3535"/>
      <c r="E13" s="12" t="s">
        <v>1487</v>
      </c>
      <c r="F13" s="2016"/>
      <c r="G13" s="2016"/>
      <c r="H13" s="2016"/>
      <c r="I13" s="2011"/>
      <c r="J13" s="2763"/>
    </row>
    <row r="14" spans="1:15" ht="12.75">
      <c r="A14" s="3532" t="s">
        <v>1488</v>
      </c>
      <c r="B14" s="3532">
        <v>30</v>
      </c>
      <c r="C14" s="3538"/>
      <c r="D14" s="3535"/>
      <c r="E14" s="12" t="s">
        <v>1489</v>
      </c>
      <c r="F14" s="2016"/>
      <c r="G14" s="2016"/>
      <c r="H14" s="2016"/>
      <c r="I14" s="2011"/>
      <c r="J14" s="2763"/>
    </row>
    <row r="15" spans="1:15" ht="12.75">
      <c r="A15" s="3532"/>
      <c r="B15" s="3532"/>
      <c r="C15" s="3539"/>
      <c r="D15" s="3535"/>
      <c r="E15" s="12" t="s">
        <v>1490</v>
      </c>
      <c r="F15" s="2016"/>
      <c r="G15" s="2016"/>
      <c r="H15" s="2016"/>
      <c r="I15" s="2011"/>
      <c r="J15" s="2763"/>
    </row>
    <row r="16" spans="1:15" ht="12.75">
      <c r="A16" s="3532"/>
      <c r="B16" s="3532"/>
      <c r="C16" s="3540"/>
      <c r="D16" s="3535"/>
      <c r="E16" s="12" t="s">
        <v>1491</v>
      </c>
      <c r="F16" s="2016"/>
      <c r="G16" s="2016"/>
      <c r="H16" s="2016"/>
      <c r="I16" s="2011"/>
      <c r="J16" s="2763"/>
    </row>
    <row r="17" spans="1:36" ht="15">
      <c r="A17" s="2632" t="s">
        <v>1492</v>
      </c>
      <c r="B17" s="2021"/>
      <c r="C17" s="2633">
        <f>SUM(C5:C16)</f>
        <v>70</v>
      </c>
      <c r="D17" s="2633">
        <f>SUM(D5:D16)</f>
        <v>30</v>
      </c>
      <c r="E17" s="2480"/>
      <c r="F17" s="2480"/>
      <c r="G17" s="2480"/>
      <c r="H17" s="2480"/>
      <c r="I17" s="2480"/>
      <c r="J17" s="2764"/>
    </row>
    <row r="18" spans="1:36" ht="30" customHeight="1" thickBot="1">
      <c r="A18" s="2634" t="s">
        <v>1493</v>
      </c>
      <c r="B18" s="2635"/>
      <c r="C18" s="2636">
        <f>ROUND(C17/SUM(C17:D17),2)</f>
        <v>0.7</v>
      </c>
      <c r="D18" s="2636">
        <f>1-C18</f>
        <v>0.30000000000000004</v>
      </c>
      <c r="E18" s="3552" t="s">
        <v>2572</v>
      </c>
      <c r="F18" s="3553"/>
      <c r="G18" s="3553"/>
      <c r="H18" s="3553"/>
      <c r="I18" s="3553"/>
      <c r="J18" s="2764"/>
    </row>
    <row r="19" spans="1:36" ht="15">
      <c r="A19" s="2637" t="s">
        <v>1494</v>
      </c>
      <c r="B19" s="2638" t="s">
        <v>1495</v>
      </c>
      <c r="C19" s="2639">
        <f ca="1">SUMIF(INDIRECT("'"&amp;C4&amp;"'"&amp;"!A:A"),结果表!B19,INDIRECT("'"&amp;C4&amp;"'"&amp;"!B:B"))</f>
        <v>221</v>
      </c>
      <c r="D19" s="2640">
        <f ca="1">SUMIF(INDIRECT("'"&amp;D4&amp;"'"&amp;"!A:A"),结果表!B19,INDIRECT("'"&amp;D4&amp;"'"&amp;"!B:B"))</f>
        <v>173</v>
      </c>
      <c r="E19" s="2637" t="s">
        <v>1496</v>
      </c>
      <c r="F19" s="2638" t="s">
        <v>1495</v>
      </c>
      <c r="G19" s="2641">
        <f ca="1">ROUND(C19*$C$18+D19*$D$18,0)</f>
        <v>207</v>
      </c>
      <c r="H19" s="2642" t="str">
        <f>'数据-取费表'!B3</f>
        <v>万元</v>
      </c>
      <c r="I19" s="2690"/>
      <c r="J19" s="2765"/>
    </row>
    <row r="20" spans="1:36" ht="15">
      <c r="A20" s="2643"/>
      <c r="B20" s="1622" t="s">
        <v>1497</v>
      </c>
      <c r="C20" s="1846">
        <f ca="1">SUMIF(INDIRECT("'"&amp;C4&amp;"'"&amp;"!A:A"),结果表!B20,INDIRECT("'"&amp;C4&amp;"'"&amp;"!B:B"))</f>
        <v>41300</v>
      </c>
      <c r="D20" s="1849">
        <f ca="1">SUMIF(INDIRECT("'"&amp;D4&amp;"'"&amp;"!A:A"),结果表!B20,INDIRECT("'"&amp;D4&amp;"'"&amp;"!B:B"))</f>
        <v>32298</v>
      </c>
      <c r="E20" s="2643"/>
      <c r="F20" s="1622" t="s">
        <v>1497</v>
      </c>
      <c r="G20" s="2020">
        <f ca="1">ROUND(C20*$C$18+D20*$D$18,0)</f>
        <v>38599</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0.27745664739884401</v>
      </c>
      <c r="E22" s="905"/>
      <c r="F22" s="905"/>
      <c r="G22" s="905"/>
      <c r="H22" s="905"/>
      <c r="I22" s="905"/>
      <c r="J22" s="2764"/>
    </row>
    <row r="23" spans="1:36" ht="13.5" thickBot="1">
      <c r="A23" s="2480"/>
      <c r="B23" s="2480"/>
      <c r="C23" s="2480"/>
      <c r="D23" s="2480"/>
      <c r="E23" s="905"/>
      <c r="F23" s="3366" t="s">
        <v>3134</v>
      </c>
      <c r="G23" s="3367">
        <v>308357</v>
      </c>
      <c r="H23" s="3332" t="s">
        <v>3139</v>
      </c>
      <c r="I23" s="905"/>
      <c r="J23" s="2764"/>
    </row>
    <row r="24" spans="1:36" ht="21.75" customHeight="1">
      <c r="A24" s="3541" t="s">
        <v>1500</v>
      </c>
      <c r="B24" s="2638" t="s">
        <v>1495</v>
      </c>
      <c r="C24" s="2641">
        <f>D30</f>
        <v>0</v>
      </c>
      <c r="D24" s="2593"/>
      <c r="E24" s="905"/>
      <c r="F24" s="3366" t="s">
        <v>3135</v>
      </c>
      <c r="G24" s="3367">
        <f ca="1">ROUND(G20*项目基本情况!C12,0)</f>
        <v>2063503</v>
      </c>
      <c r="H24" s="905"/>
      <c r="I24" s="905"/>
      <c r="J24" s="2764"/>
    </row>
    <row r="25" spans="1:36" ht="21.75" customHeight="1">
      <c r="A25" s="3542"/>
      <c r="B25" s="1622" t="s">
        <v>1497</v>
      </c>
      <c r="C25" s="2653">
        <f>IF(B30=0,0,C30)</f>
        <v>0</v>
      </c>
      <c r="D25" s="2654"/>
      <c r="E25" s="905"/>
      <c r="F25" s="3368" t="s">
        <v>3136</v>
      </c>
      <c r="G25" s="3367">
        <f ca="1">ROUND((G24-G23)*70%,0)</f>
        <v>1228602</v>
      </c>
      <c r="H25" s="905"/>
      <c r="I25" s="905"/>
      <c r="J25" s="2764"/>
    </row>
    <row r="26" spans="1:36" ht="13.5" customHeight="1">
      <c r="A26" s="2655" t="s">
        <v>1501</v>
      </c>
      <c r="B26" s="2656" t="s">
        <v>1502</v>
      </c>
      <c r="C26" s="2656" t="s">
        <v>1503</v>
      </c>
      <c r="D26" s="2657" t="s">
        <v>1504</v>
      </c>
      <c r="E26" s="905"/>
      <c r="F26" s="3366" t="s">
        <v>3137</v>
      </c>
      <c r="G26" s="3367">
        <f ca="1">G24-G25</f>
        <v>834901</v>
      </c>
      <c r="H26" s="905"/>
      <c r="I26" s="905"/>
      <c r="J26" s="2764"/>
    </row>
    <row r="27" spans="1:36" ht="14.25">
      <c r="A27" s="2658" t="s">
        <v>3133</v>
      </c>
      <c r="B27" s="2656">
        <f>项目基本情况!C12</f>
        <v>53.46</v>
      </c>
      <c r="C27" s="2656">
        <v>0</v>
      </c>
      <c r="D27" s="2657">
        <f>ROUND(C27*B27/10000,0)</f>
        <v>0</v>
      </c>
      <c r="E27" s="905"/>
      <c r="F27" s="3366" t="s">
        <v>3138</v>
      </c>
      <c r="G27" s="3367">
        <f ca="1">ROUND(G26/B27,0)</f>
        <v>15617</v>
      </c>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0"/>
      <c r="G30" s="2480"/>
      <c r="H30" s="2480"/>
      <c r="I30" s="2480"/>
      <c r="J30" s="2764"/>
    </row>
    <row r="31" spans="1:36" s="2757" customFormat="1" ht="26.45"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38599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33388</v>
      </c>
      <c r="D34" s="2667">
        <f ca="1">IF(D33="自定义",ROUND(C34/C32,3),1-D35)</f>
        <v>0.86499999999999999</v>
      </c>
      <c r="E34" s="1363" t="s">
        <v>1510</v>
      </c>
      <c r="F34" s="2668">
        <v>2000</v>
      </c>
      <c r="G34" s="905"/>
      <c r="H34" s="905"/>
      <c r="I34" s="905"/>
      <c r="J34" s="2764"/>
    </row>
    <row r="35" spans="1:17" ht="15.75" thickBot="1">
      <c r="A35" s="1395"/>
      <c r="B35" s="2669" t="s">
        <v>1511</v>
      </c>
      <c r="C35" s="2670">
        <f ca="1">IF(D33="自定义",F35,ROUND(C32*D35,0))</f>
        <v>5211</v>
      </c>
      <c r="D35" s="2671">
        <f ca="1">IF(D33="自定义",ROUND(C35/C32,3),IF(D33="成本法成本比率",成本法!C56,IF(D33="收益法收益比率",收益法!J38,收益法!J41)))</f>
        <v>0.13500000000000001</v>
      </c>
      <c r="E35" s="2672" t="s">
        <v>1512</v>
      </c>
      <c r="F35" s="2673">
        <v>4460</v>
      </c>
      <c r="G35" s="905"/>
      <c r="H35" s="905"/>
      <c r="I35" s="905"/>
      <c r="J35" s="2764"/>
    </row>
    <row r="36" spans="1:17" ht="15.75" thickBot="1">
      <c r="A36" s="3541" t="s">
        <v>1513</v>
      </c>
      <c r="B36" s="1396" t="s">
        <v>1514</v>
      </c>
      <c r="C36" s="2674">
        <v>0</v>
      </c>
      <c r="D36" s="2675"/>
      <c r="E36" s="1608"/>
      <c r="F36" s="1608"/>
      <c r="G36" s="905"/>
      <c r="H36" s="905"/>
      <c r="I36" s="905"/>
      <c r="J36" s="2764"/>
    </row>
    <row r="37" spans="1:17" ht="15.75" thickBot="1">
      <c r="A37" s="3546"/>
      <c r="B37" s="2021" t="s">
        <v>1515</v>
      </c>
      <c r="C37" s="2676">
        <v>0</v>
      </c>
      <c r="D37" s="1239"/>
      <c r="E37" s="1239"/>
      <c r="F37" s="1608"/>
      <c r="G37" s="1239"/>
      <c r="H37" s="1239"/>
      <c r="I37" s="1239"/>
      <c r="J37" s="2768"/>
    </row>
    <row r="38" spans="1:17" ht="15.75" thickBot="1">
      <c r="A38" s="3547"/>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466" t="s">
        <v>1524</v>
      </c>
      <c r="B45" s="3467"/>
      <c r="C45" s="3477"/>
      <c r="D45" s="246">
        <f ca="1">ROUND(I102*F45,0)</f>
        <v>206</v>
      </c>
      <c r="E45" s="1470" t="s">
        <v>1525</v>
      </c>
      <c r="F45" s="2478">
        <v>1</v>
      </c>
      <c r="G45" s="2479" t="s">
        <v>1526</v>
      </c>
      <c r="H45" s="905"/>
      <c r="I45" s="905"/>
      <c r="J45" s="2764"/>
      <c r="K45" s="3472" t="s">
        <v>2501</v>
      </c>
      <c r="L45" s="3472"/>
      <c r="M45" s="3472"/>
      <c r="N45" s="3472"/>
      <c r="O45" s="3472"/>
      <c r="P45" s="3472"/>
      <c r="Q45" s="1236"/>
    </row>
    <row r="46" spans="1:17" ht="14.25" customHeight="1">
      <c r="A46" s="3543" t="s">
        <v>1528</v>
      </c>
      <c r="B46" s="3544"/>
      <c r="C46" s="3544"/>
      <c r="D46" s="3544"/>
      <c r="E46" s="3544"/>
      <c r="F46" s="3544"/>
      <c r="G46" s="3545"/>
      <c r="H46" s="2896"/>
      <c r="I46" s="905"/>
      <c r="J46" s="2764"/>
      <c r="K46" s="2453">
        <v>1</v>
      </c>
      <c r="L46" s="3473" t="s">
        <v>2502</v>
      </c>
      <c r="M46" s="3473"/>
      <c r="N46" s="3474" t="str">
        <f>项目基本情况!B1</f>
        <v>北京市房地产市场价值预评估</v>
      </c>
      <c r="O46" s="3474"/>
      <c r="P46" s="3474"/>
      <c r="Q46" s="1236"/>
    </row>
    <row r="47" spans="1:17" ht="12" customHeight="1">
      <c r="A47" s="38" t="s">
        <v>1530</v>
      </c>
      <c r="B47" s="39"/>
      <c r="C47" s="40"/>
      <c r="D47" s="1028" t="s">
        <v>1531</v>
      </c>
      <c r="E47" s="235" t="s">
        <v>1532</v>
      </c>
      <c r="F47" s="41" t="s">
        <v>1533</v>
      </c>
      <c r="G47" s="2481" t="s">
        <v>1534</v>
      </c>
      <c r="H47" s="2896"/>
      <c r="I47" s="905"/>
      <c r="J47" s="2764"/>
      <c r="K47" s="2453">
        <v>2</v>
      </c>
      <c r="L47" s="3473" t="s">
        <v>2503</v>
      </c>
      <c r="M47" s="3473"/>
      <c r="N47" s="3475">
        <f>'数据-取费表'!B2</f>
        <v>44938</v>
      </c>
      <c r="O47" s="3475"/>
      <c r="P47" s="3475"/>
      <c r="Q47" s="1236"/>
    </row>
    <row r="48" spans="1:17" ht="25.5">
      <c r="A48" s="3548" t="s">
        <v>1536</v>
      </c>
      <c r="B48" s="3482"/>
      <c r="C48" s="3482"/>
      <c r="D48" s="12">
        <f ca="1">IF(H48="情况1",0,IF(H48="情况2",D52,IF(H48="情况3",D53,IF(H48="情况4",D54))))</f>
        <v>11</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73" t="s">
        <v>2504</v>
      </c>
      <c r="M48" s="3473"/>
      <c r="N48" s="3474">
        <f ca="1">I102</f>
        <v>206</v>
      </c>
      <c r="O48" s="3474"/>
      <c r="P48" s="3474"/>
      <c r="Q48" s="1236"/>
    </row>
    <row r="49" spans="1:17" ht="25.5" customHeight="1">
      <c r="A49" s="2018" t="s">
        <v>1540</v>
      </c>
      <c r="B49" s="3521" t="s">
        <v>1541</v>
      </c>
      <c r="C49" s="3521"/>
      <c r="D49" s="2485">
        <v>0</v>
      </c>
      <c r="E49" s="261" t="s">
        <v>1542</v>
      </c>
      <c r="F49" s="2486" t="s">
        <v>48</v>
      </c>
      <c r="G49" s="3463"/>
      <c r="H49" s="2487" t="s">
        <v>2578</v>
      </c>
      <c r="I49" s="2488"/>
      <c r="J49" s="2772"/>
      <c r="K49" s="2453">
        <v>4</v>
      </c>
      <c r="L49" s="3473" t="str">
        <f>IF(项目基本情况!F5="房地产抵押价值","房地产抵押价值","抵押担保权已注销时的房地产抵押价值")</f>
        <v>抵押担保权已注销时的房地产抵押价值</v>
      </c>
      <c r="M49" s="3473"/>
      <c r="N49" s="3474" t="str">
        <f>IF(项目基本情况!F5="房地产抵押价值",I110,I112)</f>
        <v>——</v>
      </c>
      <c r="O49" s="3474"/>
      <c r="P49" s="3474"/>
      <c r="Q49" s="1236"/>
    </row>
    <row r="50" spans="1:17" ht="25.5" customHeight="1">
      <c r="A50" s="2008"/>
      <c r="B50" s="3521" t="s">
        <v>1543</v>
      </c>
      <c r="C50" s="3521"/>
      <c r="D50" s="2489"/>
      <c r="E50" s="269"/>
      <c r="F50" s="2486"/>
      <c r="G50" s="3464"/>
      <c r="H50" s="2490" t="s">
        <v>2497</v>
      </c>
      <c r="I50" s="2488"/>
      <c r="J50" s="2772"/>
      <c r="K50" s="3473" t="s">
        <v>2505</v>
      </c>
      <c r="L50" s="3473"/>
      <c r="M50" s="3473"/>
      <c r="N50" s="3473"/>
      <c r="O50" s="3473"/>
      <c r="P50" s="3473"/>
      <c r="Q50" s="1236"/>
    </row>
    <row r="51" spans="1:17" ht="20.45" customHeight="1">
      <c r="A51" s="2491"/>
      <c r="B51" s="3521" t="s">
        <v>1545</v>
      </c>
      <c r="C51" s="3521"/>
      <c r="D51" s="1028"/>
      <c r="E51" s="264"/>
      <c r="F51" s="2486"/>
      <c r="G51" s="3465"/>
      <c r="H51" s="2490" t="s">
        <v>2498</v>
      </c>
      <c r="I51" s="2488"/>
      <c r="J51" s="2772"/>
      <c r="K51" s="2454" t="s">
        <v>2506</v>
      </c>
      <c r="L51" s="3473" t="s">
        <v>2507</v>
      </c>
      <c r="M51" s="3473"/>
      <c r="N51" s="2454" t="s">
        <v>2508</v>
      </c>
      <c r="O51" s="2454" t="s">
        <v>2509</v>
      </c>
      <c r="P51" s="2454" t="s">
        <v>2510</v>
      </c>
      <c r="Q51" s="1236"/>
    </row>
    <row r="52" spans="1:17" ht="24" customHeight="1">
      <c r="A52" s="2009" t="s">
        <v>1551</v>
      </c>
      <c r="B52" s="3521" t="s">
        <v>1552</v>
      </c>
      <c r="C52" s="3521"/>
      <c r="D52" s="1028">
        <f ca="1">ROUND(D45*'数据-取费表'!E29/(1+'数据-取费表'!F30),0)</f>
        <v>11</v>
      </c>
      <c r="E52" s="2019" t="s">
        <v>1553</v>
      </c>
      <c r="F52" s="2492">
        <f>'数据-取费表'!E29</f>
        <v>5.5000000000000007E-2</v>
      </c>
      <c r="G52" s="2493"/>
      <c r="H52" s="905"/>
      <c r="I52" s="2897"/>
      <c r="J52" s="2772"/>
      <c r="K52" s="2453">
        <v>1</v>
      </c>
      <c r="L52" s="3462" t="s">
        <v>2511</v>
      </c>
      <c r="M52" s="3462"/>
      <c r="N52" s="2455">
        <f ca="1">D48</f>
        <v>11</v>
      </c>
      <c r="O52" s="2453" t="str">
        <f>E48</f>
        <v>销售额×税（费）率</v>
      </c>
      <c r="P52" s="2456">
        <f>F48</f>
        <v>5.5000000000000007E-2</v>
      </c>
      <c r="Q52" s="1236"/>
    </row>
    <row r="53" spans="1:17" ht="12" customHeight="1">
      <c r="A53" s="2009" t="s">
        <v>1555</v>
      </c>
      <c r="B53" s="3533" t="s">
        <v>2589</v>
      </c>
      <c r="C53" s="3522"/>
      <c r="D53" s="1028">
        <f ca="1">ROUND(D45*'数据-取费表'!E29/(1+'数据-取费表'!F30),0)</f>
        <v>11</v>
      </c>
      <c r="E53" s="2019" t="s">
        <v>1553</v>
      </c>
      <c r="F53" s="2492">
        <f>'数据-取费表'!E29</f>
        <v>5.5000000000000007E-2</v>
      </c>
      <c r="G53" s="2493"/>
      <c r="H53" s="905"/>
      <c r="I53" s="2897"/>
      <c r="J53" s="2772"/>
      <c r="K53" s="2453">
        <v>2</v>
      </c>
      <c r="L53" s="3462" t="s">
        <v>2512</v>
      </c>
      <c r="M53" s="3462"/>
      <c r="N53" s="2455">
        <f t="shared" ref="N53:P54" si="1">D55</f>
        <v>0</v>
      </c>
      <c r="O53" s="2453" t="str">
        <f t="shared" si="1"/>
        <v>销售额×税（费）率</v>
      </c>
      <c r="P53" s="2456" t="str">
        <f t="shared" si="1"/>
        <v>免征</v>
      </c>
      <c r="Q53" s="1236"/>
    </row>
    <row r="54" spans="1:17" ht="12" customHeight="1">
      <c r="A54" s="2009" t="s">
        <v>1557</v>
      </c>
      <c r="B54" s="3533" t="s">
        <v>2590</v>
      </c>
      <c r="C54" s="3522"/>
      <c r="D54" s="1028">
        <f ca="1">C68</f>
        <v>11</v>
      </c>
      <c r="E54" s="264" t="s">
        <v>1558</v>
      </c>
      <c r="F54" s="2492">
        <f>'数据-取费表'!E29</f>
        <v>5.5000000000000007E-2</v>
      </c>
      <c r="G54" s="2493"/>
      <c r="H54" s="2898"/>
      <c r="I54" s="2897"/>
      <c r="J54" s="2772"/>
      <c r="K54" s="2453">
        <v>3</v>
      </c>
      <c r="L54" s="3462" t="s">
        <v>2513</v>
      </c>
      <c r="M54" s="3462"/>
      <c r="N54" s="2455">
        <f t="shared" si="1"/>
        <v>0</v>
      </c>
      <c r="O54" s="2453" t="str">
        <f t="shared" si="1"/>
        <v>增值额×税（费）率</v>
      </c>
      <c r="P54" s="2457" t="str">
        <f t="shared" si="1"/>
        <v>免征</v>
      </c>
      <c r="Q54" s="1236"/>
    </row>
    <row r="55" spans="1:17" ht="24" customHeight="1">
      <c r="A55" s="3486" t="s">
        <v>1560</v>
      </c>
      <c r="B55" s="3482"/>
      <c r="C55" s="3482"/>
      <c r="D55" s="12">
        <f>IF(H55="个人住宅",0,ROUND(D45*I55,0))</f>
        <v>0</v>
      </c>
      <c r="E55" s="2019" t="s">
        <v>1561</v>
      </c>
      <c r="F55" s="2492" t="str">
        <f>IF(H55="正常",I55,"免征")</f>
        <v>免征</v>
      </c>
      <c r="G55" s="2493"/>
      <c r="H55" s="2484" t="s">
        <v>2494</v>
      </c>
      <c r="I55" s="74">
        <f>'数据-取费表'!E37</f>
        <v>5.0000000000000001E-4</v>
      </c>
      <c r="J55" s="2772"/>
      <c r="K55" s="2453" t="str">
        <f>IF(H59="非个人房产","",4)</f>
        <v/>
      </c>
      <c r="L55" s="3462" t="str">
        <f>IF(H59="非个人房产","——","个人所得税")</f>
        <v>——</v>
      </c>
      <c r="M55" s="3462"/>
      <c r="N55" s="2458" t="str">
        <f>D59</f>
        <v>——</v>
      </c>
      <c r="O55" s="2459" t="str">
        <f>E59</f>
        <v>——</v>
      </c>
      <c r="P55" s="2460" t="str">
        <f>F59</f>
        <v>——</v>
      </c>
      <c r="Q55" s="1236"/>
    </row>
    <row r="56" spans="1:17" ht="24.75">
      <c r="A56" s="3486" t="s">
        <v>1563</v>
      </c>
      <c r="B56" s="3482"/>
      <c r="C56" s="3482"/>
      <c r="D56" s="12">
        <f>IF(H56="个人住宅",D57,D58)</f>
        <v>0</v>
      </c>
      <c r="E56" s="2019" t="s">
        <v>1564</v>
      </c>
      <c r="F56" s="2492" t="str">
        <f>IF(H56="正常",F58,"免征")</f>
        <v>免征</v>
      </c>
      <c r="G56" s="2494" t="s">
        <v>1565</v>
      </c>
      <c r="H56" s="2495" t="s">
        <v>2494</v>
      </c>
      <c r="I56" s="2899"/>
      <c r="J56" s="2772"/>
      <c r="K56" s="2453" t="str">
        <f>IF(项目基本情况!I6="上海银行",IF(K55="",4,K55+1),"")</f>
        <v/>
      </c>
      <c r="L56" s="3460" t="str">
        <f>IF(项目基本情况!I6="上海银行","其他处置费用","")</f>
        <v/>
      </c>
      <c r="M56" s="3480"/>
      <c r="N56" s="2455" t="str">
        <f>IF(项目基本情况!I6="上海银行",N69,"")</f>
        <v/>
      </c>
      <c r="O56" s="3460" t="str">
        <f>IF(项目基本情况!I6="上海银行","包含处置中涉及的律师、诉讼、拍卖、评估等费用","")</f>
        <v/>
      </c>
      <c r="P56" s="3461"/>
      <c r="Q56" s="1236"/>
    </row>
    <row r="57" spans="1:17" ht="12.75">
      <c r="A57" s="2009" t="s">
        <v>1540</v>
      </c>
      <c r="B57" s="3533" t="s">
        <v>1566</v>
      </c>
      <c r="C57" s="3522"/>
      <c r="D57" s="2485">
        <v>0</v>
      </c>
      <c r="E57" s="261" t="s">
        <v>1542</v>
      </c>
      <c r="F57" s="235"/>
      <c r="G57" s="2493"/>
      <c r="H57" s="2899"/>
      <c r="I57" s="2899"/>
      <c r="J57" s="2772"/>
      <c r="K57" s="3462">
        <f>IF(AND(K55="",K56=""),4,IF(项目基本情况!I6="上海银行",K56+1,K55+1))</f>
        <v>4</v>
      </c>
      <c r="L57" s="3462" t="s">
        <v>2514</v>
      </c>
      <c r="M57" s="2461" t="s">
        <v>2515</v>
      </c>
      <c r="N57" s="2462"/>
      <c r="O57" s="2463">
        <f ca="1">SUMIF(N52:N56,"&lt;9e307")</f>
        <v>11</v>
      </c>
      <c r="P57" s="2464"/>
      <c r="Q57" s="1234" t="e">
        <f ca="1">O57/N49</f>
        <v>#VALUE!</v>
      </c>
    </row>
    <row r="58" spans="1:17" ht="24.75">
      <c r="A58" s="2009" t="s">
        <v>1551</v>
      </c>
      <c r="B58" s="3533" t="s">
        <v>1569</v>
      </c>
      <c r="C58" s="3521"/>
      <c r="D58" s="12">
        <f ca="1">IF(H58="转让取得",C81,C97)</f>
        <v>117</v>
      </c>
      <c r="E58" s="2019" t="s">
        <v>1564</v>
      </c>
      <c r="F58" s="235" t="s">
        <v>48</v>
      </c>
      <c r="G58" s="2493"/>
      <c r="H58" s="2495" t="s">
        <v>1570</v>
      </c>
      <c r="I58" s="2899"/>
      <c r="J58" s="2772"/>
      <c r="K58" s="3462"/>
      <c r="L58" s="3462"/>
      <c r="M58" s="2461" t="s">
        <v>2516</v>
      </c>
      <c r="N58" s="2465"/>
      <c r="O58" s="2466" t="str">
        <f ca="1">IF(H19="元",NUMBERSTRING(INT(O57),2)&amp;"元整",NUMBERSTRING(INT(O57*10000),2)&amp;"元整")</f>
        <v>壹拾壹万元整</v>
      </c>
      <c r="P58" s="2467"/>
      <c r="Q58" s="1236"/>
    </row>
    <row r="59" spans="1:17" ht="24.75" thickBot="1">
      <c r="A59" s="3549" t="s">
        <v>1572</v>
      </c>
      <c r="B59" s="3550"/>
      <c r="C59" s="3550"/>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2569</v>
      </c>
      <c r="H59" s="2023" t="s">
        <v>2579</v>
      </c>
      <c r="I59" s="2801" t="s">
        <v>2580</v>
      </c>
      <c r="J59" s="2772"/>
      <c r="K59" s="3515">
        <f>K57+1</f>
        <v>5</v>
      </c>
      <c r="L59" s="3462" t="s">
        <v>2517</v>
      </c>
      <c r="M59" s="2453" t="s">
        <v>2515</v>
      </c>
      <c r="N59" s="2468"/>
      <c r="O59" s="2469" t="e">
        <f ca="1">N49-O57</f>
        <v>#VALUE!</v>
      </c>
      <c r="P59" s="2470"/>
      <c r="Q59" s="1236"/>
    </row>
    <row r="60" spans="1:17" ht="12" customHeight="1">
      <c r="A60" s="1385"/>
      <c r="B60" s="1389"/>
      <c r="C60" s="1389"/>
      <c r="D60" s="1389"/>
      <c r="E60" s="770"/>
      <c r="F60" s="2900"/>
      <c r="G60" s="2900"/>
      <c r="H60" s="2901"/>
      <c r="I60" s="31"/>
      <c r="K60" s="3516"/>
      <c r="L60" s="3462"/>
      <c r="M60" s="2461" t="s">
        <v>2516</v>
      </c>
      <c r="N60" s="2465"/>
      <c r="O60" s="2466" t="e">
        <f ca="1">IF(H19="元",NUMBERSTRING(INT(O59),2)&amp;"元整",NUMBERSTRING(INT(O59*10000),2)&amp;"元整")</f>
        <v>#VALUE!</v>
      </c>
      <c r="P60" s="2467"/>
      <c r="Q60" s="1236"/>
    </row>
    <row r="61" spans="1:17" ht="13.5" thickBot="1">
      <c r="A61" s="3551" t="s">
        <v>1574</v>
      </c>
      <c r="B61" s="3551"/>
      <c r="C61" s="3551"/>
      <c r="D61" s="3551"/>
      <c r="E61" s="3551"/>
      <c r="F61" s="2900"/>
      <c r="G61" s="2900"/>
      <c r="H61" s="2902"/>
      <c r="I61" s="31"/>
      <c r="K61" s="2453">
        <f>K59+1</f>
        <v>6</v>
      </c>
      <c r="L61" s="3462" t="s">
        <v>2518</v>
      </c>
      <c r="M61" s="3462"/>
      <c r="N61" s="2471"/>
      <c r="O61" s="2472" t="e">
        <f ca="1">IF(H19="元",ROUND(O59/项目基本情况!C12,0),ROUND(O59*10000/项目基本情况!C12,0))</f>
        <v>#VALUE!</v>
      </c>
      <c r="P61" s="2473"/>
      <c r="Q61" s="1236"/>
    </row>
    <row r="62" spans="1:17" ht="12.75">
      <c r="A62" s="3500" t="s">
        <v>1576</v>
      </c>
      <c r="B62" s="3501"/>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196</v>
      </c>
      <c r="D63" s="47"/>
      <c r="E63" s="48"/>
      <c r="F63" s="2900"/>
      <c r="G63" s="2900"/>
      <c r="H63" s="2902"/>
      <c r="I63" s="31"/>
      <c r="K63" s="3481" t="s">
        <v>2519</v>
      </c>
      <c r="L63" s="2475" t="s">
        <v>2520</v>
      </c>
      <c r="M63" s="2475" t="e">
        <f>IF(N49&gt;10000,N49*0.5%,IF(AND(N49&gt;1000,N49&lt;=10000),N49*1%,IF(AND(N49&gt;100,N49&lt;=1000),N49*3%,IF(AND(N49&gt;10,N49&lt;=100),N49*5%,N49*8%))))</f>
        <v>#VALUE!</v>
      </c>
      <c r="N63" s="2476" t="e">
        <f>ROUND(M63,1)</f>
        <v>#VALUE!</v>
      </c>
      <c r="O63" s="2474"/>
      <c r="P63" s="2474"/>
      <c r="Q63" s="1236"/>
    </row>
    <row r="64" spans="1:17" ht="12.75">
      <c r="A64" s="49" t="s">
        <v>71</v>
      </c>
      <c r="B64" s="50" t="s">
        <v>1582</v>
      </c>
      <c r="C64" s="2704">
        <f ca="1">D45</f>
        <v>206</v>
      </c>
      <c r="D64" s="50" t="s">
        <v>41</v>
      </c>
      <c r="E64" s="52"/>
      <c r="F64" s="2900"/>
      <c r="G64" s="2900"/>
      <c r="H64" s="2902"/>
      <c r="I64" s="31"/>
      <c r="K64" s="3481"/>
      <c r="L64" s="2475" t="s">
        <v>2521</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2522</v>
      </c>
      <c r="P64" s="2474"/>
      <c r="Q64" s="1236"/>
    </row>
    <row r="65" spans="1:36" ht="12.75">
      <c r="A65" s="49" t="s">
        <v>72</v>
      </c>
      <c r="B65" s="50" t="s">
        <v>1585</v>
      </c>
      <c r="C65" s="2705"/>
      <c r="D65" s="50"/>
      <c r="E65" s="52"/>
      <c r="F65" s="2900"/>
      <c r="G65" s="2900"/>
      <c r="H65" s="2902"/>
      <c r="I65" s="31"/>
      <c r="K65" s="3481"/>
      <c r="L65" s="2475" t="s">
        <v>2523</v>
      </c>
      <c r="M65" s="2475" t="e">
        <f>IF(N49&gt;1000,N49*0.1%,IF(AND(N49&gt;500,N49&lt;=1000),N49*0.5%,IF(AND(N49&gt;50,N49&lt;=500),N49*1%,IF(AND(N49&gt;1,N49&lt;=50),N49*1.5%))))</f>
        <v>#VALUE!</v>
      </c>
      <c r="N65" s="2476" t="e">
        <f t="shared" si="2"/>
        <v>#VALUE!</v>
      </c>
      <c r="O65" s="2474" t="s">
        <v>2522</v>
      </c>
      <c r="P65" s="2474"/>
      <c r="Q65" s="1236"/>
    </row>
    <row r="66" spans="1:36" ht="12.75">
      <c r="A66" s="53" t="s">
        <v>47</v>
      </c>
      <c r="B66" s="54" t="s">
        <v>1587</v>
      </c>
      <c r="C66" s="2706"/>
      <c r="D66" s="54" t="s">
        <v>41</v>
      </c>
      <c r="E66" s="1244" t="s">
        <v>1588</v>
      </c>
      <c r="F66" s="2900"/>
      <c r="G66" s="2900"/>
      <c r="H66" s="2902"/>
      <c r="I66" s="31"/>
      <c r="K66" s="3481"/>
      <c r="L66" s="2475" t="s">
        <v>2524</v>
      </c>
      <c r="M66" s="2475" t="e">
        <f>N49*0.5%</f>
        <v>#VALUE!</v>
      </c>
      <c r="N66" s="2476" t="e">
        <f>IF(M66&gt;0.5,0.5,ROUND(M66,0))</f>
        <v>#VALUE!</v>
      </c>
      <c r="O66" s="2474" t="s">
        <v>2525</v>
      </c>
      <c r="P66" s="2474"/>
      <c r="Q66" s="1236"/>
    </row>
    <row r="67" spans="1:36" ht="12.75">
      <c r="A67" s="53" t="s">
        <v>42</v>
      </c>
      <c r="B67" s="54" t="s">
        <v>1591</v>
      </c>
      <c r="C67" s="2707">
        <f ca="1">C63-C66</f>
        <v>196</v>
      </c>
      <c r="D67" s="50" t="s">
        <v>41</v>
      </c>
      <c r="E67" s="52"/>
      <c r="F67" s="2900"/>
      <c r="G67" s="2900"/>
      <c r="H67" s="2902"/>
      <c r="I67" s="31"/>
      <c r="K67" s="3481"/>
      <c r="L67" s="2475" t="s">
        <v>2526</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5" thickBot="1">
      <c r="A68" s="55" t="s">
        <v>46</v>
      </c>
      <c r="B68" s="56" t="s">
        <v>1593</v>
      </c>
      <c r="C68" s="2708">
        <f ca="1">IF(C67&lt;=0,0,ROUND(C67*D68,0))</f>
        <v>11</v>
      </c>
      <c r="D68" s="2169">
        <f>'数据-取费表'!E29</f>
        <v>5.5000000000000007E-2</v>
      </c>
      <c r="E68" s="57"/>
      <c r="F68" s="2900"/>
      <c r="G68" s="2900"/>
      <c r="H68" s="2902"/>
      <c r="I68" s="31"/>
      <c r="K68" s="3481"/>
      <c r="L68" s="2475" t="s">
        <v>2527</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481"/>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02" t="s">
        <v>1596</v>
      </c>
      <c r="B70" s="3503"/>
      <c r="C70" s="3503"/>
      <c r="D70" s="3503"/>
      <c r="E70" s="3503"/>
      <c r="F70" s="3503"/>
      <c r="G70" s="3503"/>
      <c r="H70" s="3503"/>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00" t="s">
        <v>1576</v>
      </c>
      <c r="B71" s="3501"/>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196</v>
      </c>
      <c r="D72" s="50" t="s">
        <v>41</v>
      </c>
      <c r="E72" s="12" t="s">
        <v>1598</v>
      </c>
      <c r="F72" s="2016"/>
      <c r="G72" s="2016"/>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v>
      </c>
      <c r="D73" s="50" t="s">
        <v>41</v>
      </c>
      <c r="E73" s="2015"/>
      <c r="F73" s="2016"/>
      <c r="G73" s="2016"/>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5"/>
      <c r="F74" s="2016"/>
      <c r="G74" s="2016"/>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533" t="s">
        <v>1606</v>
      </c>
      <c r="F76" s="3521"/>
      <c r="G76" s="3521"/>
      <c r="H76" s="3534"/>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4" t="s">
        <v>1609</v>
      </c>
      <c r="H77" s="2017"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v>
      </c>
      <c r="D78" s="2716">
        <f>'数据-取费表'!E31</f>
        <v>5.000000000000001E-3</v>
      </c>
      <c r="E78" s="3469" t="s">
        <v>1611</v>
      </c>
      <c r="F78" s="3470"/>
      <c r="G78" s="3470"/>
      <c r="H78" s="3490"/>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195</v>
      </c>
      <c r="D79" s="50" t="s">
        <v>41</v>
      </c>
      <c r="E79" s="2015"/>
      <c r="F79" s="2016"/>
      <c r="G79" s="2016"/>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117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02" t="s">
        <v>1615</v>
      </c>
      <c r="B83" s="3503"/>
      <c r="C83" s="3503"/>
      <c r="D83" s="3503"/>
      <c r="E83" s="3503"/>
      <c r="F83" s="3503"/>
      <c r="G83" s="3503"/>
      <c r="H83" s="3503"/>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00" t="s">
        <v>1576</v>
      </c>
      <c r="B84" s="3501"/>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196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3"/>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3"/>
      <c r="G90" s="3509" t="s">
        <v>2489</v>
      </c>
      <c r="H90" s="3509"/>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69" t="s">
        <v>1623</v>
      </c>
      <c r="F91" s="3470"/>
      <c r="G91" s="3470"/>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69" t="s">
        <v>1626</v>
      </c>
      <c r="F92" s="3470"/>
      <c r="G92" s="3470"/>
      <c r="H92" s="3490"/>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v>
      </c>
      <c r="D93" s="2716">
        <f>'数据-取费表'!E31</f>
        <v>5.000000000000001E-3</v>
      </c>
      <c r="E93" s="3469" t="s">
        <v>1611</v>
      </c>
      <c r="F93" s="3470"/>
      <c r="G93" s="3470"/>
      <c r="H93" s="3490"/>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69" t="s">
        <v>1628</v>
      </c>
      <c r="F94" s="3470"/>
      <c r="G94" s="3470"/>
      <c r="H94" s="3490"/>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195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117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87" t="s">
        <v>1630</v>
      </c>
      <c r="B99" s="3488"/>
      <c r="C99" s="3488"/>
      <c r="D99" s="3489"/>
      <c r="E99" s="1389"/>
      <c r="F99" s="3497" t="s">
        <v>1631</v>
      </c>
      <c r="G99" s="3498"/>
      <c r="H99" s="3498"/>
      <c r="I99" s="3499"/>
      <c r="J99" s="2778"/>
    </row>
    <row r="100" spans="1:36" ht="15">
      <c r="A100" s="3504" t="s">
        <v>1632</v>
      </c>
      <c r="B100" s="3505"/>
      <c r="C100" s="1235" t="str">
        <f>C4</f>
        <v>比较法-住宅</v>
      </c>
      <c r="D100" s="2726" t="str">
        <f>D4</f>
        <v>收益法</v>
      </c>
      <c r="E100" s="1389"/>
      <c r="F100" s="3506" t="s">
        <v>2533</v>
      </c>
      <c r="G100" s="3508"/>
      <c r="H100" s="3506" t="s">
        <v>2534</v>
      </c>
      <c r="I100" s="3507"/>
      <c r="J100" s="2779"/>
    </row>
    <row r="101" spans="1:36" ht="12.75">
      <c r="A101" s="3523" t="s">
        <v>2566</v>
      </c>
      <c r="B101" s="2234" t="str">
        <f>IF(H19="元","总价（元）","总价（万元）")</f>
        <v>总价（万元）</v>
      </c>
      <c r="C101" s="1235">
        <f ca="1">C19</f>
        <v>221</v>
      </c>
      <c r="D101" s="2726">
        <f ca="1">D19</f>
        <v>173</v>
      </c>
      <c r="E101" s="1389"/>
      <c r="F101" s="3506" t="str">
        <f>项目基本情况!I1</f>
        <v>北京市房地产</v>
      </c>
      <c r="G101" s="3508"/>
      <c r="H101" s="3510">
        <f>项目基本情况!C12</f>
        <v>53.46</v>
      </c>
      <c r="I101" s="3507"/>
      <c r="J101" s="2779"/>
    </row>
    <row r="102" spans="1:36" ht="12.75">
      <c r="A102" s="3523"/>
      <c r="B102" s="2234" t="s">
        <v>2567</v>
      </c>
      <c r="C102" s="2727">
        <f ca="1">C20</f>
        <v>41300</v>
      </c>
      <c r="D102" s="2728">
        <f ca="1">D20</f>
        <v>32298</v>
      </c>
      <c r="E102" s="1389"/>
      <c r="F102" s="3493" t="s">
        <v>2563</v>
      </c>
      <c r="G102" s="3494"/>
      <c r="H102" s="2736" t="str">
        <f>C106</f>
        <v>总价（万元）</v>
      </c>
      <c r="I102" s="2737">
        <f ca="1">H121</f>
        <v>206</v>
      </c>
      <c r="J102" s="2779"/>
    </row>
    <row r="103" spans="1:36" ht="12.75">
      <c r="A103" s="3523" t="s">
        <v>2568</v>
      </c>
      <c r="B103" s="2172" t="str">
        <f>B101</f>
        <v>总价（万元）</v>
      </c>
      <c r="C103" s="2731">
        <f ca="1">H121</f>
        <v>206</v>
      </c>
      <c r="D103" s="2729"/>
      <c r="E103" s="1389"/>
      <c r="F103" s="3493"/>
      <c r="G103" s="3494"/>
      <c r="H103" s="2736" t="s">
        <v>2536</v>
      </c>
      <c r="I103" s="52">
        <f ca="1">I121</f>
        <v>38599</v>
      </c>
      <c r="J103" s="2763"/>
    </row>
    <row r="104" spans="1:36" ht="13.5" thickBot="1">
      <c r="A104" s="3524"/>
      <c r="B104" s="2733" t="s">
        <v>2567</v>
      </c>
      <c r="C104" s="2734">
        <f ca="1">I121</f>
        <v>38599</v>
      </c>
      <c r="D104" s="2735"/>
      <c r="E104" s="1389"/>
      <c r="F104" s="3493"/>
      <c r="G104" s="3494"/>
      <c r="H104" s="3525"/>
      <c r="I104" s="3526"/>
      <c r="J104" s="2780"/>
    </row>
    <row r="105" spans="1:36" ht="15">
      <c r="A105" s="3487" t="s">
        <v>1633</v>
      </c>
      <c r="B105" s="3488"/>
      <c r="C105" s="3488"/>
      <c r="D105" s="3489"/>
      <c r="E105" s="1389"/>
      <c r="F105" s="3529" t="s">
        <v>2537</v>
      </c>
      <c r="G105" s="3530"/>
      <c r="H105" s="2738" t="str">
        <f>C108</f>
        <v>总额（万元）</v>
      </c>
      <c r="I105" s="2737">
        <f>SUMIF(I106:I108,"&lt;9E307")</f>
        <v>0</v>
      </c>
      <c r="J105" s="2779"/>
    </row>
    <row r="106" spans="1:36" ht="14.25">
      <c r="A106" s="3493" t="s">
        <v>2560</v>
      </c>
      <c r="B106" s="3494"/>
      <c r="C106" s="2736" t="str">
        <f>B101</f>
        <v>总价（万元）</v>
      </c>
      <c r="D106" s="2737">
        <f ca="1">H121</f>
        <v>206</v>
      </c>
      <c r="E106" s="1389"/>
      <c r="F106" s="3495" t="s">
        <v>2538</v>
      </c>
      <c r="G106" s="3496"/>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v>
      </c>
      <c r="M106" s="1389"/>
      <c r="N106" s="1389"/>
      <c r="O106" s="1389"/>
      <c r="P106" s="1389"/>
      <c r="Q106" s="1389"/>
    </row>
    <row r="107" spans="1:36" ht="12.75">
      <c r="A107" s="3493"/>
      <c r="B107" s="3494"/>
      <c r="C107" s="2736" t="s">
        <v>2561</v>
      </c>
      <c r="D107" s="52">
        <f ca="1">I121</f>
        <v>38599</v>
      </c>
      <c r="E107" s="1389"/>
      <c r="F107" s="3495" t="s">
        <v>2539</v>
      </c>
      <c r="G107" s="3496"/>
      <c r="H107" s="2738" t="str">
        <f>C110</f>
        <v>总额（万元）</v>
      </c>
      <c r="I107" s="52">
        <f>C37</f>
        <v>0</v>
      </c>
      <c r="J107" s="2763"/>
    </row>
    <row r="108" spans="1:36" ht="12.75">
      <c r="A108" s="3564" t="s">
        <v>2537</v>
      </c>
      <c r="B108" s="3565"/>
      <c r="C108" s="2738" t="str">
        <f>IF(H19="元","总额（元）","总额（万元）")</f>
        <v>总额（万元）</v>
      </c>
      <c r="D108" s="2737">
        <f>IF(D36="正常操作",I106+I107+I108,I107+I108)</f>
        <v>0</v>
      </c>
      <c r="E108" s="1389"/>
      <c r="F108" s="3495" t="s">
        <v>2564</v>
      </c>
      <c r="G108" s="3496"/>
      <c r="H108" s="2738" t="str">
        <f>C111</f>
        <v>总额（万元）</v>
      </c>
      <c r="I108" s="52">
        <f>C38</f>
        <v>0</v>
      </c>
      <c r="J108" s="2763"/>
    </row>
    <row r="109" spans="1:36" ht="12.75">
      <c r="A109" s="3495" t="s">
        <v>2538</v>
      </c>
      <c r="B109" s="3496"/>
      <c r="C109" s="2738" t="str">
        <f>C108</f>
        <v>总额（万元）</v>
      </c>
      <c r="D109" s="52">
        <f>IF(D36="同一抵押权人同一抵押物续贷",C36&amp;"（未扣减，详见特别提示）",C36)</f>
        <v>0</v>
      </c>
      <c r="E109" s="1389"/>
      <c r="F109" s="3493"/>
      <c r="G109" s="3494"/>
      <c r="H109" s="3527"/>
      <c r="I109" s="3528"/>
      <c r="J109" s="2781"/>
    </row>
    <row r="110" spans="1:36" ht="28.5" customHeight="1">
      <c r="A110" s="3495" t="s">
        <v>2562</v>
      </c>
      <c r="B110" s="3496"/>
      <c r="C110" s="2738" t="str">
        <f>C108</f>
        <v>总额（万元）</v>
      </c>
      <c r="D110" s="52">
        <f>C37</f>
        <v>0</v>
      </c>
      <c r="E110" s="1389"/>
      <c r="F110" s="3476" t="str">
        <f>IF(项目基本情况!F5="已注销","——","3.房地产抵押价值")</f>
        <v>3.房地产抵押价值</v>
      </c>
      <c r="G110" s="3477"/>
      <c r="H110" s="2724" t="str">
        <f>C112</f>
        <v>总价（万元）</v>
      </c>
      <c r="I110" s="2737">
        <f ca="1">IF(F110="——","——",I102-I105)</f>
        <v>206</v>
      </c>
      <c r="J110" s="2779"/>
    </row>
    <row r="111" spans="1:36" ht="12.75">
      <c r="A111" s="3495" t="s">
        <v>2541</v>
      </c>
      <c r="B111" s="3496"/>
      <c r="C111" s="2738" t="str">
        <f>C108</f>
        <v>总额（万元）</v>
      </c>
      <c r="D111" s="52">
        <f>C38</f>
        <v>0</v>
      </c>
      <c r="E111" s="1389"/>
      <c r="F111" s="3478"/>
      <c r="G111" s="3479"/>
      <c r="H111" s="2736" t="s">
        <v>2536</v>
      </c>
      <c r="I111" s="2740">
        <f ca="1">D113</f>
        <v>38599</v>
      </c>
      <c r="J111" s="2782"/>
    </row>
    <row r="112" spans="1:36" ht="26.25" customHeight="1">
      <c r="A112" s="3493" t="str">
        <f>IF(项目基本情况!F5="已注销","——","3.房地产抵押价值")</f>
        <v>3.房地产抵押价值</v>
      </c>
      <c r="B112" s="3494"/>
      <c r="C112" s="2736" t="str">
        <f>B101</f>
        <v>总价（万元）</v>
      </c>
      <c r="D112" s="2737">
        <f ca="1">IF(A112="——","——",D106-D108)</f>
        <v>206</v>
      </c>
      <c r="E112" s="1389"/>
      <c r="F112" s="3476" t="str">
        <f>IF(项目基本情况!F5="已注销及未注销","4.抵押担保权已注销时的房地产抵押价值",IF(项目基本情况!F5="已注销","3.抵押担保权已注销时的房地产抵押价值","——"))</f>
        <v>——</v>
      </c>
      <c r="G112" s="3477"/>
      <c r="H112" s="2724" t="str">
        <f>C114</f>
        <v>总价（万元）</v>
      </c>
      <c r="I112" s="2737" t="str">
        <f>IF(F112="——","——",I102-I107-I108)</f>
        <v>——</v>
      </c>
      <c r="J112" s="2779"/>
    </row>
    <row r="113" spans="1:16" ht="12.75">
      <c r="A113" s="3493"/>
      <c r="B113" s="3494"/>
      <c r="C113" s="2736" t="s">
        <v>2529</v>
      </c>
      <c r="D113" s="52">
        <f ca="1">ROUND(IF(D112=D106,D107,IF(H19="元",D112/项目基本情况!C12,D112*10000/项目基本情况!C12)),0)</f>
        <v>38599</v>
      </c>
      <c r="E113" s="1389"/>
      <c r="F113" s="3478"/>
      <c r="G113" s="3479"/>
      <c r="H113" s="2736" t="s">
        <v>2565</v>
      </c>
      <c r="I113" s="52" t="str">
        <f>D115</f>
        <v>——</v>
      </c>
      <c r="J113" s="2763"/>
    </row>
    <row r="114" spans="1:16" ht="12.75">
      <c r="A114" s="3493" t="str">
        <f>IF(项目基本情况!F5="已注销及未注销","4.抵押担保权已注销时的房地产抵押价值",IF(项目基本情况!F5="已注销","3.抵押担保权已注销时的房地产抵押价值","——"))</f>
        <v>——</v>
      </c>
      <c r="B114" s="3494"/>
      <c r="C114" s="2736" t="str">
        <f>B101</f>
        <v>总价（万元）</v>
      </c>
      <c r="D114" s="2737" t="str">
        <f>IF(A114="——","——",D106-D110-D111)</f>
        <v>——</v>
      </c>
      <c r="E114" s="1389"/>
      <c r="F114" s="3476" t="str">
        <f>IF(项目基本情况!G5="抵押净值",IF(OR(项目基本情况!F5="已注销",项目基本情况!F5="房地产抵押价值"),"4.抵押净值","5.抵押净值"),"——")</f>
        <v>——</v>
      </c>
      <c r="G114" s="3477"/>
      <c r="H114" s="2736" t="str">
        <f>C116</f>
        <v>总价（万元）</v>
      </c>
      <c r="I114" s="2737" t="str">
        <f>IF(F114="——","——",O59)</f>
        <v>——</v>
      </c>
      <c r="J114" s="2779"/>
    </row>
    <row r="115" spans="1:16" ht="13.5" thickBot="1">
      <c r="A115" s="3493"/>
      <c r="B115" s="3494"/>
      <c r="C115" s="2736" t="s">
        <v>2529</v>
      </c>
      <c r="D115" s="52" t="str">
        <f>IF(A114="——","——",ROUND(IF(D114=D106,D107,IF(H19="元",D114/项目基本情况!C12,D114*10000/项目基本情况!C12)),0))</f>
        <v>——</v>
      </c>
      <c r="E115" s="1389"/>
      <c r="F115" s="3556"/>
      <c r="G115" s="3557"/>
      <c r="H115" s="2741" t="s">
        <v>2529</v>
      </c>
      <c r="I115" s="2725" t="str">
        <f ca="1">D117</f>
        <v>——</v>
      </c>
      <c r="J115" s="2763"/>
    </row>
    <row r="116" spans="1:16" ht="15.75">
      <c r="A116" s="3493" t="str">
        <f>IF(项目基本情况!G5="抵押净值",IF(OR(项目基本情况!F5="已注销",项目基本情况!F5="房地产抵押价值"),"4.抵押净值","5.抵押净值"),"——")</f>
        <v>——</v>
      </c>
      <c r="B116" s="3494"/>
      <c r="C116" s="2736" t="str">
        <f>B101</f>
        <v>总价（万元）</v>
      </c>
      <c r="D116" s="2737" t="str">
        <f>IF(A116="——","——",O59)</f>
        <v>——</v>
      </c>
      <c r="E116" s="1389"/>
      <c r="F116" s="3471"/>
      <c r="G116" s="3471"/>
      <c r="H116" s="3512"/>
      <c r="I116" s="3512"/>
      <c r="J116" s="2783"/>
      <c r="O116" s="32"/>
      <c r="P116" s="32"/>
    </row>
    <row r="117" spans="1:16" ht="13.5" thickBot="1">
      <c r="A117" s="3562"/>
      <c r="B117" s="3563"/>
      <c r="C117" s="2741" t="s">
        <v>2529</v>
      </c>
      <c r="D117" s="2725" t="str">
        <f ca="1">IF(D116=D112,D113,IF(A116="——","——",O61))</f>
        <v>——</v>
      </c>
      <c r="E117" s="1389"/>
      <c r="F117" s="3555" t="str">
        <f>IF(B32="总价","（以上估价结果中单价为总价除以建筑面积得出）","（以上估价结果中总价为楼面单价乘以建筑面积得出）")</f>
        <v>（以上估价结果中总价为楼面单价乘以建筑面积得出）</v>
      </c>
      <c r="G117" s="3555"/>
      <c r="H117" s="3555"/>
      <c r="I117" s="3555"/>
      <c r="J117" s="2784"/>
      <c r="O117" s="32"/>
      <c r="P117" s="32"/>
    </row>
    <row r="118" spans="1:16" ht="15">
      <c r="A118" s="3513" t="s">
        <v>1634</v>
      </c>
      <c r="B118" s="3514"/>
      <c r="C118" s="3514"/>
      <c r="D118" s="3514"/>
      <c r="E118" s="3514"/>
      <c r="F118" s="3514"/>
      <c r="G118" s="3514"/>
      <c r="H118" s="3514"/>
      <c r="I118" s="3514"/>
      <c r="J118" s="2785"/>
    </row>
    <row r="119" spans="1:16" ht="12.75">
      <c r="A119" s="3486" t="s">
        <v>2547</v>
      </c>
      <c r="B119" s="3484" t="s">
        <v>2557</v>
      </c>
      <c r="C119" s="3484" t="s">
        <v>2558</v>
      </c>
      <c r="D119" s="3491" t="s">
        <v>2549</v>
      </c>
      <c r="E119" s="3492"/>
      <c r="F119" s="3482" t="s">
        <v>2559</v>
      </c>
      <c r="G119" s="3482"/>
      <c r="H119" s="3482" t="s">
        <v>2550</v>
      </c>
      <c r="I119" s="3483"/>
      <c r="J119" s="2763"/>
    </row>
    <row r="120" spans="1:16" ht="12.75">
      <c r="A120" s="3486"/>
      <c r="B120" s="3485"/>
      <c r="C120" s="3485"/>
      <c r="D120" s="2019" t="s">
        <v>2551</v>
      </c>
      <c r="E120" s="2019" t="s">
        <v>2556</v>
      </c>
      <c r="F120" s="2019" t="s">
        <v>2551</v>
      </c>
      <c r="G120" s="2019" t="s">
        <v>2552</v>
      </c>
      <c r="H120" s="2019" t="s">
        <v>2551</v>
      </c>
      <c r="I120" s="52" t="s">
        <v>2552</v>
      </c>
      <c r="J120" s="2763"/>
    </row>
    <row r="121" spans="1:16" ht="12.75">
      <c r="A121" s="2009" t="str">
        <f>项目基本情况!I1</f>
        <v>北京市房地产</v>
      </c>
      <c r="B121" s="2019">
        <f>项目基本情况!C12</f>
        <v>53.46</v>
      </c>
      <c r="C121" s="2019">
        <f>项目基本情况!C13</f>
        <v>0</v>
      </c>
      <c r="D121" s="2019">
        <f ca="1">ROUND(IF(B32="总价",C34,IF('数据-取费表'!B3="万元",E121*B121/10000,E121*B121)),0)</f>
        <v>178</v>
      </c>
      <c r="E121" s="2019">
        <f ca="1">ROUND(IF(B32="楼面单价",C34,IF(H19="元",D121/B121,D121*10000/B121)),0)</f>
        <v>33388</v>
      </c>
      <c r="F121" s="2019">
        <f ca="1">ROUND(IF(B32="总价",C35,IF('数据-取费表'!B3="万元",G121*B121/10000,G121*B121)),0)</f>
        <v>28</v>
      </c>
      <c r="G121" s="2019">
        <f ca="1">ROUND(IF(B32="楼面单价",C35,IF(H19="元",F121/B121,F121*10000/B121)),0)</f>
        <v>5211</v>
      </c>
      <c r="H121" s="2019">
        <f ca="1">ROUND(IF(B32="总价",C32,IF('数据-取费表'!B3="万元",I121*B121/10000,I121*B121)),0)</f>
        <v>206</v>
      </c>
      <c r="I121" s="52">
        <f ca="1">ROUND(IF(B32="楼面单价",C32,IF(H19="元",H121/B121,H121*10000/B121)),0)</f>
        <v>38599</v>
      </c>
      <c r="J121" s="2763"/>
    </row>
    <row r="122" spans="1:16" ht="12.75">
      <c r="A122" s="3486" t="s">
        <v>2553</v>
      </c>
      <c r="B122" s="3482"/>
      <c r="C122" s="3482"/>
      <c r="D122" s="3517" t="str">
        <f ca="1">IF(H19="元",NUMBERSTRING(INT(D121),2)&amp;"元整",NUMBERSTRING(INT(D121*10000),2)&amp;"元整")</f>
        <v>壹佰柒拾捌万元整</v>
      </c>
      <c r="E122" s="3518"/>
      <c r="F122" s="3517" t="str">
        <f ca="1">IF(H19="元",NUMBERSTRING(INT(F121),2)&amp;"元整",NUMBERSTRING(INT(F121*10000),2)&amp;"元整")</f>
        <v>贰拾捌万元整</v>
      </c>
      <c r="G122" s="3518"/>
      <c r="H122" s="3517" t="str">
        <f ca="1">IF(H19="元",NUMBERSTRING(INT(H121),2)&amp;"元整",NUMBERSTRING(INT(H121*10000),2)&amp;"元整")</f>
        <v>贰佰零陆万元整</v>
      </c>
      <c r="I122" s="3566"/>
      <c r="J122" s="2786"/>
    </row>
    <row r="123" spans="1:16" ht="12.75">
      <c r="A123" s="3506" t="str">
        <f>IF(项目基本情况!D5="房地产市场价值","——",MID(A108,3,LEN(A108)-2))</f>
        <v>——</v>
      </c>
      <c r="B123" s="3519"/>
      <c r="C123" s="3508"/>
      <c r="D123" s="3510">
        <f>I105</f>
        <v>0</v>
      </c>
      <c r="E123" s="3519"/>
      <c r="F123" s="3519"/>
      <c r="G123" s="3519"/>
      <c r="H123" s="3519"/>
      <c r="I123" s="3507"/>
      <c r="J123" s="2779"/>
    </row>
    <row r="124" spans="1:16" ht="12.75">
      <c r="A124" s="3520" t="s">
        <v>2553</v>
      </c>
      <c r="B124" s="3521"/>
      <c r="C124" s="3522"/>
      <c r="D124" s="3558">
        <f>H109</f>
        <v>0</v>
      </c>
      <c r="E124" s="3559"/>
      <c r="F124" s="3559"/>
      <c r="G124" s="3559"/>
      <c r="H124" s="3559"/>
      <c r="I124" s="3560"/>
      <c r="J124" s="2787"/>
    </row>
    <row r="125" spans="1:16" ht="12.75">
      <c r="A125" s="3493" t="str">
        <f>IF(项目基本情况!D5="房地产市场价值","——",MID(A112,3,LEN(A112)-2))</f>
        <v>——</v>
      </c>
      <c r="B125" s="3494"/>
      <c r="C125" s="3494"/>
      <c r="D125" s="3510">
        <f ca="1">I110</f>
        <v>206</v>
      </c>
      <c r="E125" s="3519"/>
      <c r="F125" s="3519"/>
      <c r="G125" s="3519"/>
      <c r="H125" s="3519"/>
      <c r="I125" s="3507"/>
      <c r="J125" s="2779"/>
    </row>
    <row r="126" spans="1:16" ht="12.75">
      <c r="A126" s="3486" t="s">
        <v>2553</v>
      </c>
      <c r="B126" s="3482"/>
      <c r="C126" s="3482"/>
      <c r="D126" s="3558">
        <f ca="1">I111</f>
        <v>38599</v>
      </c>
      <c r="E126" s="3559"/>
      <c r="F126" s="3559"/>
      <c r="G126" s="3559"/>
      <c r="H126" s="3559"/>
      <c r="I126" s="3560"/>
      <c r="J126" s="2787"/>
    </row>
    <row r="127" spans="1:16" ht="13.5" thickBot="1">
      <c r="A127" s="3493" t="str">
        <f>IF(项目基本情况!D5="房地产市场价值","——",MID(A114,3,LEN(A114)-2))</f>
        <v>——</v>
      </c>
      <c r="B127" s="3494"/>
      <c r="C127" s="3494"/>
      <c r="D127" s="3466" t="str">
        <f>I112</f>
        <v>——</v>
      </c>
      <c r="E127" s="3467"/>
      <c r="F127" s="3467"/>
      <c r="G127" s="3467"/>
      <c r="H127" s="3467"/>
      <c r="I127" s="3468"/>
      <c r="J127" s="2779"/>
    </row>
    <row r="128" spans="1:16" ht="14.25" thickTop="1" thickBot="1">
      <c r="A128" s="3486" t="s">
        <v>2553</v>
      </c>
      <c r="B128" s="3482"/>
      <c r="C128" s="3533"/>
      <c r="D128" s="3511" t="str">
        <f>I113</f>
        <v>——</v>
      </c>
      <c r="E128" s="3511"/>
      <c r="F128" s="3511"/>
      <c r="G128" s="3511"/>
      <c r="H128" s="3511"/>
      <c r="I128" s="3511"/>
      <c r="J128" s="2787"/>
    </row>
    <row r="129" spans="1:10" ht="14.25" thickTop="1" thickBot="1">
      <c r="A129" s="3493" t="str">
        <f>IF(项目基本情况!D5="房地产市场价值","——",MID(F114,3,LEN(F114)-2))</f>
        <v>——</v>
      </c>
      <c r="B129" s="3494"/>
      <c r="C129" s="3510"/>
      <c r="D129" s="3561" t="str">
        <f>I114</f>
        <v>——</v>
      </c>
      <c r="E129" s="3561"/>
      <c r="F129" s="3561"/>
      <c r="G129" s="3561"/>
      <c r="H129" s="3561"/>
      <c r="I129" s="3561"/>
      <c r="J129" s="2779"/>
    </row>
    <row r="130" spans="1:10" ht="14.25" thickTop="1" thickBot="1">
      <c r="A130" s="3549" t="s">
        <v>2553</v>
      </c>
      <c r="B130" s="3550"/>
      <c r="C130" s="3550"/>
      <c r="D130" s="3567">
        <f>H116</f>
        <v>0</v>
      </c>
      <c r="E130" s="3568"/>
      <c r="F130" s="3568"/>
      <c r="G130" s="3568"/>
      <c r="H130" s="3568"/>
      <c r="I130" s="3569"/>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54" t="str">
        <f>IF(B32="总价","（以上估价结果中楼面单价为总价除以建筑面积得出）","（以上估价结果中总价为楼面单价乘以建筑面积得出）")</f>
        <v>（以上估价结果中总价为楼面单价乘以建筑面积得出）</v>
      </c>
      <c r="B132" s="3554"/>
      <c r="C132" s="3554"/>
      <c r="D132" s="3554"/>
      <c r="E132" s="3554"/>
      <c r="F132" s="3554"/>
      <c r="G132" s="3554"/>
      <c r="H132" s="3554"/>
      <c r="I132" s="3554"/>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D00-000000000000}">
      <formula1>估价方法</formula1>
    </dataValidation>
    <dataValidation type="list" allowBlank="1" showInputMessage="1" showErrorMessage="1" sqref="H55:H56" xr:uid="{00000000-0002-0000-0D00-000001000000}">
      <formula1>"个人住宅,正常"</formula1>
    </dataValidation>
    <dataValidation type="list" allowBlank="1" showInputMessage="1" showErrorMessage="1" sqref="H48" xr:uid="{00000000-0002-0000-0D00-000002000000}">
      <formula1>"情况1,情况2,情况3,情况4"</formula1>
    </dataValidation>
    <dataValidation type="list" allowBlank="1" showInputMessage="1" showErrorMessage="1" sqref="H58" xr:uid="{00000000-0002-0000-0D00-000003000000}">
      <formula1>"转让取得,自行开发建设"</formula1>
    </dataValidation>
    <dataValidation type="list" allowBlank="1" showInputMessage="1" showErrorMessage="1" sqref="F45" xr:uid="{00000000-0002-0000-0D00-000004000000}">
      <formula1>"100%,70%,56%"</formula1>
    </dataValidation>
    <dataValidation type="list" allowBlank="1" showInputMessage="1" showErrorMessage="1" sqref="D33" xr:uid="{00000000-0002-0000-0D00-000005000000}">
      <formula1>"成本法成本比率,收益法收益比率,收益法成本比率,自定义"</formula1>
    </dataValidation>
    <dataValidation type="list" allowBlank="1" showInputMessage="1" showErrorMessage="1" sqref="H88" xr:uid="{00000000-0002-0000-0D00-000006000000}">
      <formula1>"仅含出让金,出让金+开发费"</formula1>
    </dataValidation>
    <dataValidation type="list" allowBlank="1" showInputMessage="1" showErrorMessage="1" sqref="F75" xr:uid="{00000000-0002-0000-0D00-000007000000}">
      <formula1>"买卖合同,购房发票"</formula1>
    </dataValidation>
    <dataValidation type="list" allowBlank="1" showInputMessage="1" showErrorMessage="1" sqref="D36" xr:uid="{00000000-0002-0000-0D00-000008000000}">
      <formula1>"同一抵押权人同一抵押物续贷,注销后放款,正常操作"</formula1>
    </dataValidation>
    <dataValidation type="list" allowBlank="1" showInputMessage="1" showErrorMessage="1" sqref="D119:E119" xr:uid="{00000000-0002-0000-0D00-000009000000}">
      <formula1>"出让国有建设用地使用权价值,划拨国有建设用地使用权价值"</formula1>
    </dataValidation>
    <dataValidation type="list" allowBlank="1" showInputMessage="1" showErrorMessage="1" sqref="C133" xr:uid="{00000000-0002-0000-0D00-00000A000000}">
      <formula1>"无,有"</formula1>
    </dataValidation>
    <dataValidation type="list" allowBlank="1" showInputMessage="1" showErrorMessage="1" sqref="H59" xr:uid="{00000000-0002-0000-0D00-00000B000000}">
      <formula1>"非个人房产,个人住宅（满五唯一有凭证）,个人其他（有凭证）,个人其他（无凭证）"</formula1>
    </dataValidation>
    <dataValidation type="list" allowBlank="1" showInputMessage="1" showErrorMessage="1" sqref="H91" xr:uid="{00000000-0002-0000-0D00-00000C000000}">
      <formula1>"企业提供（在右侧录入）,——"</formula1>
    </dataValidation>
    <dataValidation type="list" allowBlank="1" showInputMessage="1" showErrorMessage="1" sqref="G77" xr:uid="{00000000-0002-0000-0D00-00000D000000}">
      <formula1>"个人住宅,2016年5月1日前购买,2016年5月1日后购买"</formula1>
    </dataValidation>
    <dataValidation type="list" allowBlank="1" showInputMessage="1" showErrorMessage="1" sqref="A27" xr:uid="{00000000-0002-0000-0D00-00000E000000}">
      <formula1>"成本价,优惠价,标准价,经适房,按经适房管理"</formula1>
    </dataValidation>
    <dataValidation type="list" allowBlank="1" showInputMessage="1" showErrorMessage="1" sqref="D92" xr:uid="{00000000-0002-0000-0D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76" t="s">
        <v>1643</v>
      </c>
      <c r="B2" s="3576"/>
      <c r="C2" s="3576"/>
      <c r="D2" s="3576"/>
      <c r="E2" s="3576"/>
      <c r="F2" s="3576"/>
      <c r="G2" s="3576"/>
      <c r="H2" s="3576"/>
      <c r="I2" s="3576"/>
      <c r="J2" s="2792"/>
    </row>
    <row r="3" spans="1:15" ht="12.75">
      <c r="A3" s="3536" t="s">
        <v>1471</v>
      </c>
      <c r="B3" s="3537"/>
      <c r="C3" s="3537"/>
      <c r="D3" s="3537"/>
      <c r="E3" s="3537"/>
      <c r="F3" s="3537"/>
      <c r="G3" s="3537"/>
      <c r="H3" s="3537"/>
      <c r="I3" s="3537"/>
      <c r="J3" s="2762"/>
    </row>
    <row r="4" spans="1:15" ht="14.25">
      <c r="A4" s="2630" t="s">
        <v>1472</v>
      </c>
      <c r="B4" s="2630" t="s">
        <v>1473</v>
      </c>
      <c r="C4" s="2631"/>
      <c r="D4" s="2631"/>
      <c r="E4" s="3533" t="s">
        <v>1644</v>
      </c>
      <c r="F4" s="3521"/>
      <c r="G4" s="3521"/>
      <c r="H4" s="3521"/>
      <c r="I4" s="3522"/>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32" t="s">
        <v>1475</v>
      </c>
      <c r="B5" s="3532">
        <v>25</v>
      </c>
      <c r="C5" s="3538"/>
      <c r="D5" s="3535"/>
      <c r="E5" s="12" t="s">
        <v>1476</v>
      </c>
      <c r="F5" s="2016"/>
      <c r="G5" s="2016"/>
      <c r="H5" s="2016"/>
      <c r="I5" s="2011"/>
      <c r="J5" s="2763"/>
    </row>
    <row r="6" spans="1:15" ht="12.75">
      <c r="A6" s="3532"/>
      <c r="B6" s="3532"/>
      <c r="C6" s="3539"/>
      <c r="D6" s="3535"/>
      <c r="E6" s="12" t="s">
        <v>1477</v>
      </c>
      <c r="F6" s="2016"/>
      <c r="G6" s="2016"/>
      <c r="H6" s="2016"/>
      <c r="I6" s="2011"/>
      <c r="J6" s="2763"/>
    </row>
    <row r="7" spans="1:15" ht="12.75">
      <c r="A7" s="3532"/>
      <c r="B7" s="3532"/>
      <c r="C7" s="3540"/>
      <c r="D7" s="3535"/>
      <c r="E7" s="12" t="s">
        <v>1478</v>
      </c>
      <c r="F7" s="2016"/>
      <c r="G7" s="2016"/>
      <c r="H7" s="2016"/>
      <c r="I7" s="2011"/>
      <c r="J7" s="2763"/>
    </row>
    <row r="8" spans="1:15" ht="12.75">
      <c r="A8" s="3532" t="s">
        <v>1479</v>
      </c>
      <c r="B8" s="3532">
        <v>15</v>
      </c>
      <c r="C8" s="3538"/>
      <c r="D8" s="3535"/>
      <c r="E8" s="12" t="s">
        <v>1480</v>
      </c>
      <c r="F8" s="2016"/>
      <c r="G8" s="2016"/>
      <c r="H8" s="2016"/>
      <c r="I8" s="2011"/>
      <c r="J8" s="2763"/>
    </row>
    <row r="9" spans="1:15" ht="12.75">
      <c r="A9" s="3532"/>
      <c r="B9" s="3532"/>
      <c r="C9" s="3540"/>
      <c r="D9" s="3535"/>
      <c r="E9" s="12" t="s">
        <v>1481</v>
      </c>
      <c r="F9" s="2016"/>
      <c r="G9" s="2016"/>
      <c r="H9" s="2016"/>
      <c r="I9" s="2011"/>
      <c r="J9" s="2763"/>
    </row>
    <row r="10" spans="1:15" ht="12.75">
      <c r="A10" s="3532" t="s">
        <v>1482</v>
      </c>
      <c r="B10" s="3532">
        <v>15</v>
      </c>
      <c r="C10" s="3538"/>
      <c r="D10" s="3535"/>
      <c r="E10" s="12" t="s">
        <v>1483</v>
      </c>
      <c r="F10" s="2016"/>
      <c r="G10" s="2016"/>
      <c r="H10" s="2016"/>
      <c r="I10" s="2011"/>
      <c r="J10" s="2763"/>
    </row>
    <row r="11" spans="1:15" ht="12.75">
      <c r="A11" s="3532"/>
      <c r="B11" s="3532"/>
      <c r="C11" s="3540"/>
      <c r="D11" s="3535"/>
      <c r="E11" s="12" t="s">
        <v>1484</v>
      </c>
      <c r="F11" s="2016"/>
      <c r="G11" s="2016"/>
      <c r="H11" s="2016"/>
      <c r="I11" s="2011"/>
      <c r="J11" s="2763"/>
    </row>
    <row r="12" spans="1:15" ht="12.75">
      <c r="A12" s="3532" t="s">
        <v>1485</v>
      </c>
      <c r="B12" s="3532">
        <v>15</v>
      </c>
      <c r="C12" s="3538"/>
      <c r="D12" s="3535"/>
      <c r="E12" s="12" t="s">
        <v>1486</v>
      </c>
      <c r="F12" s="2016"/>
      <c r="G12" s="2016"/>
      <c r="H12" s="2016"/>
      <c r="I12" s="2011"/>
      <c r="J12" s="2763"/>
    </row>
    <row r="13" spans="1:15" ht="12.75">
      <c r="A13" s="3532"/>
      <c r="B13" s="3532"/>
      <c r="C13" s="3540"/>
      <c r="D13" s="3535"/>
      <c r="E13" s="12" t="s">
        <v>1487</v>
      </c>
      <c r="F13" s="2016"/>
      <c r="G13" s="2016"/>
      <c r="H13" s="2016"/>
      <c r="I13" s="2011"/>
      <c r="J13" s="2763"/>
    </row>
    <row r="14" spans="1:15" ht="12.75">
      <c r="A14" s="3532" t="s">
        <v>1488</v>
      </c>
      <c r="B14" s="3532">
        <v>30</v>
      </c>
      <c r="C14" s="3538"/>
      <c r="D14" s="3535"/>
      <c r="E14" s="12" t="s">
        <v>1489</v>
      </c>
      <c r="F14" s="2016"/>
      <c r="G14" s="2016"/>
      <c r="H14" s="2016"/>
      <c r="I14" s="2011"/>
      <c r="J14" s="2763"/>
    </row>
    <row r="15" spans="1:15" ht="12.75">
      <c r="A15" s="3532"/>
      <c r="B15" s="3532"/>
      <c r="C15" s="3539"/>
      <c r="D15" s="3535"/>
      <c r="E15" s="12" t="s">
        <v>1490</v>
      </c>
      <c r="F15" s="2016"/>
      <c r="G15" s="2016"/>
      <c r="H15" s="2016"/>
      <c r="I15" s="2011"/>
      <c r="J15" s="2763"/>
    </row>
    <row r="16" spans="1:15" ht="12.75">
      <c r="A16" s="3532"/>
      <c r="B16" s="3532"/>
      <c r="C16" s="3540"/>
      <c r="D16" s="3535"/>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52" t="s">
        <v>2572</v>
      </c>
      <c r="F18" s="3553"/>
      <c r="G18" s="3553"/>
      <c r="H18" s="3553"/>
      <c r="I18" s="3553"/>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2" t="s">
        <v>1497</v>
      </c>
      <c r="C20" s="1846" t="e">
        <f ca="1">SUMIF(INDIRECT("'"&amp;C4&amp;"'"&amp;"!A:A"),'结果表 (1修多)'!B20,INDIRECT("'"&amp;C4&amp;"'"&amp;"!B:B"))</f>
        <v>#REF!</v>
      </c>
      <c r="D20" s="1849" t="e">
        <f ca="1">SUMIF(INDIRECT("'"&amp;D4&amp;"'"&amp;"!A:A"),'结果表 (1修多)'!B20,INDIRECT("'"&amp;D4&amp;"'"&amp;"!B:B"))</f>
        <v>#REF!</v>
      </c>
      <c r="E20" s="2643"/>
      <c r="F20" s="1622"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41" t="s">
        <v>1500</v>
      </c>
      <c r="B24" s="2638" t="s">
        <v>1495</v>
      </c>
      <c r="C24" s="2641">
        <f>D30</f>
        <v>0</v>
      </c>
      <c r="D24" s="2593"/>
      <c r="E24" s="905"/>
      <c r="F24" s="905"/>
      <c r="G24" s="905"/>
      <c r="H24" s="905"/>
      <c r="I24" s="905"/>
      <c r="J24" s="2764"/>
    </row>
    <row r="25" spans="1:36" ht="21.75" customHeight="1">
      <c r="A25" s="3542"/>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0"/>
      <c r="G30" s="2480"/>
      <c r="H30" s="2480"/>
      <c r="I30" s="2480"/>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98" t="s">
        <v>1647</v>
      </c>
      <c r="B32" s="3598"/>
      <c r="C32" s="3598"/>
      <c r="D32" s="3598"/>
      <c r="E32" s="3598"/>
      <c r="F32" s="3598"/>
      <c r="G32" s="3598"/>
      <c r="H32" s="3598"/>
      <c r="I32" s="3598"/>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541" t="s">
        <v>1656</v>
      </c>
      <c r="B38" s="1396" t="s">
        <v>1657</v>
      </c>
      <c r="C38" s="2674"/>
      <c r="D38" s="2675"/>
      <c r="E38" s="1608"/>
      <c r="F38" s="1608"/>
      <c r="G38" s="905"/>
      <c r="H38" s="905"/>
      <c r="I38" s="905"/>
      <c r="J38" s="2764"/>
    </row>
    <row r="39" spans="1:16" ht="15.75" thickBot="1">
      <c r="A39" s="3546"/>
      <c r="B39" s="2021" t="s">
        <v>1658</v>
      </c>
      <c r="C39" s="2676"/>
      <c r="D39" s="1239"/>
      <c r="E39" s="1239"/>
      <c r="F39" s="1608"/>
      <c r="G39" s="1239"/>
      <c r="H39" s="1239"/>
      <c r="I39" s="1239"/>
      <c r="J39" s="2768"/>
    </row>
    <row r="40" spans="1:16" ht="15.75" thickBot="1">
      <c r="A40" s="3547"/>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466" t="s">
        <v>1669</v>
      </c>
      <c r="B47" s="3467"/>
      <c r="C47" s="3477"/>
      <c r="D47" s="246">
        <f>ROUND(I104*F47,0)</f>
        <v>0</v>
      </c>
      <c r="E47" s="1470" t="s">
        <v>1670</v>
      </c>
      <c r="F47" s="2478">
        <v>1</v>
      </c>
      <c r="G47" s="2479" t="s">
        <v>1671</v>
      </c>
      <c r="H47" s="905"/>
      <c r="I47" s="905"/>
      <c r="J47" s="2764"/>
      <c r="K47" s="3571" t="s">
        <v>1527</v>
      </c>
      <c r="L47" s="3571"/>
      <c r="M47" s="3571"/>
      <c r="N47" s="3571"/>
      <c r="O47" s="3571"/>
      <c r="P47" s="3571"/>
    </row>
    <row r="48" spans="1:16" ht="14.25" customHeight="1">
      <c r="A48" s="3543" t="s">
        <v>1528</v>
      </c>
      <c r="B48" s="3544"/>
      <c r="C48" s="3544"/>
      <c r="D48" s="3544"/>
      <c r="E48" s="3544"/>
      <c r="F48" s="3544"/>
      <c r="G48" s="3545"/>
      <c r="H48" s="2896"/>
      <c r="I48" s="905"/>
      <c r="J48" s="2764"/>
      <c r="K48" s="2430">
        <v>1</v>
      </c>
      <c r="L48" s="3572" t="s">
        <v>1529</v>
      </c>
      <c r="M48" s="3572"/>
      <c r="N48" s="3573"/>
      <c r="O48" s="3573"/>
      <c r="P48" s="3573"/>
    </row>
    <row r="49" spans="1:17" ht="12" customHeight="1">
      <c r="A49" s="38" t="s">
        <v>1530</v>
      </c>
      <c r="B49" s="39"/>
      <c r="C49" s="40"/>
      <c r="D49" s="1028" t="s">
        <v>1531</v>
      </c>
      <c r="E49" s="235" t="s">
        <v>1532</v>
      </c>
      <c r="F49" s="41" t="s">
        <v>1533</v>
      </c>
      <c r="G49" s="2481" t="s">
        <v>1534</v>
      </c>
      <c r="H49" s="2896"/>
      <c r="I49" s="905"/>
      <c r="J49" s="2764"/>
      <c r="K49" s="2430">
        <v>2</v>
      </c>
      <c r="L49" s="3572" t="s">
        <v>1535</v>
      </c>
      <c r="M49" s="3572"/>
      <c r="N49" s="3575">
        <f>'数据-取费表'!B2</f>
        <v>44938</v>
      </c>
      <c r="O49" s="3575"/>
      <c r="P49" s="3575"/>
    </row>
    <row r="50" spans="1:17" ht="25.5">
      <c r="A50" s="3548" t="s">
        <v>1536</v>
      </c>
      <c r="B50" s="3482"/>
      <c r="C50" s="3482"/>
      <c r="D50" s="12">
        <f>IF(H50="情况1",0,IF(H50="情况2",D54,IF(H50="情况3",D55,IF(H50="情况4",D56))))</f>
        <v>0</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72" t="s">
        <v>1539</v>
      </c>
      <c r="M50" s="3572"/>
      <c r="N50" s="3577">
        <f>I104</f>
        <v>0</v>
      </c>
      <c r="O50" s="3577"/>
      <c r="P50" s="3577"/>
    </row>
    <row r="51" spans="1:17" ht="25.5" customHeight="1">
      <c r="A51" s="2018" t="s">
        <v>1540</v>
      </c>
      <c r="B51" s="3521" t="s">
        <v>1541</v>
      </c>
      <c r="C51" s="3521"/>
      <c r="D51" s="2485">
        <v>0</v>
      </c>
      <c r="E51" s="261" t="s">
        <v>1542</v>
      </c>
      <c r="F51" s="2486" t="s">
        <v>48</v>
      </c>
      <c r="G51" s="3463"/>
      <c r="H51" s="2487" t="s">
        <v>2496</v>
      </c>
      <c r="I51" s="2488"/>
      <c r="J51" s="2772"/>
      <c r="K51" s="2430">
        <v>4</v>
      </c>
      <c r="L51" s="3572" t="str">
        <f>IF(项目基本情况!F5="房地产抵押价值","房地产抵押价值","抵押担保权已注销时的房地产抵押价值")</f>
        <v>抵押担保权已注销时的房地产抵押价值</v>
      </c>
      <c r="M51" s="3572"/>
      <c r="N51" s="3577" t="str">
        <f>IF(项目基本情况!F5="房地产抵押价值",I112,I114)</f>
        <v>——</v>
      </c>
      <c r="O51" s="3577"/>
      <c r="P51" s="3577"/>
    </row>
    <row r="52" spans="1:17" ht="25.5" customHeight="1">
      <c r="A52" s="2008"/>
      <c r="B52" s="3521" t="s">
        <v>1543</v>
      </c>
      <c r="C52" s="3521"/>
      <c r="D52" s="2489"/>
      <c r="E52" s="269"/>
      <c r="F52" s="2486"/>
      <c r="G52" s="3464"/>
      <c r="H52" s="2490" t="s">
        <v>2497</v>
      </c>
      <c r="I52" s="2488"/>
      <c r="J52" s="2772"/>
      <c r="K52" s="3572" t="s">
        <v>1544</v>
      </c>
      <c r="L52" s="3572"/>
      <c r="M52" s="3572"/>
      <c r="N52" s="3572"/>
      <c r="O52" s="3572"/>
      <c r="P52" s="3572"/>
    </row>
    <row r="53" spans="1:17" ht="20.45" customHeight="1">
      <c r="A53" s="2491"/>
      <c r="B53" s="3521" t="s">
        <v>1545</v>
      </c>
      <c r="C53" s="3521"/>
      <c r="D53" s="1028"/>
      <c r="E53" s="264"/>
      <c r="F53" s="2486"/>
      <c r="G53" s="3465"/>
      <c r="H53" s="2490" t="s">
        <v>2498</v>
      </c>
      <c r="I53" s="2488"/>
      <c r="J53" s="2772"/>
      <c r="K53" s="2431" t="s">
        <v>1546</v>
      </c>
      <c r="L53" s="3572" t="s">
        <v>1547</v>
      </c>
      <c r="M53" s="3572"/>
      <c r="N53" s="2431" t="s">
        <v>1548</v>
      </c>
      <c r="O53" s="2431" t="s">
        <v>1549</v>
      </c>
      <c r="P53" s="2431" t="s">
        <v>1550</v>
      </c>
    </row>
    <row r="54" spans="1:17" ht="24" customHeight="1">
      <c r="A54" s="2009" t="s">
        <v>1551</v>
      </c>
      <c r="B54" s="3521" t="s">
        <v>1552</v>
      </c>
      <c r="C54" s="3521"/>
      <c r="D54" s="1028">
        <f>ROUND(D47*'数据-取费表'!E29/(1+'数据-取费表'!F30),0)</f>
        <v>0</v>
      </c>
      <c r="E54" s="2019" t="s">
        <v>1553</v>
      </c>
      <c r="F54" s="2492">
        <f>'数据-取费表'!E29</f>
        <v>5.5000000000000007E-2</v>
      </c>
      <c r="G54" s="2493"/>
      <c r="H54" s="905"/>
      <c r="I54" s="2897"/>
      <c r="J54" s="2772"/>
      <c r="K54" s="2430">
        <v>1</v>
      </c>
      <c r="L54" s="3574" t="s">
        <v>1554</v>
      </c>
      <c r="M54" s="3574"/>
      <c r="N54" s="2432">
        <f>D50</f>
        <v>0</v>
      </c>
      <c r="O54" s="2430" t="str">
        <f>E50</f>
        <v>销售额×税（费）率</v>
      </c>
      <c r="P54" s="2433">
        <f>F50</f>
        <v>5.5000000000000007E-2</v>
      </c>
    </row>
    <row r="55" spans="1:17" ht="12" customHeight="1">
      <c r="A55" s="2009" t="s">
        <v>1555</v>
      </c>
      <c r="B55" s="3533" t="s">
        <v>2589</v>
      </c>
      <c r="C55" s="3522"/>
      <c r="D55" s="1028">
        <f>ROUND(D47*'数据-取费表'!E29/(1+'数据-取费表'!F30),0)</f>
        <v>0</v>
      </c>
      <c r="E55" s="2019" t="s">
        <v>1553</v>
      </c>
      <c r="F55" s="2492">
        <f>'数据-取费表'!E29</f>
        <v>5.5000000000000007E-2</v>
      </c>
      <c r="G55" s="2493"/>
      <c r="H55" s="905"/>
      <c r="I55" s="2897"/>
      <c r="J55" s="2772"/>
      <c r="K55" s="2430">
        <v>2</v>
      </c>
      <c r="L55" s="3574" t="s">
        <v>1556</v>
      </c>
      <c r="M55" s="3574"/>
      <c r="N55" s="2432">
        <f t="shared" ref="N55:P56" si="1">D57</f>
        <v>0</v>
      </c>
      <c r="O55" s="2430" t="str">
        <f t="shared" si="1"/>
        <v>销售额×税（费）率</v>
      </c>
      <c r="P55" s="2433">
        <f t="shared" si="1"/>
        <v>5.0000000000000001E-4</v>
      </c>
    </row>
    <row r="56" spans="1:17" ht="12" customHeight="1">
      <c r="A56" s="2009" t="s">
        <v>1557</v>
      </c>
      <c r="B56" s="3533" t="s">
        <v>2590</v>
      </c>
      <c r="C56" s="3522"/>
      <c r="D56" s="1028">
        <f>C70</f>
        <v>0</v>
      </c>
      <c r="E56" s="264" t="s">
        <v>1558</v>
      </c>
      <c r="F56" s="2492">
        <f>'数据-取费表'!E29</f>
        <v>5.5000000000000007E-2</v>
      </c>
      <c r="G56" s="2493"/>
      <c r="H56" s="2898"/>
      <c r="I56" s="2897"/>
      <c r="J56" s="2772"/>
      <c r="K56" s="2430">
        <v>3</v>
      </c>
      <c r="L56" s="3574" t="s">
        <v>1559</v>
      </c>
      <c r="M56" s="3574"/>
      <c r="N56" s="2432">
        <f t="shared" si="1"/>
        <v>0</v>
      </c>
      <c r="O56" s="2430" t="str">
        <f t="shared" si="1"/>
        <v>增值额×税（费）率</v>
      </c>
      <c r="P56" s="2434" t="str">
        <f t="shared" si="1"/>
        <v>——</v>
      </c>
    </row>
    <row r="57" spans="1:17" ht="24" customHeight="1">
      <c r="A57" s="3486" t="s">
        <v>1560</v>
      </c>
      <c r="B57" s="3482"/>
      <c r="C57" s="3482"/>
      <c r="D57" s="12">
        <f>IF(H57="个人住宅",0,ROUND(D47*I57,0))</f>
        <v>0</v>
      </c>
      <c r="E57" s="2019" t="s">
        <v>1561</v>
      </c>
      <c r="F57" s="2492">
        <f>IF(H57="正常",I57,"免征")</f>
        <v>5.0000000000000001E-4</v>
      </c>
      <c r="G57" s="2493"/>
      <c r="H57" s="2484" t="s">
        <v>1562</v>
      </c>
      <c r="I57" s="74">
        <f>'数据-取费表'!E37</f>
        <v>5.0000000000000001E-4</v>
      </c>
      <c r="J57" s="2772"/>
      <c r="K57" s="2430">
        <f>IF(H61="非个人房产","",4)</f>
        <v>4</v>
      </c>
      <c r="L57" s="3574" t="str">
        <f>IF(H61="非个人房产","——","个人所得税")</f>
        <v>个人所得税</v>
      </c>
      <c r="M57" s="3574"/>
      <c r="N57" s="2435">
        <f>D61</f>
        <v>0</v>
      </c>
      <c r="O57" s="2436" t="str">
        <f>E61</f>
        <v>销售额×税（费）率</v>
      </c>
      <c r="P57" s="2437">
        <f>F61</f>
        <v>0.01</v>
      </c>
    </row>
    <row r="58" spans="1:17" ht="24.75">
      <c r="A58" s="3486" t="s">
        <v>1563</v>
      </c>
      <c r="B58" s="3482"/>
      <c r="C58" s="3482"/>
      <c r="D58" s="12">
        <f>IF(H58="个人住宅",D59,D60)</f>
        <v>0</v>
      </c>
      <c r="E58" s="2019" t="s">
        <v>1564</v>
      </c>
      <c r="F58" s="2492" t="str">
        <f>IF(H58="正常",F60,"免征")</f>
        <v>——</v>
      </c>
      <c r="G58" s="2494" t="s">
        <v>1565</v>
      </c>
      <c r="H58" s="2495" t="s">
        <v>1562</v>
      </c>
      <c r="I58" s="2899"/>
      <c r="J58" s="2772"/>
      <c r="K58" s="2430" t="str">
        <f>IF(项目基本情况!I6="上海银行",IF(K57="",4,K57+1),"")</f>
        <v/>
      </c>
      <c r="L58" s="3578" t="str">
        <f>IF(项目基本情况!I6="上海银行","其他处置费用","")</f>
        <v/>
      </c>
      <c r="M58" s="3583"/>
      <c r="N58" s="2432" t="str">
        <f>IF(项目基本情况!I6="上海银行",N71,"")</f>
        <v/>
      </c>
      <c r="O58" s="3578" t="str">
        <f>IF(项目基本情况!I6="上海银行","包含处置中涉及的律师、诉讼、拍卖、评估等费用","")</f>
        <v/>
      </c>
      <c r="P58" s="3579"/>
    </row>
    <row r="59" spans="1:17" ht="12.75">
      <c r="A59" s="2009" t="s">
        <v>1540</v>
      </c>
      <c r="B59" s="3533" t="s">
        <v>1566</v>
      </c>
      <c r="C59" s="3522"/>
      <c r="D59" s="2485">
        <v>0</v>
      </c>
      <c r="E59" s="261" t="s">
        <v>1542</v>
      </c>
      <c r="F59" s="235"/>
      <c r="G59" s="2493"/>
      <c r="H59" s="2899"/>
      <c r="I59" s="2899"/>
      <c r="J59" s="2772"/>
      <c r="K59" s="3574">
        <f>IF(AND(K57="",K58=""),4,IF(项目基本情况!I6="上海银行",K58+1,K57+1))</f>
        <v>5</v>
      </c>
      <c r="L59" s="3574" t="s">
        <v>1567</v>
      </c>
      <c r="M59" s="2438" t="s">
        <v>1568</v>
      </c>
      <c r="N59" s="2439"/>
      <c r="O59" s="2440">
        <f>SUMIF(N54:N58,"&lt;9e307")</f>
        <v>0</v>
      </c>
      <c r="P59" s="2441"/>
      <c r="Q59" s="1234" t="e">
        <f>O59/N51</f>
        <v>#VALUE!</v>
      </c>
    </row>
    <row r="60" spans="1:17" ht="24.75">
      <c r="A60" s="2009" t="s">
        <v>1551</v>
      </c>
      <c r="B60" s="3533" t="s">
        <v>1569</v>
      </c>
      <c r="C60" s="3521"/>
      <c r="D60" s="12">
        <f>IF(H60="转让取得",C83,C99)</f>
        <v>0</v>
      </c>
      <c r="E60" s="2019" t="s">
        <v>1564</v>
      </c>
      <c r="F60" s="235" t="s">
        <v>48</v>
      </c>
      <c r="G60" s="2493"/>
      <c r="H60" s="2495" t="s">
        <v>1570</v>
      </c>
      <c r="I60" s="2899"/>
      <c r="J60" s="2772"/>
      <c r="K60" s="3574"/>
      <c r="L60" s="3574"/>
      <c r="M60" s="2438" t="s">
        <v>1571</v>
      </c>
      <c r="N60" s="2442"/>
      <c r="O60" s="2443" t="str">
        <f>IF(H19="元",NUMBERSTRING(INT(O59),2)&amp;"元整",NUMBERSTRING(INT(O59*10000),2)&amp;"元整")</f>
        <v>零元整</v>
      </c>
      <c r="P60" s="2444"/>
    </row>
    <row r="61" spans="1:17" ht="26.25" thickBot="1">
      <c r="A61" s="3549" t="s">
        <v>1572</v>
      </c>
      <c r="B61" s="3550"/>
      <c r="C61" s="3550"/>
      <c r="D61" s="69">
        <f>IF(H61="非个人房产","——",IF(H61="个人住宅（满五唯一有凭证）",0,IF(H61="个人其他（无凭证）",ROUND(D47*F61,0),ROUND(C69*F61,0))))</f>
        <v>0</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3" t="s">
        <v>2495</v>
      </c>
      <c r="I61" s="2800" t="s">
        <v>2581</v>
      </c>
      <c r="J61" s="2772"/>
      <c r="K61" s="3580">
        <f>K59+1</f>
        <v>6</v>
      </c>
      <c r="L61" s="3574" t="s">
        <v>1573</v>
      </c>
      <c r="M61" s="2430" t="s">
        <v>1568</v>
      </c>
      <c r="N61" s="2445"/>
      <c r="O61" s="2446" t="e">
        <f>N51-O59</f>
        <v>#VALUE!</v>
      </c>
      <c r="P61" s="2447"/>
    </row>
    <row r="62" spans="1:17" ht="12" customHeight="1">
      <c r="A62" s="1385"/>
      <c r="B62" s="2480"/>
      <c r="C62" s="2480"/>
      <c r="D62" s="2480"/>
      <c r="E62" s="1385"/>
      <c r="F62" s="2899"/>
      <c r="G62" s="2899"/>
      <c r="H62" s="2894"/>
      <c r="I62" s="905"/>
      <c r="J62" s="2772"/>
      <c r="K62" s="3581"/>
      <c r="L62" s="3574"/>
      <c r="M62" s="2438" t="s">
        <v>1571</v>
      </c>
      <c r="N62" s="2442"/>
      <c r="O62" s="2443" t="e">
        <f>IF(H19="元",NUMBERSTRING(INT(O61),2)&amp;"元整",NUMBERSTRING(INT(O61*10000),2)&amp;"元整")</f>
        <v>#VALUE!</v>
      </c>
      <c r="P62" s="2444"/>
    </row>
    <row r="63" spans="1:17" ht="13.5" thickBot="1">
      <c r="A63" s="3582" t="s">
        <v>1574</v>
      </c>
      <c r="B63" s="3582"/>
      <c r="C63" s="3582"/>
      <c r="D63" s="3582"/>
      <c r="E63" s="3582"/>
      <c r="F63" s="2899"/>
      <c r="G63" s="2899"/>
      <c r="H63" s="2894"/>
      <c r="I63" s="905"/>
      <c r="J63" s="2764"/>
      <c r="K63" s="2430">
        <f>K61+1</f>
        <v>7</v>
      </c>
      <c r="L63" s="3574" t="s">
        <v>1575</v>
      </c>
      <c r="M63" s="3574"/>
      <c r="N63" s="2448"/>
      <c r="O63" s="2449" t="e">
        <f>IF(H19="元",ROUND(O61/项目基本情况!C12,0),ROUND(O61*10000/项目基本情况!C12,0))</f>
        <v>#VALUE!</v>
      </c>
      <c r="P63" s="2450"/>
    </row>
    <row r="64" spans="1:17" ht="12.75">
      <c r="A64" s="3500" t="s">
        <v>1576</v>
      </c>
      <c r="B64" s="3501"/>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70" t="s">
        <v>1580</v>
      </c>
      <c r="L65" s="1235" t="s">
        <v>1581</v>
      </c>
      <c r="M65" s="1235" t="e">
        <f>IF(N51&gt;10000,N51*0.5%,IF(AND(N51&gt;1000,N51&lt;=10000),N51*1%,IF(AND(N51&gt;100,N51&lt;=1000),N51*3%,IF(AND(N51&gt;10,N51&lt;=100),N51*5%,N51*8%))))</f>
        <v>#VALUE!</v>
      </c>
      <c r="N65" s="235" t="e">
        <f>ROUND(M65,1)</f>
        <v>#VALUE!</v>
      </c>
      <c r="O65" s="2451"/>
    </row>
    <row r="66" spans="1:36" ht="12.75">
      <c r="A66" s="49" t="s">
        <v>71</v>
      </c>
      <c r="B66" s="50" t="s">
        <v>1582</v>
      </c>
      <c r="C66" s="2704">
        <f>D47</f>
        <v>0</v>
      </c>
      <c r="D66" s="50" t="s">
        <v>41</v>
      </c>
      <c r="E66" s="52"/>
      <c r="F66" s="2899"/>
      <c r="G66" s="2899"/>
      <c r="H66" s="2894"/>
      <c r="I66" s="905"/>
      <c r="J66" s="2764"/>
      <c r="K66" s="357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70"/>
      <c r="L67" s="1235" t="s">
        <v>1586</v>
      </c>
      <c r="M67" s="1235"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4" t="s">
        <v>1588</v>
      </c>
      <c r="F68" s="2899"/>
      <c r="G68" s="2899"/>
      <c r="H68" s="2894"/>
      <c r="I68" s="905"/>
      <c r="J68" s="2764"/>
      <c r="K68" s="3570"/>
      <c r="L68" s="1235" t="s">
        <v>1589</v>
      </c>
      <c r="M68" s="1235" t="e">
        <f>N51*0.5%</f>
        <v>#VALUE!</v>
      </c>
      <c r="N68" s="235" t="e">
        <f>IF(M68&gt;0.5,0.5,ROUND(M68,0))</f>
        <v>#VALUE!</v>
      </c>
      <c r="O68" s="2451" t="s">
        <v>1590</v>
      </c>
    </row>
    <row r="69" spans="1:36" ht="12.75">
      <c r="A69" s="53" t="s">
        <v>42</v>
      </c>
      <c r="B69" s="54" t="s">
        <v>1591</v>
      </c>
      <c r="C69" s="2707">
        <f>C65-C68</f>
        <v>0</v>
      </c>
      <c r="D69" s="50" t="s">
        <v>41</v>
      </c>
      <c r="E69" s="52"/>
      <c r="F69" s="2899"/>
      <c r="G69" s="2899"/>
      <c r="H69" s="2894"/>
      <c r="I69" s="905"/>
      <c r="J69" s="2764"/>
      <c r="K69" s="357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IF(C69&lt;=0,0,ROUND(C69*D70,0))</f>
        <v>0</v>
      </c>
      <c r="D70" s="2169">
        <f>'数据-取费表'!E29</f>
        <v>5.5000000000000007E-2</v>
      </c>
      <c r="E70" s="57"/>
      <c r="F70" s="2899"/>
      <c r="G70" s="2899"/>
      <c r="H70" s="2894"/>
      <c r="I70" s="905"/>
      <c r="J70" s="2764"/>
      <c r="K70" s="3570"/>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2"/>
      <c r="E71" s="1409"/>
      <c r="F71" s="1385"/>
      <c r="G71" s="1385"/>
      <c r="H71" s="1409"/>
      <c r="I71" s="2480"/>
      <c r="J71" s="2764"/>
      <c r="K71" s="3570"/>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87" t="s">
        <v>1596</v>
      </c>
      <c r="B72" s="3588"/>
      <c r="C72" s="3588"/>
      <c r="D72" s="3588"/>
      <c r="E72" s="3588"/>
      <c r="F72" s="3588"/>
      <c r="G72" s="3588"/>
      <c r="H72" s="3588"/>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00" t="s">
        <v>1576</v>
      </c>
      <c r="B73" s="3501"/>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533" t="s">
        <v>1606</v>
      </c>
      <c r="F78" s="3521"/>
      <c r="G78" s="3521"/>
      <c r="H78" s="3534"/>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4"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69" t="s">
        <v>1611</v>
      </c>
      <c r="F80" s="3470"/>
      <c r="G80" s="3470"/>
      <c r="H80" s="3490"/>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09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87" t="s">
        <v>1615</v>
      </c>
      <c r="B85" s="3588"/>
      <c r="C85" s="3588"/>
      <c r="D85" s="3588"/>
      <c r="E85" s="3588"/>
      <c r="F85" s="3588"/>
      <c r="G85" s="3588"/>
      <c r="H85" s="3588"/>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00" t="s">
        <v>1576</v>
      </c>
      <c r="B86" s="3501"/>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3"/>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3"/>
      <c r="G92" s="3509" t="s">
        <v>2490</v>
      </c>
      <c r="H92" s="3589"/>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69" t="s">
        <v>1623</v>
      </c>
      <c r="F93" s="3470"/>
      <c r="G93" s="3470"/>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69" t="s">
        <v>1626</v>
      </c>
      <c r="F94" s="3470"/>
      <c r="G94" s="3470"/>
      <c r="H94" s="3490"/>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69" t="s">
        <v>1611</v>
      </c>
      <c r="F95" s="3470"/>
      <c r="G95" s="3470"/>
      <c r="H95" s="3490"/>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69" t="s">
        <v>1628</v>
      </c>
      <c r="F96" s="3470"/>
      <c r="G96" s="3470"/>
      <c r="H96" s="3490"/>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87" t="s">
        <v>1630</v>
      </c>
      <c r="B101" s="3488"/>
      <c r="C101" s="3488"/>
      <c r="D101" s="3489"/>
      <c r="E101" s="1389"/>
      <c r="F101" s="3584" t="s">
        <v>2532</v>
      </c>
      <c r="G101" s="3585"/>
      <c r="H101" s="3585"/>
      <c r="I101" s="3586"/>
      <c r="J101" s="2799"/>
    </row>
    <row r="102" spans="1:36" ht="15">
      <c r="A102" s="3504" t="s">
        <v>1632</v>
      </c>
      <c r="B102" s="3505"/>
      <c r="C102" s="2722">
        <f>C4</f>
        <v>0</v>
      </c>
      <c r="D102" s="2723">
        <f>D4</f>
        <v>0</v>
      </c>
      <c r="E102" s="1389"/>
      <c r="F102" s="3506" t="s">
        <v>2533</v>
      </c>
      <c r="G102" s="3508"/>
      <c r="H102" s="3519" t="s">
        <v>2534</v>
      </c>
      <c r="I102" s="3507"/>
      <c r="J102" s="2779"/>
    </row>
    <row r="103" spans="1:36" ht="12.75">
      <c r="A103" s="3590" t="s">
        <v>2528</v>
      </c>
      <c r="B103" s="2234" t="str">
        <f>IF(H19="元","总价（元）","总价（万元）")</f>
        <v>总价（万元）</v>
      </c>
      <c r="C103" s="1235" t="e">
        <f ca="1">C19</f>
        <v>#REF!</v>
      </c>
      <c r="D103" s="2726" t="e">
        <f ca="1">D19</f>
        <v>#REF!</v>
      </c>
      <c r="E103" s="1389"/>
      <c r="F103" s="3591"/>
      <c r="G103" s="3592"/>
      <c r="H103" s="3510">
        <f>典型户型修正!B25</f>
        <v>0</v>
      </c>
      <c r="I103" s="3507"/>
      <c r="J103" s="2779"/>
    </row>
    <row r="104" spans="1:36" ht="12.75">
      <c r="A104" s="3590"/>
      <c r="B104" s="2234" t="s">
        <v>2529</v>
      </c>
      <c r="C104" s="2727" t="e">
        <f ca="1">C20</f>
        <v>#REF!</v>
      </c>
      <c r="D104" s="2728" t="e">
        <f ca="1">D20</f>
        <v>#REF!</v>
      </c>
      <c r="E104" s="1389"/>
      <c r="F104" s="3493" t="s">
        <v>2535</v>
      </c>
      <c r="G104" s="3494"/>
      <c r="H104" s="2736" t="str">
        <f>C110</f>
        <v>总价（万元）</v>
      </c>
      <c r="I104" s="2737">
        <f>H125</f>
        <v>0</v>
      </c>
      <c r="J104" s="2779"/>
    </row>
    <row r="105" spans="1:36" ht="12.75">
      <c r="A105" s="3590" t="s">
        <v>2530</v>
      </c>
      <c r="B105" s="2172" t="str">
        <f>B103</f>
        <v>总价（万元）</v>
      </c>
      <c r="C105" s="12" t="e">
        <f ca="1">ROUND(IF('数据-取费表'!B4="总价",G19,IF(H19="元",G20*'数据-取费表'!E5,G20*'数据-取费表'!E5/10000)),0)</f>
        <v>#REF!</v>
      </c>
      <c r="D105" s="2729"/>
      <c r="E105" s="1389"/>
      <c r="F105" s="3493"/>
      <c r="G105" s="3494"/>
      <c r="H105" s="2736" t="s">
        <v>2536</v>
      </c>
      <c r="I105" s="52" t="e">
        <f>I125</f>
        <v>#DIV/0!</v>
      </c>
      <c r="J105" s="2763"/>
    </row>
    <row r="106" spans="1:36" ht="12.75">
      <c r="A106" s="3590"/>
      <c r="B106" s="2234" t="s">
        <v>2529</v>
      </c>
      <c r="C106" s="1409" t="e">
        <f ca="1">ROUND(IF('数据-取费表'!B4="楼面单价",G20,IF(H19="元",G19/'数据-取费表'!E5,G19*10000/'数据-取费表'!E5)),0)</f>
        <v>#REF!</v>
      </c>
      <c r="D106" s="2729"/>
      <c r="E106" s="1389"/>
      <c r="F106" s="3493"/>
      <c r="G106" s="3494"/>
      <c r="H106" s="3525"/>
      <c r="I106" s="3526"/>
      <c r="J106" s="2780"/>
    </row>
    <row r="107" spans="1:36" ht="12.75">
      <c r="A107" s="3597" t="s">
        <v>2531</v>
      </c>
      <c r="B107" s="2730" t="str">
        <f>B103</f>
        <v>总价（万元）</v>
      </c>
      <c r="C107" s="2731">
        <f>H125</f>
        <v>0</v>
      </c>
      <c r="D107" s="2732"/>
      <c r="E107" s="1389"/>
      <c r="F107" s="3529" t="s">
        <v>2537</v>
      </c>
      <c r="G107" s="3530"/>
      <c r="H107" s="2738" t="str">
        <f>C112</f>
        <v>总额（万元）</v>
      </c>
      <c r="I107" s="2737">
        <f>SUMIF(I108:I110,"&lt;9E307")</f>
        <v>0</v>
      </c>
      <c r="J107" s="2779"/>
    </row>
    <row r="108" spans="1:36" ht="15" thickBot="1">
      <c r="A108" s="3524"/>
      <c r="B108" s="2733" t="s">
        <v>2529</v>
      </c>
      <c r="C108" s="2734" t="e">
        <f>I125</f>
        <v>#DIV/0!</v>
      </c>
      <c r="D108" s="2735"/>
      <c r="E108" s="1389"/>
      <c r="F108" s="3495" t="s">
        <v>2538</v>
      </c>
      <c r="G108" s="3496"/>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93" t="s">
        <v>1633</v>
      </c>
      <c r="B109" s="3594"/>
      <c r="C109" s="3594"/>
      <c r="D109" s="3595"/>
      <c r="E109" s="1389"/>
      <c r="F109" s="3495" t="s">
        <v>2539</v>
      </c>
      <c r="G109" s="3496"/>
      <c r="H109" s="2738" t="str">
        <f>C114</f>
        <v>总额（万元）</v>
      </c>
      <c r="I109" s="52">
        <f>C39</f>
        <v>0</v>
      </c>
      <c r="J109" s="2763"/>
    </row>
    <row r="110" spans="1:36" ht="12.75">
      <c r="A110" s="3493" t="s">
        <v>2542</v>
      </c>
      <c r="B110" s="3494"/>
      <c r="C110" s="2736" t="str">
        <f>B103</f>
        <v>总价（万元）</v>
      </c>
      <c r="D110" s="2737">
        <f>H125</f>
        <v>0</v>
      </c>
      <c r="E110" s="1389"/>
      <c r="F110" s="3495" t="s">
        <v>2540</v>
      </c>
      <c r="G110" s="3496"/>
      <c r="H110" s="2738" t="str">
        <f>C115</f>
        <v>总额（万元）</v>
      </c>
      <c r="I110" s="52">
        <f>C40</f>
        <v>0</v>
      </c>
      <c r="J110" s="2763"/>
    </row>
    <row r="111" spans="1:36" ht="12.75">
      <c r="A111" s="3493"/>
      <c r="B111" s="3494"/>
      <c r="C111" s="2736" t="s">
        <v>2543</v>
      </c>
      <c r="D111" s="52" t="e">
        <f>I125</f>
        <v>#DIV/0!</v>
      </c>
      <c r="E111" s="1389"/>
      <c r="F111" s="3493"/>
      <c r="G111" s="3494"/>
      <c r="H111" s="3527"/>
      <c r="I111" s="3528"/>
      <c r="J111" s="2781"/>
    </row>
    <row r="112" spans="1:36" ht="28.5" customHeight="1">
      <c r="A112" s="3564" t="s">
        <v>2537</v>
      </c>
      <c r="B112" s="3565"/>
      <c r="C112" s="2738" t="str">
        <f>IF(H19="元","总额（元）","总额（万元）")</f>
        <v>总额（万元）</v>
      </c>
      <c r="D112" s="2737">
        <f>IF(D38="正常操作",I108+I109+I110,I109+I110)</f>
        <v>0</v>
      </c>
      <c r="E112" s="1389"/>
      <c r="F112" s="3476" t="str">
        <f>IF(项目基本情况!F5="已注销","——","3.房地产抵押价值")</f>
        <v>3.房地产抵押价值</v>
      </c>
      <c r="G112" s="3477"/>
      <c r="H112" s="1409" t="str">
        <f>C116</f>
        <v>总价（万元）</v>
      </c>
      <c r="I112" s="2737">
        <f>IF(F112="——","——",I104-I107)</f>
        <v>0</v>
      </c>
      <c r="J112" s="2779"/>
    </row>
    <row r="113" spans="1:27" ht="12.75">
      <c r="A113" s="3495" t="s">
        <v>2544</v>
      </c>
      <c r="B113" s="3496"/>
      <c r="C113" s="2738" t="str">
        <f>C112</f>
        <v>总额（万元）</v>
      </c>
      <c r="D113" s="52">
        <f>IF(D38="同一抵押权人同一抵押物续贷",C38&amp;"（未扣减，详见特别提示）",C38)</f>
        <v>0</v>
      </c>
      <c r="E113" s="1389"/>
      <c r="F113" s="3478"/>
      <c r="G113" s="3479"/>
      <c r="H113" s="2736" t="s">
        <v>2536</v>
      </c>
      <c r="I113" s="2740" t="e">
        <f>D117</f>
        <v>#DIV/0!</v>
      </c>
      <c r="J113" s="2782"/>
    </row>
    <row r="114" spans="1:27" ht="12.75">
      <c r="A114" s="3495" t="s">
        <v>2545</v>
      </c>
      <c r="B114" s="3496"/>
      <c r="C114" s="2738" t="str">
        <f>C112</f>
        <v>总额（万元）</v>
      </c>
      <c r="D114" s="52">
        <f>C39</f>
        <v>0</v>
      </c>
      <c r="E114" s="1389"/>
      <c r="F114" s="3476" t="str">
        <f>IF(项目基本情况!F5="已注销及未注销","4.抵押担保权已注销时的房地产抵押价值",IF(项目基本情况!F5="已注销","3.抵押担保权已注销时的房地产抵押价值","——"))</f>
        <v>——</v>
      </c>
      <c r="G114" s="3477"/>
      <c r="H114" s="1409" t="str">
        <f>C118</f>
        <v>总价（万元）</v>
      </c>
      <c r="I114" s="2737" t="str">
        <f>IF(F114="——","——",I104-I109-I110)</f>
        <v>——</v>
      </c>
      <c r="J114" s="2779"/>
    </row>
    <row r="115" spans="1:27" ht="12.75">
      <c r="A115" s="3495" t="s">
        <v>2546</v>
      </c>
      <c r="B115" s="3496"/>
      <c r="C115" s="2738" t="str">
        <f>C112</f>
        <v>总额（万元）</v>
      </c>
      <c r="D115" s="52">
        <f>C40</f>
        <v>0</v>
      </c>
      <c r="E115" s="1389"/>
      <c r="F115" s="3478"/>
      <c r="G115" s="3479"/>
      <c r="H115" s="2736" t="s">
        <v>2536</v>
      </c>
      <c r="I115" s="52" t="str">
        <f>D119</f>
        <v>——</v>
      </c>
      <c r="J115" s="2763"/>
    </row>
    <row r="116" spans="1:27" ht="12.75">
      <c r="A116" s="3493" t="str">
        <f>IF(项目基本情况!F5="已注销","——","3.房地产抵押价值")</f>
        <v>3.房地产抵押价值</v>
      </c>
      <c r="B116" s="3494"/>
      <c r="C116" s="2736" t="str">
        <f>B103</f>
        <v>总价（万元）</v>
      </c>
      <c r="D116" s="2737">
        <f>IF(A116="——","——",D110-D112)</f>
        <v>0</v>
      </c>
      <c r="E116" s="1389"/>
      <c r="F116" s="3476" t="str">
        <f>IF(项目基本情况!G5="抵押净值",IF(OR(项目基本情况!F5="已注销",项目基本情况!F5="房地产抵押价值"),"4.抵押净值","5.抵押净值"),"——")</f>
        <v>——</v>
      </c>
      <c r="G116" s="3477"/>
      <c r="H116" s="2736" t="str">
        <f>C120</f>
        <v>总价（万元）</v>
      </c>
      <c r="I116" s="2737" t="str">
        <f>IF(F116="——","——",O61)</f>
        <v>——</v>
      </c>
      <c r="J116" s="2779"/>
    </row>
    <row r="117" spans="1:27" ht="13.5" thickBot="1">
      <c r="A117" s="3493"/>
      <c r="B117" s="3494"/>
      <c r="C117" s="2736" t="s">
        <v>2543</v>
      </c>
      <c r="D117" s="52" t="e">
        <f>ROUND(IF(D116=D110,D111,IF(H19="元",D116/B125,D116*10000/B125)),0)</f>
        <v>#DIV/0!</v>
      </c>
      <c r="E117" s="1389"/>
      <c r="F117" s="3556"/>
      <c r="G117" s="3557"/>
      <c r="H117" s="2741" t="s">
        <v>2536</v>
      </c>
      <c r="I117" s="2725" t="str">
        <f>D121</f>
        <v>——</v>
      </c>
      <c r="J117" s="2763"/>
    </row>
    <row r="118" spans="1:27" ht="15.75">
      <c r="A118" s="3493" t="str">
        <f>IF(项目基本情况!F5="已注销及未注销","4.抵押担保权已注销时的房地产抵押价值",IF(项目基本情况!F5="已注销","3.抵押担保权已注销时的房地产抵押价值","——"))</f>
        <v>——</v>
      </c>
      <c r="B118" s="3494"/>
      <c r="C118" s="2736" t="str">
        <f>B103</f>
        <v>总价（万元）</v>
      </c>
      <c r="D118" s="2737" t="str">
        <f>IF(A118="——","——",D110-D114-D115)</f>
        <v>——</v>
      </c>
      <c r="E118" s="1389"/>
      <c r="F118" s="3471"/>
      <c r="G118" s="3471"/>
      <c r="H118" s="3512"/>
      <c r="I118" s="3512"/>
      <c r="J118" s="2783"/>
      <c r="O118" s="32"/>
      <c r="P118" s="32"/>
    </row>
    <row r="119" spans="1:27" s="1236" customFormat="1" ht="12.75">
      <c r="A119" s="3493"/>
      <c r="B119" s="3494"/>
      <c r="C119" s="2736" t="s">
        <v>2543</v>
      </c>
      <c r="D119" s="52" t="str">
        <f>IF(A118="——","——",IF(H19="元",ROUND(D118/B125,0),ROUND(D118*10000/B125,0)))</f>
        <v>——</v>
      </c>
      <c r="E119" s="1389"/>
      <c r="F119" s="3596" t="str">
        <f>IF(B33="总价","（以上估价结果中楼面单价为总价除以建筑面积得出）","（以上估价结果中总价为楼面单价乘以建筑面积得出）")</f>
        <v>（以上估价结果中总价为楼面单价乘以建筑面积得出）</v>
      </c>
      <c r="G119" s="3596"/>
      <c r="H119" s="3596"/>
      <c r="I119" s="3596"/>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93" t="str">
        <f>IF(项目基本情况!G5="抵押净值",IF(OR(项目基本情况!F5="已注销",项目基本情况!F5="房地产抵押价值"),"4.抵押净值","5.抵押净值"),"——")</f>
        <v>——</v>
      </c>
      <c r="B120" s="3494"/>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62"/>
      <c r="B121" s="3563"/>
      <c r="C121" s="2741" t="s">
        <v>2543</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513" t="s">
        <v>1672</v>
      </c>
      <c r="B122" s="3514"/>
      <c r="C122" s="3514"/>
      <c r="D122" s="3514"/>
      <c r="E122" s="3514"/>
      <c r="F122" s="3514"/>
      <c r="G122" s="3514"/>
      <c r="H122" s="3514"/>
      <c r="I122" s="3514"/>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86" t="s">
        <v>2547</v>
      </c>
      <c r="B123" s="3484" t="s">
        <v>2548</v>
      </c>
      <c r="C123" s="3484" t="s">
        <v>2554</v>
      </c>
      <c r="D123" s="3491" t="s">
        <v>2549</v>
      </c>
      <c r="E123" s="3492"/>
      <c r="F123" s="3482" t="s">
        <v>2555</v>
      </c>
      <c r="G123" s="3482"/>
      <c r="H123" s="3482" t="s">
        <v>2550</v>
      </c>
      <c r="I123" s="3483"/>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86"/>
      <c r="B124" s="3485"/>
      <c r="C124" s="3485"/>
      <c r="D124" s="2019" t="s">
        <v>2551</v>
      </c>
      <c r="E124" s="2019" t="s">
        <v>2556</v>
      </c>
      <c r="F124" s="2019" t="s">
        <v>2551</v>
      </c>
      <c r="G124" s="2019" t="s">
        <v>2552</v>
      </c>
      <c r="H124" s="2019"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9" t="str">
        <f>项目基本情况!I1</f>
        <v>北京市房地产</v>
      </c>
      <c r="B125" s="2019">
        <f>典型户型修正!B25</f>
        <v>0</v>
      </c>
      <c r="C125" s="1384"/>
      <c r="D125" s="2019">
        <f>C36</f>
        <v>0</v>
      </c>
      <c r="E125" s="2019" t="e">
        <f>ROUND(IF(H19="元",D125/B125,D125*10000/B125),0)</f>
        <v>#DIV/0!</v>
      </c>
      <c r="F125" s="2019">
        <f>C37</f>
        <v>0</v>
      </c>
      <c r="G125" s="2019" t="e">
        <f>ROUND(IF(H19="元",F125/B125,F125*10000/B125),0)</f>
        <v>#DIV/0!</v>
      </c>
      <c r="H125" s="2019">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86" t="s">
        <v>2553</v>
      </c>
      <c r="B126" s="3482"/>
      <c r="C126" s="3482"/>
      <c r="D126" s="3517" t="str">
        <f>IF(H19="元",NUMBERSTRING(INT(D125),2)&amp;"元整",NUMBERSTRING(INT(D125*10000),2)&amp;"元整")</f>
        <v>零元整</v>
      </c>
      <c r="E126" s="3518"/>
      <c r="F126" s="3517" t="str">
        <f>IF(H19="元",NUMBERSTRING(INT(F125),2)&amp;"元整",NUMBERSTRING(INT(F125*10000),2)&amp;"元整")</f>
        <v>零元整</v>
      </c>
      <c r="G126" s="3518"/>
      <c r="H126" s="3517" t="str">
        <f>IF(H19="元",NUMBERSTRING(INT(H125),2)&amp;"元整",NUMBERSTRING(INT(H125*10000),2)&amp;"元整")</f>
        <v>零元整</v>
      </c>
      <c r="I126" s="3566"/>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506" t="str">
        <f>IF(项目基本情况!D5="房地产市场价值","——",MID(A112,3,LEN(A112)-2))</f>
        <v>——</v>
      </c>
      <c r="B127" s="3519"/>
      <c r="C127" s="3508"/>
      <c r="D127" s="3510">
        <f>I107</f>
        <v>0</v>
      </c>
      <c r="E127" s="3519"/>
      <c r="F127" s="3519"/>
      <c r="G127" s="3519"/>
      <c r="H127" s="3519"/>
      <c r="I127" s="3507"/>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20" t="s">
        <v>2553</v>
      </c>
      <c r="B128" s="3521"/>
      <c r="C128" s="3522"/>
      <c r="D128" s="3558">
        <f>H111</f>
        <v>0</v>
      </c>
      <c r="E128" s="3559"/>
      <c r="F128" s="3559"/>
      <c r="G128" s="3559"/>
      <c r="H128" s="3559"/>
      <c r="I128" s="3560"/>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93" t="str">
        <f>IF(项目基本情况!D5="房地产市场价值","——",MID(A116,3,LEN(A116)-2))</f>
        <v>——</v>
      </c>
      <c r="B129" s="3494"/>
      <c r="C129" s="3494"/>
      <c r="D129" s="3510">
        <f>I112</f>
        <v>0</v>
      </c>
      <c r="E129" s="3519"/>
      <c r="F129" s="3519"/>
      <c r="G129" s="3519"/>
      <c r="H129" s="3519"/>
      <c r="I129" s="3507"/>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86" t="s">
        <v>2553</v>
      </c>
      <c r="B130" s="3482"/>
      <c r="C130" s="3482"/>
      <c r="D130" s="3558" t="e">
        <f>I113</f>
        <v>#DIV/0!</v>
      </c>
      <c r="E130" s="3559"/>
      <c r="F130" s="3559"/>
      <c r="G130" s="3559"/>
      <c r="H130" s="3559"/>
      <c r="I130" s="3560"/>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93" t="str">
        <f>IF(项目基本情况!D5="房地产市场价值","——",MID(A118,3,LEN(A118)-2))</f>
        <v>——</v>
      </c>
      <c r="B131" s="3494"/>
      <c r="C131" s="3494"/>
      <c r="D131" s="3466" t="str">
        <f>I114</f>
        <v>——</v>
      </c>
      <c r="E131" s="3467"/>
      <c r="F131" s="3467"/>
      <c r="G131" s="3467"/>
      <c r="H131" s="3467"/>
      <c r="I131" s="3468"/>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86" t="s">
        <v>2553</v>
      </c>
      <c r="B132" s="3482"/>
      <c r="C132" s="3533"/>
      <c r="D132" s="3511" t="str">
        <f>I115</f>
        <v>——</v>
      </c>
      <c r="E132" s="3511"/>
      <c r="F132" s="3511"/>
      <c r="G132" s="3511"/>
      <c r="H132" s="3511"/>
      <c r="I132" s="3511"/>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93" t="str">
        <f>IF(项目基本情况!D5="房地产市场价值","——",MID(F116,3,LEN(F116)-2))</f>
        <v>——</v>
      </c>
      <c r="B133" s="3494"/>
      <c r="C133" s="3510"/>
      <c r="D133" s="3561" t="str">
        <f>I116</f>
        <v>——</v>
      </c>
      <c r="E133" s="3561"/>
      <c r="F133" s="3561"/>
      <c r="G133" s="3561"/>
      <c r="H133" s="3561"/>
      <c r="I133" s="3561"/>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49" t="s">
        <v>2553</v>
      </c>
      <c r="B134" s="3550"/>
      <c r="C134" s="3550"/>
      <c r="D134" s="3567">
        <f>H118</f>
        <v>0</v>
      </c>
      <c r="E134" s="3568"/>
      <c r="F134" s="3568"/>
      <c r="G134" s="3568"/>
      <c r="H134" s="3568"/>
      <c r="I134" s="3569"/>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54" t="str">
        <f>IF(B33="总价","（以上估价结果中楼面单价为总价除以建筑面积得出）","（以上估价结果中总价为楼面单价乘以建筑面积得出）")</f>
        <v>（以上估价结果中总价为楼面单价乘以建筑面积得出）</v>
      </c>
      <c r="B136" s="3554"/>
      <c r="C136" s="3554"/>
      <c r="D136" s="3554"/>
      <c r="E136" s="3554"/>
      <c r="F136" s="3554"/>
      <c r="G136" s="3554"/>
      <c r="H136" s="3554"/>
      <c r="I136" s="3554"/>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"100%,70%,56%"</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33374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8554</v>
      </c>
      <c r="D9" s="1101">
        <f>IF('数据-取费表'!B10="住宅",IF(B1="仅计算典型户型",'数据-取费表'!E5,'数据-取费表'!B5),0)</f>
        <v>53.46</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10692</v>
      </c>
      <c r="D19" s="1104">
        <f>IF(B1="仅计算典型户型",'数据-取费表'!E5,'数据-取费表'!B5)</f>
        <v>53.46</v>
      </c>
      <c r="E19" s="111">
        <f>'数据-取费表'!E15</f>
        <v>200</v>
      </c>
      <c r="F19" s="112"/>
      <c r="G19" s="1446"/>
    </row>
    <row r="20" spans="1:123" s="91" customFormat="1" ht="13.5" customHeight="1">
      <c r="A20" s="120" t="s">
        <v>1702</v>
      </c>
      <c r="B20" s="89" t="s">
        <v>1703</v>
      </c>
      <c r="C20" s="99">
        <f>ROUND((C5+C19)*F20,0)</f>
        <v>20824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102252</v>
      </c>
      <c r="D22" s="101">
        <f ca="1">C26</f>
        <v>1E-3</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1040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989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265504</v>
      </c>
      <c r="D27" s="101">
        <f>C29</f>
        <v>5.0000000000000001E-3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265504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1551402</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186308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160380</v>
      </c>
      <c r="D34" s="1096"/>
      <c r="E34" s="115"/>
      <c r="F34" s="1107" t="str">
        <f>IF('数据-取费表'!B26=0,"",'数据-取费表'!E20)</f>
        <v/>
      </c>
      <c r="G34" s="95"/>
    </row>
    <row r="35" spans="1:123" ht="13.5" customHeight="1">
      <c r="A35" s="92" t="s">
        <v>1685</v>
      </c>
      <c r="B35" s="93" t="s">
        <v>1734</v>
      </c>
      <c r="C35" s="115">
        <f>ROUND(C34*F35,0)</f>
        <v>4811</v>
      </c>
      <c r="D35" s="115"/>
      <c r="E35" s="115"/>
      <c r="F35" s="1108">
        <f>'数据-取费表'!E21</f>
        <v>0.03</v>
      </c>
      <c r="G35" s="95" t="s">
        <v>1735</v>
      </c>
    </row>
    <row r="36" spans="1:123" ht="24">
      <c r="A36" s="92" t="s">
        <v>1687</v>
      </c>
      <c r="B36" s="93" t="s">
        <v>1736</v>
      </c>
      <c r="C36" s="115">
        <f>ROUND(IF('数据-取费表'!B10="住宅",C34*F36,0),0)</f>
        <v>8019</v>
      </c>
      <c r="D36" s="115"/>
      <c r="E36" s="115"/>
      <c r="F36" s="1108">
        <f>'数据-取费表'!E22</f>
        <v>0.05</v>
      </c>
      <c r="G36" s="123" t="s">
        <v>1737</v>
      </c>
    </row>
    <row r="37" spans="1:123" s="122" customFormat="1" ht="13.5" customHeight="1">
      <c r="A37" s="92" t="s">
        <v>1718</v>
      </c>
      <c r="B37" s="93" t="s">
        <v>1738</v>
      </c>
      <c r="C37" s="115">
        <f>ROUND(E37*D37,0)</f>
        <v>10692</v>
      </c>
      <c r="D37" s="1096">
        <f>IF(B1="仅计算典型户型",'数据-取费表'!E5,'数据-取费表'!B5)</f>
        <v>53.46</v>
      </c>
      <c r="E37" s="115">
        <f>'数据-取费表'!E23</f>
        <v>200</v>
      </c>
      <c r="F37" s="1108"/>
      <c r="G37" s="124" t="s">
        <v>1739</v>
      </c>
    </row>
    <row r="38" spans="1:123" ht="13.5" customHeight="1">
      <c r="A38" s="92" t="s">
        <v>1740</v>
      </c>
      <c r="B38" s="93" t="s">
        <v>1741</v>
      </c>
      <c r="C38" s="115">
        <f>ROUND(C34*F38,0)</f>
        <v>2406</v>
      </c>
      <c r="D38" s="115"/>
      <c r="E38" s="115"/>
      <c r="F38" s="1108">
        <f>'数据-取费表'!E24</f>
        <v>1.4999999999999999E-2</v>
      </c>
      <c r="G38" s="95" t="s">
        <v>1735</v>
      </c>
    </row>
    <row r="39" spans="1:123" s="91" customFormat="1" ht="13.5" customHeight="1">
      <c r="A39" s="120" t="s">
        <v>1700</v>
      </c>
      <c r="B39" s="89" t="s">
        <v>1703</v>
      </c>
      <c r="C39" s="99">
        <f>ROUND(C33*F20,0)</f>
        <v>3726</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9027</v>
      </c>
      <c r="D41" s="101">
        <f ca="1">C44</f>
        <v>1E-3</v>
      </c>
      <c r="E41" s="102" t="s">
        <v>1743</v>
      </c>
      <c r="F41" s="2805">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8850</v>
      </c>
      <c r="D42" s="104"/>
      <c r="E42" s="104"/>
      <c r="F42" s="105"/>
      <c r="G42" s="3599" t="s">
        <v>1745</v>
      </c>
    </row>
    <row r="43" spans="1:123" ht="13.5" customHeight="1">
      <c r="A43" s="92" t="s">
        <v>1685</v>
      </c>
      <c r="B43" s="93" t="s">
        <v>1714</v>
      </c>
      <c r="C43" s="104">
        <f ca="1">ROUND(IF('数据-取费表'!B24&lt;=1,C39*F22*'数据-取费表'!B23/2,C39*(POWER((1+F22),'数据-取费表'!B23/2)-1)),0)</f>
        <v>177</v>
      </c>
      <c r="D43" s="104"/>
      <c r="E43" s="104"/>
      <c r="F43" s="105"/>
      <c r="G43" s="3600"/>
    </row>
    <row r="44" spans="1:123" ht="13.5" customHeight="1">
      <c r="A44" s="92" t="s">
        <v>1687</v>
      </c>
      <c r="B44" s="93" t="s">
        <v>1716</v>
      </c>
      <c r="C44" s="104">
        <f ca="1">ROUND(IF('数据-取费表'!B24&lt;=1,C40*F22*'数据-取费表'!B23/2,C40*(POWER((1+F22),'数据-取费表'!B23/2)-1)),4)</f>
        <v>1E-3</v>
      </c>
      <c r="D44" s="104"/>
      <c r="E44" s="104"/>
      <c r="F44" s="105"/>
      <c r="G44" s="3601"/>
    </row>
    <row r="45" spans="1:123" s="91" customFormat="1" ht="13.5" customHeight="1">
      <c r="A45" s="120" t="s">
        <v>1709</v>
      </c>
      <c r="B45" s="110" t="s">
        <v>1721</v>
      </c>
      <c r="C45" s="111">
        <f>C46</f>
        <v>47509</v>
      </c>
      <c r="D45" s="101">
        <f>C47</f>
        <v>5.0000000000000001E-3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47509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267546</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232765</v>
      </c>
      <c r="D51" s="99"/>
      <c r="E51" s="99"/>
      <c r="F51" s="126"/>
      <c r="G51" s="100" t="s">
        <v>1759</v>
      </c>
    </row>
    <row r="52" spans="1:123" s="88" customFormat="1" ht="16.5" thickBot="1">
      <c r="A52" s="127" t="s">
        <v>1760</v>
      </c>
      <c r="B52" s="128"/>
      <c r="C52" s="129">
        <f ca="1">C31+C51</f>
        <v>1784167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0.13</v>
      </c>
    </row>
    <row r="57" spans="1:123">
      <c r="B57" s="135" t="s">
        <v>1763</v>
      </c>
      <c r="C57" s="137">
        <f ca="1">1-C56</f>
        <v>0.87</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0F00-000000000000}">
      <formula1>"已包含在土地取得成本中,未包含在土地取得成本中"</formula1>
    </dataValidation>
    <dataValidation type="list" allowBlank="1" showInputMessage="1" showErrorMessage="1" sqref="G8" xr:uid="{00000000-0002-0000-0F00-000001000000}">
      <formula1>"已包含在土地购买价格中,未包含在土地购买价格中"</formula1>
    </dataValidation>
    <dataValidation type="list" allowBlank="1" showInputMessage="1" showErrorMessage="1" sqref="B1" xr:uid="{00000000-0002-0000-0F00-000002000000}">
      <formula1>"估价对象,仅计算典型户型"</formula1>
    </dataValidation>
    <dataValidation type="list" allowBlank="1" showInputMessage="1" showErrorMessage="1" sqref="G2" xr:uid="{00000000-0002-0000-0F00-000003000000}">
      <formula1>估价方法</formula1>
    </dataValidation>
    <dataValidation type="list" allowBlank="1" showInputMessage="1" showErrorMessage="1" sqref="D2" xr:uid="{00000000-0002-0000-0F00-000004000000}">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000-000000000000}">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92D050"/>
    <pageSetUpPr fitToPage="1"/>
  </sheetPr>
  <dimension ref="A1:AK75"/>
  <sheetViews>
    <sheetView view="pageBreakPreview" topLeftCell="A34" zoomScale="90" zoomScaleNormal="60" zoomScaleSheetLayoutView="90" workbookViewId="0">
      <selection activeCell="E26" sqref="E2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173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32298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37667</v>
      </c>
      <c r="D5" s="1561" t="s">
        <v>2481</v>
      </c>
      <c r="E5" s="885"/>
      <c r="F5" s="1014"/>
      <c r="G5" s="909"/>
      <c r="H5" s="232">
        <v>1</v>
      </c>
      <c r="I5" s="233" t="s">
        <v>1772</v>
      </c>
      <c r="J5" s="234">
        <f ca="1">J6+J10+J12</f>
        <v>0</v>
      </c>
      <c r="K5" s="1448" t="s">
        <v>1773</v>
      </c>
      <c r="L5" s="885"/>
      <c r="M5" s="1014"/>
    </row>
    <row r="6" spans="1:37" ht="18" customHeight="1">
      <c r="A6" s="1015" t="s">
        <v>1774</v>
      </c>
      <c r="B6" s="1370" t="s">
        <v>1775</v>
      </c>
      <c r="C6" s="234">
        <f>ROUND(F6*F8*F7*(1-F9),0)</f>
        <v>37620</v>
      </c>
      <c r="D6" s="36" t="s">
        <v>2461</v>
      </c>
      <c r="E6" s="235" t="s">
        <v>1776</v>
      </c>
      <c r="F6" s="236">
        <f>'数据-取费表'!B30</f>
        <v>3300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232765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160380</v>
      </c>
      <c r="D14" s="1256" t="s">
        <v>1795</v>
      </c>
      <c r="E14" s="1257"/>
      <c r="F14" s="757"/>
      <c r="G14" s="910"/>
      <c r="H14" s="253" t="s">
        <v>1774</v>
      </c>
      <c r="I14" s="235" t="s">
        <v>1796</v>
      </c>
      <c r="J14" s="13">
        <f ca="1">C29</f>
        <v>267546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4811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8019</v>
      </c>
      <c r="D16" s="235" t="s">
        <v>1799</v>
      </c>
      <c r="E16" s="235" t="s">
        <v>1800</v>
      </c>
      <c r="F16" s="258">
        <f>IF('数据-取费表'!B10="住宅",'数据-取费表'!E22,0)</f>
        <v>0.05</v>
      </c>
      <c r="G16" s="910"/>
      <c r="H16" s="1021" t="s">
        <v>14</v>
      </c>
      <c r="I16" s="1022" t="s">
        <v>1805</v>
      </c>
      <c r="J16" s="243">
        <f ca="1">ROUND(J17+J22+J23+J24,0)</f>
        <v>1338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10692</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2406</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186308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3726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1338</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9027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5.0000000000000001E-3</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-1338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47509</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0.04</v>
      </c>
    </row>
    <row r="27" spans="1:37" ht="18" customHeight="1">
      <c r="A27" s="253" t="s">
        <v>1858</v>
      </c>
      <c r="B27" s="235" t="s">
        <v>1859</v>
      </c>
      <c r="C27" s="13">
        <f>ROUND(F21*F26,4)</f>
        <v>5.0000000000000001E-3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267546</v>
      </c>
      <c r="D29" s="1034"/>
      <c r="E29" s="1032"/>
      <c r="F29" s="1035"/>
      <c r="G29" s="652"/>
      <c r="H29" s="271" t="s">
        <v>24</v>
      </c>
      <c r="I29" s="272" t="s">
        <v>1869</v>
      </c>
      <c r="J29" s="273">
        <f ca="1">ROUND(J26/(1+F40)^F41,0)</f>
        <v>0</v>
      </c>
      <c r="K29" s="274" t="s">
        <v>1870</v>
      </c>
      <c r="L29" s="275"/>
      <c r="M29" s="276">
        <f>IF(D1="仅计算典型户型",'数据-取费表'!E5,'数据-取费表'!B5)</f>
        <v>53.46</v>
      </c>
    </row>
    <row r="30" spans="1:37" ht="18" customHeight="1" thickTop="1">
      <c r="A30" s="1021" t="s">
        <v>14</v>
      </c>
      <c r="B30" s="1022" t="s">
        <v>1871</v>
      </c>
      <c r="C30" s="243">
        <f ca="1">ROUND(C31+C36+C37+C38,0)</f>
        <v>2538</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896</v>
      </c>
      <c r="D31" s="1256" t="s">
        <v>1873</v>
      </c>
      <c r="E31" s="1259" t="s">
        <v>1874</v>
      </c>
      <c r="F31" s="2743">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2482</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0</v>
      </c>
      <c r="K35" s="902"/>
      <c r="L35" s="901"/>
      <c r="M35" s="901"/>
    </row>
    <row r="36" spans="1:18" ht="18" customHeight="1">
      <c r="A36" s="1018" t="s">
        <v>1781</v>
      </c>
      <c r="B36" s="235" t="s">
        <v>1880</v>
      </c>
      <c r="C36" s="13">
        <f ca="1">ROUND(C29*F36,0)</f>
        <v>1338</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116</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188</v>
      </c>
      <c r="D38" s="1034" t="s">
        <v>1846</v>
      </c>
      <c r="E38" s="1032" t="s">
        <v>1842</v>
      </c>
      <c r="F38" s="1027">
        <f>'数据-取费表'!B47</f>
        <v>5.0000000000000001E-3</v>
      </c>
      <c r="G38" s="652"/>
      <c r="H38" s="901"/>
      <c r="I38" s="280" t="s">
        <v>1884</v>
      </c>
      <c r="J38" s="136">
        <f ca="1">ROUND(J34/C39,3)</f>
        <v>0</v>
      </c>
      <c r="K38" s="906"/>
      <c r="L38" s="901"/>
      <c r="M38" s="901"/>
    </row>
    <row r="39" spans="1:18" ht="18" customHeight="1" thickTop="1">
      <c r="A39" s="1021" t="s">
        <v>22</v>
      </c>
      <c r="B39" s="1036" t="s">
        <v>1885</v>
      </c>
      <c r="C39" s="243">
        <f ca="1">C5-C30</f>
        <v>35129</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1726668</v>
      </c>
      <c r="D40" s="261" t="s">
        <v>1856</v>
      </c>
      <c r="E40" s="235" t="s">
        <v>1857</v>
      </c>
      <c r="F40" s="245">
        <f>'数据-取费表'!B16</f>
        <v>0.04</v>
      </c>
      <c r="H40" s="907"/>
      <c r="I40" s="132" t="s">
        <v>1889</v>
      </c>
      <c r="J40" s="133"/>
      <c r="K40" s="906"/>
      <c r="L40" s="907"/>
      <c r="M40" s="907"/>
      <c r="Q40" s="656"/>
    </row>
    <row r="41" spans="1:18" s="652" customFormat="1" ht="18" customHeight="1">
      <c r="A41" s="237"/>
      <c r="B41" s="238"/>
      <c r="C41" s="239"/>
      <c r="D41" s="269" t="s">
        <v>1890</v>
      </c>
      <c r="E41" s="1232" t="s">
        <v>3141</v>
      </c>
      <c r="F41" s="270">
        <f>IF('数据-取费表'!B29="租赁期内按合同租金",'数据-取费表'!B35,IF(E41="收益年期(n)",'数据-取费表'!B34,'数据-取费表'!B13))</f>
        <v>70</v>
      </c>
      <c r="H41" s="908"/>
      <c r="I41" s="135" t="s">
        <v>1762</v>
      </c>
      <c r="J41" s="136">
        <f ca="1">ROUND(C13/C40,3)</f>
        <v>0.13500000000000001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0.86499999999999999</v>
      </c>
      <c r="K42" s="905"/>
      <c r="L42" s="908"/>
      <c r="M42" s="908"/>
      <c r="Q42" s="656"/>
    </row>
    <row r="43" spans="1:18" s="652" customFormat="1" ht="18" customHeight="1" thickBot="1">
      <c r="A43" s="271" t="s">
        <v>24</v>
      </c>
      <c r="B43" s="272" t="s">
        <v>1891</v>
      </c>
      <c r="C43" s="273">
        <f ca="1">ROUND(C40/F43,0)</f>
        <v>32298</v>
      </c>
      <c r="D43" s="274" t="s">
        <v>1892</v>
      </c>
      <c r="E43" s="275" t="s">
        <v>1893</v>
      </c>
      <c r="F43" s="276">
        <f>IF(D1="仅计算典型户型",'数据-取费表'!E5,'数据-取费表'!B5)</f>
        <v>53.46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1726668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-176</v>
      </c>
      <c r="D47" s="1456" t="str">
        <f>C2</f>
        <v>万元</v>
      </c>
      <c r="E47" s="649"/>
      <c r="F47" s="649"/>
      <c r="I47" s="1457" t="s">
        <v>1904</v>
      </c>
      <c r="J47" s="981"/>
      <c r="K47" s="982"/>
      <c r="L47" s="995">
        <f>IF(M48="住宅",0,IF(L49&gt;J52,L61,J61))</f>
        <v>0</v>
      </c>
      <c r="O47" s="1009" t="s">
        <v>769</v>
      </c>
      <c r="P47" s="1006" t="s">
        <v>1905</v>
      </c>
      <c r="Q47" s="1007">
        <f ca="1">C29</f>
        <v>267546</v>
      </c>
      <c r="R47" s="1008" t="s">
        <v>1900</v>
      </c>
    </row>
    <row r="48" spans="1:18" s="652" customFormat="1" ht="15.75" thickBot="1">
      <c r="A48" s="228" t="s">
        <v>1906</v>
      </c>
      <c r="B48" s="229" t="s">
        <v>1907</v>
      </c>
      <c r="C48" s="229" t="s">
        <v>1908</v>
      </c>
      <c r="D48" s="229" t="s">
        <v>1909</v>
      </c>
      <c r="E48" s="944" t="s">
        <v>1910</v>
      </c>
      <c r="F48" s="945"/>
      <c r="I48" s="1458" t="s">
        <v>1911</v>
      </c>
      <c r="J48" s="1459" t="s">
        <v>3087</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3140</v>
      </c>
      <c r="K49" s="1463" t="s">
        <v>1916</v>
      </c>
      <c r="L49" s="821">
        <f>'数据-取费表'!B13</f>
        <v>70</v>
      </c>
      <c r="O49" s="1009" t="s">
        <v>771</v>
      </c>
      <c r="P49" s="1006" t="s">
        <v>1917</v>
      </c>
      <c r="Q49" s="1010">
        <f>J53</f>
        <v>0.05</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70</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173</v>
      </c>
      <c r="R51" s="1008" t="s">
        <v>774</v>
      </c>
    </row>
    <row r="52" spans="1:18" s="652" customFormat="1" ht="16.5" thickBot="1">
      <c r="A52" s="237"/>
      <c r="B52" s="238"/>
      <c r="C52" s="239"/>
      <c r="D52" s="240"/>
      <c r="E52" s="235" t="s">
        <v>1779</v>
      </c>
      <c r="F52" s="236">
        <f>F8</f>
        <v>12</v>
      </c>
      <c r="I52" s="1466" t="s">
        <v>1926</v>
      </c>
      <c r="J52" s="986">
        <f>IF(J50="",J51,J50+J51-YEAR('数据-取费表'!B2))</f>
        <v>51</v>
      </c>
      <c r="K52" s="1467" t="s">
        <v>1927</v>
      </c>
      <c r="L52" s="987">
        <f ca="1">ROUND(-PV('数据-取费表'!B15,J52,(C40-C13*J35)),0)</f>
        <v>34305354</v>
      </c>
      <c r="O52" s="999" t="s">
        <v>1928</v>
      </c>
      <c r="P52" s="1000"/>
      <c r="Q52" s="996"/>
      <c r="R52" s="1000"/>
    </row>
    <row r="53" spans="1:18" s="652" customFormat="1" ht="15.75" thickBot="1">
      <c r="A53" s="241"/>
      <c r="B53" s="242"/>
      <c r="C53" s="243"/>
      <c r="D53" s="244"/>
      <c r="E53" s="235" t="s">
        <v>1780</v>
      </c>
      <c r="F53" s="994"/>
      <c r="I53" s="1468" t="s">
        <v>1929</v>
      </c>
      <c r="J53" s="988">
        <v>0.05</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70</v>
      </c>
      <c r="K54" s="3602" t="s">
        <v>2460</v>
      </c>
      <c r="L54" s="3603"/>
      <c r="O54" s="1005" t="s">
        <v>767</v>
      </c>
      <c r="P54" s="1006" t="s">
        <v>1899</v>
      </c>
      <c r="Q54" s="1007">
        <f ca="1">C40+J29</f>
        <v>1726668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3142</v>
      </c>
      <c r="O56" s="1009" t="s">
        <v>769</v>
      </c>
      <c r="P56" s="1006" t="s">
        <v>1935</v>
      </c>
      <c r="Q56" s="1007">
        <f>IF(L56="比较法",L50,IF(L56="基准地价",L51,0))</f>
        <v>0</v>
      </c>
      <c r="R56" s="1008" t="s">
        <v>1900</v>
      </c>
    </row>
    <row r="57" spans="1:18" s="652" customFormat="1" ht="44.25" thickTop="1" thickBot="1">
      <c r="A57" s="1021">
        <v>2</v>
      </c>
      <c r="B57" s="1022" t="s">
        <v>1790</v>
      </c>
      <c r="C57" s="1080">
        <f ca="1">C13</f>
        <v>232765</v>
      </c>
      <c r="D57" s="941"/>
      <c r="E57" s="942"/>
      <c r="F57" s="949"/>
      <c r="I57" s="1475" t="s">
        <v>1936</v>
      </c>
      <c r="J57" s="993" t="s">
        <v>3126</v>
      </c>
      <c r="K57" s="1461" t="s">
        <v>1937</v>
      </c>
      <c r="L57" s="821">
        <f>IF(L49&lt;J52,"——",L49-J52)</f>
        <v>19</v>
      </c>
      <c r="O57" s="1009" t="s">
        <v>770</v>
      </c>
      <c r="P57" s="1006" t="s">
        <v>1938</v>
      </c>
      <c r="Q57" s="1010">
        <f>L53</f>
        <v>0</v>
      </c>
      <c r="R57" s="1008"/>
    </row>
    <row r="58" spans="1:18" s="652" customFormat="1" ht="29.25" thickBot="1">
      <c r="A58" s="948"/>
      <c r="B58" s="235" t="s">
        <v>1868</v>
      </c>
      <c r="C58" s="104">
        <f ca="1">C29</f>
        <v>267546</v>
      </c>
      <c r="D58" s="941"/>
      <c r="E58" s="942"/>
      <c r="F58" s="949"/>
      <c r="I58" s="1476" t="s">
        <v>1939</v>
      </c>
      <c r="J58" s="992" t="str">
        <f>IF(OR(M48="住宅",J52&lt;L49,J57="是"),"——",J52-L49)</f>
        <v>——</v>
      </c>
      <c r="K58" s="1461" t="s">
        <v>1940</v>
      </c>
      <c r="L58" s="821">
        <f>IF(L49&lt;J52,"——",IF(L56="比较法",L50,IF(L56="基准地价",L51,L52)))</f>
        <v>0</v>
      </c>
      <c r="O58" s="1009" t="s">
        <v>771</v>
      </c>
      <c r="P58" s="1006" t="s">
        <v>1941</v>
      </c>
      <c r="Q58" s="1007" t="e">
        <f>L59</f>
        <v>#DIV/0!</v>
      </c>
      <c r="R58" s="1008" t="s">
        <v>1942</v>
      </c>
    </row>
    <row r="59" spans="1:18" s="652" customFormat="1" ht="29.25" thickBot="1">
      <c r="A59" s="248" t="s">
        <v>14</v>
      </c>
      <c r="B59" s="249" t="s">
        <v>1871</v>
      </c>
      <c r="C59" s="250">
        <f ca="1">ROUND(C60+C65+C66+C67,0)</f>
        <v>1454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173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1726668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1338</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34305354</v>
      </c>
      <c r="R65" s="1012" t="s">
        <v>1962</v>
      </c>
    </row>
    <row r="66" spans="1:18" s="652" customFormat="1" ht="20.25" thickBot="1">
      <c r="A66" s="253" t="s">
        <v>20</v>
      </c>
      <c r="B66" s="235" t="s">
        <v>1840</v>
      </c>
      <c r="C66" s="13">
        <f ca="1">ROUND(C57*F66,0)</f>
        <v>116</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35129</v>
      </c>
      <c r="R66" s="1008"/>
    </row>
    <row r="67" spans="1:18" s="652" customFormat="1" ht="15.75" thickBot="1">
      <c r="A67" s="253" t="s">
        <v>21</v>
      </c>
      <c r="B67" s="235" t="s">
        <v>1823</v>
      </c>
      <c r="C67" s="13">
        <f ca="1">ROUND(C49*F67,0)</f>
        <v>0</v>
      </c>
      <c r="D67" s="1259" t="s">
        <v>1846</v>
      </c>
      <c r="E67" s="235" t="s">
        <v>1842</v>
      </c>
      <c r="F67" s="245">
        <f t="shared" si="0"/>
        <v>5.0000000000000001E-3</v>
      </c>
      <c r="O67" s="1009" t="s">
        <v>775</v>
      </c>
      <c r="P67" s="1013" t="s">
        <v>1965</v>
      </c>
      <c r="Q67" s="1007">
        <f ca="1">C39</f>
        <v>35129</v>
      </c>
      <c r="R67" s="1008" t="s">
        <v>1900</v>
      </c>
    </row>
    <row r="68" spans="1:18" ht="15.75" thickBot="1">
      <c r="A68" s="248" t="s">
        <v>22</v>
      </c>
      <c r="B68" s="41" t="s">
        <v>1850</v>
      </c>
      <c r="C68" s="250">
        <f ca="1">C49-C59</f>
        <v>-1454</v>
      </c>
      <c r="D68" s="1256" t="s">
        <v>1851</v>
      </c>
      <c r="E68" s="1258"/>
      <c r="F68" s="268"/>
      <c r="H68" s="652"/>
      <c r="I68" s="652"/>
      <c r="J68" s="652"/>
      <c r="K68" s="652"/>
      <c r="L68" s="652"/>
      <c r="M68" s="652"/>
      <c r="O68" s="1009" t="s">
        <v>776</v>
      </c>
      <c r="P68" s="1013" t="s">
        <v>1966</v>
      </c>
      <c r="Q68" s="1007">
        <f ca="1">C13</f>
        <v>232765</v>
      </c>
      <c r="R68" s="1008" t="s">
        <v>1900</v>
      </c>
    </row>
    <row r="69" spans="1:18" ht="15.75" thickBot="1">
      <c r="A69" s="232" t="s">
        <v>23</v>
      </c>
      <c r="B69" s="233" t="s">
        <v>1888</v>
      </c>
      <c r="C69" s="234">
        <f ca="1">ROUND(C68*(1-((1+F71)/(1+F69))^F70)/(F69-F71),0)</f>
        <v>-34016</v>
      </c>
      <c r="D69" s="261" t="s">
        <v>1856</v>
      </c>
      <c r="E69" s="235" t="s">
        <v>1857</v>
      </c>
      <c r="F69" s="245">
        <f>F40</f>
        <v>0.04</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70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-636</v>
      </c>
      <c r="D72" s="274" t="s">
        <v>1892</v>
      </c>
      <c r="E72" s="275" t="s">
        <v>1893</v>
      </c>
      <c r="F72" s="276">
        <f>F43</f>
        <v>53.46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173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100-000000000000}">
      <formula1>"按租金收入计税,按房产原值计税"</formula1>
    </dataValidation>
    <dataValidation type="list" allowBlank="1" showInputMessage="1" showErrorMessage="1" sqref="D33 D62" xr:uid="{00000000-0002-0000-1100-000001000000}">
      <formula1>"按租金收入计税,按房产原值计税,按票据"</formula1>
    </dataValidation>
    <dataValidation type="list" allowBlank="1" showInputMessage="1" showErrorMessage="1" sqref="D1" xr:uid="{00000000-0002-0000-1100-000002000000}">
      <formula1>"估价对象,仅计算典型户型"</formula1>
    </dataValidation>
    <dataValidation type="list" allowBlank="1" showInputMessage="1" showErrorMessage="1" sqref="J57" xr:uid="{00000000-0002-0000-1100-000003000000}">
      <formula1>判定</formula1>
    </dataValidation>
    <dataValidation type="list" allowBlank="1" showInputMessage="1" showErrorMessage="1" sqref="J49" xr:uid="{00000000-0002-0000-1100-000004000000}">
      <formula1>"非生产用房,生产用房,受腐蚀的生产用房"</formula1>
    </dataValidation>
    <dataValidation type="list" allowBlank="1" showInputMessage="1" showErrorMessage="1" sqref="J48" xr:uid="{00000000-0002-0000-1100-000005000000}">
      <formula1>"钢,钢混,砖混"</formula1>
    </dataValidation>
    <dataValidation type="list" allowBlank="1" showInputMessage="1" showErrorMessage="1" sqref="L56" xr:uid="{00000000-0002-0000-1100-000006000000}">
      <formula1>"比较法,基准地价,收益还原"</formula1>
    </dataValidation>
    <dataValidation type="list" allowBlank="1" showInputMessage="1" showErrorMessage="1" sqref="F10 M10 F54" xr:uid="{00000000-0002-0000-1100-000007000000}">
      <formula1>"押一,押二,押三,自定义"</formula1>
    </dataValidation>
    <dataValidation type="list" allowBlank="1" showInputMessage="1" showErrorMessage="1" sqref="E41" xr:uid="{00000000-0002-0000-1100-000008000000}">
      <formula1>"收益年期(n),设定收益年期(n)"</formula1>
    </dataValidation>
    <dataValidation type="list" allowBlank="1" showInputMessage="1" showErrorMessage="1" sqref="E1" xr:uid="{00000000-0002-0000-11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theme="6" tint="0.79998168889431442"/>
  </sheetPr>
  <dimension ref="J4:J27"/>
  <sheetViews>
    <sheetView workbookViewId="0">
      <selection activeCell="J28" sqref="J28"/>
    </sheetView>
  </sheetViews>
  <sheetFormatPr defaultRowHeight="13.5"/>
  <sheetData>
    <row r="4" spans="10:10">
      <c r="J4">
        <f>3300/52.9</f>
        <v>62.381852551984878</v>
      </c>
    </row>
    <row r="10" spans="10:10">
      <c r="J10">
        <f>3300/64</f>
        <v>51.5625</v>
      </c>
    </row>
    <row r="16" spans="10:10">
      <c r="J16">
        <f>3300/53.5</f>
        <v>61.682242990654203</v>
      </c>
    </row>
    <row r="21" spans="10:10">
      <c r="J21">
        <f>3200/53.5</f>
        <v>59.813084112149532</v>
      </c>
    </row>
    <row r="27" spans="10:10">
      <c r="J27">
        <f>3100/42.4</f>
        <v>73.113207547169807</v>
      </c>
    </row>
  </sheetData>
  <phoneticPr fontId="147"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f>项目基本情况!B4</f>
        <v>0</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2790</v>
      </c>
      <c r="B1" s="3081"/>
      <c r="C1" s="3087"/>
      <c r="D1" s="3087"/>
      <c r="E1" s="3082"/>
      <c r="F1" s="3083"/>
      <c r="G1" s="3176"/>
      <c r="J1" s="3179" t="s">
        <v>2646</v>
      </c>
      <c r="K1" s="3180"/>
      <c r="L1" s="3180"/>
      <c r="M1" s="3180"/>
      <c r="N1" s="3180"/>
      <c r="O1" s="3180"/>
      <c r="P1" s="3180"/>
      <c r="Q1" s="3180"/>
      <c r="R1" s="3181"/>
      <c r="S1" s="3182"/>
      <c r="T1" s="3182"/>
      <c r="U1" s="3182"/>
    </row>
    <row r="2" spans="1:23" s="3090" customFormat="1" ht="13.15" customHeight="1">
      <c r="A2" s="3085" t="s">
        <v>2647</v>
      </c>
      <c r="B2" s="3086" t="e">
        <f>C40</f>
        <v>#DIV/0!</v>
      </c>
      <c r="C2" s="3087" t="s">
        <v>2648</v>
      </c>
      <c r="D2" s="3087"/>
      <c r="E2" s="3088"/>
      <c r="F2" s="3089"/>
      <c r="G2" s="3183"/>
      <c r="H2" s="3184"/>
      <c r="I2" s="3185"/>
      <c r="J2" s="3610" t="s">
        <v>2649</v>
      </c>
      <c r="K2" s="3611"/>
      <c r="L2" s="3186" t="s">
        <v>2650</v>
      </c>
      <c r="M2" s="3186" t="s">
        <v>2651</v>
      </c>
      <c r="N2" s="3186" t="s">
        <v>2652</v>
      </c>
      <c r="O2" s="3186" t="s">
        <v>2653</v>
      </c>
      <c r="P2" s="3186" t="s">
        <v>2654</v>
      </c>
      <c r="Q2" s="3187" t="s">
        <v>2655</v>
      </c>
      <c r="R2" s="3188" t="s">
        <v>2656</v>
      </c>
      <c r="S2" s="3182"/>
      <c r="T2" s="3182"/>
      <c r="U2" s="3182"/>
      <c r="V2" s="3185"/>
      <c r="W2" s="3184"/>
    </row>
    <row r="3" spans="1:23" s="3090" customFormat="1" ht="13.15" customHeight="1">
      <c r="A3" s="3092" t="s">
        <v>2657</v>
      </c>
      <c r="B3" s="3093" t="e">
        <f>ROUND(B2*10000/B4,0)</f>
        <v>#DIV/0!</v>
      </c>
      <c r="C3" s="3087" t="s">
        <v>2658</v>
      </c>
      <c r="D3" s="3087"/>
      <c r="E3" s="3088"/>
      <c r="F3" s="3089"/>
      <c r="G3" s="3183"/>
      <c r="H3" s="3184"/>
      <c r="I3" s="3185"/>
      <c r="J3" s="3612" t="s">
        <v>2659</v>
      </c>
      <c r="K3" s="3613"/>
      <c r="L3" s="3189"/>
      <c r="M3" s="3189"/>
      <c r="N3" s="3189"/>
      <c r="O3" s="3189"/>
      <c r="P3" s="3189"/>
      <c r="Q3" s="3190"/>
      <c r="R3" s="3191">
        <f>SUM(L3:Q3)</f>
        <v>0</v>
      </c>
      <c r="S3" s="3182"/>
      <c r="T3" s="3182"/>
      <c r="U3" s="3182"/>
      <c r="V3" s="3185"/>
      <c r="W3" s="3184"/>
    </row>
    <row r="4" spans="1:23" s="3090" customFormat="1" ht="13.15" customHeight="1">
      <c r="A4" s="3094" t="s">
        <v>2660</v>
      </c>
      <c r="B4" s="3151"/>
      <c r="C4" s="3087"/>
      <c r="D4" s="3087"/>
      <c r="E4" s="3088"/>
      <c r="F4" s="3089"/>
      <c r="G4" s="3183"/>
      <c r="H4" s="3184"/>
      <c r="I4" s="3185"/>
      <c r="J4" s="3612" t="s">
        <v>2661</v>
      </c>
      <c r="K4" s="3613"/>
      <c r="L4" s="3192"/>
      <c r="M4" s="3192"/>
      <c r="N4" s="3192"/>
      <c r="O4" s="3192"/>
      <c r="P4" s="3192"/>
      <c r="Q4" s="3193"/>
      <c r="R4" s="3194">
        <f>SUM(L4:Q4)</f>
        <v>0</v>
      </c>
      <c r="S4" s="3182"/>
      <c r="T4" s="3182"/>
      <c r="U4" s="3182"/>
      <c r="V4" s="3185"/>
      <c r="W4" s="3184"/>
    </row>
    <row r="5" spans="1:23" s="3090" customFormat="1" ht="13.15" customHeight="1" thickBot="1">
      <c r="A5" s="3095" t="s">
        <v>2662</v>
      </c>
      <c r="B5" s="3152"/>
      <c r="C5" s="3087"/>
      <c r="D5" s="3096"/>
      <c r="E5" s="3089"/>
      <c r="F5" s="3089"/>
      <c r="G5" s="3183"/>
      <c r="H5" s="3184"/>
      <c r="I5" s="3185"/>
      <c r="J5" s="3195" t="s">
        <v>2663</v>
      </c>
      <c r="K5" s="3196"/>
      <c r="L5" s="3196"/>
      <c r="M5" s="3197"/>
      <c r="N5" s="3197"/>
      <c r="O5" s="3197"/>
      <c r="P5" s="3197"/>
      <c r="Q5" s="3197"/>
      <c r="R5" s="3188">
        <f>SUM(R14,R19,R24,R25,R27,R28)</f>
        <v>0</v>
      </c>
      <c r="S5" s="3182"/>
      <c r="T5" s="3182" t="s">
        <v>2664</v>
      </c>
      <c r="U5" s="3182" t="e">
        <f>ROUND(R5*10000/365/R3,1)</f>
        <v>#DIV/0!</v>
      </c>
      <c r="V5" s="3185"/>
      <c r="W5" s="3184"/>
    </row>
    <row r="6" spans="1:23" s="3090" customFormat="1" ht="13.15" customHeight="1" thickBot="1">
      <c r="A6" s="3618" t="s">
        <v>2665</v>
      </c>
      <c r="B6" s="3619"/>
      <c r="C6" s="3620"/>
      <c r="D6" s="3153"/>
      <c r="E6" s="3097"/>
      <c r="F6" s="3098"/>
      <c r="G6" s="3198"/>
      <c r="H6" s="3184"/>
      <c r="I6" s="3185"/>
      <c r="J6" s="3604">
        <v>1</v>
      </c>
      <c r="K6" s="3605" t="s">
        <v>2666</v>
      </c>
      <c r="L6" s="3199" t="s">
        <v>2667</v>
      </c>
      <c r="M6" s="3200" t="s">
        <v>2668</v>
      </c>
      <c r="N6" s="3200" t="s">
        <v>2669</v>
      </c>
      <c r="O6" s="3200" t="s">
        <v>2670</v>
      </c>
      <c r="P6" s="3200" t="s">
        <v>2671</v>
      </c>
      <c r="Q6" s="3200" t="s">
        <v>2672</v>
      </c>
      <c r="R6" s="3191" t="s">
        <v>2673</v>
      </c>
      <c r="S6" s="3182"/>
      <c r="T6" s="3182" t="s">
        <v>2674</v>
      </c>
      <c r="U6" s="3182"/>
      <c r="V6" s="3185"/>
      <c r="W6" s="3184"/>
    </row>
    <row r="7" spans="1:23" s="3090" customFormat="1" ht="13.15" customHeight="1">
      <c r="A7" s="3100" t="s">
        <v>2675</v>
      </c>
      <c r="B7" s="3101"/>
      <c r="C7" s="3102"/>
      <c r="D7" s="3103">
        <f>SUM(D9,D10,D11,D17,0)</f>
        <v>0</v>
      </c>
      <c r="E7" s="3104" t="e">
        <f>E9+E10+E11+E17</f>
        <v>#DIV/0!</v>
      </c>
      <c r="F7" s="3105"/>
      <c r="G7" s="3201"/>
      <c r="H7" s="3184"/>
      <c r="I7" s="3185"/>
      <c r="J7" s="3604"/>
      <c r="K7" s="3606"/>
      <c r="L7" s="3202" t="s">
        <v>2775</v>
      </c>
      <c r="M7" s="3203"/>
      <c r="N7" s="3203"/>
      <c r="O7" s="3204"/>
      <c r="P7" s="3204"/>
      <c r="Q7" s="3205">
        <v>365</v>
      </c>
      <c r="R7" s="3206">
        <f>ROUND(M7*N7*O7*P7*Q7/10000,0)</f>
        <v>0</v>
      </c>
      <c r="S7" s="3182"/>
      <c r="T7" s="3182" t="s">
        <v>2676</v>
      </c>
      <c r="U7" s="3182"/>
      <c r="V7" s="3185"/>
      <c r="W7" s="3184"/>
    </row>
    <row r="8" spans="1:23" s="3090" customFormat="1" ht="13.15" customHeight="1">
      <c r="A8" s="3106" t="s">
        <v>2677</v>
      </c>
      <c r="B8" s="3621" t="s">
        <v>2678</v>
      </c>
      <c r="C8" s="3622"/>
      <c r="D8" s="3107" t="s">
        <v>2679</v>
      </c>
      <c r="E8" s="3108" t="s">
        <v>2680</v>
      </c>
      <c r="F8" s="3091" t="s">
        <v>2681</v>
      </c>
      <c r="G8" s="3261" t="s">
        <v>2789</v>
      </c>
      <c r="H8" s="3184"/>
      <c r="I8" s="3185"/>
      <c r="J8" s="3604"/>
      <c r="K8" s="3606"/>
      <c r="L8" s="3202" t="s">
        <v>2776</v>
      </c>
      <c r="M8" s="3203"/>
      <c r="N8" s="3203"/>
      <c r="O8" s="3204"/>
      <c r="P8" s="3204"/>
      <c r="Q8" s="3205">
        <v>365</v>
      </c>
      <c r="R8" s="3206">
        <f t="shared" ref="R8:R13" si="0">ROUND(M8*N8*O8*P8*Q8/10000,0)</f>
        <v>0</v>
      </c>
      <c r="S8" s="3182"/>
      <c r="T8" s="3182" t="s">
        <v>2682</v>
      </c>
      <c r="U8" s="3182"/>
      <c r="V8" s="3185"/>
      <c r="W8" s="3184"/>
    </row>
    <row r="9" spans="1:23" s="3090" customFormat="1" ht="13.15" customHeight="1">
      <c r="A9" s="3106">
        <v>1</v>
      </c>
      <c r="B9" s="3621" t="s">
        <v>2683</v>
      </c>
      <c r="C9" s="3622"/>
      <c r="D9" s="3107">
        <f>ROUND(D6*E9,0)</f>
        <v>0</v>
      </c>
      <c r="E9" s="3154"/>
      <c r="F9" s="3109" t="s">
        <v>2684</v>
      </c>
      <c r="G9" s="3207" t="s">
        <v>2787</v>
      </c>
      <c r="H9" s="3184"/>
      <c r="I9" s="3185"/>
      <c r="J9" s="3604"/>
      <c r="K9" s="3606"/>
      <c r="L9" s="3202" t="s">
        <v>2777</v>
      </c>
      <c r="M9" s="3203"/>
      <c r="N9" s="3203"/>
      <c r="O9" s="3204"/>
      <c r="P9" s="3204"/>
      <c r="Q9" s="3205">
        <v>365</v>
      </c>
      <c r="R9" s="3206">
        <f t="shared" si="0"/>
        <v>0</v>
      </c>
      <c r="S9" s="3182"/>
      <c r="T9" s="3182"/>
      <c r="U9" s="3182"/>
      <c r="V9" s="3185"/>
      <c r="W9" s="3184"/>
    </row>
    <row r="10" spans="1:23" s="3090" customFormat="1" ht="13.15" customHeight="1">
      <c r="A10" s="3106">
        <v>2</v>
      </c>
      <c r="B10" s="3621" t="s">
        <v>2685</v>
      </c>
      <c r="C10" s="3622"/>
      <c r="D10" s="3107">
        <f>ROUND(D6*E10,0)</f>
        <v>0</v>
      </c>
      <c r="E10" s="3154"/>
      <c r="F10" s="3109" t="s">
        <v>2686</v>
      </c>
      <c r="G10" s="3207" t="s">
        <v>2788</v>
      </c>
      <c r="H10" s="3184"/>
      <c r="I10" s="3185"/>
      <c r="J10" s="3604"/>
      <c r="K10" s="3606"/>
      <c r="L10" s="3202" t="s">
        <v>2778</v>
      </c>
      <c r="M10" s="3203"/>
      <c r="N10" s="3203"/>
      <c r="O10" s="3204"/>
      <c r="P10" s="3204"/>
      <c r="Q10" s="3205">
        <v>365</v>
      </c>
      <c r="R10" s="3206">
        <f t="shared" si="0"/>
        <v>0</v>
      </c>
      <c r="S10" s="3182"/>
      <c r="T10" s="3182"/>
      <c r="U10" s="3182"/>
      <c r="V10" s="3185"/>
      <c r="W10" s="3184"/>
    </row>
    <row r="11" spans="1:23" s="3090" customFormat="1" ht="13.15" customHeight="1">
      <c r="A11" s="3106">
        <v>3</v>
      </c>
      <c r="B11" s="3621" t="s">
        <v>2687</v>
      </c>
      <c r="C11" s="3622"/>
      <c r="D11" s="3107">
        <f>D12+D14+D15+D16</f>
        <v>0</v>
      </c>
      <c r="E11" s="3110" t="e">
        <f>D11/D6</f>
        <v>#DIV/0!</v>
      </c>
      <c r="F11" s="3091"/>
      <c r="G11" s="3207"/>
      <c r="H11" s="3184"/>
      <c r="I11" s="3185"/>
      <c r="J11" s="3604"/>
      <c r="K11" s="3606"/>
      <c r="L11" s="3202" t="s">
        <v>2779</v>
      </c>
      <c r="M11" s="3203"/>
      <c r="N11" s="3203"/>
      <c r="O11" s="3204"/>
      <c r="P11" s="3204"/>
      <c r="Q11" s="3205">
        <v>365</v>
      </c>
      <c r="R11" s="3206">
        <f t="shared" si="0"/>
        <v>0</v>
      </c>
      <c r="S11" s="3182"/>
      <c r="T11" s="3182"/>
      <c r="U11" s="3182"/>
      <c r="V11" s="3185"/>
      <c r="W11" s="3184"/>
    </row>
    <row r="12" spans="1:23" s="3090" customFormat="1" ht="13.15" customHeight="1">
      <c r="A12" s="3111" t="s">
        <v>2688</v>
      </c>
      <c r="B12" s="3614" t="s">
        <v>2689</v>
      </c>
      <c r="C12" s="3615"/>
      <c r="D12" s="3112">
        <f>ROUND(D13*1.2%*(1-30%),0)</f>
        <v>0</v>
      </c>
      <c r="E12" s="3113">
        <v>1.2E-2</v>
      </c>
      <c r="F12" s="3091" t="s">
        <v>2690</v>
      </c>
      <c r="G12" s="3207"/>
      <c r="H12" s="3184"/>
      <c r="I12" s="3185"/>
      <c r="J12" s="3604"/>
      <c r="K12" s="3606"/>
      <c r="L12" s="3202" t="s">
        <v>2780</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2691</v>
      </c>
      <c r="D13" s="3155"/>
      <c r="E13" s="3116"/>
      <c r="F13" s="3091"/>
      <c r="G13" s="3207"/>
      <c r="H13" s="3184"/>
      <c r="I13" s="3185"/>
      <c r="J13" s="3604"/>
      <c r="K13" s="3606"/>
      <c r="L13" s="3202" t="s">
        <v>2781</v>
      </c>
      <c r="M13" s="3203"/>
      <c r="N13" s="3203"/>
      <c r="O13" s="3204"/>
      <c r="P13" s="3204"/>
      <c r="Q13" s="3205">
        <v>365</v>
      </c>
      <c r="R13" s="3206">
        <f t="shared" si="0"/>
        <v>0</v>
      </c>
      <c r="S13" s="3182"/>
      <c r="T13" s="3182"/>
      <c r="U13" s="3182"/>
      <c r="V13" s="3185"/>
      <c r="W13" s="3184"/>
    </row>
    <row r="14" spans="1:23" s="3090" customFormat="1" ht="13.15" customHeight="1">
      <c r="A14" s="3111" t="s">
        <v>2692</v>
      </c>
      <c r="B14" s="3614" t="s">
        <v>2693</v>
      </c>
      <c r="C14" s="3615"/>
      <c r="D14" s="3112">
        <f>ROUND(E14*B5/10000,0)</f>
        <v>0</v>
      </c>
      <c r="E14" s="3156"/>
      <c r="F14" s="3091" t="s">
        <v>2694</v>
      </c>
      <c r="G14" s="3207"/>
      <c r="H14" s="3184"/>
      <c r="I14" s="3185"/>
      <c r="J14" s="3604"/>
      <c r="K14" s="3607"/>
      <c r="L14" s="3208" t="s">
        <v>2695</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2696</v>
      </c>
      <c r="B15" s="3614" t="s">
        <v>2697</v>
      </c>
      <c r="C15" s="3615"/>
      <c r="D15" s="3112">
        <f>ROUND(D6*E15,0)</f>
        <v>0</v>
      </c>
      <c r="E15" s="3113">
        <v>5.5E-2</v>
      </c>
      <c r="F15" s="3091" t="s">
        <v>2698</v>
      </c>
      <c r="G15" s="3207"/>
      <c r="H15" s="3184"/>
      <c r="I15" s="3185"/>
      <c r="J15" s="3604">
        <v>2</v>
      </c>
      <c r="K15" s="3605" t="s">
        <v>2699</v>
      </c>
      <c r="L15" s="3212" t="s">
        <v>2700</v>
      </c>
      <c r="M15" s="3213" t="s">
        <v>2701</v>
      </c>
      <c r="N15" s="3213" t="s">
        <v>2702</v>
      </c>
      <c r="O15" s="3214" t="s">
        <v>2703</v>
      </c>
      <c r="P15" s="3214" t="s">
        <v>2704</v>
      </c>
      <c r="Q15" s="3151" t="s">
        <v>2705</v>
      </c>
      <c r="R15" s="3215" t="s">
        <v>2706</v>
      </c>
      <c r="S15" s="3182"/>
      <c r="T15" s="3182"/>
      <c r="U15" s="3182"/>
      <c r="V15" s="3185"/>
      <c r="W15" s="3184"/>
    </row>
    <row r="16" spans="1:23" s="3090" customFormat="1" ht="13.15" customHeight="1">
      <c r="A16" s="3111" t="s">
        <v>2707</v>
      </c>
      <c r="B16" s="3614" t="s">
        <v>2708</v>
      </c>
      <c r="C16" s="3615"/>
      <c r="D16" s="3157">
        <f>D6*E16</f>
        <v>0</v>
      </c>
      <c r="E16" s="3158"/>
      <c r="F16" s="3109" t="s">
        <v>2709</v>
      </c>
      <c r="G16" s="3207"/>
      <c r="H16" s="3184"/>
      <c r="I16" s="3185"/>
      <c r="J16" s="3604"/>
      <c r="K16" s="3606"/>
      <c r="L16" s="3202" t="s">
        <v>2782</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16" t="s">
        <v>2710</v>
      </c>
      <c r="C17" s="3617"/>
      <c r="D17" s="3118">
        <f>ROUND(D6*E17,0)</f>
        <v>0</v>
      </c>
      <c r="E17" s="3159"/>
      <c r="F17" s="3119" t="s">
        <v>2711</v>
      </c>
      <c r="G17" s="3260">
        <v>0.1</v>
      </c>
      <c r="H17" s="3184"/>
      <c r="I17" s="3185"/>
      <c r="J17" s="3604"/>
      <c r="K17" s="3606"/>
      <c r="L17" s="3202" t="s">
        <v>2783</v>
      </c>
      <c r="M17" s="3203"/>
      <c r="N17" s="3203"/>
      <c r="O17" s="3204"/>
      <c r="P17" s="3205">
        <v>365</v>
      </c>
      <c r="Q17" s="3203"/>
      <c r="R17" s="3216">
        <f>ROUND(M17*N17*O17*P17/10000,0)</f>
        <v>0</v>
      </c>
      <c r="S17" s="3182"/>
      <c r="T17" s="3182"/>
      <c r="U17" s="3182"/>
      <c r="V17" s="3185"/>
      <c r="W17" s="3184"/>
    </row>
    <row r="18" spans="1:23" s="3090" customFormat="1" ht="13.15" customHeight="1" thickBot="1">
      <c r="A18" s="3100" t="s">
        <v>2712</v>
      </c>
      <c r="B18" s="3101"/>
      <c r="C18" s="3101"/>
      <c r="D18" s="3120">
        <f>ROUND(D6*E18,0)</f>
        <v>0</v>
      </c>
      <c r="E18" s="3160"/>
      <c r="F18" s="3121" t="s">
        <v>2713</v>
      </c>
      <c r="G18" s="3260">
        <v>0.05</v>
      </c>
      <c r="H18" s="3184"/>
      <c r="I18" s="3185"/>
      <c r="J18" s="3604"/>
      <c r="K18" s="3606"/>
      <c r="L18" s="3202" t="s">
        <v>2784</v>
      </c>
      <c r="M18" s="3203"/>
      <c r="N18" s="3203"/>
      <c r="O18" s="3204"/>
      <c r="P18" s="3205">
        <v>365</v>
      </c>
      <c r="Q18" s="3203"/>
      <c r="R18" s="3216">
        <f>ROUND(M18*N18*O18*P18/10000,0)</f>
        <v>0</v>
      </c>
      <c r="S18" s="3182"/>
      <c r="T18" s="3182"/>
      <c r="U18" s="3182"/>
      <c r="V18" s="3185"/>
      <c r="W18" s="3184"/>
    </row>
    <row r="19" spans="1:23" s="3090" customFormat="1" ht="13.15" customHeight="1" thickBot="1">
      <c r="A19" s="3122" t="s">
        <v>2714</v>
      </c>
      <c r="B19" s="3097"/>
      <c r="C19" s="3097"/>
      <c r="D19" s="3097"/>
      <c r="E19" s="3097"/>
      <c r="F19" s="3098"/>
      <c r="G19" s="3207"/>
      <c r="H19" s="3184"/>
      <c r="I19" s="3185"/>
      <c r="J19" s="3604"/>
      <c r="K19" s="3607"/>
      <c r="L19" s="3208" t="s">
        <v>2695</v>
      </c>
      <c r="M19" s="3209"/>
      <c r="N19" s="3209">
        <f>SUM(N16:N18)</f>
        <v>0</v>
      </c>
      <c r="O19" s="3210"/>
      <c r="P19" s="3217" t="s">
        <v>2785</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04">
        <v>3</v>
      </c>
      <c r="K20" s="3605" t="s">
        <v>2715</v>
      </c>
      <c r="L20" s="3212" t="s">
        <v>2716</v>
      </c>
      <c r="M20" s="3213" t="s">
        <v>2717</v>
      </c>
      <c r="N20" s="3219" t="s">
        <v>2718</v>
      </c>
      <c r="O20" s="3214" t="s">
        <v>2719</v>
      </c>
      <c r="P20" s="3156" t="s">
        <v>2704</v>
      </c>
      <c r="Q20" s="3151" t="s">
        <v>2705</v>
      </c>
      <c r="R20" s="3215" t="s">
        <v>2706</v>
      </c>
      <c r="S20" s="3220"/>
      <c r="T20" s="3220"/>
      <c r="U20" s="3220"/>
      <c r="V20" s="3185"/>
      <c r="W20" s="3184"/>
    </row>
    <row r="21" spans="1:23" s="3090" customFormat="1" ht="13.15" customHeight="1">
      <c r="A21" s="3100"/>
      <c r="B21" s="3101"/>
      <c r="C21" s="3124" t="s">
        <v>2720</v>
      </c>
      <c r="D21" s="3125" t="s">
        <v>2721</v>
      </c>
      <c r="E21" s="3126" t="s">
        <v>2722</v>
      </c>
      <c r="F21" s="3123"/>
      <c r="G21" s="3207"/>
      <c r="H21" s="3184"/>
      <c r="I21" s="3185"/>
      <c r="J21" s="3604"/>
      <c r="K21" s="3606"/>
      <c r="L21" s="3212" t="s">
        <v>2723</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2724</v>
      </c>
      <c r="D22" s="3162" t="s">
        <v>2725</v>
      </c>
      <c r="E22" s="3163" t="s">
        <v>2726</v>
      </c>
      <c r="F22" s="3123"/>
      <c r="G22" s="3222"/>
      <c r="H22" s="3184"/>
      <c r="I22" s="3185"/>
      <c r="J22" s="3604"/>
      <c r="K22" s="3606"/>
      <c r="L22" s="3212" t="s">
        <v>2727</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2728</v>
      </c>
      <c r="C23" s="3128">
        <f>D6</f>
        <v>0</v>
      </c>
      <c r="D23" s="3129">
        <f>C23*(1+D24)</f>
        <v>0</v>
      </c>
      <c r="E23" s="3130">
        <f>D23*(1+E24)</f>
        <v>0</v>
      </c>
      <c r="F23" s="3131"/>
      <c r="G23" s="3223"/>
      <c r="H23" s="3184"/>
      <c r="I23" s="3185"/>
      <c r="J23" s="3604"/>
      <c r="K23" s="3606"/>
      <c r="L23" s="3212" t="s">
        <v>2729</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2730</v>
      </c>
      <c r="C24" s="3134"/>
      <c r="D24" s="3164"/>
      <c r="E24" s="3165"/>
      <c r="F24" s="3135"/>
      <c r="G24" s="3223"/>
      <c r="H24" s="3184"/>
      <c r="I24" s="3185"/>
      <c r="J24" s="3604"/>
      <c r="K24" s="3607"/>
      <c r="L24" s="3208" t="s">
        <v>2695</v>
      </c>
      <c r="M24" s="3209">
        <f>SUM(M21:M23)</f>
        <v>0</v>
      </c>
      <c r="N24" s="3209"/>
      <c r="O24" s="3210"/>
      <c r="P24" s="3217" t="s">
        <v>2785</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2731</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2732</v>
      </c>
      <c r="C26" s="3128">
        <f>D7</f>
        <v>0</v>
      </c>
      <c r="D26" s="3129">
        <f>D23*D27</f>
        <v>0</v>
      </c>
      <c r="E26" s="3130">
        <f>E23*E27</f>
        <v>0</v>
      </c>
      <c r="F26" s="3131"/>
      <c r="G26" s="3223"/>
      <c r="H26" s="3184"/>
      <c r="I26" s="3185"/>
      <c r="J26" s="3608">
        <v>5</v>
      </c>
      <c r="K26" s="3231" t="s">
        <v>2733</v>
      </c>
      <c r="L26" s="3232"/>
      <c r="M26" s="3233"/>
      <c r="N26" s="3234" t="s">
        <v>2734</v>
      </c>
      <c r="O26" s="3234" t="s">
        <v>2735</v>
      </c>
      <c r="P26" s="3235" t="s">
        <v>2736</v>
      </c>
      <c r="Q26" s="3235" t="s">
        <v>2737</v>
      </c>
      <c r="R26" s="3191" t="s">
        <v>2706</v>
      </c>
      <c r="S26" s="3236"/>
      <c r="T26" s="3236"/>
      <c r="U26" s="3236"/>
      <c r="V26" s="3229"/>
      <c r="W26" s="3230"/>
    </row>
    <row r="27" spans="1:23" s="3090" customFormat="1" ht="13.15" customHeight="1">
      <c r="A27" s="3132"/>
      <c r="B27" s="3133" t="s">
        <v>2738</v>
      </c>
      <c r="C27" s="3137" t="e">
        <f>E7</f>
        <v>#DIV/0!</v>
      </c>
      <c r="D27" s="3164"/>
      <c r="E27" s="3165"/>
      <c r="F27" s="3135"/>
      <c r="G27" s="3223"/>
      <c r="H27" s="3230"/>
      <c r="I27" s="3229"/>
      <c r="J27" s="3609"/>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2739</v>
      </c>
      <c r="F28" s="3135"/>
      <c r="G28" s="3222"/>
      <c r="H28" s="3230"/>
      <c r="I28" s="3229"/>
      <c r="J28" s="3242">
        <v>6</v>
      </c>
      <c r="K28" s="3243" t="s">
        <v>2740</v>
      </c>
      <c r="L28" s="3244" t="s">
        <v>2741</v>
      </c>
      <c r="M28" s="3245"/>
      <c r="N28" s="3244" t="s">
        <v>2742</v>
      </c>
      <c r="O28" s="3246"/>
      <c r="P28" s="3244" t="s">
        <v>2743</v>
      </c>
      <c r="Q28" s="3247">
        <v>1.4999999999999999E-2</v>
      </c>
      <c r="R28" s="3248"/>
      <c r="S28" s="3220"/>
      <c r="T28" s="3220"/>
      <c r="U28" s="3220"/>
      <c r="V28" s="3229"/>
      <c r="W28" s="3230"/>
    </row>
    <row r="29" spans="1:23" s="3136" customFormat="1" ht="13.15" customHeight="1">
      <c r="A29" s="3127">
        <v>3</v>
      </c>
      <c r="B29" s="3099" t="s">
        <v>2744</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2738</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2745</v>
      </c>
      <c r="K31" s="3180"/>
      <c r="L31" s="3180"/>
      <c r="M31" s="3180"/>
      <c r="N31" s="3180"/>
      <c r="O31" s="3180"/>
      <c r="P31" s="3180"/>
      <c r="Q31" s="3180"/>
      <c r="R31" s="3181"/>
      <c r="S31" s="3220"/>
      <c r="T31" s="3182"/>
      <c r="U31" s="3182"/>
      <c r="V31" s="3229"/>
      <c r="W31" s="3230"/>
    </row>
    <row r="32" spans="1:23" s="3136" customFormat="1" ht="13.15" customHeight="1">
      <c r="A32" s="3127">
        <v>4</v>
      </c>
      <c r="B32" s="3099" t="s">
        <v>2746</v>
      </c>
      <c r="C32" s="3128">
        <f>C23-C26-C29</f>
        <v>0</v>
      </c>
      <c r="D32" s="3129">
        <f>D23-D26-D29</f>
        <v>0</v>
      </c>
      <c r="E32" s="3130">
        <f>E23-E26-E29</f>
        <v>0</v>
      </c>
      <c r="F32" s="3131"/>
      <c r="G32" s="3222"/>
      <c r="H32" s="3184"/>
      <c r="I32" s="3185"/>
      <c r="J32" s="3610" t="s">
        <v>2747</v>
      </c>
      <c r="K32" s="3611"/>
      <c r="L32" s="3186" t="s">
        <v>2748</v>
      </c>
      <c r="M32" s="3186" t="s">
        <v>2651</v>
      </c>
      <c r="N32" s="3186" t="s">
        <v>2652</v>
      </c>
      <c r="O32" s="3186" t="s">
        <v>2653</v>
      </c>
      <c r="P32" s="3186" t="s">
        <v>2654</v>
      </c>
      <c r="Q32" s="3187" t="s">
        <v>2749</v>
      </c>
      <c r="R32" s="3249" t="s">
        <v>2750</v>
      </c>
      <c r="S32" s="3220"/>
      <c r="T32" s="3182"/>
      <c r="U32" s="3182"/>
      <c r="V32" s="3229"/>
      <c r="W32" s="3230"/>
    </row>
    <row r="33" spans="1:23" s="3090" customFormat="1" ht="13.15" customHeight="1">
      <c r="A33" s="3127"/>
      <c r="B33" s="3099"/>
      <c r="C33" s="3128"/>
      <c r="D33" s="3139"/>
      <c r="E33" s="3140"/>
      <c r="F33" s="3131"/>
      <c r="G33" s="3222"/>
      <c r="H33" s="3230"/>
      <c r="I33" s="3229"/>
      <c r="J33" s="3612" t="s">
        <v>2751</v>
      </c>
      <c r="K33" s="3613"/>
      <c r="L33" s="3189"/>
      <c r="M33" s="3189"/>
      <c r="N33" s="3189"/>
      <c r="O33" s="3189"/>
      <c r="P33" s="3189"/>
      <c r="Q33" s="3190"/>
      <c r="R33" s="3250">
        <f>SUM(L33:Q33)</f>
        <v>0</v>
      </c>
      <c r="S33" s="3220"/>
      <c r="T33" s="3182"/>
      <c r="U33" s="3182"/>
      <c r="V33" s="3185"/>
      <c r="W33" s="3184"/>
    </row>
    <row r="34" spans="1:23" s="3090" customFormat="1" ht="13.15" customHeight="1">
      <c r="A34" s="3127">
        <v>5</v>
      </c>
      <c r="B34" s="3099" t="s">
        <v>2752</v>
      </c>
      <c r="C34" s="3167"/>
      <c r="D34" s="3168"/>
      <c r="E34" s="3169"/>
      <c r="F34" s="3131"/>
      <c r="G34" s="3222"/>
      <c r="H34" s="3230"/>
      <c r="I34" s="3229"/>
      <c r="J34" s="3612" t="s">
        <v>2753</v>
      </c>
      <c r="K34" s="3613"/>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2754</v>
      </c>
      <c r="C35" s="3170"/>
      <c r="D35" s="3171"/>
      <c r="E35" s="3172"/>
      <c r="F35" s="3131"/>
      <c r="G35" s="3252"/>
      <c r="H35" s="3184"/>
      <c r="I35" s="3229"/>
      <c r="J35" s="3195" t="s">
        <v>2755</v>
      </c>
      <c r="K35" s="3196"/>
      <c r="L35" s="3196"/>
      <c r="M35" s="3197"/>
      <c r="N35" s="3197"/>
      <c r="O35" s="3197"/>
      <c r="P35" s="3197"/>
      <c r="Q35" s="3197"/>
      <c r="R35" s="3253">
        <f>R40+R41+R43</f>
        <v>0</v>
      </c>
      <c r="S35" s="3220"/>
      <c r="T35" s="3182" t="s">
        <v>2756</v>
      </c>
      <c r="U35" s="3182"/>
      <c r="V35" s="3185"/>
      <c r="W35" s="3184"/>
    </row>
    <row r="36" spans="1:23" s="3090" customFormat="1" ht="13.15" customHeight="1" thickBot="1">
      <c r="A36" s="3127">
        <v>7</v>
      </c>
      <c r="B36" s="3141" t="s">
        <v>2757</v>
      </c>
      <c r="C36" s="3173"/>
      <c r="D36" s="3174"/>
      <c r="E36" s="3175"/>
      <c r="F36" s="3142">
        <f>C36+D36+E36</f>
        <v>0</v>
      </c>
      <c r="G36" s="3222"/>
      <c r="H36" s="3184"/>
      <c r="I36" s="3185"/>
      <c r="J36" s="3604">
        <v>1</v>
      </c>
      <c r="K36" s="3605" t="s">
        <v>2758</v>
      </c>
      <c r="L36" s="3199"/>
      <c r="M36" s="3200"/>
      <c r="N36" s="3200"/>
      <c r="O36" s="3200"/>
      <c r="P36" s="3200"/>
      <c r="Q36" s="3200"/>
      <c r="R36" s="3191" t="s">
        <v>2706</v>
      </c>
      <c r="S36" s="3220"/>
      <c r="T36" s="3182" t="s">
        <v>2759</v>
      </c>
      <c r="U36" s="3182"/>
      <c r="V36" s="3185"/>
      <c r="W36" s="3184"/>
    </row>
    <row r="37" spans="1:23" s="3090" customFormat="1" ht="13.15" customHeight="1">
      <c r="A37" s="3127"/>
      <c r="B37" s="3099"/>
      <c r="C37" s="3099"/>
      <c r="D37" s="3099"/>
      <c r="E37" s="3099"/>
      <c r="F37" s="3131"/>
      <c r="G37" s="3222"/>
      <c r="H37" s="3184"/>
      <c r="I37" s="3185"/>
      <c r="J37" s="3604"/>
      <c r="K37" s="3606"/>
      <c r="L37" s="3212"/>
      <c r="M37" s="3213"/>
      <c r="N37" s="3151"/>
      <c r="O37" s="3214"/>
      <c r="P37" s="3214"/>
      <c r="Q37" s="3156"/>
      <c r="R37" s="3254"/>
      <c r="S37" s="3220"/>
      <c r="T37" s="3182" t="s">
        <v>2760</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04"/>
      <c r="K38" s="3606"/>
      <c r="L38" s="3212"/>
      <c r="M38" s="3213"/>
      <c r="N38" s="3151"/>
      <c r="O38" s="3214"/>
      <c r="P38" s="3214"/>
      <c r="Q38" s="3156"/>
      <c r="R38" s="3254"/>
      <c r="S38" s="3220"/>
      <c r="T38" s="3182" t="s">
        <v>2682</v>
      </c>
      <c r="U38" s="3182"/>
      <c r="V38" s="3185"/>
      <c r="W38" s="3184"/>
    </row>
    <row r="39" spans="1:23" s="3090" customFormat="1" ht="13.15" customHeight="1">
      <c r="A39" s="3127">
        <v>9</v>
      </c>
      <c r="B39" s="3099" t="s">
        <v>2761</v>
      </c>
      <c r="C39" s="3112" t="e">
        <f>C38</f>
        <v>#DIV/0!</v>
      </c>
      <c r="D39" s="3099">
        <f>D38/(1+D34)^C36</f>
        <v>0</v>
      </c>
      <c r="E39" s="3099">
        <f>E38/(1+E34)^(C36+D36)</f>
        <v>0</v>
      </c>
      <c r="F39" s="3131"/>
      <c r="G39" s="3255"/>
      <c r="H39" s="3184"/>
      <c r="I39" s="3185"/>
      <c r="J39" s="3604"/>
      <c r="K39" s="3606"/>
      <c r="L39" s="3212"/>
      <c r="M39" s="3213"/>
      <c r="N39" s="3151"/>
      <c r="O39" s="3214"/>
      <c r="P39" s="3214"/>
      <c r="Q39" s="3156"/>
      <c r="R39" s="3254"/>
      <c r="S39" s="3220"/>
      <c r="T39" s="3182"/>
      <c r="U39" s="3182"/>
      <c r="V39" s="3185"/>
      <c r="W39" s="3184"/>
    </row>
    <row r="40" spans="1:23" s="3090" customFormat="1" ht="13.15" customHeight="1">
      <c r="A40" s="3143">
        <v>10</v>
      </c>
      <c r="B40" s="3099" t="s">
        <v>2762</v>
      </c>
      <c r="C40" s="3144" t="e">
        <f>C39+D39+E39</f>
        <v>#DIV/0!</v>
      </c>
      <c r="D40" s="3145"/>
      <c r="E40" s="3145"/>
      <c r="F40" s="3146"/>
      <c r="G40" s="3222"/>
      <c r="H40" s="3184"/>
      <c r="I40" s="3185"/>
      <c r="J40" s="3604"/>
      <c r="K40" s="3607"/>
      <c r="L40" s="3208" t="s">
        <v>2763</v>
      </c>
      <c r="M40" s="3209"/>
      <c r="N40" s="3209"/>
      <c r="O40" s="3210"/>
      <c r="P40" s="3210"/>
      <c r="Q40" s="3211"/>
      <c r="R40" s="3188">
        <f>SUM(R37:R39)</f>
        <v>0</v>
      </c>
      <c r="S40" s="3220"/>
      <c r="T40" s="3182"/>
      <c r="U40" s="3182"/>
      <c r="V40" s="3185"/>
      <c r="W40" s="3184"/>
    </row>
    <row r="41" spans="1:23" s="3090" customFormat="1" ht="13.15" customHeight="1" thickBot="1">
      <c r="A41" s="3147">
        <v>11</v>
      </c>
      <c r="B41" s="3148" t="s">
        <v>2764</v>
      </c>
      <c r="C41" s="3148" t="e">
        <f>ROUND(C40*10000/B4,0)</f>
        <v>#DIV/0!</v>
      </c>
      <c r="D41" s="3149"/>
      <c r="E41" s="3149"/>
      <c r="F41" s="3150"/>
      <c r="G41" s="3256"/>
      <c r="H41" s="3184"/>
      <c r="I41" s="3185"/>
      <c r="J41" s="3224">
        <v>2</v>
      </c>
      <c r="K41" s="3225" t="s">
        <v>2765</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08">
        <v>3</v>
      </c>
      <c r="K42" s="3231" t="s">
        <v>2766</v>
      </c>
      <c r="L42" s="3232"/>
      <c r="M42" s="3233"/>
      <c r="N42" s="3234" t="s">
        <v>2767</v>
      </c>
      <c r="O42" s="3234" t="s">
        <v>2768</v>
      </c>
      <c r="P42" s="3235" t="s">
        <v>2769</v>
      </c>
      <c r="Q42" s="3235" t="s">
        <v>2770</v>
      </c>
      <c r="R42" s="3191" t="s">
        <v>2673</v>
      </c>
      <c r="S42" s="3236"/>
      <c r="T42" s="3236"/>
      <c r="U42" s="3182"/>
      <c r="V42" s="3185"/>
      <c r="W42" s="3184"/>
    </row>
    <row r="43" spans="1:23" ht="13.15" customHeight="1">
      <c r="A43" s="3090"/>
      <c r="B43" s="3090"/>
      <c r="C43" s="3090"/>
      <c r="D43" s="3090"/>
      <c r="E43" s="3090"/>
      <c r="F43" s="3090"/>
      <c r="I43" s="3177"/>
      <c r="J43" s="3609"/>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2771</v>
      </c>
      <c r="L44" s="3259" t="s">
        <v>2772</v>
      </c>
      <c r="M44" s="3245"/>
      <c r="N44" s="3259" t="s">
        <v>2773</v>
      </c>
      <c r="O44" s="3245"/>
      <c r="P44" s="3259" t="s">
        <v>2774</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6" t="s">
        <v>1973</v>
      </c>
      <c r="D4" s="3627"/>
      <c r="E4" s="3627"/>
      <c r="F4" s="3627"/>
      <c r="G4" s="3627"/>
      <c r="H4" s="3627"/>
      <c r="I4" s="3627"/>
      <c r="J4" s="3627"/>
      <c r="K4" s="3627"/>
      <c r="L4" s="3627"/>
      <c r="M4" s="3627"/>
      <c r="N4" s="3627"/>
      <c r="O4" s="3627"/>
      <c r="P4" s="3627"/>
      <c r="Q4" s="3627"/>
      <c r="R4" s="3627"/>
      <c r="S4" s="362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2" t="s">
        <v>1989</v>
      </c>
      <c r="V24" s="2905"/>
      <c r="W24" s="2906" t="s">
        <v>1990</v>
      </c>
      <c r="X24" s="2172" t="s">
        <v>1991</v>
      </c>
      <c r="Y24" s="2905"/>
      <c r="Z24" s="2907" t="s">
        <v>1990</v>
      </c>
    </row>
    <row r="25" spans="1:45">
      <c r="A25" s="250" t="s">
        <v>1992</v>
      </c>
      <c r="B25" s="13">
        <f>SUM(B27:B10000)</f>
        <v>0</v>
      </c>
      <c r="C25" s="3623" t="s">
        <v>45</v>
      </c>
      <c r="D25" s="3624"/>
      <c r="E25" s="3624"/>
      <c r="F25" s="3624"/>
      <c r="G25" s="3624"/>
      <c r="H25" s="3624"/>
      <c r="I25" s="3624"/>
      <c r="J25" s="3624"/>
      <c r="K25" s="3624"/>
      <c r="L25" s="3624"/>
      <c r="M25" s="3624"/>
      <c r="N25" s="3624"/>
      <c r="O25" s="3624"/>
      <c r="P25" s="3624"/>
      <c r="Q25" s="3625"/>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topLeftCell="A21" zoomScale="70" zoomScaleNormal="70" zoomScaleSheetLayoutView="70" workbookViewId="0">
      <selection activeCell="I41" sqref="I41"/>
    </sheetView>
  </sheetViews>
  <sheetFormatPr defaultColWidth="9" defaultRowHeight="14.25"/>
  <cols>
    <col min="1" max="1" width="10.5" style="1595" customWidth="1"/>
    <col min="2" max="2" width="15.75" style="1595" customWidth="1"/>
    <col min="3" max="3" width="15.125" style="1595" customWidth="1"/>
    <col min="4" max="4" width="13.625" style="1595" customWidth="1"/>
    <col min="5" max="5" width="17.25" style="1595" customWidth="1"/>
    <col min="6" max="6" width="12.25" style="1595" customWidth="1"/>
    <col min="7" max="7" width="17" style="1595" customWidth="1"/>
    <col min="8" max="8" width="12.25" style="1595" customWidth="1"/>
    <col min="9" max="9" width="16.12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2502</v>
      </c>
      <c r="D1" s="1568"/>
      <c r="E1" s="1569" t="s">
        <v>2500</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221</v>
      </c>
      <c r="C2" s="1579" t="str">
        <f>'数据-取费表'!B3</f>
        <v>万元</v>
      </c>
      <c r="D2" s="1580" t="s">
        <v>1001</v>
      </c>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41300</v>
      </c>
      <c r="C3" s="1588" t="s">
        <v>2005</v>
      </c>
      <c r="D3" s="1588">
        <f>IF(C1="仅计算典型户型",'数据-取费表'!E5,'数据-取费表'!B5)</f>
        <v>53.46</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632" t="s">
        <v>2007</v>
      </c>
      <c r="D4" s="3633"/>
      <c r="E4" s="3634" t="s">
        <v>2008</v>
      </c>
      <c r="F4" s="3635"/>
      <c r="G4" s="3632" t="s">
        <v>2009</v>
      </c>
      <c r="H4" s="3633"/>
      <c r="I4" s="3632" t="s">
        <v>2010</v>
      </c>
      <c r="J4" s="3633"/>
      <c r="K4" s="1593" t="s">
        <v>2011</v>
      </c>
      <c r="L4" s="2914"/>
      <c r="M4" s="2915"/>
      <c r="N4" s="2915"/>
      <c r="O4" s="2915"/>
      <c r="P4" s="3636" t="s">
        <v>2012</v>
      </c>
      <c r="Q4" s="3637"/>
      <c r="R4" s="3642" t="s">
        <v>2008</v>
      </c>
      <c r="S4" s="3643"/>
      <c r="T4" s="3642" t="s">
        <v>2009</v>
      </c>
      <c r="U4" s="3643"/>
      <c r="V4" s="3648" t="s">
        <v>2010</v>
      </c>
      <c r="W4" s="3648"/>
      <c r="X4" s="1594"/>
      <c r="Y4" s="3642" t="s">
        <v>2012</v>
      </c>
      <c r="Z4" s="3643"/>
      <c r="AA4" s="3629" t="s">
        <v>2008</v>
      </c>
      <c r="AB4" s="3629" t="s">
        <v>2009</v>
      </c>
      <c r="AC4" s="3629" t="s">
        <v>2010</v>
      </c>
    </row>
    <row r="5" spans="1:29" ht="15">
      <c r="A5" s="1596"/>
      <c r="B5" s="1597"/>
      <c r="C5" s="3651" t="s">
        <v>3066</v>
      </c>
      <c r="D5" s="3652"/>
      <c r="E5" s="3649" t="str">
        <f>C5</f>
        <v>康泽佳苑南区</v>
      </c>
      <c r="F5" s="3650"/>
      <c r="G5" s="3655" t="str">
        <f>C5</f>
        <v>康泽佳苑南区</v>
      </c>
      <c r="H5" s="3652"/>
      <c r="I5" s="3655" t="str">
        <f>C5</f>
        <v>康泽佳苑南区</v>
      </c>
      <c r="J5" s="3652"/>
      <c r="K5" s="1598"/>
      <c r="L5" s="2914"/>
      <c r="M5" s="2915"/>
      <c r="N5" s="2915"/>
      <c r="O5" s="2915"/>
      <c r="P5" s="3638"/>
      <c r="Q5" s="3639"/>
      <c r="R5" s="3644"/>
      <c r="S5" s="3645"/>
      <c r="T5" s="3644"/>
      <c r="U5" s="3645"/>
      <c r="V5" s="3648"/>
      <c r="W5" s="3648"/>
      <c r="X5" s="1594"/>
      <c r="Y5" s="3644"/>
      <c r="Z5" s="3645"/>
      <c r="AA5" s="3630"/>
      <c r="AB5" s="3630"/>
      <c r="AC5" s="3630"/>
    </row>
    <row r="6" spans="1:29" ht="30" customHeight="1" thickBot="1">
      <c r="A6" s="1599"/>
      <c r="B6" s="1600"/>
      <c r="C6" s="3653" t="s">
        <v>3068</v>
      </c>
      <c r="D6" s="3654"/>
      <c r="E6" s="3656" t="str">
        <f>成交案例!B4</f>
        <v>长阳镇康泽路10号院11号楼6层3单元601</v>
      </c>
      <c r="F6" s="3657"/>
      <c r="G6" s="3665" t="str">
        <f>成交案例!B5</f>
        <v>长阳镇康泽路10号院7号楼18层3单元1802</v>
      </c>
      <c r="H6" s="3654"/>
      <c r="I6" s="3665" t="str">
        <f>成交案例!B7</f>
        <v>长阳镇康泽路10号院11号楼12层2单元1203</v>
      </c>
      <c r="J6" s="3654"/>
      <c r="K6" s="1598" t="s">
        <v>2018</v>
      </c>
      <c r="L6" s="2914"/>
      <c r="M6" s="2915"/>
      <c r="N6" s="2915"/>
      <c r="O6" s="2915"/>
      <c r="P6" s="3640"/>
      <c r="Q6" s="3641"/>
      <c r="R6" s="3644"/>
      <c r="S6" s="3645"/>
      <c r="T6" s="3646"/>
      <c r="U6" s="3647"/>
      <c r="V6" s="3648"/>
      <c r="W6" s="3648"/>
      <c r="X6" s="1594"/>
      <c r="Y6" s="3646"/>
      <c r="Z6" s="3647"/>
      <c r="AA6" s="3631"/>
      <c r="AB6" s="3631"/>
      <c r="AC6" s="3631"/>
    </row>
    <row r="7" spans="1:29" s="1613" customFormat="1" ht="15.75" thickBot="1">
      <c r="A7" s="1601" t="s">
        <v>2019</v>
      </c>
      <c r="B7" s="1602"/>
      <c r="C7" s="1603">
        <f>'数据-取费表'!B2</f>
        <v>44938</v>
      </c>
      <c r="D7" s="1604">
        <v>100</v>
      </c>
      <c r="E7" s="1605">
        <f>成交案例!P4</f>
        <v>44893</v>
      </c>
      <c r="F7" s="1606">
        <f>SUMIF(58:58,YEAR(E7)&amp;"-"&amp;MONTH(E7),59:59)</f>
        <v>99.5</v>
      </c>
      <c r="G7" s="1605">
        <f>成交案例!P5</f>
        <v>44888</v>
      </c>
      <c r="H7" s="1604">
        <f>SUMIF(58:58,YEAR(G7)&amp;"-"&amp;MONTH(G7),59:59)</f>
        <v>99.5</v>
      </c>
      <c r="I7" s="1605">
        <f>成交案例!P7</f>
        <v>44884</v>
      </c>
      <c r="J7" s="1604">
        <f>SUMIF(58:58,YEAR(I7)&amp;"-"&amp;MONTH(I7),59:59)</f>
        <v>99.5</v>
      </c>
      <c r="K7" s="1607"/>
      <c r="L7" s="2914"/>
      <c r="M7" s="2887"/>
      <c r="N7" s="2887"/>
      <c r="O7" s="2887"/>
      <c r="P7" s="3666" t="s">
        <v>2020</v>
      </c>
      <c r="Q7" s="3668"/>
      <c r="R7" s="1609" t="s">
        <v>34</v>
      </c>
      <c r="S7" s="1610">
        <f t="shared" ref="S7:S15" si="0">F7</f>
        <v>99.5</v>
      </c>
      <c r="T7" s="1609" t="s">
        <v>34</v>
      </c>
      <c r="U7" s="1610">
        <f t="shared" ref="U7:U15" si="1">H7</f>
        <v>99.5</v>
      </c>
      <c r="V7" s="1609" t="s">
        <v>34</v>
      </c>
      <c r="W7" s="1610">
        <f t="shared" ref="W7:W15" si="2">J7</f>
        <v>99.5</v>
      </c>
      <c r="X7" s="1611"/>
      <c r="Y7" s="3666" t="s">
        <v>2020</v>
      </c>
      <c r="Z7" s="3667"/>
      <c r="AA7" s="1612">
        <f>D7/F7</f>
        <v>1.0050251256281406</v>
      </c>
      <c r="AB7" s="1612">
        <f>D7/H7</f>
        <v>1.0050251256281406</v>
      </c>
      <c r="AC7" s="1612">
        <f>D7/J7</f>
        <v>1.0050251256281406</v>
      </c>
    </row>
    <row r="8" spans="1:29" s="1613" customFormat="1" ht="15.75" thickBot="1">
      <c r="A8" s="1601" t="s">
        <v>2021</v>
      </c>
      <c r="B8" s="1602"/>
      <c r="C8" s="1614" t="s">
        <v>2022</v>
      </c>
      <c r="D8" s="1604">
        <v>100</v>
      </c>
      <c r="E8" s="1615" t="s">
        <v>2635</v>
      </c>
      <c r="F8" s="1606">
        <f>SUMIF(61:61,E8,62:62)-SUMIF(61:61,C8,62:62)+100</f>
        <v>100</v>
      </c>
      <c r="G8" s="1614" t="s">
        <v>2635</v>
      </c>
      <c r="H8" s="1604">
        <f>SUMIF(61:61,G8,62:62)-SUMIF(61:61,C8,62:62)+100</f>
        <v>100</v>
      </c>
      <c r="I8" s="1615" t="s">
        <v>2635</v>
      </c>
      <c r="J8" s="1604">
        <f>SUMIF(61:61,I8,62:62)-SUMIF(61:61,C8,62:62)+100</f>
        <v>100</v>
      </c>
      <c r="K8" s="1607"/>
      <c r="L8" s="2914"/>
      <c r="M8" s="2887"/>
      <c r="N8" s="2887"/>
      <c r="O8" s="2887"/>
      <c r="P8" s="3666" t="s">
        <v>2023</v>
      </c>
      <c r="Q8" s="3667"/>
      <c r="R8" s="1609" t="s">
        <v>34</v>
      </c>
      <c r="S8" s="1610">
        <f t="shared" si="0"/>
        <v>100</v>
      </c>
      <c r="T8" s="1609" t="s">
        <v>34</v>
      </c>
      <c r="U8" s="1610">
        <f t="shared" si="1"/>
        <v>100</v>
      </c>
      <c r="V8" s="1609" t="s">
        <v>34</v>
      </c>
      <c r="W8" s="1610">
        <f t="shared" si="2"/>
        <v>100</v>
      </c>
      <c r="X8" s="1611"/>
      <c r="Y8" s="3666" t="s">
        <v>2023</v>
      </c>
      <c r="Z8" s="3667"/>
      <c r="AA8" s="1612">
        <f t="shared" ref="AA8:AA46" si="3">D8/F8</f>
        <v>1</v>
      </c>
      <c r="AB8" s="1612">
        <f t="shared" ref="AB8:AB46" si="4">D8/H8</f>
        <v>1</v>
      </c>
      <c r="AC8" s="1612">
        <f t="shared" ref="AC8:AC46" si="5">D8/J8</f>
        <v>1</v>
      </c>
    </row>
    <row r="9" spans="1:29" s="1613" customFormat="1">
      <c r="A9" s="1564" t="s">
        <v>2024</v>
      </c>
      <c r="B9" s="1616" t="s">
        <v>2025</v>
      </c>
      <c r="C9" s="3330" t="s">
        <v>3069</v>
      </c>
      <c r="D9" s="1618">
        <v>100</v>
      </c>
      <c r="E9" s="1619" t="s">
        <v>2639</v>
      </c>
      <c r="F9" s="1620">
        <f>SUMIF(63:63,E9,64:64)-SUMIF(63:63,C9,64:64)+100</f>
        <v>100</v>
      </c>
      <c r="G9" s="1619" t="s">
        <v>2639</v>
      </c>
      <c r="H9" s="1618">
        <f>SUMIF(63:63,G9,64:64)-SUMIF(63:63,C9,64:64)+100</f>
        <v>100</v>
      </c>
      <c r="I9" s="1619" t="s">
        <v>2639</v>
      </c>
      <c r="J9" s="1618">
        <f>SUMIF(63:63,I9,64:64)-SUMIF(63:63,C9,64:64)+100</f>
        <v>100</v>
      </c>
      <c r="K9" s="1607"/>
      <c r="L9" s="2914"/>
      <c r="M9" s="2887"/>
      <c r="N9" s="2887"/>
      <c r="O9" s="2887"/>
      <c r="P9" s="3669" t="s">
        <v>2026</v>
      </c>
      <c r="Q9" s="1563" t="str">
        <f t="shared" ref="Q9:Q15" si="6">B9</f>
        <v>用途</v>
      </c>
      <c r="R9" s="1609" t="s">
        <v>25</v>
      </c>
      <c r="S9" s="1610">
        <f t="shared" si="0"/>
        <v>100</v>
      </c>
      <c r="T9" s="1609" t="s">
        <v>25</v>
      </c>
      <c r="U9" s="1610">
        <f t="shared" si="1"/>
        <v>100</v>
      </c>
      <c r="V9" s="1609" t="s">
        <v>25</v>
      </c>
      <c r="W9" s="1610">
        <f t="shared" si="2"/>
        <v>100</v>
      </c>
      <c r="X9" s="1611"/>
      <c r="Y9" s="3532"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3070</v>
      </c>
      <c r="D10" s="1626">
        <v>100</v>
      </c>
      <c r="E10" s="1627" t="s">
        <v>3070</v>
      </c>
      <c r="F10" s="1628">
        <f>SUMIF(65:65,E10,66:66)-SUMIF(65:65,C10,66:66)+100</f>
        <v>100</v>
      </c>
      <c r="G10" s="1625" t="s">
        <v>3070</v>
      </c>
      <c r="H10" s="1626">
        <f>SUMIF(65:65,G10,66:66)-SUMIF(65:65,C10,66:66)+100</f>
        <v>100</v>
      </c>
      <c r="I10" s="1625" t="s">
        <v>3070</v>
      </c>
      <c r="J10" s="1626">
        <f>SUMIF(65:65,I10,66:66)-SUMIF(65:65,C10,66:66)+100</f>
        <v>100</v>
      </c>
      <c r="K10" s="1629">
        <v>1</v>
      </c>
      <c r="L10" s="2916"/>
      <c r="M10" s="2917"/>
      <c r="N10" s="2917"/>
      <c r="O10" s="2917"/>
      <c r="P10" s="3669"/>
      <c r="Q10" s="1563" t="str">
        <f t="shared" si="6"/>
        <v>土地使用年限（年）</v>
      </c>
      <c r="R10" s="1609" t="s">
        <v>25</v>
      </c>
      <c r="S10" s="1610">
        <f t="shared" si="0"/>
        <v>100</v>
      </c>
      <c r="T10" s="1609" t="s">
        <v>25</v>
      </c>
      <c r="U10" s="1610">
        <f t="shared" si="1"/>
        <v>100</v>
      </c>
      <c r="V10" s="1609" t="s">
        <v>25</v>
      </c>
      <c r="W10" s="1610">
        <f t="shared" si="2"/>
        <v>100</v>
      </c>
      <c r="X10" s="1611"/>
      <c r="Y10" s="3532"/>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v>1</v>
      </c>
      <c r="L11" s="2918"/>
      <c r="M11" s="2915"/>
      <c r="N11" s="2915"/>
      <c r="O11" s="2915"/>
      <c r="P11" s="3669"/>
      <c r="Q11" s="1563" t="str">
        <f t="shared" si="6"/>
        <v>容积率</v>
      </c>
      <c r="R11" s="1609" t="s">
        <v>28</v>
      </c>
      <c r="S11" s="1610">
        <f t="shared" si="0"/>
        <v>100</v>
      </c>
      <c r="T11" s="1609" t="s">
        <v>28</v>
      </c>
      <c r="U11" s="1610">
        <f t="shared" si="1"/>
        <v>100</v>
      </c>
      <c r="V11" s="1609" t="s">
        <v>28</v>
      </c>
      <c r="W11" s="1610">
        <f t="shared" si="2"/>
        <v>100</v>
      </c>
      <c r="X11" s="1611"/>
      <c r="Y11" s="3532"/>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69"/>
      <c r="Q12" s="1563">
        <f t="shared" si="6"/>
        <v>111</v>
      </c>
      <c r="R12" s="1609" t="s">
        <v>28</v>
      </c>
      <c r="S12" s="1610">
        <f t="shared" si="0"/>
        <v>100</v>
      </c>
      <c r="T12" s="1609" t="s">
        <v>28</v>
      </c>
      <c r="U12" s="1610">
        <f t="shared" si="1"/>
        <v>100</v>
      </c>
      <c r="V12" s="1609" t="s">
        <v>28</v>
      </c>
      <c r="W12" s="1610">
        <f t="shared" si="2"/>
        <v>100</v>
      </c>
      <c r="X12" s="1611"/>
      <c r="Y12" s="3532"/>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69"/>
      <c r="Q13" s="1563">
        <f t="shared" si="6"/>
        <v>111</v>
      </c>
      <c r="R13" s="1609" t="s">
        <v>28</v>
      </c>
      <c r="S13" s="1610">
        <f t="shared" si="0"/>
        <v>100</v>
      </c>
      <c r="T13" s="1609" t="s">
        <v>28</v>
      </c>
      <c r="U13" s="1610">
        <f t="shared" si="1"/>
        <v>100</v>
      </c>
      <c r="V13" s="1609" t="s">
        <v>28</v>
      </c>
      <c r="W13" s="1610">
        <f t="shared" si="2"/>
        <v>100</v>
      </c>
      <c r="X13" s="1611"/>
      <c r="Y13" s="3532"/>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69"/>
      <c r="Q14" s="1563">
        <f t="shared" si="6"/>
        <v>111</v>
      </c>
      <c r="R14" s="1609" t="s">
        <v>28</v>
      </c>
      <c r="S14" s="1610">
        <f t="shared" si="0"/>
        <v>100</v>
      </c>
      <c r="T14" s="1609" t="s">
        <v>28</v>
      </c>
      <c r="U14" s="1610">
        <f t="shared" si="1"/>
        <v>100</v>
      </c>
      <c r="V14" s="1609" t="s">
        <v>28</v>
      </c>
      <c r="W14" s="1610">
        <f t="shared" si="2"/>
        <v>100</v>
      </c>
      <c r="X14" s="1611"/>
      <c r="Y14" s="353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9"/>
      <c r="M15" s="2915"/>
      <c r="N15" s="2915"/>
      <c r="O15" s="2915"/>
      <c r="P15" s="3672" t="s">
        <v>2031</v>
      </c>
      <c r="Q15" s="1544" t="str">
        <f t="shared" si="6"/>
        <v>居住社区成熟度</v>
      </c>
      <c r="R15" s="1654" t="s">
        <v>28</v>
      </c>
      <c r="S15" s="1655">
        <f t="shared" si="0"/>
        <v>100</v>
      </c>
      <c r="T15" s="1654" t="s">
        <v>28</v>
      </c>
      <c r="U15" s="1655">
        <f t="shared" si="1"/>
        <v>100</v>
      </c>
      <c r="V15" s="1654" t="s">
        <v>28</v>
      </c>
      <c r="W15" s="1655">
        <f t="shared" si="2"/>
        <v>100</v>
      </c>
      <c r="X15" s="1594"/>
      <c r="Y15" s="3658"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59" t="s">
        <v>30</v>
      </c>
      <c r="H16" s="1664"/>
      <c r="I16" s="1659" t="s">
        <v>30</v>
      </c>
      <c r="J16" s="1660"/>
      <c r="K16" s="1665"/>
      <c r="L16" s="2919"/>
      <c r="M16" s="2915"/>
      <c r="N16" s="2915"/>
      <c r="O16" s="2915"/>
      <c r="P16" s="3673"/>
      <c r="Q16" s="1544"/>
      <c r="R16" s="1654"/>
      <c r="S16" s="1655"/>
      <c r="T16" s="1654"/>
      <c r="U16" s="1655"/>
      <c r="V16" s="1654"/>
      <c r="W16" s="1655"/>
      <c r="X16" s="1594"/>
      <c r="Y16" s="365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9"/>
      <c r="M17" s="2915"/>
      <c r="N17" s="2915"/>
      <c r="O17" s="2915"/>
      <c r="P17" s="3673"/>
      <c r="Q17" s="1544" t="str">
        <f>B17</f>
        <v>交通便捷度</v>
      </c>
      <c r="R17" s="1654" t="s">
        <v>28</v>
      </c>
      <c r="S17" s="1655">
        <f>F17</f>
        <v>100</v>
      </c>
      <c r="T17" s="1654" t="s">
        <v>28</v>
      </c>
      <c r="U17" s="1655">
        <f>H17</f>
        <v>100</v>
      </c>
      <c r="V17" s="1654" t="s">
        <v>28</v>
      </c>
      <c r="W17" s="1655">
        <f>J17</f>
        <v>100</v>
      </c>
      <c r="X17" s="1594"/>
      <c r="Y17" s="3659"/>
      <c r="Z17" s="1656" t="str">
        <f>Q17</f>
        <v>交通便捷度</v>
      </c>
      <c r="AA17" s="1657">
        <f t="shared" si="3"/>
        <v>1</v>
      </c>
      <c r="AB17" s="1657">
        <f t="shared" si="4"/>
        <v>1</v>
      </c>
      <c r="AC17" s="1657">
        <f t="shared" si="5"/>
        <v>1</v>
      </c>
    </row>
    <row r="18" spans="1:29" ht="15">
      <c r="A18" s="1631"/>
      <c r="B18" s="1672"/>
      <c r="C18" s="1659" t="s">
        <v>30</v>
      </c>
      <c r="D18" s="1664"/>
      <c r="E18" s="1659" t="s">
        <v>30</v>
      </c>
      <c r="F18" s="1669"/>
      <c r="G18" s="1659" t="s">
        <v>30</v>
      </c>
      <c r="H18" s="1660"/>
      <c r="I18" s="1659" t="s">
        <v>30</v>
      </c>
      <c r="J18" s="1660"/>
      <c r="K18" s="1665"/>
      <c r="L18" s="2919"/>
      <c r="M18" s="2915"/>
      <c r="N18" s="2915"/>
      <c r="O18" s="2915"/>
      <c r="P18" s="3673"/>
      <c r="Q18" s="1544"/>
      <c r="R18" s="1654"/>
      <c r="S18" s="1655"/>
      <c r="T18" s="1654"/>
      <c r="U18" s="1655"/>
      <c r="V18" s="1654"/>
      <c r="W18" s="1655"/>
      <c r="X18" s="1594"/>
      <c r="Y18" s="365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9"/>
      <c r="M19" s="2915"/>
      <c r="N19" s="2915"/>
      <c r="O19" s="2915"/>
      <c r="P19" s="3673"/>
      <c r="Q19" s="1544" t="str">
        <f>B19</f>
        <v>公共配套设施</v>
      </c>
      <c r="R19" s="1654" t="s">
        <v>28</v>
      </c>
      <c r="S19" s="1655">
        <f>F19</f>
        <v>100</v>
      </c>
      <c r="T19" s="1654" t="s">
        <v>28</v>
      </c>
      <c r="U19" s="1655">
        <f>H19</f>
        <v>100</v>
      </c>
      <c r="V19" s="1654" t="s">
        <v>28</v>
      </c>
      <c r="W19" s="1655">
        <f>J19</f>
        <v>100</v>
      </c>
      <c r="X19" s="1594"/>
      <c r="Y19" s="3659"/>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9"/>
      <c r="M20" s="2915"/>
      <c r="N20" s="2915"/>
      <c r="O20" s="2915"/>
      <c r="P20" s="3673"/>
      <c r="Q20" s="1544"/>
      <c r="R20" s="1654"/>
      <c r="S20" s="1655"/>
      <c r="T20" s="1654"/>
      <c r="U20" s="1655"/>
      <c r="V20" s="1654"/>
      <c r="W20" s="1655"/>
      <c r="X20" s="1594"/>
      <c r="Y20" s="365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9"/>
      <c r="M21" s="2915"/>
      <c r="N21" s="2915"/>
      <c r="O21" s="2915"/>
      <c r="P21" s="3673"/>
      <c r="Q21" s="1544" t="str">
        <f>B21</f>
        <v>基础设施水平</v>
      </c>
      <c r="R21" s="1654" t="s">
        <v>28</v>
      </c>
      <c r="S21" s="1655">
        <f>F21</f>
        <v>100</v>
      </c>
      <c r="T21" s="1654" t="s">
        <v>28</v>
      </c>
      <c r="U21" s="1655">
        <f>H21</f>
        <v>100</v>
      </c>
      <c r="V21" s="1654" t="s">
        <v>28</v>
      </c>
      <c r="W21" s="1655">
        <f>J21</f>
        <v>100</v>
      </c>
      <c r="X21" s="1594"/>
      <c r="Y21" s="3659"/>
      <c r="Z21" s="1656" t="str">
        <f>Q21</f>
        <v>基础设施水平</v>
      </c>
      <c r="AA21" s="1657">
        <f t="shared" ref="AA21" si="8">D21/F21</f>
        <v>1</v>
      </c>
      <c r="AB21" s="1657">
        <f t="shared" ref="AB21" si="9">D21/H21</f>
        <v>1</v>
      </c>
      <c r="AC21" s="1657">
        <f t="shared" ref="AC21" si="10">D21/J21</f>
        <v>1</v>
      </c>
    </row>
    <row r="22" spans="1:29" ht="15">
      <c r="A22" s="1631"/>
      <c r="B22" s="1679"/>
      <c r="C22" s="1673" t="s">
        <v>3071</v>
      </c>
      <c r="D22" s="1660"/>
      <c r="E22" s="1673" t="s">
        <v>3071</v>
      </c>
      <c r="F22" s="1662"/>
      <c r="G22" s="1673" t="s">
        <v>3071</v>
      </c>
      <c r="H22" s="1660"/>
      <c r="I22" s="1673" t="s">
        <v>3071</v>
      </c>
      <c r="J22" s="1660"/>
      <c r="K22" s="1680"/>
      <c r="L22" s="2919"/>
      <c r="M22" s="2915"/>
      <c r="N22" s="2915"/>
      <c r="O22" s="2915"/>
      <c r="P22" s="3673"/>
      <c r="Q22" s="1544"/>
      <c r="R22" s="1654"/>
      <c r="S22" s="1655"/>
      <c r="T22" s="1654"/>
      <c r="U22" s="1655"/>
      <c r="V22" s="1654"/>
      <c r="W22" s="1655"/>
      <c r="X22" s="1594"/>
      <c r="Y22" s="365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9"/>
      <c r="M23" s="2915"/>
      <c r="N23" s="2915"/>
      <c r="O23" s="2915"/>
      <c r="P23" s="3673"/>
      <c r="Q23" s="1544" t="str">
        <f>B23</f>
        <v>自然及人文环境</v>
      </c>
      <c r="R23" s="1654" t="s">
        <v>28</v>
      </c>
      <c r="S23" s="1655">
        <f>F23</f>
        <v>100</v>
      </c>
      <c r="T23" s="1654" t="s">
        <v>28</v>
      </c>
      <c r="U23" s="1655">
        <f>H23</f>
        <v>100</v>
      </c>
      <c r="V23" s="1654" t="s">
        <v>28</v>
      </c>
      <c r="W23" s="1655">
        <f>J23</f>
        <v>100</v>
      </c>
      <c r="X23" s="1594"/>
      <c r="Y23" s="3659"/>
      <c r="Z23" s="1656" t="str">
        <f>Q23</f>
        <v>自然及人文环境</v>
      </c>
      <c r="AA23" s="1657">
        <f t="shared" si="3"/>
        <v>1</v>
      </c>
      <c r="AB23" s="1657">
        <f t="shared" si="4"/>
        <v>1</v>
      </c>
      <c r="AC23" s="1657">
        <f t="shared" si="5"/>
        <v>1</v>
      </c>
    </row>
    <row r="24" spans="1:29" ht="15">
      <c r="A24" s="1631"/>
      <c r="B24" s="1672"/>
      <c r="C24" s="1659" t="s">
        <v>31</v>
      </c>
      <c r="D24" s="1660"/>
      <c r="E24" s="1659" t="s">
        <v>31</v>
      </c>
      <c r="F24" s="1662"/>
      <c r="G24" s="1659" t="s">
        <v>31</v>
      </c>
      <c r="H24" s="1660"/>
      <c r="I24" s="1659" t="s">
        <v>31</v>
      </c>
      <c r="J24" s="1660"/>
      <c r="K24" s="1665"/>
      <c r="L24" s="2919"/>
      <c r="M24" s="2915"/>
      <c r="N24" s="2915"/>
      <c r="O24" s="2915"/>
      <c r="P24" s="3673"/>
      <c r="Q24" s="1544"/>
      <c r="R24" s="1654"/>
      <c r="S24" s="1655"/>
      <c r="T24" s="1654"/>
      <c r="U24" s="1655"/>
      <c r="V24" s="1654"/>
      <c r="W24" s="1655"/>
      <c r="X24" s="1594"/>
      <c r="Y24" s="3659"/>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73"/>
      <c r="Q25" s="1544" t="str">
        <f t="shared" ref="Q25:Q46" si="11">B25</f>
        <v>楼层-1</v>
      </c>
      <c r="R25" s="1654" t="s">
        <v>28</v>
      </c>
      <c r="S25" s="1655">
        <f>F25</f>
        <v>100</v>
      </c>
      <c r="T25" s="1654" t="s">
        <v>28</v>
      </c>
      <c r="U25" s="1655">
        <f>H25</f>
        <v>100</v>
      </c>
      <c r="V25" s="1654" t="s">
        <v>28</v>
      </c>
      <c r="W25" s="1655">
        <f>J25</f>
        <v>100</v>
      </c>
      <c r="X25" s="1594"/>
      <c r="Y25" s="3659"/>
      <c r="Z25" s="1656" t="str">
        <f>Q25</f>
        <v>楼层-1</v>
      </c>
      <c r="AA25" s="1657">
        <f t="shared" si="3"/>
        <v>1</v>
      </c>
      <c r="AB25" s="1657">
        <f t="shared" si="4"/>
        <v>1</v>
      </c>
      <c r="AC25" s="1657">
        <f t="shared" si="5"/>
        <v>1</v>
      </c>
    </row>
    <row r="26" spans="1:29" ht="15">
      <c r="A26" s="1631"/>
      <c r="B26" s="1624" t="s">
        <v>2033</v>
      </c>
      <c r="C26" s="1681" t="s">
        <v>3107</v>
      </c>
      <c r="D26" s="1640">
        <v>100</v>
      </c>
      <c r="E26" s="3359" t="s">
        <v>3107</v>
      </c>
      <c r="F26" s="1683">
        <f>SUMIF(88:88,E26,89:89)-SUMIF(88:88,C26,89:89)+100</f>
        <v>100</v>
      </c>
      <c r="G26" s="3359" t="s">
        <v>3073</v>
      </c>
      <c r="H26" s="1640">
        <f>SUMIF(88:88,G26,89:89)-SUMIF(88:88,C26,89:89)+100</f>
        <v>97</v>
      </c>
      <c r="I26" s="3359" t="s">
        <v>3107</v>
      </c>
      <c r="J26" s="1640">
        <f>SUMIF(88:88,I26,89:89)-SUMIF(88:88,C26,89:89)+100</f>
        <v>100</v>
      </c>
      <c r="K26" s="1629">
        <v>1</v>
      </c>
      <c r="L26" s="2919"/>
      <c r="M26" s="2915"/>
      <c r="N26" s="2915"/>
      <c r="O26" s="2915"/>
      <c r="P26" s="3673"/>
      <c r="Q26" s="1544" t="str">
        <f t="shared" si="11"/>
        <v>朝向</v>
      </c>
      <c r="R26" s="1654" t="s">
        <v>28</v>
      </c>
      <c r="S26" s="1655">
        <f>F26</f>
        <v>100</v>
      </c>
      <c r="T26" s="1654" t="s">
        <v>28</v>
      </c>
      <c r="U26" s="1655">
        <f>H26</f>
        <v>97</v>
      </c>
      <c r="V26" s="1654" t="s">
        <v>28</v>
      </c>
      <c r="W26" s="1655">
        <f>J26</f>
        <v>100</v>
      </c>
      <c r="X26" s="1594"/>
      <c r="Y26" s="3659"/>
      <c r="Z26" s="1656" t="str">
        <f>Q26</f>
        <v>朝向</v>
      </c>
      <c r="AA26" s="1657">
        <f t="shared" si="3"/>
        <v>1</v>
      </c>
      <c r="AB26" s="1657">
        <f t="shared" si="4"/>
        <v>1.0309278350515463</v>
      </c>
      <c r="AC26" s="1657">
        <f t="shared" si="5"/>
        <v>1</v>
      </c>
    </row>
    <row r="27" spans="1:29" s="1613" customFormat="1" ht="15">
      <c r="A27" s="1634"/>
      <c r="B27" s="1635" t="s">
        <v>2034</v>
      </c>
      <c r="C27" s="3365" t="s">
        <v>3121</v>
      </c>
      <c r="D27" s="1685">
        <v>100</v>
      </c>
      <c r="E27" s="3365" t="s">
        <v>3121</v>
      </c>
      <c r="F27" s="1687">
        <f>SUMIF(90:90,E27,91:91)-SUMIF(90:90,C27,91:91)+100</f>
        <v>100</v>
      </c>
      <c r="G27" s="3365" t="s">
        <v>3121</v>
      </c>
      <c r="H27" s="1685">
        <f>SUMIF(90:90,G27,91:91)-SUMIF(90:90,C27,91:91)+100</f>
        <v>100</v>
      </c>
      <c r="I27" s="3365" t="s">
        <v>3121</v>
      </c>
      <c r="J27" s="1685">
        <f>SUMIF(90:90,I27,91:91)-SUMIF(90:90,C27,91:91)+100</f>
        <v>100</v>
      </c>
      <c r="K27" s="1638"/>
      <c r="L27" s="2914"/>
      <c r="M27" s="2887"/>
      <c r="N27" s="2887"/>
      <c r="O27" s="2887"/>
      <c r="P27" s="3673"/>
      <c r="Q27" s="1563" t="str">
        <f t="shared" si="11"/>
        <v>道路级别</v>
      </c>
      <c r="R27" s="1609" t="s">
        <v>28</v>
      </c>
      <c r="S27" s="1610">
        <f>F27</f>
        <v>100</v>
      </c>
      <c r="T27" s="1609" t="s">
        <v>28</v>
      </c>
      <c r="U27" s="1610">
        <f>H27</f>
        <v>100</v>
      </c>
      <c r="V27" s="1609" t="s">
        <v>28</v>
      </c>
      <c r="W27" s="1610">
        <f>J27</f>
        <v>100</v>
      </c>
      <c r="X27" s="1611"/>
      <c r="Y27" s="3659"/>
      <c r="Z27" s="1622" t="str">
        <f>Q27</f>
        <v>道路级别</v>
      </c>
      <c r="AA27" s="1657">
        <f>D27/F27</f>
        <v>1</v>
      </c>
      <c r="AB27" s="1657">
        <f>D27/H27</f>
        <v>1</v>
      </c>
      <c r="AC27" s="1657">
        <f>D27/J27</f>
        <v>1</v>
      </c>
    </row>
    <row r="28" spans="1:29" ht="15.75" thickBot="1">
      <c r="A28" s="1631"/>
      <c r="B28" s="3331" t="s">
        <v>3080</v>
      </c>
      <c r="C28" s="1639" t="s">
        <v>3122</v>
      </c>
      <c r="D28" s="1640">
        <v>100</v>
      </c>
      <c r="E28" s="1639" t="s">
        <v>3128</v>
      </c>
      <c r="F28" s="1683">
        <f>SUMIF(92:92,E28,93:93)-SUMIF(92:92,C28,93:93)+100</f>
        <v>96</v>
      </c>
      <c r="G28" s="3358" t="s">
        <v>3123</v>
      </c>
      <c r="H28" s="1640">
        <f>SUMIF(92:92,G28,93:93)-SUMIF(92:92,C28,93:93)+100</f>
        <v>96</v>
      </c>
      <c r="I28" s="3358" t="s">
        <v>3129</v>
      </c>
      <c r="J28" s="1640">
        <f>SUMIF(92:92,I28,93:93)-SUMIF(92:92,C28,93:93)+100</f>
        <v>98</v>
      </c>
      <c r="K28" s="1638"/>
      <c r="L28" s="2919"/>
      <c r="M28" s="2915"/>
      <c r="N28" s="2915"/>
      <c r="O28" s="2915"/>
      <c r="P28" s="3673"/>
      <c r="Q28" s="1544" t="str">
        <f t="shared" si="11"/>
        <v>楼层</v>
      </c>
      <c r="R28" s="1654" t="s">
        <v>28</v>
      </c>
      <c r="S28" s="1655">
        <f t="shared" ref="S28:S46" si="12">F28</f>
        <v>96</v>
      </c>
      <c r="T28" s="1654" t="s">
        <v>28</v>
      </c>
      <c r="U28" s="1655">
        <f t="shared" ref="U28:U46" si="13">H28</f>
        <v>96</v>
      </c>
      <c r="V28" s="1654" t="s">
        <v>28</v>
      </c>
      <c r="W28" s="1655">
        <f t="shared" ref="W28:W46" si="14">J28</f>
        <v>98</v>
      </c>
      <c r="X28" s="1594"/>
      <c r="Y28" s="3659"/>
      <c r="Z28" s="1656" t="str">
        <f t="shared" ref="Z28:Z46" si="15">Q28</f>
        <v>楼层</v>
      </c>
      <c r="AA28" s="1657">
        <f t="shared" si="3"/>
        <v>1.0416666666666667</v>
      </c>
      <c r="AB28" s="1657">
        <f t="shared" si="4"/>
        <v>1.0416666666666667</v>
      </c>
      <c r="AC28" s="1657">
        <f t="shared" si="5"/>
        <v>1.0204081632653061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73"/>
      <c r="Q29" s="1544">
        <f t="shared" si="11"/>
        <v>111</v>
      </c>
      <c r="R29" s="1654" t="s">
        <v>28</v>
      </c>
      <c r="S29" s="1655">
        <f t="shared" si="12"/>
        <v>100</v>
      </c>
      <c r="T29" s="1654" t="s">
        <v>28</v>
      </c>
      <c r="U29" s="1655">
        <f t="shared" si="13"/>
        <v>100</v>
      </c>
      <c r="V29" s="1654" t="s">
        <v>28</v>
      </c>
      <c r="W29" s="1655">
        <f t="shared" si="14"/>
        <v>100</v>
      </c>
      <c r="X29" s="1594"/>
      <c r="Y29" s="3659"/>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73"/>
      <c r="Q30" s="1544">
        <f t="shared" si="11"/>
        <v>111</v>
      </c>
      <c r="R30" s="1654" t="s">
        <v>28</v>
      </c>
      <c r="S30" s="1655">
        <f t="shared" si="12"/>
        <v>100</v>
      </c>
      <c r="T30" s="1654" t="s">
        <v>28</v>
      </c>
      <c r="U30" s="1655">
        <f t="shared" si="13"/>
        <v>100</v>
      </c>
      <c r="V30" s="1654" t="s">
        <v>28</v>
      </c>
      <c r="W30" s="1655">
        <f t="shared" si="14"/>
        <v>100</v>
      </c>
      <c r="X30" s="1594"/>
      <c r="Y30" s="3659"/>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73"/>
      <c r="Q31" s="1544">
        <f t="shared" si="11"/>
        <v>111</v>
      </c>
      <c r="R31" s="1654" t="s">
        <v>28</v>
      </c>
      <c r="S31" s="1655">
        <f t="shared" si="12"/>
        <v>100</v>
      </c>
      <c r="T31" s="1654" t="s">
        <v>28</v>
      </c>
      <c r="U31" s="1655">
        <f t="shared" si="13"/>
        <v>100</v>
      </c>
      <c r="V31" s="1654" t="s">
        <v>28</v>
      </c>
      <c r="W31" s="1655">
        <f t="shared" si="14"/>
        <v>100</v>
      </c>
      <c r="X31" s="1594"/>
      <c r="Y31" s="3659"/>
      <c r="Z31" s="1656">
        <f t="shared" si="15"/>
        <v>111</v>
      </c>
      <c r="AA31" s="1657">
        <f t="shared" si="3"/>
        <v>1</v>
      </c>
      <c r="AB31" s="1657">
        <f t="shared" si="4"/>
        <v>1</v>
      </c>
      <c r="AC31" s="1657">
        <f t="shared" si="5"/>
        <v>1</v>
      </c>
    </row>
    <row r="32" spans="1:29" ht="15">
      <c r="A32" s="1646" t="s">
        <v>2035</v>
      </c>
      <c r="B32" s="1616" t="s">
        <v>2036</v>
      </c>
      <c r="C32" s="1690" t="s">
        <v>3082</v>
      </c>
      <c r="D32" s="1691">
        <v>100</v>
      </c>
      <c r="E32" s="3361" t="s">
        <v>3082</v>
      </c>
      <c r="F32" s="1683">
        <f>SUMIF(100:100,E32,101:101)-SUMIF(100:100,C32,101:101)+100</f>
        <v>100</v>
      </c>
      <c r="G32" s="3361" t="s">
        <v>3082</v>
      </c>
      <c r="H32" s="1691">
        <f>SUMIF(100:100,G32,101:101)-SUMIF(100:100,C32,101:101)+100</f>
        <v>100</v>
      </c>
      <c r="I32" s="3361" t="s">
        <v>3082</v>
      </c>
      <c r="J32" s="1640">
        <f>SUMIF(100:100,I32,101:101)-SUMIF(100:100,C32,101:101)+100</f>
        <v>100</v>
      </c>
      <c r="K32" s="1629">
        <v>2</v>
      </c>
      <c r="L32" s="2919"/>
      <c r="M32" s="2915"/>
      <c r="N32" s="2915"/>
      <c r="O32" s="2915"/>
      <c r="P32" s="3660" t="s">
        <v>2037</v>
      </c>
      <c r="Q32" s="1544" t="str">
        <f t="shared" si="11"/>
        <v>建筑类型</v>
      </c>
      <c r="R32" s="1654" t="s">
        <v>28</v>
      </c>
      <c r="S32" s="1655">
        <f t="shared" si="12"/>
        <v>100</v>
      </c>
      <c r="T32" s="1654" t="s">
        <v>28</v>
      </c>
      <c r="U32" s="1655">
        <f t="shared" si="13"/>
        <v>100</v>
      </c>
      <c r="V32" s="1654" t="s">
        <v>28</v>
      </c>
      <c r="W32" s="1655">
        <f t="shared" si="14"/>
        <v>100</v>
      </c>
      <c r="X32" s="1594"/>
      <c r="Y32" s="3663" t="s">
        <v>2037</v>
      </c>
      <c r="Z32" s="1656" t="str">
        <f t="shared" si="15"/>
        <v>建筑类型</v>
      </c>
      <c r="AA32" s="1657">
        <f t="shared" si="3"/>
        <v>1</v>
      </c>
      <c r="AB32" s="1657">
        <f t="shared" si="4"/>
        <v>1</v>
      </c>
      <c r="AC32" s="1657">
        <f t="shared" si="5"/>
        <v>1</v>
      </c>
    </row>
    <row r="33" spans="1:29" s="1699" customFormat="1" ht="15" hidden="1">
      <c r="A33" s="1692"/>
      <c r="B33" s="1624" t="s">
        <v>2038</v>
      </c>
      <c r="C33" s="1693"/>
      <c r="D33" s="1626">
        <v>100</v>
      </c>
      <c r="E33" s="1633"/>
      <c r="F33" s="1628">
        <f>LOOKUP(E33,103:103,104:104)-LOOKUP(C33,103:103,104:104)+100</f>
        <v>100</v>
      </c>
      <c r="G33" s="1632"/>
      <c r="H33" s="1626">
        <f>LOOKUP(G33,103:103,104:104)-LOOKUP(C33,103:103,104:104)+100</f>
        <v>100</v>
      </c>
      <c r="I33" s="1633"/>
      <c r="J33" s="1626">
        <f>LOOKUP(I33,103:103,104:104)-LOOKUP(C33,103:103,104:104)+100</f>
        <v>100</v>
      </c>
      <c r="K33" s="1638"/>
      <c r="L33" s="2918"/>
      <c r="M33" s="1987"/>
      <c r="N33" s="1987"/>
      <c r="O33" s="1987"/>
      <c r="P33" s="3661"/>
      <c r="Q33" s="1694" t="str">
        <f t="shared" si="11"/>
        <v>项目建筑规模</v>
      </c>
      <c r="R33" s="1695" t="s">
        <v>28</v>
      </c>
      <c r="S33" s="1696">
        <f t="shared" si="12"/>
        <v>100</v>
      </c>
      <c r="T33" s="1695" t="s">
        <v>28</v>
      </c>
      <c r="U33" s="1696">
        <f t="shared" si="13"/>
        <v>100</v>
      </c>
      <c r="V33" s="1695" t="s">
        <v>28</v>
      </c>
      <c r="W33" s="1696">
        <f t="shared" si="14"/>
        <v>100</v>
      </c>
      <c r="X33" s="1697"/>
      <c r="Y33" s="3663"/>
      <c r="Z33" s="1698" t="str">
        <f t="shared" si="15"/>
        <v>项目建筑规模</v>
      </c>
      <c r="AA33" s="1657">
        <f t="shared" si="3"/>
        <v>1</v>
      </c>
      <c r="AB33" s="1657">
        <f t="shared" si="4"/>
        <v>1</v>
      </c>
      <c r="AC33" s="1657">
        <f t="shared" si="5"/>
        <v>1</v>
      </c>
    </row>
    <row r="34" spans="1:29" ht="15">
      <c r="A34" s="1700"/>
      <c r="B34" s="1624" t="s">
        <v>2039</v>
      </c>
      <c r="C34" s="1701" t="s">
        <v>3087</v>
      </c>
      <c r="D34" s="1640">
        <v>100</v>
      </c>
      <c r="E34" s="3362" t="s">
        <v>3087</v>
      </c>
      <c r="F34" s="1683">
        <f>SUMIF(105:105,E34,106:106)-SUMIF(105:105,C34,106:106)+100</f>
        <v>100</v>
      </c>
      <c r="G34" s="3362" t="s">
        <v>3087</v>
      </c>
      <c r="H34" s="1640">
        <f>SUMIF(105:105,G34,106:106)-SUMIF(105:105,C34,106:106)+100</f>
        <v>100</v>
      </c>
      <c r="I34" s="3362" t="s">
        <v>3087</v>
      </c>
      <c r="J34" s="1640">
        <f>SUMIF(105:105,I34,106:106)-SUMIF(105:105,C34,106:106)+100</f>
        <v>100</v>
      </c>
      <c r="K34" s="1629">
        <v>2</v>
      </c>
      <c r="L34" s="2919"/>
      <c r="M34" s="2915"/>
      <c r="N34" s="2915"/>
      <c r="O34" s="2915"/>
      <c r="P34" s="3661"/>
      <c r="Q34" s="1544" t="str">
        <f t="shared" si="11"/>
        <v>建筑结构</v>
      </c>
      <c r="R34" s="1654" t="s">
        <v>28</v>
      </c>
      <c r="S34" s="1655">
        <f t="shared" si="12"/>
        <v>100</v>
      </c>
      <c r="T34" s="1654" t="s">
        <v>28</v>
      </c>
      <c r="U34" s="1655">
        <f t="shared" si="13"/>
        <v>100</v>
      </c>
      <c r="V34" s="1654" t="s">
        <v>28</v>
      </c>
      <c r="W34" s="1655">
        <f t="shared" si="14"/>
        <v>100</v>
      </c>
      <c r="X34" s="1594"/>
      <c r="Y34" s="3663"/>
      <c r="Z34" s="1656" t="str">
        <f t="shared" si="15"/>
        <v>建筑结构</v>
      </c>
      <c r="AA34" s="1657">
        <f t="shared" si="3"/>
        <v>1</v>
      </c>
      <c r="AB34" s="1657">
        <f t="shared" si="4"/>
        <v>1</v>
      </c>
      <c r="AC34" s="1657">
        <f t="shared" si="5"/>
        <v>1</v>
      </c>
    </row>
    <row r="35" spans="1:29" ht="15" hidden="1">
      <c r="A35" s="1700"/>
      <c r="B35" s="1624" t="s">
        <v>2040</v>
      </c>
      <c r="C35" s="1684" t="s">
        <v>30</v>
      </c>
      <c r="D35" s="1640">
        <v>100</v>
      </c>
      <c r="E35" s="3360" t="s">
        <v>30</v>
      </c>
      <c r="F35" s="1683">
        <f>SUMIF(107:107,E35,108:108)-SUMIF(107:107,C35,108:108)+100</f>
        <v>100</v>
      </c>
      <c r="G35" s="3360" t="s">
        <v>30</v>
      </c>
      <c r="H35" s="1640">
        <f>SUMIF(107:107,G35,108:108)-SUMIF(107:107,C35,108:108)+100</f>
        <v>100</v>
      </c>
      <c r="I35" s="3360" t="s">
        <v>30</v>
      </c>
      <c r="J35" s="1640">
        <f>SUMIF(107:107,I35,108:108)-SUMIF(107:107,C35,108:108)+100</f>
        <v>100</v>
      </c>
      <c r="K35" s="1629">
        <v>2</v>
      </c>
      <c r="L35" s="2919"/>
      <c r="M35" s="2915"/>
      <c r="N35" s="2915"/>
      <c r="O35" s="2915"/>
      <c r="P35" s="3661"/>
      <c r="Q35" s="1544" t="str">
        <f t="shared" si="11"/>
        <v>建筑品质</v>
      </c>
      <c r="R35" s="1654" t="s">
        <v>28</v>
      </c>
      <c r="S35" s="1655">
        <f t="shared" si="12"/>
        <v>100</v>
      </c>
      <c r="T35" s="1654" t="s">
        <v>28</v>
      </c>
      <c r="U35" s="1655">
        <f t="shared" si="13"/>
        <v>100</v>
      </c>
      <c r="V35" s="1654" t="s">
        <v>28</v>
      </c>
      <c r="W35" s="1655">
        <f t="shared" si="14"/>
        <v>100</v>
      </c>
      <c r="X35" s="1594"/>
      <c r="Y35" s="3663"/>
      <c r="Z35" s="1656" t="str">
        <f t="shared" si="15"/>
        <v>建筑品质</v>
      </c>
      <c r="AA35" s="1657">
        <f t="shared" si="3"/>
        <v>1</v>
      </c>
      <c r="AB35" s="1657">
        <f t="shared" si="4"/>
        <v>1</v>
      </c>
      <c r="AC35" s="1657">
        <f t="shared" si="5"/>
        <v>1</v>
      </c>
    </row>
    <row r="36" spans="1:29" ht="15">
      <c r="A36" s="1700"/>
      <c r="B36" s="1624" t="s">
        <v>2041</v>
      </c>
      <c r="C36" s="1684" t="s">
        <v>3103</v>
      </c>
      <c r="D36" s="1640">
        <v>100</v>
      </c>
      <c r="E36" s="1682" t="s">
        <v>3103</v>
      </c>
      <c r="F36" s="1683">
        <f>SUMIF(109:109,E36,110:110)-SUMIF(109:109,C36,110:110)+100</f>
        <v>100</v>
      </c>
      <c r="G36" s="1684" t="s">
        <v>3103</v>
      </c>
      <c r="H36" s="1640">
        <f>SUMIF(109:109,G36,110:110)-SUMIF(109:109,C36,110:110)+100</f>
        <v>100</v>
      </c>
      <c r="I36" s="1682" t="s">
        <v>3103</v>
      </c>
      <c r="J36" s="1640">
        <f>SUMIF(109:109,I36,110:110)-SUMIF(109:109,C36,110:110)+100</f>
        <v>100</v>
      </c>
      <c r="K36" s="1629">
        <v>2</v>
      </c>
      <c r="L36" s="2919"/>
      <c r="M36" s="2915"/>
      <c r="N36" s="2915"/>
      <c r="O36" s="2915"/>
      <c r="P36" s="3661"/>
      <c r="Q36" s="1544" t="str">
        <f t="shared" si="11"/>
        <v>公共部分装修</v>
      </c>
      <c r="R36" s="1654" t="s">
        <v>28</v>
      </c>
      <c r="S36" s="1655">
        <f t="shared" si="12"/>
        <v>100</v>
      </c>
      <c r="T36" s="1654" t="s">
        <v>28</v>
      </c>
      <c r="U36" s="1655">
        <f t="shared" si="13"/>
        <v>100</v>
      </c>
      <c r="V36" s="1654" t="s">
        <v>28</v>
      </c>
      <c r="W36" s="1655">
        <f t="shared" si="14"/>
        <v>100</v>
      </c>
      <c r="X36" s="1594"/>
      <c r="Y36" s="3663"/>
      <c r="Z36" s="1656" t="str">
        <f t="shared" si="15"/>
        <v>公共部分装修</v>
      </c>
      <c r="AA36" s="1657">
        <f t="shared" si="3"/>
        <v>1</v>
      </c>
      <c r="AB36" s="1657">
        <f t="shared" si="4"/>
        <v>1</v>
      </c>
      <c r="AC36" s="1657">
        <f t="shared" si="5"/>
        <v>1</v>
      </c>
    </row>
    <row r="37" spans="1:29" s="1613" customFormat="1" ht="15" hidden="1">
      <c r="A37" s="1703"/>
      <c r="B37" s="1624" t="s">
        <v>2042</v>
      </c>
      <c r="C37" s="1704">
        <v>1</v>
      </c>
      <c r="D37" s="1626">
        <v>100</v>
      </c>
      <c r="E37" s="1705">
        <v>1</v>
      </c>
      <c r="F37" s="1628">
        <f>LOOKUP(E37,112:112,113:113)-LOOKUP(C37,112:112,113:113)+100</f>
        <v>100</v>
      </c>
      <c r="G37" s="1706">
        <v>1</v>
      </c>
      <c r="H37" s="1626">
        <f>LOOKUP(G37,112:112,113:113)-LOOKUP(C37,112:112,113:113)+100</f>
        <v>100</v>
      </c>
      <c r="I37" s="1705">
        <v>1</v>
      </c>
      <c r="J37" s="1626">
        <f>LOOKUP(I37,112:112,113:113)-LOOKUP(C37,112:112,113:113)+100</f>
        <v>100</v>
      </c>
      <c r="K37" s="1629"/>
      <c r="L37" s="2914"/>
      <c r="M37" s="2887"/>
      <c r="N37" s="2887"/>
      <c r="O37" s="2887"/>
      <c r="P37" s="3661"/>
      <c r="Q37" s="1563" t="str">
        <f t="shared" si="11"/>
        <v>成新度</v>
      </c>
      <c r="R37" s="1609" t="s">
        <v>28</v>
      </c>
      <c r="S37" s="1610">
        <f t="shared" si="12"/>
        <v>100</v>
      </c>
      <c r="T37" s="1609" t="s">
        <v>28</v>
      </c>
      <c r="U37" s="1610">
        <f t="shared" si="13"/>
        <v>100</v>
      </c>
      <c r="V37" s="1609" t="s">
        <v>28</v>
      </c>
      <c r="W37" s="1610">
        <f t="shared" si="14"/>
        <v>100</v>
      </c>
      <c r="X37" s="1611"/>
      <c r="Y37" s="3663"/>
      <c r="Z37" s="1622" t="str">
        <f t="shared" si="15"/>
        <v>成新度</v>
      </c>
      <c r="AA37" s="1612">
        <f t="shared" si="3"/>
        <v>1</v>
      </c>
      <c r="AB37" s="1612">
        <f t="shared" si="4"/>
        <v>1</v>
      </c>
      <c r="AC37" s="1612">
        <f t="shared" si="5"/>
        <v>1</v>
      </c>
    </row>
    <row r="38" spans="1:29" ht="15">
      <c r="A38" s="1700"/>
      <c r="B38" s="1624" t="s">
        <v>2043</v>
      </c>
      <c r="C38" s="1684" t="s">
        <v>3094</v>
      </c>
      <c r="D38" s="1640">
        <v>100</v>
      </c>
      <c r="E38" s="3360" t="s">
        <v>3094</v>
      </c>
      <c r="F38" s="1683">
        <f>SUMIF(114:114,E38,115:115)-SUMIF(114:114,C38,115:115)+100</f>
        <v>100</v>
      </c>
      <c r="G38" s="3360" t="s">
        <v>3094</v>
      </c>
      <c r="H38" s="1640">
        <f>SUMIF(114:114,G38,115:115)-SUMIF(114:114,C38,115:115)+100</f>
        <v>100</v>
      </c>
      <c r="I38" s="3360" t="s">
        <v>3094</v>
      </c>
      <c r="J38" s="1640">
        <f>SUMIF(114:114,I38,115:115)-SUMIF(114:114,C38,115:115)+100</f>
        <v>100</v>
      </c>
      <c r="K38" s="1629">
        <v>2</v>
      </c>
      <c r="L38" s="2919"/>
      <c r="M38" s="2915"/>
      <c r="N38" s="2915"/>
      <c r="O38" s="2915"/>
      <c r="P38" s="3661" t="s">
        <v>2037</v>
      </c>
      <c r="Q38" s="1544" t="str">
        <f t="shared" si="11"/>
        <v>物业管理</v>
      </c>
      <c r="R38" s="1654" t="s">
        <v>28</v>
      </c>
      <c r="S38" s="1655">
        <f t="shared" si="12"/>
        <v>100</v>
      </c>
      <c r="T38" s="1654" t="s">
        <v>28</v>
      </c>
      <c r="U38" s="1655">
        <f t="shared" si="13"/>
        <v>100</v>
      </c>
      <c r="V38" s="1654" t="s">
        <v>28</v>
      </c>
      <c r="W38" s="1655">
        <f t="shared" si="14"/>
        <v>100</v>
      </c>
      <c r="X38" s="1594"/>
      <c r="Y38" s="3663" t="s">
        <v>2037</v>
      </c>
      <c r="Z38" s="1656" t="str">
        <f t="shared" si="15"/>
        <v>物业管理</v>
      </c>
      <c r="AA38" s="1657">
        <f t="shared" si="3"/>
        <v>1</v>
      </c>
      <c r="AB38" s="1657">
        <f t="shared" si="4"/>
        <v>1</v>
      </c>
      <c r="AC38" s="1657">
        <f t="shared" si="5"/>
        <v>1</v>
      </c>
    </row>
    <row r="39" spans="1:29" ht="15">
      <c r="A39" s="1700"/>
      <c r="B39" s="1624" t="s">
        <v>2044</v>
      </c>
      <c r="C39" s="1684" t="s">
        <v>3071</v>
      </c>
      <c r="D39" s="1640">
        <v>100</v>
      </c>
      <c r="E39" s="3360" t="s">
        <v>3071</v>
      </c>
      <c r="F39" s="1683">
        <f>SUMIF(116:116,E39,117:117)-SUMIF(116:116,C39,117:117)+100</f>
        <v>100</v>
      </c>
      <c r="G39" s="3360" t="s">
        <v>3071</v>
      </c>
      <c r="H39" s="1640">
        <f>SUMIF(116:116,G39,117:117)-SUMIF(116:116,C39,117:117)+100</f>
        <v>100</v>
      </c>
      <c r="I39" s="3360" t="s">
        <v>3071</v>
      </c>
      <c r="J39" s="1640">
        <f>SUMIF(116:116,I39,117:117)-SUMIF(116:116,C39,117:117)+100</f>
        <v>100</v>
      </c>
      <c r="K39" s="1629">
        <v>1</v>
      </c>
      <c r="L39" s="2919"/>
      <c r="M39" s="2915"/>
      <c r="N39" s="2915"/>
      <c r="O39" s="2915"/>
      <c r="P39" s="3661"/>
      <c r="Q39" s="1544" t="str">
        <f t="shared" si="11"/>
        <v>市政基础设施</v>
      </c>
      <c r="R39" s="1654" t="s">
        <v>28</v>
      </c>
      <c r="S39" s="1655">
        <f t="shared" si="12"/>
        <v>100</v>
      </c>
      <c r="T39" s="1654" t="s">
        <v>28</v>
      </c>
      <c r="U39" s="1655">
        <f t="shared" si="13"/>
        <v>100</v>
      </c>
      <c r="V39" s="1654" t="s">
        <v>28</v>
      </c>
      <c r="W39" s="1655">
        <f t="shared" si="14"/>
        <v>100</v>
      </c>
      <c r="X39" s="1594"/>
      <c r="Y39" s="3663"/>
      <c r="Z39" s="1656" t="str">
        <f t="shared" si="15"/>
        <v>市政基础设施</v>
      </c>
      <c r="AA39" s="1657">
        <f t="shared" si="3"/>
        <v>1</v>
      </c>
      <c r="AB39" s="1657">
        <f t="shared" si="4"/>
        <v>1</v>
      </c>
      <c r="AC39" s="1657">
        <f t="shared" si="5"/>
        <v>1</v>
      </c>
    </row>
    <row r="40" spans="1:29" ht="15">
      <c r="A40" s="1700"/>
      <c r="B40" s="1624" t="s">
        <v>2045</v>
      </c>
      <c r="C40" s="1684" t="s">
        <v>3102</v>
      </c>
      <c r="D40" s="1640">
        <v>100</v>
      </c>
      <c r="E40" s="3360" t="s">
        <v>3102</v>
      </c>
      <c r="F40" s="1683">
        <f>SUMIF(118:118,E40,119:119)-SUMIF(118:118,C40,119:119)+100</f>
        <v>100</v>
      </c>
      <c r="G40" s="3360" t="s">
        <v>3102</v>
      </c>
      <c r="H40" s="1640">
        <f>SUMIF(118:118,G40,119:119)-SUMIF(118:118,C40,119:119)+100</f>
        <v>100</v>
      </c>
      <c r="I40" s="3360" t="s">
        <v>3102</v>
      </c>
      <c r="J40" s="1640">
        <f>SUMIF(118:118,I40,119:119)-SUMIF(118:118,C40,119:119)+100</f>
        <v>100</v>
      </c>
      <c r="K40" s="1629">
        <v>2</v>
      </c>
      <c r="L40" s="2919"/>
      <c r="M40" s="2915"/>
      <c r="N40" s="2915"/>
      <c r="O40" s="2915"/>
      <c r="P40" s="3661"/>
      <c r="Q40" s="1544" t="str">
        <f t="shared" si="11"/>
        <v>房型</v>
      </c>
      <c r="R40" s="1654" t="s">
        <v>28</v>
      </c>
      <c r="S40" s="1655">
        <f t="shared" si="12"/>
        <v>100</v>
      </c>
      <c r="T40" s="1654" t="s">
        <v>28</v>
      </c>
      <c r="U40" s="1655">
        <f t="shared" si="13"/>
        <v>100</v>
      </c>
      <c r="V40" s="1654" t="s">
        <v>28</v>
      </c>
      <c r="W40" s="1655">
        <f t="shared" si="14"/>
        <v>100</v>
      </c>
      <c r="X40" s="1594"/>
      <c r="Y40" s="3663"/>
      <c r="Z40" s="1656" t="str">
        <f t="shared" si="15"/>
        <v>房型</v>
      </c>
      <c r="AA40" s="1657">
        <f t="shared" si="3"/>
        <v>1</v>
      </c>
      <c r="AB40" s="1657">
        <f t="shared" si="4"/>
        <v>1</v>
      </c>
      <c r="AC40" s="1657">
        <f t="shared" si="5"/>
        <v>1</v>
      </c>
    </row>
    <row r="41" spans="1:29" s="1699" customFormat="1" ht="28.5">
      <c r="A41" s="1692"/>
      <c r="B41" s="1624" t="s">
        <v>2046</v>
      </c>
      <c r="C41" s="1693">
        <f>项目基本情况!C12</f>
        <v>53.46</v>
      </c>
      <c r="D41" s="1626">
        <v>100</v>
      </c>
      <c r="E41" s="1633">
        <f>成交案例!E4</f>
        <v>52.94</v>
      </c>
      <c r="F41" s="1628">
        <f>SUMIF(120:120,E41,121:121)-SUMIF(120:120,C41,121:121)+100</f>
        <v>100</v>
      </c>
      <c r="G41" s="1632">
        <f>成交案例!E5</f>
        <v>52.75</v>
      </c>
      <c r="H41" s="1626">
        <f>SUMIF(120:120,G41,121:121)-SUMIF(120:120,C41,121:121)+100</f>
        <v>100</v>
      </c>
      <c r="I41" s="1707">
        <f>成交案例!E7</f>
        <v>53.02</v>
      </c>
      <c r="J41" s="1640">
        <f>SUMIF(120:120,I41,121:121)-SUMIF(120:120,C41,121:121)+100</f>
        <v>100</v>
      </c>
      <c r="K41" s="1638"/>
      <c r="L41" s="2918"/>
      <c r="M41" s="1987"/>
      <c r="N41" s="1987"/>
      <c r="O41" s="1987"/>
      <c r="P41" s="3661"/>
      <c r="Q41" s="1694" t="str">
        <f t="shared" si="11"/>
        <v>单套/主力户型建筑面积</v>
      </c>
      <c r="R41" s="1695" t="s">
        <v>28</v>
      </c>
      <c r="S41" s="1696">
        <f t="shared" si="12"/>
        <v>100</v>
      </c>
      <c r="T41" s="1695" t="s">
        <v>28</v>
      </c>
      <c r="U41" s="1696">
        <f t="shared" si="13"/>
        <v>100</v>
      </c>
      <c r="V41" s="1695" t="s">
        <v>28</v>
      </c>
      <c r="W41" s="1696">
        <f t="shared" si="14"/>
        <v>100</v>
      </c>
      <c r="X41" s="1697"/>
      <c r="Y41" s="3663"/>
      <c r="Z41" s="1698" t="str">
        <f t="shared" si="15"/>
        <v>单套/主力户型建筑面积</v>
      </c>
      <c r="AA41" s="1657">
        <f t="shared" si="3"/>
        <v>1</v>
      </c>
      <c r="AB41" s="1657">
        <f t="shared" si="4"/>
        <v>1</v>
      </c>
      <c r="AC41" s="1657">
        <f t="shared" si="5"/>
        <v>1</v>
      </c>
    </row>
    <row r="42" spans="1:29" ht="15">
      <c r="A42" s="1700"/>
      <c r="B42" s="1624" t="s">
        <v>2047</v>
      </c>
      <c r="C42" s="1684" t="s">
        <v>3076</v>
      </c>
      <c r="D42" s="1640">
        <v>100</v>
      </c>
      <c r="E42" s="3360" t="s">
        <v>3076</v>
      </c>
      <c r="F42" s="1683">
        <f>SUMIF(122:122,E42,123:123)-SUMIF(122:122,C42,123:123)+100</f>
        <v>100</v>
      </c>
      <c r="G42" s="3360" t="s">
        <v>3091</v>
      </c>
      <c r="H42" s="1640">
        <f>SUMIF(122:122,G42,123:123)-SUMIF(122:122,C42,123:123)+100</f>
        <v>102</v>
      </c>
      <c r="I42" s="3360" t="s">
        <v>3103</v>
      </c>
      <c r="J42" s="1640">
        <f>SUMIF(122:122,I42,123:123)-SUMIF(122:122,C42,123:123)+100</f>
        <v>98</v>
      </c>
      <c r="K42" s="1629">
        <v>2</v>
      </c>
      <c r="L42" s="2919"/>
      <c r="M42" s="2915"/>
      <c r="N42" s="2915"/>
      <c r="O42" s="2915"/>
      <c r="P42" s="3661"/>
      <c r="Q42" s="1544" t="str">
        <f t="shared" si="11"/>
        <v>内部装修</v>
      </c>
      <c r="R42" s="1654" t="s">
        <v>28</v>
      </c>
      <c r="S42" s="1655">
        <f t="shared" si="12"/>
        <v>100</v>
      </c>
      <c r="T42" s="1654" t="s">
        <v>28</v>
      </c>
      <c r="U42" s="1655">
        <f t="shared" si="13"/>
        <v>102</v>
      </c>
      <c r="V42" s="1654" t="s">
        <v>28</v>
      </c>
      <c r="W42" s="1655">
        <f t="shared" si="14"/>
        <v>98</v>
      </c>
      <c r="X42" s="1594"/>
      <c r="Y42" s="3663"/>
      <c r="Z42" s="1656" t="str">
        <f t="shared" si="15"/>
        <v>内部装修</v>
      </c>
      <c r="AA42" s="1657">
        <f t="shared" si="3"/>
        <v>1</v>
      </c>
      <c r="AB42" s="1657">
        <f t="shared" si="4"/>
        <v>0.98039215686274506</v>
      </c>
      <c r="AC42" s="1657">
        <f t="shared" si="5"/>
        <v>1.0204081632653061</v>
      </c>
    </row>
    <row r="43" spans="1:29" ht="15" hidden="1">
      <c r="A43" s="1700"/>
      <c r="B43" s="1624" t="s">
        <v>2048</v>
      </c>
      <c r="C43" s="1684" t="s">
        <v>30</v>
      </c>
      <c r="D43" s="1640">
        <v>100</v>
      </c>
      <c r="E43" s="3360" t="s">
        <v>30</v>
      </c>
      <c r="F43" s="1683">
        <f>SUMIF(124:124,E43,125:125)-SUMIF(124:124,C43,125:125)+100</f>
        <v>100</v>
      </c>
      <c r="G43" s="3360" t="s">
        <v>30</v>
      </c>
      <c r="H43" s="1640">
        <f>SUMIF(124:124,G43,125:125)-SUMIF(124:124,C43,125:125)+100</f>
        <v>100</v>
      </c>
      <c r="I43" s="3360" t="s">
        <v>30</v>
      </c>
      <c r="J43" s="1640">
        <f>SUMIF(124:124,I43,125:125)-SUMIF(124:124,C43,125:125)+100</f>
        <v>100</v>
      </c>
      <c r="K43" s="1629">
        <v>2</v>
      </c>
      <c r="L43" s="2919"/>
      <c r="M43" s="2915"/>
      <c r="N43" s="2915"/>
      <c r="O43" s="2915"/>
      <c r="P43" s="3661"/>
      <c r="Q43" s="1544" t="str">
        <f t="shared" si="11"/>
        <v>内部装修维护情况</v>
      </c>
      <c r="R43" s="1654" t="s">
        <v>28</v>
      </c>
      <c r="S43" s="1655">
        <f t="shared" si="12"/>
        <v>100</v>
      </c>
      <c r="T43" s="1654" t="s">
        <v>28</v>
      </c>
      <c r="U43" s="1655">
        <f t="shared" si="13"/>
        <v>100</v>
      </c>
      <c r="V43" s="1654" t="s">
        <v>28</v>
      </c>
      <c r="W43" s="1655">
        <f t="shared" si="14"/>
        <v>100</v>
      </c>
      <c r="X43" s="1594"/>
      <c r="Y43" s="3663"/>
      <c r="Z43" s="1656" t="str">
        <f t="shared" si="15"/>
        <v>内部装修维护情况</v>
      </c>
      <c r="AA43" s="1657">
        <f t="shared" si="3"/>
        <v>1</v>
      </c>
      <c r="AB43" s="1657">
        <f t="shared" si="4"/>
        <v>1</v>
      </c>
      <c r="AC43" s="1657">
        <f t="shared" si="5"/>
        <v>1</v>
      </c>
    </row>
    <row r="44" spans="1:29" s="1613" customFormat="1" ht="15.75" thickBot="1">
      <c r="A44" s="1703"/>
      <c r="B44" s="3331" t="s">
        <v>3120</v>
      </c>
      <c r="C44" s="1693">
        <v>2014</v>
      </c>
      <c r="D44" s="1626">
        <v>100</v>
      </c>
      <c r="E44" s="1693">
        <v>2014</v>
      </c>
      <c r="F44" s="1628">
        <f>SUMIF(126:126,E44,127:127)-SUMIF(126:126,C44,127:127)+100</f>
        <v>100</v>
      </c>
      <c r="G44" s="1693">
        <v>2014</v>
      </c>
      <c r="H44" s="1626">
        <f>SUMIF(126:126,G44,127:127)-SUMIF(126:126,C44,127:127)+100</f>
        <v>100</v>
      </c>
      <c r="I44" s="1693">
        <v>2014</v>
      </c>
      <c r="J44" s="1626">
        <f>SUMIF(126:126,I44,127:127)-SUMIF(126:126,C44,127:127)+100</f>
        <v>100</v>
      </c>
      <c r="K44" s="1638"/>
      <c r="L44" s="2914"/>
      <c r="M44" s="2887"/>
      <c r="N44" s="2887"/>
      <c r="O44" s="2887"/>
      <c r="P44" s="3661"/>
      <c r="Q44" s="1563" t="str">
        <f t="shared" si="11"/>
        <v>建成年份</v>
      </c>
      <c r="R44" s="1609" t="s">
        <v>28</v>
      </c>
      <c r="S44" s="1610">
        <f t="shared" si="12"/>
        <v>100</v>
      </c>
      <c r="T44" s="1609" t="s">
        <v>28</v>
      </c>
      <c r="U44" s="1610">
        <f t="shared" si="13"/>
        <v>100</v>
      </c>
      <c r="V44" s="1609" t="s">
        <v>28</v>
      </c>
      <c r="W44" s="1610">
        <f t="shared" si="14"/>
        <v>100</v>
      </c>
      <c r="X44" s="1611"/>
      <c r="Y44" s="3663"/>
      <c r="Z44" s="1622" t="str">
        <f t="shared" si="15"/>
        <v>建成年份</v>
      </c>
      <c r="AA44" s="1612">
        <f t="shared" si="3"/>
        <v>1</v>
      </c>
      <c r="AB44" s="1612">
        <f t="shared" si="4"/>
        <v>1</v>
      </c>
      <c r="AC44" s="1612">
        <f t="shared" si="5"/>
        <v>1</v>
      </c>
    </row>
    <row r="45" spans="1:29" ht="15" hidden="1">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61"/>
      <c r="Q45" s="1544">
        <f t="shared" si="11"/>
        <v>111</v>
      </c>
      <c r="R45" s="1654" t="s">
        <v>28</v>
      </c>
      <c r="S45" s="1655">
        <f t="shared" si="12"/>
        <v>100</v>
      </c>
      <c r="T45" s="1654" t="s">
        <v>28</v>
      </c>
      <c r="U45" s="1655">
        <f t="shared" si="13"/>
        <v>100</v>
      </c>
      <c r="V45" s="1654" t="s">
        <v>28</v>
      </c>
      <c r="W45" s="1655">
        <f t="shared" si="14"/>
        <v>100</v>
      </c>
      <c r="X45" s="1594"/>
      <c r="Y45" s="3663"/>
      <c r="Z45" s="1656">
        <f t="shared" si="15"/>
        <v>111</v>
      </c>
      <c r="AA45" s="1657">
        <f t="shared" si="3"/>
        <v>1</v>
      </c>
      <c r="AB45" s="1657">
        <f t="shared" si="4"/>
        <v>1</v>
      </c>
      <c r="AC45" s="1657">
        <f t="shared" si="5"/>
        <v>1</v>
      </c>
    </row>
    <row r="46" spans="1:29" ht="15.75" hidden="1" thickBot="1">
      <c r="A46" s="1708"/>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62"/>
      <c r="Q46" s="1544">
        <f t="shared" si="11"/>
        <v>111</v>
      </c>
      <c r="R46" s="1654" t="s">
        <v>27</v>
      </c>
      <c r="S46" s="1655">
        <f t="shared" si="12"/>
        <v>100</v>
      </c>
      <c r="T46" s="1654" t="s">
        <v>27</v>
      </c>
      <c r="U46" s="1655">
        <f t="shared" si="13"/>
        <v>100</v>
      </c>
      <c r="V46" s="1654" t="s">
        <v>27</v>
      </c>
      <c r="W46" s="1655">
        <f t="shared" si="14"/>
        <v>100</v>
      </c>
      <c r="X46" s="1594"/>
      <c r="Y46" s="3664"/>
      <c r="Z46" s="1656">
        <f t="shared" si="15"/>
        <v>111</v>
      </c>
      <c r="AA46" s="1657">
        <f t="shared" si="3"/>
        <v>1</v>
      </c>
      <c r="AB46" s="1657">
        <f t="shared" si="4"/>
        <v>1</v>
      </c>
      <c r="AC46" s="1657">
        <f t="shared" si="5"/>
        <v>1</v>
      </c>
    </row>
    <row r="47" spans="1:29" ht="15">
      <c r="A47" s="1709" t="s">
        <v>2049</v>
      </c>
      <c r="B47" s="1710"/>
      <c r="C47" s="1711" t="s">
        <v>26</v>
      </c>
      <c r="D47" s="1712"/>
      <c r="E47" s="1713">
        <f>成交案例!M4</f>
        <v>39668</v>
      </c>
      <c r="F47" s="1714"/>
      <c r="G47" s="1715">
        <f>成交案例!M5</f>
        <v>38863</v>
      </c>
      <c r="H47" s="1716"/>
      <c r="I47" s="1713">
        <f>成交案例!M7</f>
        <v>39419</v>
      </c>
      <c r="J47" s="1716"/>
      <c r="K47" s="1717"/>
      <c r="L47" s="2920"/>
      <c r="N47" s="2915"/>
      <c r="P47" s="3670" t="str">
        <f>A47</f>
        <v>成交单价（元/平方米）</v>
      </c>
      <c r="Q47" s="3670"/>
      <c r="R47" s="3671">
        <f>E47</f>
        <v>39668</v>
      </c>
      <c r="S47" s="3671"/>
      <c r="T47" s="3671">
        <f>G47</f>
        <v>38863</v>
      </c>
      <c r="U47" s="3671"/>
      <c r="V47" s="3671">
        <f>I47</f>
        <v>39419</v>
      </c>
      <c r="W47" s="3671"/>
      <c r="X47" s="1719"/>
      <c r="Y47" s="1720"/>
      <c r="Z47" s="1719"/>
      <c r="AA47" s="1719"/>
      <c r="AB47" s="1719"/>
      <c r="AC47" s="1719"/>
    </row>
    <row r="48" spans="1:29" ht="15.75" thickBot="1">
      <c r="A48" s="1721" t="s">
        <v>2050</v>
      </c>
      <c r="B48" s="1722"/>
      <c r="C48" s="1723">
        <f>R49</f>
        <v>41300</v>
      </c>
      <c r="D48" s="1724" t="s">
        <v>2499</v>
      </c>
      <c r="E48" s="1725">
        <f>R48</f>
        <v>41528</v>
      </c>
      <c r="F48" s="1726"/>
      <c r="G48" s="1723">
        <f>T48</f>
        <v>41122</v>
      </c>
      <c r="H48" s="1726"/>
      <c r="I48" s="1725">
        <f>V48</f>
        <v>41251</v>
      </c>
      <c r="J48" s="1726"/>
      <c r="K48" s="2429">
        <f>F48+H48+J48</f>
        <v>0</v>
      </c>
      <c r="L48" s="2920"/>
      <c r="P48" s="3670" t="str">
        <f>A48</f>
        <v>比较价值（元/平方米）</v>
      </c>
      <c r="Q48" s="3670"/>
      <c r="R48" s="3671">
        <f>IF(E1="售价",ROUND(PRODUCT(R47,AA7:AA46),0),ROUND(PRODUCT(R47,AA7:AA46),1))</f>
        <v>41528</v>
      </c>
      <c r="S48" s="3671"/>
      <c r="T48" s="3674">
        <f>IF(E1="售价",ROUND(PRODUCT(T47,AB7:AB46),0),ROUND(PRODUCT(T47,AB7:AB46),1))</f>
        <v>41122</v>
      </c>
      <c r="U48" s="3675"/>
      <c r="V48" s="3671">
        <f>IF(E1="售价",ROUND(PRODUCT(V47,AC7:AC46),0),ROUND(PRODUCT(V47,AC7:AC46),1))</f>
        <v>41251</v>
      </c>
      <c r="W48" s="3671"/>
      <c r="X48" s="1719"/>
      <c r="Y48" s="1719"/>
      <c r="Z48" s="1719"/>
      <c r="AA48" s="1719"/>
      <c r="AB48" s="1719"/>
      <c r="AC48" s="1719"/>
    </row>
    <row r="49" spans="1:29" ht="15.75" thickBot="1">
      <c r="A49" s="1727" t="s">
        <v>2051</v>
      </c>
      <c r="B49" s="1728"/>
      <c r="C49" s="1729">
        <f>R49</f>
        <v>41300</v>
      </c>
      <c r="D49" s="1730"/>
      <c r="E49" s="1730"/>
      <c r="F49" s="1730"/>
      <c r="G49" s="1730"/>
      <c r="H49" s="1730"/>
      <c r="I49" s="1730"/>
      <c r="J49" s="1730"/>
      <c r="K49" s="1731"/>
      <c r="L49" s="2920"/>
      <c r="P49" s="3676" t="str">
        <f>A49</f>
        <v>估价对象XX用房的比较价值（楼面单价，元/平方米）</v>
      </c>
      <c r="Q49" s="3677"/>
      <c r="R49" s="3678">
        <f>IF(E1="售价",ROUND(IF(D48="简单平均",AVERAGE(R48:V48),R48*F48+T48*H48+V48*J48),0),ROUND(IF(D48="简单平均",AVERAGE(R48:V48),R48*F48+T48*H48+V48*J48),1))</f>
        <v>41300</v>
      </c>
      <c r="S49" s="3678"/>
      <c r="T49" s="3678"/>
      <c r="U49" s="3678"/>
      <c r="V49" s="3678"/>
      <c r="W49" s="3678"/>
      <c r="X49" s="1719"/>
      <c r="Y49" s="1719"/>
      <c r="Z49" s="1719"/>
      <c r="AA49" s="1719"/>
      <c r="AB49" s="1719"/>
      <c r="AC49" s="1719"/>
    </row>
    <row r="50" spans="1:29">
      <c r="G50" s="2924"/>
    </row>
    <row r="52" spans="1:29" ht="13.5" customHeight="1">
      <c r="C52" s="383" t="s">
        <v>2052</v>
      </c>
      <c r="D52" s="1735"/>
      <c r="E52" s="1736">
        <f>IF(E47&lt;E48,E48/E47-1,E47/E48-1)</f>
        <v>4.6889180195623714E-2</v>
      </c>
      <c r="F52" s="1737" t="str">
        <f>IF(OR(E52&gt;=0.3,E52&lt;=-0.3),"超过30%","")</f>
        <v/>
      </c>
      <c r="G52" s="1736">
        <f>IF(G47&lt;G48,G48/G47-1,G47/G48-1)</f>
        <v>5.8127267580989628E-2</v>
      </c>
      <c r="H52" s="1737" t="str">
        <f>IF(OR(G52&gt;=0.3,G52&lt;=-0.3),"超过30%","")</f>
        <v/>
      </c>
      <c r="I52" s="1736">
        <f>IF(I47&lt;I48,I48/I47-1,I47/I48-1)</f>
        <v>4.6475050102742221E-2</v>
      </c>
      <c r="J52" s="1737" t="str">
        <f>IF(OR(I52&gt;=0.3,I52&lt;=-0.3),"超过30%","")</f>
        <v/>
      </c>
    </row>
    <row r="53" spans="1:29" ht="13.5" customHeight="1">
      <c r="C53" s="383" t="s">
        <v>2053</v>
      </c>
      <c r="D53" s="1738"/>
      <c r="E53" s="1736">
        <f>IF(E48&lt;G48,G48/E48-1,E48/G48-1)</f>
        <v>9.873060648801113E-3</v>
      </c>
      <c r="F53" s="1737" t="str">
        <f>IF(OR(E53&gt;=0.2,E53&lt;=-0.2),"超过20%","")</f>
        <v/>
      </c>
      <c r="G53" s="1736">
        <f>IF(G48&lt;I48,I48/G48-1,G48/I48-1)</f>
        <v>3.1370069549145896E-3</v>
      </c>
      <c r="H53" s="1737" t="str">
        <f>IF(OR(G53&gt;=0.2,G53&lt;=-0.2),"超过20%","")</f>
        <v/>
      </c>
      <c r="I53" s="1736">
        <f>IF(I48&lt;E48,E48/I48-1,I48/E48-1)</f>
        <v>6.7149887275459452E-3</v>
      </c>
      <c r="J53" s="1737" t="str">
        <f>IF(OR(I53&gt;=0.2,I53&lt;=-0.2),"超过20%","")</f>
        <v/>
      </c>
    </row>
    <row r="54" spans="1:29" s="1741" customFormat="1" ht="13.5" customHeight="1">
      <c r="C54" s="383" t="s">
        <v>2054</v>
      </c>
      <c r="D54" s="1738"/>
      <c r="E54" s="1736">
        <f>IF(E47&lt;G47,G47/E47-1,E47/G47-1)</f>
        <v>2.0713789465558463E-2</v>
      </c>
      <c r="F54" s="1737" t="str">
        <f>IF(OR(E54&gt;=0.3,E54&lt;=-0.3),"超过30%","")</f>
        <v/>
      </c>
      <c r="G54" s="1736">
        <f>IF(G47&lt;I47,I47/G47-1,G47/I47-1)</f>
        <v>1.430666700975225E-2</v>
      </c>
      <c r="H54" s="1737" t="str">
        <f>IF(OR(G54&gt;=0.3,G54&lt;=-0.3),"超过30%","")</f>
        <v/>
      </c>
      <c r="I54" s="1736">
        <f>IF(I47&lt;E47,E47/I47-1,I47/E47-1)</f>
        <v>6.3167508054491339E-3</v>
      </c>
      <c r="J54" s="1737" t="str">
        <f>IF(OR(I54&gt;=0.3,I54&lt;=-0.3),"超过30%","")</f>
        <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2023-1</v>
      </c>
      <c r="D58" s="1753">
        <f>EDATE(C58,-1)</f>
        <v>44896</v>
      </c>
      <c r="E58" s="1753">
        <f t="shared" ref="E58:O58" si="16">EDATE(D58,-1)</f>
        <v>44866</v>
      </c>
      <c r="F58" s="1753">
        <f t="shared" si="16"/>
        <v>44835</v>
      </c>
      <c r="G58" s="1753">
        <f t="shared" si="16"/>
        <v>44805</v>
      </c>
      <c r="H58" s="1753">
        <f t="shared" si="16"/>
        <v>44774</v>
      </c>
      <c r="I58" s="1753">
        <f t="shared" si="16"/>
        <v>44743</v>
      </c>
      <c r="J58" s="1753">
        <f t="shared" si="16"/>
        <v>44713</v>
      </c>
      <c r="K58" s="1753">
        <f t="shared" si="16"/>
        <v>44682</v>
      </c>
      <c r="L58" s="1753">
        <f t="shared" si="16"/>
        <v>44652</v>
      </c>
      <c r="M58" s="1753">
        <f t="shared" si="16"/>
        <v>44621</v>
      </c>
      <c r="N58" s="1753">
        <f t="shared" si="16"/>
        <v>44593</v>
      </c>
      <c r="O58" s="1753">
        <f t="shared" si="16"/>
        <v>44562</v>
      </c>
      <c r="P58" s="1754"/>
    </row>
    <row r="59" spans="1:29" s="1613" customFormat="1" ht="15">
      <c r="A59" s="1756"/>
      <c r="B59" s="1757"/>
      <c r="C59" s="1758">
        <v>100</v>
      </c>
      <c r="D59" s="1759">
        <v>99.5</v>
      </c>
      <c r="E59" s="1759">
        <v>99.5</v>
      </c>
      <c r="F59" s="1759">
        <v>99.5</v>
      </c>
      <c r="G59" s="1759">
        <v>99</v>
      </c>
      <c r="H59" s="1759">
        <v>99</v>
      </c>
      <c r="I59" s="1759">
        <v>99</v>
      </c>
      <c r="J59" s="1759">
        <v>98.5</v>
      </c>
      <c r="K59" s="1759">
        <v>98.5</v>
      </c>
      <c r="L59" s="1759">
        <v>98.5</v>
      </c>
      <c r="M59" s="1760">
        <v>98</v>
      </c>
      <c r="N59" s="1759">
        <v>98</v>
      </c>
      <c r="O59" s="1760">
        <v>98</v>
      </c>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3"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t="str">
        <f>C9</f>
        <v>住宅</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99</v>
      </c>
      <c r="E66" s="1790">
        <f t="shared" si="17"/>
        <v>98</v>
      </c>
      <c r="F66" s="1790">
        <f t="shared" si="17"/>
        <v>97</v>
      </c>
      <c r="G66" s="1790">
        <f t="shared" si="17"/>
        <v>96</v>
      </c>
      <c r="H66" s="1790">
        <f t="shared" si="17"/>
        <v>95</v>
      </c>
      <c r="I66" s="1790">
        <f t="shared" si="17"/>
        <v>94</v>
      </c>
      <c r="J66" s="1790"/>
      <c r="K66" s="1790"/>
      <c r="L66" s="1790"/>
      <c r="M66" s="1791"/>
      <c r="N66" s="1785"/>
      <c r="O66" s="1785"/>
      <c r="P66" s="1780"/>
      <c r="Q66" s="1749"/>
    </row>
    <row r="67" spans="1:17" ht="15.75" thickTop="1">
      <c r="A67" s="1781"/>
      <c r="B67" s="1792" t="s">
        <v>2029</v>
      </c>
      <c r="C67" s="1793" t="str">
        <f>C68&amp;"（含）"&amp;"-"&amp;D68</f>
        <v>1（含）-2</v>
      </c>
      <c r="D67" s="1793" t="str">
        <f t="shared" ref="D67:L67" si="18">D68&amp;"（含）"&amp;"-"&amp;E68</f>
        <v>2（含）-3</v>
      </c>
      <c r="E67" s="1793" t="str">
        <f t="shared" si="18"/>
        <v>3（含）-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60" t="str">
        <f>M68&amp;"（含）"&amp;"-"&amp;P68</f>
        <v>（含）-</v>
      </c>
      <c r="N67" s="1785"/>
      <c r="O67" s="1785"/>
      <c r="P67" s="1780"/>
      <c r="Q67" s="1749"/>
    </row>
    <row r="68" spans="1:17" ht="15">
      <c r="A68" s="1781"/>
      <c r="B68" s="1794"/>
      <c r="C68" s="1795">
        <v>1</v>
      </c>
      <c r="D68" s="1795">
        <v>2</v>
      </c>
      <c r="E68" s="1795">
        <v>3</v>
      </c>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99</v>
      </c>
      <c r="E69" s="1790">
        <f t="shared" si="19"/>
        <v>98</v>
      </c>
      <c r="F69" s="1790">
        <f t="shared" si="19"/>
        <v>97</v>
      </c>
      <c r="G69" s="1790">
        <f t="shared" si="19"/>
        <v>96</v>
      </c>
      <c r="H69" s="1790">
        <f t="shared" si="19"/>
        <v>95</v>
      </c>
      <c r="I69" s="1790">
        <f t="shared" si="19"/>
        <v>94</v>
      </c>
      <c r="J69" s="1790">
        <f t="shared" si="19"/>
        <v>93</v>
      </c>
      <c r="K69" s="1790">
        <f t="shared" si="19"/>
        <v>92</v>
      </c>
      <c r="L69" s="1790">
        <f t="shared" si="19"/>
        <v>91</v>
      </c>
      <c r="M69" s="1791">
        <f t="shared" si="19"/>
        <v>90</v>
      </c>
      <c r="N69" s="1785"/>
      <c r="O69" s="1785"/>
      <c r="P69" s="1780"/>
      <c r="Q69" s="1749"/>
    </row>
    <row r="70" spans="1:17" s="1699" customFormat="1" ht="15.75" hidden="1"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hidden="1"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hidden="1"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hidden="1"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hidden="1"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hidden="1" thickBot="1">
      <c r="A75" s="1808"/>
      <c r="B75" s="1809"/>
      <c r="C75" s="1810"/>
      <c r="D75" s="1810"/>
      <c r="E75" s="1810"/>
      <c r="F75" s="1810"/>
      <c r="G75" s="1810"/>
      <c r="H75" s="1811"/>
      <c r="I75" s="1811"/>
      <c r="J75" s="1811"/>
      <c r="K75" s="1811"/>
      <c r="L75" s="1811"/>
      <c r="M75" s="1812"/>
      <c r="N75" s="1799"/>
      <c r="O75" s="1799"/>
      <c r="P75" s="1800"/>
      <c r="Q75" s="1801"/>
    </row>
    <row r="76" spans="1:17" ht="15" thickTop="1">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98</v>
      </c>
      <c r="E77" s="1790">
        <f>D77-$K15</f>
        <v>96</v>
      </c>
      <c r="F77" s="1790">
        <f>E77-$K15</f>
        <v>94</v>
      </c>
      <c r="G77" s="1790">
        <f>F77-$K15</f>
        <v>92</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98</v>
      </c>
      <c r="E79" s="1790">
        <f>D79-$K17</f>
        <v>96</v>
      </c>
      <c r="F79" s="1790">
        <f>E79-$K17</f>
        <v>94</v>
      </c>
      <c r="G79" s="1790">
        <f>F79-$K17</f>
        <v>92</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98</v>
      </c>
      <c r="E81" s="1790">
        <f>D81-$K19</f>
        <v>96</v>
      </c>
      <c r="F81" s="1790">
        <f>E81-$K19</f>
        <v>94</v>
      </c>
      <c r="G81" s="1790">
        <f>F81-$K19</f>
        <v>92</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99</v>
      </c>
      <c r="E83" s="1790">
        <f>D83-$K21</f>
        <v>98</v>
      </c>
      <c r="F83" s="1790">
        <f>E83-$K21</f>
        <v>97</v>
      </c>
      <c r="G83" s="1790">
        <f>F83-$K21</f>
        <v>96</v>
      </c>
      <c r="H83" s="1816"/>
      <c r="I83" s="1816"/>
      <c r="J83" s="1816"/>
      <c r="K83" s="1816"/>
      <c r="L83" s="1816"/>
      <c r="M83" s="1664"/>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98</v>
      </c>
      <c r="E85" s="1790">
        <f>D85-$K23</f>
        <v>96</v>
      </c>
      <c r="F85" s="1790">
        <f>E85-$K23</f>
        <v>94</v>
      </c>
      <c r="G85" s="1790">
        <f>F85-$K23</f>
        <v>92</v>
      </c>
      <c r="H85" s="1790"/>
      <c r="I85" s="1790"/>
      <c r="J85" s="1790"/>
      <c r="K85" s="1790"/>
      <c r="L85" s="1790"/>
      <c r="M85" s="1791"/>
      <c r="N85" s="1785"/>
      <c r="O85" s="1785"/>
      <c r="P85" s="1780"/>
      <c r="Q85" s="1749"/>
    </row>
    <row r="86" spans="1:17" s="1613" customFormat="1" ht="15.75" hidden="1" thickTop="1">
      <c r="A86" s="1817"/>
      <c r="B86" s="1786" t="s">
        <v>2082</v>
      </c>
      <c r="C86" s="468"/>
      <c r="D86" s="468"/>
      <c r="E86" s="468"/>
      <c r="F86" s="468"/>
      <c r="G86" s="468"/>
      <c r="H86" s="468"/>
      <c r="I86" s="468"/>
      <c r="J86" s="468"/>
      <c r="K86" s="468"/>
      <c r="L86" s="468"/>
      <c r="M86" s="1818"/>
      <c r="N86" s="1770"/>
      <c r="O86" s="1770"/>
      <c r="P86" s="1780"/>
      <c r="Q86" s="1749"/>
    </row>
    <row r="87" spans="1:17" s="1613" customFormat="1" ht="15.75" hidden="1"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3" customFormat="1" ht="15.75" thickTop="1">
      <c r="A88" s="1817"/>
      <c r="B88" s="1786" t="s">
        <v>2083</v>
      </c>
      <c r="C88" s="3354" t="s">
        <v>3105</v>
      </c>
      <c r="D88" s="3354" t="s">
        <v>3106</v>
      </c>
      <c r="E88" s="3354" t="s">
        <v>3107</v>
      </c>
      <c r="F88" s="3354" t="s">
        <v>3108</v>
      </c>
      <c r="G88" s="3354" t="s">
        <v>3109</v>
      </c>
      <c r="H88" s="3354" t="s">
        <v>3073</v>
      </c>
      <c r="I88" s="3354" t="s">
        <v>3110</v>
      </c>
      <c r="J88" s="3354" t="s">
        <v>3111</v>
      </c>
      <c r="K88" s="3355" t="s">
        <v>3112</v>
      </c>
      <c r="L88" s="3356" t="s">
        <v>3113</v>
      </c>
      <c r="M88" s="3357" t="s">
        <v>3114</v>
      </c>
      <c r="N88" s="1770"/>
      <c r="O88" s="1770"/>
      <c r="P88" s="1780"/>
      <c r="Q88" s="1749"/>
    </row>
    <row r="89" spans="1:17" s="1613" customFormat="1" ht="15.75" thickBot="1">
      <c r="A89" s="1817"/>
      <c r="B89" s="1789"/>
      <c r="C89" s="1819">
        <v>100</v>
      </c>
      <c r="D89" s="1790">
        <f t="shared" ref="D89:M89" si="21">C89-$K26</f>
        <v>99</v>
      </c>
      <c r="E89" s="1790">
        <f t="shared" si="21"/>
        <v>98</v>
      </c>
      <c r="F89" s="1790">
        <f t="shared" si="21"/>
        <v>97</v>
      </c>
      <c r="G89" s="1790">
        <f t="shared" si="21"/>
        <v>96</v>
      </c>
      <c r="H89" s="1790">
        <f t="shared" si="21"/>
        <v>95</v>
      </c>
      <c r="I89" s="1790">
        <f t="shared" si="21"/>
        <v>94</v>
      </c>
      <c r="J89" s="1790">
        <f t="shared" si="21"/>
        <v>93</v>
      </c>
      <c r="K89" s="1790">
        <f t="shared" si="21"/>
        <v>92</v>
      </c>
      <c r="L89" s="1790">
        <f t="shared" si="21"/>
        <v>91</v>
      </c>
      <c r="M89" s="1790">
        <f t="shared" si="21"/>
        <v>90</v>
      </c>
      <c r="N89" s="1785"/>
      <c r="O89" s="1785"/>
      <c r="P89" s="1780"/>
      <c r="Q89" s="1749"/>
    </row>
    <row r="90" spans="1:17" s="1699" customFormat="1" ht="15.75" thickTop="1">
      <c r="A90" s="1797"/>
      <c r="B90" s="1786" t="str">
        <f>B27</f>
        <v>道路级别</v>
      </c>
      <c r="C90" s="3363" t="s">
        <v>3115</v>
      </c>
      <c r="D90" s="3363" t="s">
        <v>3116</v>
      </c>
      <c r="E90" s="3363" t="s">
        <v>3117</v>
      </c>
      <c r="F90" s="3363" t="s">
        <v>3118</v>
      </c>
      <c r="G90" s="3363" t="s">
        <v>3119</v>
      </c>
      <c r="H90" s="443"/>
      <c r="I90" s="443"/>
      <c r="J90" s="443"/>
      <c r="K90" s="443"/>
      <c r="L90" s="443"/>
      <c r="M90" s="1798"/>
      <c r="N90" s="1799"/>
      <c r="O90" s="1799"/>
      <c r="P90" s="1800"/>
      <c r="Q90" s="1801"/>
    </row>
    <row r="91" spans="1:17" s="1699" customFormat="1" ht="15.75" thickBot="1">
      <c r="A91" s="1797"/>
      <c r="B91" s="1789"/>
      <c r="C91" s="3364">
        <v>100</v>
      </c>
      <c r="D91" s="3364">
        <v>98</v>
      </c>
      <c r="E91" s="3364">
        <v>96</v>
      </c>
      <c r="F91" s="3364">
        <v>94</v>
      </c>
      <c r="G91" s="3364">
        <v>92</v>
      </c>
      <c r="H91" s="1805"/>
      <c r="I91" s="1805"/>
      <c r="J91" s="1805"/>
      <c r="K91" s="1805"/>
      <c r="L91" s="1805"/>
      <c r="M91" s="1806"/>
      <c r="N91" s="1799"/>
      <c r="O91" s="1799"/>
      <c r="P91" s="1800"/>
      <c r="Q91" s="1801"/>
    </row>
    <row r="92" spans="1:17" ht="29.25" customHeight="1" thickTop="1">
      <c r="A92" s="1781"/>
      <c r="B92" s="1786" t="str">
        <f>B28</f>
        <v>楼层</v>
      </c>
      <c r="C92" s="468" t="str">
        <f>C28</f>
        <v>17/18（高楼层）</v>
      </c>
      <c r="D92" s="468" t="str">
        <f>E28</f>
        <v>6/18（低楼层）</v>
      </c>
      <c r="E92" s="468" t="str">
        <f>G28</f>
        <v>18/18（顶层）</v>
      </c>
      <c r="F92" s="468" t="str">
        <f>I28</f>
        <v>12/18（中楼层）</v>
      </c>
      <c r="G92" s="1506"/>
      <c r="H92" s="1506"/>
      <c r="I92" s="1506"/>
      <c r="J92" s="1506"/>
      <c r="K92" s="473"/>
      <c r="L92" s="473"/>
      <c r="M92" s="1821"/>
      <c r="N92" s="1779"/>
      <c r="O92" s="1779"/>
      <c r="P92" s="1780"/>
      <c r="Q92" s="1749"/>
    </row>
    <row r="93" spans="1:17" ht="15.75" thickBot="1">
      <c r="A93" s="1781"/>
      <c r="B93" s="1789"/>
      <c r="C93" s="1802">
        <v>100</v>
      </c>
      <c r="D93" s="1783">
        <v>96</v>
      </c>
      <c r="E93" s="1783">
        <v>96</v>
      </c>
      <c r="F93" s="1783">
        <v>98</v>
      </c>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6"/>
      <c r="H94" s="1506"/>
      <c r="I94" s="1506"/>
      <c r="J94" s="1506"/>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6"/>
      <c r="H96" s="1506"/>
      <c r="I96" s="1506"/>
      <c r="J96" s="1506"/>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3333" t="s">
        <v>3081</v>
      </c>
      <c r="D100" s="3334" t="s">
        <v>3082</v>
      </c>
      <c r="E100" s="3336" t="s">
        <v>3083</v>
      </c>
      <c r="F100" s="3335" t="s">
        <v>3084</v>
      </c>
      <c r="G100" s="3335" t="s">
        <v>3085</v>
      </c>
      <c r="H100" s="1777"/>
      <c r="I100" s="1777"/>
      <c r="J100" s="1777"/>
      <c r="K100" s="417"/>
      <c r="L100" s="417"/>
      <c r="M100" s="1778"/>
      <c r="N100" s="1779"/>
      <c r="O100" s="1779"/>
      <c r="P100" s="1780"/>
      <c r="Q100" s="1749"/>
    </row>
    <row r="101" spans="1:17" ht="15.75" thickBot="1">
      <c r="A101" s="1781"/>
      <c r="B101" s="1789"/>
      <c r="C101" s="1790">
        <v>100</v>
      </c>
      <c r="D101" s="1790">
        <f t="shared" ref="D101:M101" si="22">C101-$K32</f>
        <v>98</v>
      </c>
      <c r="E101" s="1790">
        <f t="shared" si="22"/>
        <v>96</v>
      </c>
      <c r="F101" s="1790">
        <f t="shared" si="22"/>
        <v>94</v>
      </c>
      <c r="G101" s="1790">
        <f t="shared" si="22"/>
        <v>92</v>
      </c>
      <c r="H101" s="1790">
        <f t="shared" si="22"/>
        <v>90</v>
      </c>
      <c r="I101" s="1790">
        <f t="shared" si="22"/>
        <v>88</v>
      </c>
      <c r="J101" s="1790">
        <f t="shared" si="22"/>
        <v>86</v>
      </c>
      <c r="K101" s="1790">
        <f t="shared" si="22"/>
        <v>84</v>
      </c>
      <c r="L101" s="1790">
        <f t="shared" si="22"/>
        <v>82</v>
      </c>
      <c r="M101" s="1790">
        <f t="shared" si="22"/>
        <v>80</v>
      </c>
      <c r="N101" s="1785"/>
      <c r="O101" s="1785"/>
      <c r="P101" s="1780"/>
      <c r="Q101" s="1749"/>
    </row>
    <row r="102" spans="1:17" ht="15.75" thickTop="1">
      <c r="A102" s="1781"/>
      <c r="B102" s="1786" t="s">
        <v>2085</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3340">
        <v>0</v>
      </c>
      <c r="D103" s="3340">
        <v>100</v>
      </c>
      <c r="E103" s="3340">
        <v>200</v>
      </c>
      <c r="F103" s="3340">
        <v>300</v>
      </c>
      <c r="G103" s="3340">
        <v>400</v>
      </c>
      <c r="H103" s="3340">
        <v>500</v>
      </c>
      <c r="I103" s="3340">
        <v>600</v>
      </c>
      <c r="J103" s="485"/>
      <c r="K103" s="485"/>
      <c r="L103" s="485"/>
      <c r="M103" s="1830"/>
      <c r="N103" s="1799"/>
      <c r="O103" s="1799"/>
      <c r="P103" s="1800"/>
      <c r="Q103" s="1801"/>
    </row>
    <row r="104" spans="1:17" s="1699" customFormat="1" ht="15.75" thickBot="1">
      <c r="A104" s="1797"/>
      <c r="B104" s="1789"/>
      <c r="C104" s="3338">
        <v>100</v>
      </c>
      <c r="D104" s="3339">
        <v>102</v>
      </c>
      <c r="E104" s="3339">
        <v>104</v>
      </c>
      <c r="F104" s="3339">
        <v>106</v>
      </c>
      <c r="G104" s="3339">
        <v>108</v>
      </c>
      <c r="H104" s="3339">
        <v>110</v>
      </c>
      <c r="I104" s="3339">
        <v>112</v>
      </c>
      <c r="J104" s="1783"/>
      <c r="K104" s="1783"/>
      <c r="L104" s="1783"/>
      <c r="M104" s="1783"/>
      <c r="N104" s="1785"/>
      <c r="O104" s="1785"/>
      <c r="P104" s="1800"/>
      <c r="Q104" s="1801"/>
    </row>
    <row r="105" spans="1:17" ht="15" thickTop="1">
      <c r="A105" s="1831"/>
      <c r="B105" s="1786" t="s">
        <v>2086</v>
      </c>
      <c r="C105" s="3341" t="s">
        <v>3086</v>
      </c>
      <c r="D105" s="3341" t="s">
        <v>3087</v>
      </c>
      <c r="E105" s="3342" t="s">
        <v>3088</v>
      </c>
      <c r="F105" s="3342" t="s">
        <v>3089</v>
      </c>
      <c r="G105" s="3343" t="s">
        <v>3090</v>
      </c>
      <c r="H105" s="1506"/>
      <c r="I105" s="1506"/>
      <c r="J105" s="1506"/>
      <c r="K105" s="473"/>
      <c r="L105" s="473"/>
      <c r="M105" s="1821"/>
      <c r="N105" s="1779"/>
      <c r="O105" s="1779"/>
      <c r="P105" s="1780"/>
      <c r="Q105" s="1749"/>
    </row>
    <row r="106" spans="1:17" ht="15.75" thickBot="1">
      <c r="A106" s="1781"/>
      <c r="B106" s="1789"/>
      <c r="C106" s="1790">
        <v>100</v>
      </c>
      <c r="D106" s="1790">
        <f t="shared" ref="D106:M106" si="24">C106-$K34</f>
        <v>98</v>
      </c>
      <c r="E106" s="1790">
        <f t="shared" si="24"/>
        <v>96</v>
      </c>
      <c r="F106" s="1790">
        <f t="shared" si="24"/>
        <v>94</v>
      </c>
      <c r="G106" s="1790">
        <f t="shared" si="24"/>
        <v>92</v>
      </c>
      <c r="H106" s="1790">
        <f t="shared" si="24"/>
        <v>90</v>
      </c>
      <c r="I106" s="1790">
        <f t="shared" si="24"/>
        <v>88</v>
      </c>
      <c r="J106" s="1790">
        <f t="shared" si="24"/>
        <v>86</v>
      </c>
      <c r="K106" s="1790">
        <f t="shared" si="24"/>
        <v>84</v>
      </c>
      <c r="L106" s="1790">
        <f t="shared" si="24"/>
        <v>82</v>
      </c>
      <c r="M106" s="1790">
        <f t="shared" si="24"/>
        <v>80</v>
      </c>
      <c r="N106" s="1785"/>
      <c r="O106" s="1785"/>
      <c r="P106" s="1780"/>
      <c r="Q106" s="1749"/>
    </row>
    <row r="107" spans="1:17" ht="15" thickTop="1">
      <c r="A107" s="1831"/>
      <c r="B107" s="1786" t="s">
        <v>2087</v>
      </c>
      <c r="C107" s="3344" t="s">
        <v>30</v>
      </c>
      <c r="D107" s="1506"/>
      <c r="E107" s="1506"/>
      <c r="F107" s="1506"/>
      <c r="G107" s="1506"/>
      <c r="H107" s="1506"/>
      <c r="I107" s="1506"/>
      <c r="J107" s="1506"/>
      <c r="K107" s="473"/>
      <c r="L107" s="473"/>
      <c r="M107" s="1821"/>
      <c r="N107" s="1779"/>
      <c r="O107" s="1779"/>
      <c r="P107" s="1780"/>
      <c r="Q107" s="1749"/>
    </row>
    <row r="108" spans="1:17" ht="15.75" thickBot="1">
      <c r="A108" s="1781"/>
      <c r="B108" s="1789"/>
      <c r="C108" s="1790">
        <v>100</v>
      </c>
      <c r="D108" s="1790">
        <f t="shared" ref="D108:M108" si="25">C108-$K35</f>
        <v>98</v>
      </c>
      <c r="E108" s="1790">
        <f t="shared" si="25"/>
        <v>96</v>
      </c>
      <c r="F108" s="1790">
        <f t="shared" si="25"/>
        <v>94</v>
      </c>
      <c r="G108" s="1790">
        <f t="shared" si="25"/>
        <v>92</v>
      </c>
      <c r="H108" s="1790">
        <f t="shared" si="25"/>
        <v>90</v>
      </c>
      <c r="I108" s="1790">
        <f t="shared" si="25"/>
        <v>88</v>
      </c>
      <c r="J108" s="1790">
        <f t="shared" si="25"/>
        <v>86</v>
      </c>
      <c r="K108" s="1790">
        <f t="shared" si="25"/>
        <v>84</v>
      </c>
      <c r="L108" s="1790">
        <f t="shared" si="25"/>
        <v>82</v>
      </c>
      <c r="M108" s="1790">
        <f t="shared" si="25"/>
        <v>80</v>
      </c>
      <c r="N108" s="1785"/>
      <c r="O108" s="1785"/>
      <c r="P108" s="1780"/>
      <c r="Q108" s="1749"/>
    </row>
    <row r="109" spans="1:17" ht="15" thickTop="1">
      <c r="A109" s="1831"/>
      <c r="B109" s="1786" t="s">
        <v>2088</v>
      </c>
      <c r="C109" s="3345" t="s">
        <v>3091</v>
      </c>
      <c r="D109" s="3345" t="s">
        <v>3076</v>
      </c>
      <c r="E109" s="3345" t="s">
        <v>3104</v>
      </c>
      <c r="F109" s="3346" t="s">
        <v>3092</v>
      </c>
      <c r="G109" s="1506"/>
      <c r="H109" s="1506"/>
      <c r="I109" s="1506"/>
      <c r="J109" s="1506"/>
      <c r="K109" s="473"/>
      <c r="L109" s="473"/>
      <c r="M109" s="1821"/>
      <c r="N109" s="1779"/>
      <c r="O109" s="1779"/>
      <c r="P109" s="1780"/>
      <c r="Q109" s="1749"/>
    </row>
    <row r="110" spans="1:17" ht="15.75" thickBot="1">
      <c r="A110" s="1781"/>
      <c r="B110" s="1789"/>
      <c r="C110" s="1790">
        <v>100</v>
      </c>
      <c r="D110" s="1790">
        <f t="shared" ref="D110:M110" si="26">C110-$K36</f>
        <v>98</v>
      </c>
      <c r="E110" s="1790">
        <f t="shared" si="26"/>
        <v>96</v>
      </c>
      <c r="F110" s="1790">
        <f t="shared" si="26"/>
        <v>94</v>
      </c>
      <c r="G110" s="1790">
        <f t="shared" si="26"/>
        <v>92</v>
      </c>
      <c r="H110" s="1790">
        <f t="shared" si="26"/>
        <v>90</v>
      </c>
      <c r="I110" s="1790">
        <f t="shared" si="26"/>
        <v>88</v>
      </c>
      <c r="J110" s="1790">
        <f t="shared" si="26"/>
        <v>86</v>
      </c>
      <c r="K110" s="1790">
        <f t="shared" si="26"/>
        <v>84</v>
      </c>
      <c r="L110" s="1790">
        <f t="shared" si="26"/>
        <v>82</v>
      </c>
      <c r="M110" s="1790">
        <f t="shared" si="26"/>
        <v>80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3347" t="s">
        <v>3093</v>
      </c>
      <c r="D114" s="3347" t="s">
        <v>3094</v>
      </c>
      <c r="E114" s="3348" t="s">
        <v>3095</v>
      </c>
      <c r="F114" s="3348" t="s">
        <v>3096</v>
      </c>
      <c r="G114" s="1506"/>
      <c r="H114" s="1506"/>
      <c r="I114" s="1506"/>
      <c r="J114" s="1506"/>
      <c r="K114" s="473"/>
      <c r="L114" s="473"/>
      <c r="M114" s="1821"/>
      <c r="N114" s="1779"/>
      <c r="O114" s="1779"/>
      <c r="P114" s="1780"/>
      <c r="Q114" s="1749"/>
    </row>
    <row r="115" spans="1:17" ht="15.75" thickBot="1">
      <c r="A115" s="1781"/>
      <c r="B115" s="1789"/>
      <c r="C115" s="1790">
        <v>100</v>
      </c>
      <c r="D115" s="1790">
        <f t="shared" ref="D115:M115" si="27">C115-$K38</f>
        <v>98</v>
      </c>
      <c r="E115" s="1790">
        <f t="shared" si="27"/>
        <v>96</v>
      </c>
      <c r="F115" s="1790">
        <f t="shared" si="27"/>
        <v>94</v>
      </c>
      <c r="G115" s="1790">
        <f t="shared" si="27"/>
        <v>92</v>
      </c>
      <c r="H115" s="1790">
        <f t="shared" si="27"/>
        <v>90</v>
      </c>
      <c r="I115" s="1790">
        <f t="shared" si="27"/>
        <v>88</v>
      </c>
      <c r="J115" s="1790">
        <f t="shared" si="27"/>
        <v>86</v>
      </c>
      <c r="K115" s="1790">
        <f t="shared" si="27"/>
        <v>84</v>
      </c>
      <c r="L115" s="1790">
        <f t="shared" si="27"/>
        <v>82</v>
      </c>
      <c r="M115" s="1790">
        <f t="shared" si="27"/>
        <v>80</v>
      </c>
      <c r="N115" s="1785"/>
      <c r="O115" s="1785"/>
      <c r="P115" s="1780"/>
      <c r="Q115" s="1749"/>
    </row>
    <row r="116" spans="1:17" ht="15" thickTop="1">
      <c r="A116" s="1831"/>
      <c r="B116" s="1786" t="s">
        <v>2091</v>
      </c>
      <c r="C116" s="3349" t="s">
        <v>3071</v>
      </c>
      <c r="D116" s="3349" t="s">
        <v>3097</v>
      </c>
      <c r="E116" s="3349" t="s">
        <v>3098</v>
      </c>
      <c r="F116" s="3349" t="s">
        <v>3099</v>
      </c>
      <c r="G116" s="3349" t="s">
        <v>3100</v>
      </c>
      <c r="H116" s="1506"/>
      <c r="I116" s="1506"/>
      <c r="J116" s="1506"/>
      <c r="K116" s="473"/>
      <c r="L116" s="473"/>
      <c r="M116" s="1821"/>
      <c r="N116" s="1779"/>
      <c r="O116" s="1779"/>
      <c r="P116" s="1780"/>
      <c r="Q116" s="1749"/>
    </row>
    <row r="117" spans="1:17" ht="15.75" thickBot="1">
      <c r="A117" s="1781"/>
      <c r="B117" s="1789"/>
      <c r="C117" s="1790">
        <v>100</v>
      </c>
      <c r="D117" s="1790">
        <f>C117-$K39</f>
        <v>99</v>
      </c>
      <c r="E117" s="1790">
        <f>D117-$K39</f>
        <v>98</v>
      </c>
      <c r="F117" s="1790">
        <f>E117-$K39</f>
        <v>97</v>
      </c>
      <c r="G117" s="1790">
        <f>F117-$K39</f>
        <v>96</v>
      </c>
      <c r="H117" s="1790"/>
      <c r="I117" s="1790"/>
      <c r="J117" s="1790"/>
      <c r="K117" s="1790"/>
      <c r="L117" s="1790"/>
      <c r="M117" s="1791"/>
      <c r="N117" s="1785"/>
      <c r="O117" s="1785"/>
      <c r="P117" s="1780"/>
      <c r="Q117" s="1749"/>
    </row>
    <row r="118" spans="1:17" ht="15" thickTop="1">
      <c r="A118" s="1831"/>
      <c r="B118" s="1786" t="s">
        <v>2092</v>
      </c>
      <c r="C118" s="3352" t="s">
        <v>3101</v>
      </c>
      <c r="D118" s="3353" t="s">
        <v>3102</v>
      </c>
      <c r="E118" s="1506"/>
      <c r="F118" s="1506"/>
      <c r="G118" s="1506"/>
      <c r="H118" s="1506"/>
      <c r="I118" s="1506"/>
      <c r="J118" s="1506"/>
      <c r="K118" s="473"/>
      <c r="L118" s="473"/>
      <c r="M118" s="1821"/>
      <c r="N118" s="1779"/>
      <c r="O118" s="1779"/>
      <c r="P118" s="1780"/>
      <c r="Q118" s="1749"/>
    </row>
    <row r="119" spans="1:17" ht="15.75" thickBot="1">
      <c r="A119" s="1781"/>
      <c r="B119" s="1789"/>
      <c r="C119" s="1790">
        <v>100</v>
      </c>
      <c r="D119" s="1790">
        <f t="shared" ref="D119:M119" si="28">C119-$K40</f>
        <v>98</v>
      </c>
      <c r="E119" s="1790">
        <f t="shared" si="28"/>
        <v>96</v>
      </c>
      <c r="F119" s="1790">
        <f t="shared" si="28"/>
        <v>94</v>
      </c>
      <c r="G119" s="1790">
        <f t="shared" si="28"/>
        <v>92</v>
      </c>
      <c r="H119" s="1790">
        <f t="shared" si="28"/>
        <v>90</v>
      </c>
      <c r="I119" s="1790">
        <f t="shared" si="28"/>
        <v>88</v>
      </c>
      <c r="J119" s="1790">
        <f t="shared" si="28"/>
        <v>86</v>
      </c>
      <c r="K119" s="1790">
        <f t="shared" si="28"/>
        <v>84</v>
      </c>
      <c r="L119" s="1790">
        <f t="shared" si="28"/>
        <v>82</v>
      </c>
      <c r="M119" s="1790">
        <f t="shared" si="28"/>
        <v>80</v>
      </c>
      <c r="N119" s="1785"/>
      <c r="O119" s="1785"/>
      <c r="P119" s="1780"/>
      <c r="Q119" s="1749"/>
    </row>
    <row r="120" spans="1:17" s="1699" customFormat="1" ht="28.5" thickTop="1">
      <c r="A120" s="1827"/>
      <c r="B120" s="1786" t="s">
        <v>2046</v>
      </c>
      <c r="C120" s="468">
        <v>0</v>
      </c>
      <c r="D120" s="468">
        <v>60</v>
      </c>
      <c r="E120" s="468">
        <v>90</v>
      </c>
      <c r="F120" s="468">
        <v>120</v>
      </c>
      <c r="G120" s="468">
        <v>150</v>
      </c>
      <c r="H120" s="468">
        <v>180</v>
      </c>
      <c r="I120" s="468"/>
      <c r="J120" s="468"/>
      <c r="K120" s="468"/>
      <c r="L120" s="468"/>
      <c r="M120" s="1818"/>
      <c r="N120" s="1799"/>
      <c r="O120" s="1799"/>
      <c r="P120" s="1800"/>
      <c r="Q120" s="1801"/>
    </row>
    <row r="121" spans="1:17" s="1699" customFormat="1" ht="15.75" thickBot="1">
      <c r="A121" s="1797"/>
      <c r="B121" s="1782"/>
      <c r="C121" s="1802">
        <v>100</v>
      </c>
      <c r="D121" s="1783">
        <v>98</v>
      </c>
      <c r="E121" s="1783">
        <v>96</v>
      </c>
      <c r="F121" s="1783">
        <v>94</v>
      </c>
      <c r="G121" s="1783">
        <v>92</v>
      </c>
      <c r="H121" s="1783">
        <v>90</v>
      </c>
      <c r="I121" s="1783"/>
      <c r="J121" s="1783"/>
      <c r="K121" s="1783"/>
      <c r="L121" s="1783"/>
      <c r="M121" s="1783"/>
      <c r="N121" s="1799"/>
      <c r="O121" s="1799"/>
      <c r="P121" s="1800"/>
      <c r="Q121" s="1801"/>
    </row>
    <row r="122" spans="1:17" ht="15" thickTop="1">
      <c r="A122" s="1831"/>
      <c r="B122" s="1786" t="s">
        <v>2093</v>
      </c>
      <c r="C122" s="3350" t="s">
        <v>3091</v>
      </c>
      <c r="D122" s="3350" t="s">
        <v>3076</v>
      </c>
      <c r="E122" s="3350" t="s">
        <v>3104</v>
      </c>
      <c r="F122" s="3351" t="s">
        <v>3092</v>
      </c>
      <c r="G122" s="1506"/>
      <c r="H122" s="1506"/>
      <c r="I122" s="1506"/>
      <c r="J122" s="1506"/>
      <c r="K122" s="473"/>
      <c r="L122" s="473"/>
      <c r="M122" s="1821"/>
      <c r="N122" s="1779"/>
      <c r="O122" s="1779"/>
      <c r="P122" s="1780"/>
      <c r="Q122" s="1749"/>
    </row>
    <row r="123" spans="1:17" ht="15.75" thickBot="1">
      <c r="A123" s="1781"/>
      <c r="B123" s="1789"/>
      <c r="C123" s="1790">
        <v>100</v>
      </c>
      <c r="D123" s="1790">
        <f t="shared" ref="D123:M123" si="29">C123-$K42</f>
        <v>98</v>
      </c>
      <c r="E123" s="1790">
        <f t="shared" si="29"/>
        <v>96</v>
      </c>
      <c r="F123" s="1790">
        <f t="shared" si="29"/>
        <v>94</v>
      </c>
      <c r="G123" s="1790">
        <f t="shared" si="29"/>
        <v>92</v>
      </c>
      <c r="H123" s="1790">
        <f t="shared" si="29"/>
        <v>90</v>
      </c>
      <c r="I123" s="1790">
        <f t="shared" si="29"/>
        <v>88</v>
      </c>
      <c r="J123" s="1790">
        <f t="shared" si="29"/>
        <v>86</v>
      </c>
      <c r="K123" s="1790">
        <f t="shared" si="29"/>
        <v>84</v>
      </c>
      <c r="L123" s="1790">
        <f t="shared" si="29"/>
        <v>82</v>
      </c>
      <c r="M123" s="1790">
        <f t="shared" si="29"/>
        <v>80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98</v>
      </c>
      <c r="E125" s="1790">
        <f>D125-$K43</f>
        <v>96</v>
      </c>
      <c r="F125" s="1790">
        <f>E125-$K43</f>
        <v>94</v>
      </c>
      <c r="G125" s="1790">
        <f>F125-$K43</f>
        <v>92</v>
      </c>
      <c r="H125" s="1790"/>
      <c r="I125" s="1790"/>
      <c r="J125" s="1790"/>
      <c r="K125" s="1790"/>
      <c r="L125" s="1790"/>
      <c r="M125" s="1791"/>
      <c r="N125" s="1785"/>
      <c r="O125" s="1785"/>
      <c r="P125" s="1780"/>
      <c r="Q125" s="1749"/>
    </row>
    <row r="126" spans="1:17" s="1699" customFormat="1" ht="15" thickTop="1">
      <c r="A126" s="1827"/>
      <c r="B126" s="1786" t="str">
        <f>B44</f>
        <v>建成年份</v>
      </c>
      <c r="C126" s="468">
        <v>2014</v>
      </c>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v>100</v>
      </c>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6"/>
      <c r="H128" s="1506"/>
      <c r="I128" s="1506"/>
      <c r="J128" s="1506"/>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1"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8" t="s">
        <v>2110</v>
      </c>
      <c r="E144" s="1861">
        <v>102</v>
      </c>
      <c r="F144" s="1869">
        <v>100</v>
      </c>
      <c r="G144" s="1348"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2" t="s">
        <v>2112</v>
      </c>
      <c r="G145" s="1873"/>
      <c r="H145" s="1874"/>
      <c r="I145" s="1875" t="s">
        <v>2109</v>
      </c>
      <c r="J145" s="1876">
        <v>8</v>
      </c>
      <c r="K145" s="1877">
        <f>ROUND(100+(J145-J140)*K139*100,1)</f>
        <v>99.2</v>
      </c>
    </row>
    <row r="147" spans="2:11">
      <c r="B147" s="1501" t="s">
        <v>2113</v>
      </c>
    </row>
    <row r="148" spans="2:11">
      <c r="B148" s="1501" t="s">
        <v>2114</v>
      </c>
    </row>
  </sheetData>
  <sheetProtection algorithmName="SHA-512" hashValue="gRq95fwHWkF5mysaW0iPXfL9bSdQ/1JELF/lAj+U16sCFpoJhE022xiFkmV+8QIUnmPSPSN8VTLcJlAP7Z8XJA==" saltValue="wz9AZ+RyvJbrSfrYh1BN4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dimension ref="A1:P16"/>
  <sheetViews>
    <sheetView workbookViewId="0">
      <selection activeCell="O1" sqref="O1:O1048576"/>
    </sheetView>
  </sheetViews>
  <sheetFormatPr defaultRowHeight="11.25"/>
  <cols>
    <col min="1" max="1" width="3.875" style="3324" customWidth="1"/>
    <col min="2" max="2" width="15.125" style="3324" customWidth="1"/>
    <col min="3" max="3" width="7.5" style="3324" hidden="1" customWidth="1"/>
    <col min="4" max="4" width="6.5" style="3324" hidden="1" customWidth="1"/>
    <col min="5" max="5" width="7.375" style="3324" customWidth="1"/>
    <col min="6" max="6" width="6.625" style="3324" customWidth="1"/>
    <col min="7" max="7" width="8.375" style="3324" customWidth="1"/>
    <col min="8" max="8" width="7.25" style="3324" customWidth="1"/>
    <col min="9" max="9" width="4.625" style="3324" customWidth="1"/>
    <col min="10" max="10" width="7" style="3324" hidden="1" customWidth="1"/>
    <col min="11" max="11" width="6.75" style="3324" hidden="1" customWidth="1"/>
    <col min="12" max="12" width="6.625" style="3324" hidden="1" customWidth="1"/>
    <col min="13" max="13" width="6.75" style="3324" customWidth="1"/>
    <col min="14" max="14" width="6.625" style="3324" hidden="1" customWidth="1"/>
    <col min="15" max="15" width="7.75" style="3324" hidden="1" customWidth="1"/>
    <col min="16" max="16" width="12.5" style="3324" customWidth="1"/>
    <col min="17" max="16384" width="9" style="3324"/>
  </cols>
  <sheetData>
    <row r="1" spans="1:16" ht="28.5">
      <c r="A1" s="3325" t="s">
        <v>3060</v>
      </c>
      <c r="B1" s="3325" t="s">
        <v>3036</v>
      </c>
      <c r="C1" s="3325" t="s">
        <v>3037</v>
      </c>
      <c r="D1" s="3325" t="s">
        <v>3038</v>
      </c>
      <c r="E1" s="3325" t="s">
        <v>3039</v>
      </c>
      <c r="F1" s="3325" t="s">
        <v>3040</v>
      </c>
      <c r="G1" s="3325" t="s">
        <v>3041</v>
      </c>
      <c r="H1" s="3325" t="s">
        <v>3042</v>
      </c>
      <c r="I1" s="3325" t="s">
        <v>3072</v>
      </c>
      <c r="J1" s="3325" t="s">
        <v>3075</v>
      </c>
      <c r="K1" s="3325" t="s">
        <v>3078</v>
      </c>
      <c r="L1" s="3325" t="s">
        <v>3043</v>
      </c>
      <c r="M1" s="3325" t="s">
        <v>3044</v>
      </c>
      <c r="N1" s="3325" t="s">
        <v>3045</v>
      </c>
      <c r="O1" s="3325" t="s">
        <v>3046</v>
      </c>
      <c r="P1" s="3325" t="s">
        <v>3047</v>
      </c>
    </row>
    <row r="2" spans="1:16" ht="28.5" customHeight="1">
      <c r="A2" s="3326">
        <v>1</v>
      </c>
      <c r="B2" s="3326" t="s">
        <v>3052</v>
      </c>
      <c r="C2" s="3326" t="s">
        <v>3049</v>
      </c>
      <c r="D2" s="3326" t="s">
        <v>3050</v>
      </c>
      <c r="E2" s="3326">
        <v>42.05</v>
      </c>
      <c r="F2" s="3326" t="s">
        <v>2639</v>
      </c>
      <c r="G2" s="3326">
        <v>30</v>
      </c>
      <c r="H2" s="3326">
        <v>4</v>
      </c>
      <c r="I2" s="3326"/>
      <c r="J2" s="3326"/>
      <c r="K2" s="3326" t="s">
        <v>3079</v>
      </c>
      <c r="L2" s="3326">
        <v>2013</v>
      </c>
      <c r="M2" s="3326">
        <v>39239</v>
      </c>
      <c r="N2" s="3326">
        <v>37314</v>
      </c>
      <c r="O2" s="3326">
        <v>1569054</v>
      </c>
      <c r="P2" s="3327">
        <v>44916</v>
      </c>
    </row>
    <row r="3" spans="1:16" ht="28.5" customHeight="1">
      <c r="A3" s="3326">
        <v>2</v>
      </c>
      <c r="B3" s="3326" t="s">
        <v>3048</v>
      </c>
      <c r="C3" s="3326" t="s">
        <v>3049</v>
      </c>
      <c r="D3" s="3326" t="s">
        <v>3050</v>
      </c>
      <c r="E3" s="3326">
        <v>55.78</v>
      </c>
      <c r="F3" s="3326" t="s">
        <v>2639</v>
      </c>
      <c r="G3" s="3326" t="s">
        <v>3051</v>
      </c>
      <c r="H3" s="3326">
        <v>3</v>
      </c>
      <c r="I3" s="3326" t="s">
        <v>3074</v>
      </c>
      <c r="J3" s="3326" t="s">
        <v>3077</v>
      </c>
      <c r="K3" s="3326" t="s">
        <v>3079</v>
      </c>
      <c r="L3" s="3326">
        <v>2014</v>
      </c>
      <c r="M3" s="3326">
        <v>35228</v>
      </c>
      <c r="N3" s="3326">
        <v>33178</v>
      </c>
      <c r="O3" s="3326">
        <v>1850669</v>
      </c>
      <c r="P3" s="3327">
        <v>44905</v>
      </c>
    </row>
    <row r="4" spans="1:16" ht="28.5" customHeight="1">
      <c r="A4" s="3328">
        <v>3</v>
      </c>
      <c r="B4" s="3328" t="s">
        <v>3067</v>
      </c>
      <c r="C4" s="3328" t="s">
        <v>3049</v>
      </c>
      <c r="D4" s="3328" t="s">
        <v>3050</v>
      </c>
      <c r="E4" s="3328">
        <v>52.94</v>
      </c>
      <c r="F4" s="3328" t="s">
        <v>2639</v>
      </c>
      <c r="G4" s="3328" t="s">
        <v>3053</v>
      </c>
      <c r="H4" s="3328">
        <v>6</v>
      </c>
      <c r="I4" s="3328" t="s">
        <v>3127</v>
      </c>
      <c r="J4" s="3328" t="s">
        <v>3077</v>
      </c>
      <c r="K4" s="3326" t="s">
        <v>3079</v>
      </c>
      <c r="L4" s="3328">
        <v>2014</v>
      </c>
      <c r="M4" s="3328">
        <v>39668</v>
      </c>
      <c r="N4" s="3328">
        <v>38124</v>
      </c>
      <c r="O4" s="3328">
        <v>2018285</v>
      </c>
      <c r="P4" s="3329">
        <v>44893</v>
      </c>
    </row>
    <row r="5" spans="1:16" ht="28.5" customHeight="1">
      <c r="A5" s="3328">
        <v>4</v>
      </c>
      <c r="B5" s="3328" t="s">
        <v>3143</v>
      </c>
      <c r="C5" s="3328" t="s">
        <v>3049</v>
      </c>
      <c r="D5" s="3328" t="s">
        <v>3050</v>
      </c>
      <c r="E5" s="3328">
        <v>52.75</v>
      </c>
      <c r="F5" s="3328" t="s">
        <v>2639</v>
      </c>
      <c r="G5" s="3328" t="s">
        <v>3053</v>
      </c>
      <c r="H5" s="3328">
        <v>18</v>
      </c>
      <c r="I5" s="3328" t="s">
        <v>3074</v>
      </c>
      <c r="J5" s="3328" t="s">
        <v>3077</v>
      </c>
      <c r="K5" s="3326" t="s">
        <v>3079</v>
      </c>
      <c r="L5" s="3328">
        <v>2014</v>
      </c>
      <c r="M5" s="3328">
        <v>38863</v>
      </c>
      <c r="N5" s="3328">
        <v>38957</v>
      </c>
      <c r="O5" s="3328">
        <v>2054982</v>
      </c>
      <c r="P5" s="3329">
        <v>44888</v>
      </c>
    </row>
    <row r="6" spans="1:16" ht="28.5" customHeight="1">
      <c r="A6" s="3326">
        <v>5</v>
      </c>
      <c r="B6" s="3326" t="s">
        <v>3054</v>
      </c>
      <c r="C6" s="3326" t="s">
        <v>3049</v>
      </c>
      <c r="D6" s="3326" t="s">
        <v>3050</v>
      </c>
      <c r="E6" s="3326">
        <v>42.06</v>
      </c>
      <c r="F6" s="3326" t="s">
        <v>2639</v>
      </c>
      <c r="G6" s="3326" t="s">
        <v>3051</v>
      </c>
      <c r="H6" s="3326">
        <v>9</v>
      </c>
      <c r="I6" s="3337" t="s">
        <v>3074</v>
      </c>
      <c r="J6" s="3337" t="s">
        <v>3077</v>
      </c>
      <c r="K6" s="3326" t="s">
        <v>3079</v>
      </c>
      <c r="L6" s="3326">
        <v>2013</v>
      </c>
      <c r="M6" s="3326">
        <v>39230</v>
      </c>
      <c r="N6" s="3326">
        <v>37878</v>
      </c>
      <c r="O6" s="3326">
        <v>1593149</v>
      </c>
      <c r="P6" s="3327">
        <v>44901</v>
      </c>
    </row>
    <row r="7" spans="1:16" ht="28.5" customHeight="1">
      <c r="A7" s="3328">
        <v>6</v>
      </c>
      <c r="B7" s="3328" t="s">
        <v>3144</v>
      </c>
      <c r="C7" s="3328" t="s">
        <v>3049</v>
      </c>
      <c r="D7" s="3328" t="s">
        <v>3050</v>
      </c>
      <c r="E7" s="3328">
        <v>53.02</v>
      </c>
      <c r="F7" s="3328" t="s">
        <v>2639</v>
      </c>
      <c r="G7" s="3328" t="s">
        <v>3053</v>
      </c>
      <c r="H7" s="3328">
        <v>12</v>
      </c>
      <c r="I7" s="3328" t="s">
        <v>3127</v>
      </c>
      <c r="J7" s="3328" t="s">
        <v>3077</v>
      </c>
      <c r="K7" s="3326" t="s">
        <v>3079</v>
      </c>
      <c r="L7" s="3328">
        <v>2014</v>
      </c>
      <c r="M7" s="3328">
        <v>39419</v>
      </c>
      <c r="N7" s="3328">
        <v>39551</v>
      </c>
      <c r="O7" s="3328">
        <v>2096994</v>
      </c>
      <c r="P7" s="3329">
        <v>44884</v>
      </c>
    </row>
    <row r="8" spans="1:16" ht="28.5" customHeight="1">
      <c r="A8" s="3326">
        <v>7</v>
      </c>
      <c r="B8" s="3326" t="s">
        <v>3055</v>
      </c>
      <c r="C8" s="3326" t="s">
        <v>3056</v>
      </c>
      <c r="D8" s="3326" t="s">
        <v>3050</v>
      </c>
      <c r="E8" s="3326">
        <v>42.83</v>
      </c>
      <c r="F8" s="3326" t="s">
        <v>2639</v>
      </c>
      <c r="G8" s="3326" t="s">
        <v>3051</v>
      </c>
      <c r="H8" s="3326">
        <v>24</v>
      </c>
      <c r="I8" s="3337" t="s">
        <v>3130</v>
      </c>
      <c r="J8" s="3337" t="s">
        <v>3077</v>
      </c>
      <c r="K8" s="3326" t="s">
        <v>3079</v>
      </c>
      <c r="L8" s="3326">
        <v>2013</v>
      </c>
      <c r="M8" s="3326">
        <v>39225</v>
      </c>
      <c r="N8" s="3326">
        <v>39245</v>
      </c>
      <c r="O8" s="3326">
        <v>1680863</v>
      </c>
      <c r="P8" s="3327">
        <v>44877</v>
      </c>
    </row>
    <row r="9" spans="1:16" ht="28.5" customHeight="1">
      <c r="A9" s="3326">
        <v>8</v>
      </c>
      <c r="B9" s="3326" t="s">
        <v>3057</v>
      </c>
      <c r="C9" s="3326" t="s">
        <v>3049</v>
      </c>
      <c r="D9" s="3326" t="s">
        <v>3050</v>
      </c>
      <c r="E9" s="3326">
        <v>54.36</v>
      </c>
      <c r="F9" s="3326" t="s">
        <v>2639</v>
      </c>
      <c r="G9" s="3326" t="s">
        <v>3051</v>
      </c>
      <c r="H9" s="3326">
        <v>18</v>
      </c>
      <c r="I9" s="3337" t="s">
        <v>3074</v>
      </c>
      <c r="J9" s="3337" t="s">
        <v>3077</v>
      </c>
      <c r="K9" s="3326" t="s">
        <v>3079</v>
      </c>
      <c r="L9" s="3326">
        <v>2014</v>
      </c>
      <c r="M9" s="3326">
        <v>36332</v>
      </c>
      <c r="N9" s="3326">
        <v>36050</v>
      </c>
      <c r="O9" s="3326">
        <v>1959678</v>
      </c>
      <c r="P9" s="3327">
        <v>44873</v>
      </c>
    </row>
    <row r="10" spans="1:16" ht="28.5" customHeight="1">
      <c r="A10" s="3326">
        <v>9</v>
      </c>
      <c r="B10" s="3326" t="s">
        <v>3058</v>
      </c>
      <c r="C10" s="3326" t="s">
        <v>3049</v>
      </c>
      <c r="D10" s="3326" t="s">
        <v>3050</v>
      </c>
      <c r="E10" s="3326">
        <v>42.61</v>
      </c>
      <c r="F10" s="3326" t="s">
        <v>2639</v>
      </c>
      <c r="G10" s="3326" t="s">
        <v>3051</v>
      </c>
      <c r="H10" s="3326">
        <v>16</v>
      </c>
      <c r="I10" s="3326" t="s">
        <v>3131</v>
      </c>
      <c r="J10" s="3337" t="s">
        <v>3077</v>
      </c>
      <c r="K10" s="3326" t="s">
        <v>3079</v>
      </c>
      <c r="L10" s="3326">
        <v>2014</v>
      </c>
      <c r="M10" s="3326">
        <v>39427</v>
      </c>
      <c r="N10" s="3326">
        <v>36741</v>
      </c>
      <c r="O10" s="3326">
        <v>1565534</v>
      </c>
      <c r="P10" s="3327">
        <v>44868</v>
      </c>
    </row>
    <row r="11" spans="1:16" ht="28.5" customHeight="1">
      <c r="A11" s="3326">
        <v>10</v>
      </c>
      <c r="B11" s="3326" t="s">
        <v>3059</v>
      </c>
      <c r="C11" s="3326" t="s">
        <v>3049</v>
      </c>
      <c r="D11" s="3326" t="s">
        <v>3050</v>
      </c>
      <c r="E11" s="3326">
        <v>42.45</v>
      </c>
      <c r="F11" s="3326" t="s">
        <v>2639</v>
      </c>
      <c r="G11" s="3326" t="s">
        <v>3051</v>
      </c>
      <c r="H11" s="3326">
        <v>28</v>
      </c>
      <c r="I11" s="3326" t="s">
        <v>3132</v>
      </c>
      <c r="J11" s="3337" t="s">
        <v>3077</v>
      </c>
      <c r="K11" s="3326" t="s">
        <v>3079</v>
      </c>
      <c r="L11" s="3326">
        <v>2014</v>
      </c>
      <c r="M11" s="3326">
        <v>36914</v>
      </c>
      <c r="N11" s="3326">
        <v>36820</v>
      </c>
      <c r="O11" s="3326">
        <v>1563009</v>
      </c>
      <c r="P11" s="3327">
        <v>44866</v>
      </c>
    </row>
    <row r="12" spans="1:16" ht="28.5" customHeight="1">
      <c r="A12" s="3326">
        <v>11</v>
      </c>
      <c r="B12" s="3326" t="s">
        <v>3062</v>
      </c>
      <c r="C12" s="3326" t="s">
        <v>3049</v>
      </c>
      <c r="D12" s="3326" t="s">
        <v>3050</v>
      </c>
      <c r="E12" s="3326">
        <v>52.85</v>
      </c>
      <c r="F12" s="3326" t="s">
        <v>2639</v>
      </c>
      <c r="G12" s="3326" t="s">
        <v>3053</v>
      </c>
      <c r="H12" s="3326">
        <v>4</v>
      </c>
      <c r="I12" s="3326" t="s">
        <v>3127</v>
      </c>
      <c r="J12" s="3337" t="s">
        <v>3077</v>
      </c>
      <c r="K12" s="3326" t="s">
        <v>3079</v>
      </c>
      <c r="L12" s="3326">
        <v>2014</v>
      </c>
      <c r="M12" s="3326">
        <v>37843</v>
      </c>
      <c r="N12" s="3326">
        <v>35178</v>
      </c>
      <c r="O12" s="3326">
        <v>1859157</v>
      </c>
      <c r="P12" s="3327">
        <v>44866</v>
      </c>
    </row>
    <row r="13" spans="1:16" ht="28.5" customHeight="1">
      <c r="A13" s="3326">
        <v>12</v>
      </c>
      <c r="B13" s="3326" t="s">
        <v>3063</v>
      </c>
      <c r="C13" s="3326" t="s">
        <v>3049</v>
      </c>
      <c r="D13" s="3326" t="s">
        <v>3050</v>
      </c>
      <c r="E13" s="3326">
        <v>42.06</v>
      </c>
      <c r="F13" s="3326" t="s">
        <v>2639</v>
      </c>
      <c r="G13" s="3326" t="s">
        <v>3051</v>
      </c>
      <c r="H13" s="3326">
        <v>7</v>
      </c>
      <c r="I13" s="3337" t="s">
        <v>3074</v>
      </c>
      <c r="J13" s="3337" t="s">
        <v>3077</v>
      </c>
      <c r="K13" s="3326" t="s">
        <v>3079</v>
      </c>
      <c r="L13" s="3326">
        <v>2014</v>
      </c>
      <c r="M13" s="3326">
        <v>39230</v>
      </c>
      <c r="N13" s="3326">
        <v>39276</v>
      </c>
      <c r="O13" s="3326">
        <v>1651949</v>
      </c>
      <c r="P13" s="3327">
        <v>44874</v>
      </c>
    </row>
    <row r="14" spans="1:16" ht="28.5" customHeight="1">
      <c r="A14" s="3326">
        <v>13</v>
      </c>
      <c r="B14" s="3326" t="s">
        <v>3061</v>
      </c>
      <c r="C14" s="3326" t="s">
        <v>3049</v>
      </c>
      <c r="D14" s="3326" t="s">
        <v>3050</v>
      </c>
      <c r="E14" s="3326">
        <v>53.16</v>
      </c>
      <c r="F14" s="3326" t="s">
        <v>2639</v>
      </c>
      <c r="G14" s="3326" t="s">
        <v>3053</v>
      </c>
      <c r="H14" s="3326">
        <v>2</v>
      </c>
      <c r="I14" s="3326" t="s">
        <v>3127</v>
      </c>
      <c r="J14" s="3337" t="s">
        <v>3077</v>
      </c>
      <c r="K14" s="3326" t="s">
        <v>3079</v>
      </c>
      <c r="L14" s="3326">
        <v>2014</v>
      </c>
      <c r="M14" s="3326">
        <v>36550</v>
      </c>
      <c r="N14" s="3326">
        <v>36512</v>
      </c>
      <c r="O14" s="3326">
        <v>1940978</v>
      </c>
      <c r="P14" s="3327">
        <v>44856</v>
      </c>
    </row>
    <row r="15" spans="1:16" ht="28.5" customHeight="1">
      <c r="A15" s="3326">
        <v>14</v>
      </c>
      <c r="B15" s="3326" t="s">
        <v>3064</v>
      </c>
      <c r="C15" s="3326" t="s">
        <v>3049</v>
      </c>
      <c r="D15" s="3326" t="s">
        <v>3050</v>
      </c>
      <c r="E15" s="3326">
        <v>55.69</v>
      </c>
      <c r="F15" s="3326" t="s">
        <v>2639</v>
      </c>
      <c r="G15" s="3326" t="s">
        <v>3051</v>
      </c>
      <c r="H15" s="3326">
        <v>8</v>
      </c>
      <c r="I15" s="3337" t="s">
        <v>3074</v>
      </c>
      <c r="J15" s="3337" t="s">
        <v>3077</v>
      </c>
      <c r="K15" s="3326" t="s">
        <v>3079</v>
      </c>
      <c r="L15" s="3326">
        <v>2014</v>
      </c>
      <c r="M15" s="3326">
        <v>0</v>
      </c>
      <c r="N15" s="3326">
        <v>36076</v>
      </c>
      <c r="O15" s="3326">
        <v>2009072</v>
      </c>
      <c r="P15" s="3327">
        <v>44848</v>
      </c>
    </row>
    <row r="16" spans="1:16" ht="28.5" customHeight="1">
      <c r="A16" s="3326">
        <v>15</v>
      </c>
      <c r="B16" s="3326" t="s">
        <v>3065</v>
      </c>
      <c r="C16" s="3326" t="s">
        <v>3049</v>
      </c>
      <c r="D16" s="3326" t="s">
        <v>3050</v>
      </c>
      <c r="E16" s="3326">
        <v>54.28</v>
      </c>
      <c r="F16" s="3326" t="s">
        <v>2639</v>
      </c>
      <c r="G16" s="3326" t="s">
        <v>3051</v>
      </c>
      <c r="H16" s="3326">
        <v>13</v>
      </c>
      <c r="I16" s="3337" t="s">
        <v>3074</v>
      </c>
      <c r="J16" s="3337" t="s">
        <v>3077</v>
      </c>
      <c r="K16" s="3326" t="s">
        <v>3079</v>
      </c>
      <c r="L16" s="3326">
        <v>2014</v>
      </c>
      <c r="M16" s="3326">
        <v>35741</v>
      </c>
      <c r="N16" s="3326">
        <v>35801</v>
      </c>
      <c r="O16" s="3326">
        <v>1943278</v>
      </c>
      <c r="P16" s="3327">
        <v>44849</v>
      </c>
    </row>
  </sheetData>
  <phoneticPr fontId="147"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00" customWidth="1"/>
    <col min="2" max="16384" width="14.625" style="2500"/>
  </cols>
  <sheetData>
    <row r="1" spans="1:9" ht="16.5">
      <c r="A1" s="2498" t="s">
        <v>973</v>
      </c>
      <c r="B1" s="2498">
        <f>SUM(B14:B23)</f>
        <v>53.46</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44938</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206</v>
      </c>
      <c r="C5" s="2498">
        <f ca="1">ROUND(B5*10000/$B$1,0)</f>
        <v>38533</v>
      </c>
      <c r="D5" s="2498" t="e">
        <f ca="1">ROUND(B5*10000/$B$2,0)</f>
        <v>#DIV/0!</v>
      </c>
      <c r="E5" s="1562"/>
      <c r="F5" s="2499"/>
      <c r="G5" s="2499"/>
    </row>
    <row r="6" spans="1:9" ht="16.5">
      <c r="A6" s="2498" t="s">
        <v>981</v>
      </c>
      <c r="B6" s="2498">
        <f ca="1">SUM(G14:G23)</f>
        <v>206</v>
      </c>
      <c r="C6" s="2498">
        <f t="shared" ref="C6:C8" ca="1" si="0">ROUND(B6*10000/$B$1,0)</f>
        <v>38533</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3026</v>
      </c>
      <c r="B14" s="2834">
        <f>项目基本情况!C12</f>
        <v>53.46</v>
      </c>
      <c r="C14" s="2834">
        <f>项目基本情况!C13</f>
        <v>0</v>
      </c>
      <c r="D14" s="2834">
        <f ca="1">IF('数据-取费表'!B3="万元",IF(A14="估价对象1（结果表）",结果表!H121,'结果表 (1修多)'!H125),IF(A14="估价对象1（结果表）",结果表!H121,'结果表 (1修多)'!H125)/10000)</f>
        <v>206</v>
      </c>
      <c r="E14" s="2834">
        <f ca="1">ROUND(D14*10000/B14,0)</f>
        <v>38533</v>
      </c>
      <c r="F14" s="2834" t="e">
        <f ca="1">ROUND(D14*10000/C14,0)</f>
        <v>#DIV/0!</v>
      </c>
      <c r="G14" s="2834">
        <f ca="1">IF('数据-取费表'!B3="万元",IF(A14="估价对象1（结果表）",结果表!D125,'结果表 (1修多)'!D129),IF(A14="估价对象1（结果表）",结果表!D125,'结果表 (1修多)'!D129)/10000)</f>
        <v>206</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7" type="noConversion"/>
  <dataValidations count="1">
    <dataValidation type="list" allowBlank="1" showInputMessage="1" showErrorMessage="1" sqref="A14" xr:uid="{00000000-0002-0000-1700-000000000000}">
      <formula1>"估价对象1（结果表）,估价对象1（结果表1修多）"</formula1>
    </dataValidation>
  </dataValidations>
  <pageMargins left="0.7" right="0.7" top="0.75" bottom="0.75" header="0.3" footer="0.3"/>
  <pageSetup paperSize="9" scale="94" orientation="landscape"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7"/>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7" customFormat="1" ht="28.5" customHeight="1" thickTop="1">
      <c r="A2" s="1577" t="s">
        <v>1674</v>
      </c>
      <c r="B2" s="1578" t="e">
        <f ca="1">IF(D2="——",IF(C2="元",ROUND(C49*D3,0),ROUND(C49*D3/10000,0)),IF(C2="元",ROUND(C49*D3,0),ROUND(C49*D3/10000,0))-E2)</f>
        <v>#DIV/0!</v>
      </c>
      <c r="C2" s="1579" t="str">
        <f>'数据-取费表'!B3</f>
        <v>万元</v>
      </c>
      <c r="D2" s="1580"/>
      <c r="E2" s="2388" t="e">
        <f ca="1">SUMIF(INDIRECT("'"&amp;G2&amp;"'"&amp;"!A:A"),"承租人权益价值",INDIRECT("'"&amp;G2&amp;"'"&amp;"!c:c"))</f>
        <v>#REF!</v>
      </c>
      <c r="F2" s="1582" t="str">
        <f>C2</f>
        <v>万元</v>
      </c>
      <c r="G2" s="1583"/>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7" t="s">
        <v>1675</v>
      </c>
      <c r="B3" s="1890" t="e">
        <f ca="1">ROUND(IF(D2="——",C49,IF(C2="万元",B2*10000/D3,B2/D3)),0)</f>
        <v>#DIV/0!</v>
      </c>
      <c r="C3" s="1588" t="s">
        <v>2005</v>
      </c>
      <c r="D3" s="1588">
        <f>IF(C1="仅计算典型户型",'数据-取费表'!E5,'数据-取费表'!B5)</f>
        <v>53.46</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1" t="s">
        <v>2006</v>
      </c>
      <c r="B4" s="1592"/>
      <c r="C4" s="3632" t="s">
        <v>2007</v>
      </c>
      <c r="D4" s="3633"/>
      <c r="E4" s="3634" t="s">
        <v>2008</v>
      </c>
      <c r="F4" s="3635"/>
      <c r="G4" s="3632" t="s">
        <v>2009</v>
      </c>
      <c r="H4" s="3633"/>
      <c r="I4" s="3632" t="s">
        <v>2010</v>
      </c>
      <c r="J4" s="3633"/>
      <c r="K4" s="1893" t="s">
        <v>2011</v>
      </c>
      <c r="L4" s="2914"/>
      <c r="M4" s="2915"/>
      <c r="N4" s="2915"/>
      <c r="O4" s="2915"/>
      <c r="P4" s="3636" t="s">
        <v>2012</v>
      </c>
      <c r="Q4" s="3637"/>
      <c r="R4" s="3642" t="s">
        <v>2008</v>
      </c>
      <c r="S4" s="3643"/>
      <c r="T4" s="3642" t="s">
        <v>2009</v>
      </c>
      <c r="U4" s="3643"/>
      <c r="V4" s="3648" t="s">
        <v>2010</v>
      </c>
      <c r="W4" s="3648"/>
      <c r="X4" s="2002"/>
      <c r="Y4" s="3642" t="s">
        <v>2012</v>
      </c>
      <c r="Z4" s="3643"/>
      <c r="AA4" s="3629" t="s">
        <v>2008</v>
      </c>
      <c r="AB4" s="3648" t="s">
        <v>2009</v>
      </c>
      <c r="AC4" s="3629" t="s">
        <v>2010</v>
      </c>
    </row>
    <row r="5" spans="1:29" ht="15">
      <c r="A5" s="1596"/>
      <c r="B5" s="1597"/>
      <c r="C5" s="3655" t="s">
        <v>2013</v>
      </c>
      <c r="D5" s="3652"/>
      <c r="E5" s="3649" t="s">
        <v>2014</v>
      </c>
      <c r="F5" s="3650"/>
      <c r="G5" s="3655" t="s">
        <v>2015</v>
      </c>
      <c r="H5" s="3652"/>
      <c r="I5" s="3655" t="s">
        <v>2016</v>
      </c>
      <c r="J5" s="3652"/>
      <c r="K5" s="1893"/>
      <c r="L5" s="2914"/>
      <c r="M5" s="2915"/>
      <c r="N5" s="2915"/>
      <c r="O5" s="2915"/>
      <c r="P5" s="3638"/>
      <c r="Q5" s="3639"/>
      <c r="R5" s="3644"/>
      <c r="S5" s="3645"/>
      <c r="T5" s="3644"/>
      <c r="U5" s="3645"/>
      <c r="V5" s="3648"/>
      <c r="W5" s="3648"/>
      <c r="X5" s="2002"/>
      <c r="Y5" s="3644"/>
      <c r="Z5" s="3645"/>
      <c r="AA5" s="3630"/>
      <c r="AB5" s="3648"/>
      <c r="AC5" s="3630"/>
    </row>
    <row r="6" spans="1:29" ht="15.75" thickBot="1">
      <c r="A6" s="1599"/>
      <c r="B6" s="1600"/>
      <c r="C6" s="3665" t="s">
        <v>2017</v>
      </c>
      <c r="D6" s="3654"/>
      <c r="E6" s="3656" t="s">
        <v>2017</v>
      </c>
      <c r="F6" s="3657"/>
      <c r="G6" s="3665" t="s">
        <v>2017</v>
      </c>
      <c r="H6" s="3654"/>
      <c r="I6" s="3665" t="s">
        <v>2017</v>
      </c>
      <c r="J6" s="3654"/>
      <c r="K6" s="1893" t="s">
        <v>2018</v>
      </c>
      <c r="L6" s="2914"/>
      <c r="M6" s="2915"/>
      <c r="N6" s="2915"/>
      <c r="O6" s="2915"/>
      <c r="P6" s="3640"/>
      <c r="Q6" s="3641"/>
      <c r="R6" s="3644"/>
      <c r="S6" s="3645"/>
      <c r="T6" s="3646"/>
      <c r="U6" s="3647"/>
      <c r="V6" s="3648"/>
      <c r="W6" s="3648"/>
      <c r="X6" s="2002"/>
      <c r="Y6" s="3646"/>
      <c r="Z6" s="3647"/>
      <c r="AA6" s="3631"/>
      <c r="AB6" s="3648"/>
      <c r="AC6" s="3631"/>
    </row>
    <row r="7" spans="1:29" s="1613" customFormat="1" ht="15.75" thickBot="1">
      <c r="A7" s="1601" t="s">
        <v>2019</v>
      </c>
      <c r="B7" s="1602"/>
      <c r="C7" s="1603">
        <f>'数据-取费表'!B2</f>
        <v>44938</v>
      </c>
      <c r="D7" s="1604">
        <v>100</v>
      </c>
      <c r="E7" s="1605"/>
      <c r="F7" s="1606">
        <f>SUMIF(58:58,YEAR(E7)&amp;"-"&amp;MONTH(E7),59:59)</f>
        <v>0</v>
      </c>
      <c r="G7" s="1605"/>
      <c r="H7" s="1604">
        <f>SUMIF(58:58,YEAR(G7)&amp;"-"&amp;MONTH(G7),59:59)</f>
        <v>0</v>
      </c>
      <c r="I7" s="1605"/>
      <c r="J7" s="1604">
        <f>SUMIF(58:58,YEAR(I7)&amp;"-"&amp;MONTH(I7),59:59)</f>
        <v>0</v>
      </c>
      <c r="K7" s="1895"/>
      <c r="L7" s="2914"/>
      <c r="M7" s="2887"/>
      <c r="N7" s="2887"/>
      <c r="O7" s="2887"/>
      <c r="P7" s="3666" t="s">
        <v>2020</v>
      </c>
      <c r="Q7" s="3668"/>
      <c r="R7" s="1609" t="s">
        <v>25</v>
      </c>
      <c r="S7" s="1610">
        <f t="shared" ref="S7:S15" si="0">F7</f>
        <v>0</v>
      </c>
      <c r="T7" s="1609" t="s">
        <v>25</v>
      </c>
      <c r="U7" s="1610">
        <f t="shared" ref="U7:U15" si="1">H7</f>
        <v>0</v>
      </c>
      <c r="V7" s="1609" t="s">
        <v>25</v>
      </c>
      <c r="W7" s="1610">
        <f t="shared" ref="W7:W15" si="2">J7</f>
        <v>0</v>
      </c>
      <c r="X7" s="1611"/>
      <c r="Y7" s="3666" t="s">
        <v>2020</v>
      </c>
      <c r="Z7" s="366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5"/>
      <c r="L8" s="2914"/>
      <c r="M8" s="2887"/>
      <c r="N8" s="2887"/>
      <c r="O8" s="2887"/>
      <c r="P8" s="3666" t="s">
        <v>2023</v>
      </c>
      <c r="Q8" s="3667"/>
      <c r="R8" s="1609" t="s">
        <v>25</v>
      </c>
      <c r="S8" s="1610">
        <f t="shared" si="0"/>
        <v>0</v>
      </c>
      <c r="T8" s="1609" t="s">
        <v>25</v>
      </c>
      <c r="U8" s="1610">
        <f t="shared" si="1"/>
        <v>0</v>
      </c>
      <c r="V8" s="1609" t="s">
        <v>25</v>
      </c>
      <c r="W8" s="1610">
        <f t="shared" si="2"/>
        <v>0</v>
      </c>
      <c r="X8" s="1611"/>
      <c r="Y8" s="3666" t="s">
        <v>2023</v>
      </c>
      <c r="Z8" s="3667"/>
      <c r="AA8" s="1612" t="e">
        <f t="shared" ref="AA8:AA46" si="3">D8/F8</f>
        <v>#DIV/0!</v>
      </c>
      <c r="AB8" s="1612" t="e">
        <f t="shared" ref="AB8:AB46" si="4">D8/H8</f>
        <v>#DIV/0!</v>
      </c>
      <c r="AC8" s="1612" t="e">
        <f t="shared" ref="AC8:AC46" si="5">D8/J8</f>
        <v>#DIV/0!</v>
      </c>
    </row>
    <row r="9" spans="1:29" s="1613" customFormat="1">
      <c r="A9" s="1994"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5"/>
      <c r="L9" s="2914"/>
      <c r="M9" s="2887"/>
      <c r="N9" s="2887"/>
      <c r="O9" s="2887"/>
      <c r="P9" s="3669" t="s">
        <v>2026</v>
      </c>
      <c r="Q9" s="1993" t="str">
        <f t="shared" ref="Q9:Q15" si="6">B9</f>
        <v>用途</v>
      </c>
      <c r="R9" s="1609" t="s">
        <v>25</v>
      </c>
      <c r="S9" s="1610">
        <f t="shared" si="0"/>
        <v>100</v>
      </c>
      <c r="T9" s="1609" t="s">
        <v>25</v>
      </c>
      <c r="U9" s="1610">
        <f t="shared" si="1"/>
        <v>100</v>
      </c>
      <c r="V9" s="1609" t="s">
        <v>25</v>
      </c>
      <c r="W9" s="1610">
        <f t="shared" si="2"/>
        <v>100</v>
      </c>
      <c r="X9" s="1611"/>
      <c r="Y9" s="353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0"/>
      <c r="L10" s="2916"/>
      <c r="M10" s="2917"/>
      <c r="N10" s="2917"/>
      <c r="O10" s="2917"/>
      <c r="P10" s="3669"/>
      <c r="Q10" s="1993" t="str">
        <f t="shared" si="6"/>
        <v>土地使用年限（年）</v>
      </c>
      <c r="R10" s="1609" t="s">
        <v>25</v>
      </c>
      <c r="S10" s="1610">
        <f t="shared" si="0"/>
        <v>100</v>
      </c>
      <c r="T10" s="1609" t="s">
        <v>25</v>
      </c>
      <c r="U10" s="1610">
        <f t="shared" si="1"/>
        <v>100</v>
      </c>
      <c r="V10" s="1609" t="s">
        <v>25</v>
      </c>
      <c r="W10" s="1610">
        <f t="shared" si="2"/>
        <v>100</v>
      </c>
      <c r="X10" s="1611"/>
      <c r="Y10" s="353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0"/>
      <c r="L11" s="2918"/>
      <c r="M11" s="2915"/>
      <c r="N11" s="2915"/>
      <c r="O11" s="2915"/>
      <c r="P11" s="3669"/>
      <c r="Q11" s="1993" t="str">
        <f t="shared" si="6"/>
        <v>容积率</v>
      </c>
      <c r="R11" s="1609" t="s">
        <v>25</v>
      </c>
      <c r="S11" s="1610" t="e">
        <f t="shared" si="0"/>
        <v>#N/A</v>
      </c>
      <c r="T11" s="1609" t="s">
        <v>25</v>
      </c>
      <c r="U11" s="1610" t="e">
        <f t="shared" si="1"/>
        <v>#N/A</v>
      </c>
      <c r="V11" s="1609" t="s">
        <v>25</v>
      </c>
      <c r="W11" s="1610" t="e">
        <f t="shared" si="2"/>
        <v>#N/A</v>
      </c>
      <c r="X11" s="1611"/>
      <c r="Y11" s="353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7"/>
      <c r="L12" s="2914"/>
      <c r="M12" s="2887"/>
      <c r="N12" s="2887"/>
      <c r="O12" s="2887"/>
      <c r="P12" s="3669"/>
      <c r="Q12" s="1993">
        <f t="shared" si="6"/>
        <v>111</v>
      </c>
      <c r="R12" s="1609" t="s">
        <v>25</v>
      </c>
      <c r="S12" s="1610">
        <f t="shared" si="0"/>
        <v>100</v>
      </c>
      <c r="T12" s="1609" t="s">
        <v>25</v>
      </c>
      <c r="U12" s="1610">
        <f t="shared" si="1"/>
        <v>100</v>
      </c>
      <c r="V12" s="1609" t="s">
        <v>25</v>
      </c>
      <c r="W12" s="1610">
        <f t="shared" si="2"/>
        <v>100</v>
      </c>
      <c r="X12" s="1611"/>
      <c r="Y12" s="353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7"/>
      <c r="L13" s="2919"/>
      <c r="M13" s="2915"/>
      <c r="N13" s="2915"/>
      <c r="O13" s="2915"/>
      <c r="P13" s="3669"/>
      <c r="Q13" s="1993">
        <f t="shared" si="6"/>
        <v>111</v>
      </c>
      <c r="R13" s="1609" t="s">
        <v>25</v>
      </c>
      <c r="S13" s="1610">
        <f t="shared" si="0"/>
        <v>100</v>
      </c>
      <c r="T13" s="1609" t="s">
        <v>25</v>
      </c>
      <c r="U13" s="1610">
        <f t="shared" si="1"/>
        <v>100</v>
      </c>
      <c r="V13" s="1609" t="s">
        <v>25</v>
      </c>
      <c r="W13" s="1610">
        <f t="shared" si="2"/>
        <v>100</v>
      </c>
      <c r="X13" s="1611"/>
      <c r="Y13" s="353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7"/>
      <c r="L14" s="2919"/>
      <c r="M14" s="2915"/>
      <c r="N14" s="2915"/>
      <c r="O14" s="2915"/>
      <c r="P14" s="3669"/>
      <c r="Q14" s="1993">
        <f t="shared" si="6"/>
        <v>111</v>
      </c>
      <c r="R14" s="1609" t="s">
        <v>25</v>
      </c>
      <c r="S14" s="1610">
        <f t="shared" si="0"/>
        <v>100</v>
      </c>
      <c r="T14" s="1609" t="s">
        <v>25</v>
      </c>
      <c r="U14" s="1610">
        <f t="shared" si="1"/>
        <v>100</v>
      </c>
      <c r="V14" s="1609" t="s">
        <v>25</v>
      </c>
      <c r="W14" s="1610">
        <f t="shared" si="2"/>
        <v>100</v>
      </c>
      <c r="X14" s="1611"/>
      <c r="Y14" s="3532"/>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0"/>
      <c r="L15" s="2919"/>
      <c r="M15" s="2915"/>
      <c r="N15" s="2915"/>
      <c r="O15" s="2915"/>
      <c r="P15" s="3672" t="s">
        <v>2031</v>
      </c>
      <c r="Q15" s="1999" t="str">
        <f t="shared" si="6"/>
        <v>商业繁华度</v>
      </c>
      <c r="R15" s="1654" t="s">
        <v>25</v>
      </c>
      <c r="S15" s="1655">
        <f t="shared" si="0"/>
        <v>100</v>
      </c>
      <c r="T15" s="1654" t="s">
        <v>25</v>
      </c>
      <c r="U15" s="1655">
        <f t="shared" si="1"/>
        <v>100</v>
      </c>
      <c r="V15" s="1654" t="s">
        <v>25</v>
      </c>
      <c r="W15" s="1655">
        <f t="shared" si="2"/>
        <v>100</v>
      </c>
      <c r="X15" s="2002"/>
      <c r="Y15" s="3658" t="s">
        <v>2031</v>
      </c>
      <c r="Z15" s="2006" t="str">
        <f t="shared" si="7"/>
        <v>商业繁华度</v>
      </c>
      <c r="AA15" s="1997">
        <f t="shared" si="3"/>
        <v>1</v>
      </c>
      <c r="AB15" s="1997">
        <f t="shared" si="4"/>
        <v>1</v>
      </c>
      <c r="AC15" s="1997">
        <f t="shared" si="5"/>
        <v>1</v>
      </c>
    </row>
    <row r="16" spans="1:29" ht="15">
      <c r="A16" s="1631"/>
      <c r="B16" s="1658"/>
      <c r="C16" s="1659"/>
      <c r="D16" s="1660"/>
      <c r="E16" s="1659"/>
      <c r="F16" s="1662"/>
      <c r="G16" s="1659"/>
      <c r="H16" s="1664"/>
      <c r="I16" s="1659"/>
      <c r="J16" s="1660"/>
      <c r="K16" s="2391"/>
      <c r="L16" s="2919"/>
      <c r="M16" s="2915"/>
      <c r="N16" s="2915"/>
      <c r="O16" s="2915"/>
      <c r="P16" s="3673"/>
      <c r="Q16" s="1999"/>
      <c r="R16" s="1654"/>
      <c r="S16" s="1655"/>
      <c r="T16" s="1654"/>
      <c r="U16" s="1655"/>
      <c r="V16" s="1654"/>
      <c r="W16" s="1655"/>
      <c r="X16" s="2002"/>
      <c r="Y16" s="3659"/>
      <c r="Z16" s="2006"/>
      <c r="AA16" s="1997">
        <v>1</v>
      </c>
      <c r="AB16" s="1997">
        <v>1</v>
      </c>
      <c r="AC16" s="199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0"/>
      <c r="L17" s="2919"/>
      <c r="M17" s="2915"/>
      <c r="N17" s="2915"/>
      <c r="O17" s="2915"/>
      <c r="P17" s="3673"/>
      <c r="Q17" s="1999" t="str">
        <f>B17</f>
        <v>交通便捷度</v>
      </c>
      <c r="R17" s="1654" t="s">
        <v>25</v>
      </c>
      <c r="S17" s="1655">
        <f>F17</f>
        <v>100</v>
      </c>
      <c r="T17" s="1654" t="s">
        <v>25</v>
      </c>
      <c r="U17" s="1655">
        <f>H17</f>
        <v>100</v>
      </c>
      <c r="V17" s="1654" t="s">
        <v>25</v>
      </c>
      <c r="W17" s="1655">
        <f>J17</f>
        <v>100</v>
      </c>
      <c r="X17" s="2002"/>
      <c r="Y17" s="3659"/>
      <c r="Z17" s="2006" t="str">
        <f>Q17</f>
        <v>交通便捷度</v>
      </c>
      <c r="AA17" s="1997">
        <f t="shared" si="3"/>
        <v>1</v>
      </c>
      <c r="AB17" s="1997">
        <f t="shared" si="4"/>
        <v>1</v>
      </c>
      <c r="AC17" s="1997">
        <f t="shared" si="5"/>
        <v>1</v>
      </c>
    </row>
    <row r="18" spans="1:29" ht="15">
      <c r="A18" s="1631"/>
      <c r="B18" s="1672"/>
      <c r="C18" s="1673"/>
      <c r="D18" s="1664"/>
      <c r="E18" s="1674"/>
      <c r="F18" s="1669"/>
      <c r="G18" s="1675"/>
      <c r="H18" s="1660"/>
      <c r="I18" s="1674"/>
      <c r="J18" s="1660"/>
      <c r="K18" s="2391"/>
      <c r="L18" s="2919"/>
      <c r="M18" s="2915"/>
      <c r="N18" s="2915"/>
      <c r="O18" s="2915"/>
      <c r="P18" s="3673"/>
      <c r="Q18" s="1999"/>
      <c r="R18" s="1654"/>
      <c r="S18" s="1655"/>
      <c r="T18" s="1654"/>
      <c r="U18" s="1655"/>
      <c r="V18" s="1654"/>
      <c r="W18" s="1655"/>
      <c r="X18" s="2002"/>
      <c r="Y18" s="3659"/>
      <c r="Z18" s="2006"/>
      <c r="AA18" s="1997">
        <v>1</v>
      </c>
      <c r="AB18" s="1997">
        <v>1</v>
      </c>
      <c r="AC18" s="1997">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0"/>
      <c r="L19" s="2919"/>
      <c r="M19" s="2915"/>
      <c r="N19" s="2915"/>
      <c r="O19" s="2915"/>
      <c r="P19" s="3673"/>
      <c r="Q19" s="1999" t="str">
        <f>B19</f>
        <v>公共配套设施</v>
      </c>
      <c r="R19" s="1654" t="s">
        <v>25</v>
      </c>
      <c r="S19" s="1655">
        <f>F19</f>
        <v>100</v>
      </c>
      <c r="T19" s="1654" t="s">
        <v>25</v>
      </c>
      <c r="U19" s="1655">
        <f>H19</f>
        <v>100</v>
      </c>
      <c r="V19" s="1654" t="s">
        <v>25</v>
      </c>
      <c r="W19" s="1655">
        <f>J19</f>
        <v>100</v>
      </c>
      <c r="X19" s="2002"/>
      <c r="Y19" s="3659"/>
      <c r="Z19" s="2006" t="str">
        <f>Q19</f>
        <v>公共配套设施</v>
      </c>
      <c r="AA19" s="1997">
        <f t="shared" si="3"/>
        <v>1</v>
      </c>
      <c r="AB19" s="1997">
        <f t="shared" si="4"/>
        <v>1</v>
      </c>
      <c r="AC19" s="1997">
        <f t="shared" si="5"/>
        <v>1</v>
      </c>
    </row>
    <row r="20" spans="1:29" ht="15">
      <c r="A20" s="1631"/>
      <c r="B20" s="1672"/>
      <c r="C20" s="1659"/>
      <c r="D20" s="1660"/>
      <c r="E20" s="1661"/>
      <c r="F20" s="1662"/>
      <c r="G20" s="1663"/>
      <c r="H20" s="1660"/>
      <c r="I20" s="1661"/>
      <c r="J20" s="1660"/>
      <c r="K20" s="2391"/>
      <c r="L20" s="2919"/>
      <c r="M20" s="2915"/>
      <c r="N20" s="2915"/>
      <c r="O20" s="2915"/>
      <c r="P20" s="3673"/>
      <c r="Q20" s="1999"/>
      <c r="R20" s="1654"/>
      <c r="S20" s="1655"/>
      <c r="T20" s="1654"/>
      <c r="U20" s="1655"/>
      <c r="V20" s="1654"/>
      <c r="W20" s="1655"/>
      <c r="X20" s="2002"/>
      <c r="Y20" s="3659"/>
      <c r="Z20" s="2006"/>
      <c r="AA20" s="1997">
        <v>1</v>
      </c>
      <c r="AB20" s="1997">
        <v>1</v>
      </c>
      <c r="AC20" s="1997">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0"/>
      <c r="L21" s="2919"/>
      <c r="M21" s="2915"/>
      <c r="N21" s="2915"/>
      <c r="O21" s="2915"/>
      <c r="P21" s="3673"/>
      <c r="Q21" s="1999" t="str">
        <f>B21</f>
        <v>基础设施水平</v>
      </c>
      <c r="R21" s="1654" t="s">
        <v>25</v>
      </c>
      <c r="S21" s="1655">
        <f>F21</f>
        <v>100</v>
      </c>
      <c r="T21" s="1654" t="s">
        <v>25</v>
      </c>
      <c r="U21" s="1655">
        <f>H21</f>
        <v>100</v>
      </c>
      <c r="V21" s="1654" t="s">
        <v>25</v>
      </c>
      <c r="W21" s="1655">
        <f>J21</f>
        <v>100</v>
      </c>
      <c r="X21" s="2002"/>
      <c r="Y21" s="3659"/>
      <c r="Z21" s="2006" t="str">
        <f>Q21</f>
        <v>基础设施水平</v>
      </c>
      <c r="AA21" s="1997">
        <f t="shared" ref="AA21" si="8">D21/F21</f>
        <v>1</v>
      </c>
      <c r="AB21" s="1997">
        <f t="shared" ref="AB21" si="9">D21/H21</f>
        <v>1</v>
      </c>
      <c r="AC21" s="1997">
        <f t="shared" ref="AC21" si="10">D21/J21</f>
        <v>1</v>
      </c>
    </row>
    <row r="22" spans="1:29" ht="15">
      <c r="A22" s="1631"/>
      <c r="B22" s="1679"/>
      <c r="C22" s="1673"/>
      <c r="D22" s="1660"/>
      <c r="E22" s="1659"/>
      <c r="F22" s="1662"/>
      <c r="G22" s="1659"/>
      <c r="H22" s="1660"/>
      <c r="I22" s="1659"/>
      <c r="J22" s="1660"/>
      <c r="K22" s="2392"/>
      <c r="L22" s="2919"/>
      <c r="M22" s="2915"/>
      <c r="N22" s="2915"/>
      <c r="O22" s="2915"/>
      <c r="P22" s="3673"/>
      <c r="Q22" s="1999"/>
      <c r="R22" s="1654"/>
      <c r="S22" s="1655"/>
      <c r="T22" s="1654"/>
      <c r="U22" s="1655"/>
      <c r="V22" s="1654"/>
      <c r="W22" s="1655"/>
      <c r="X22" s="2002"/>
      <c r="Y22" s="3659"/>
      <c r="Z22" s="2006"/>
      <c r="AA22" s="1997">
        <v>1</v>
      </c>
      <c r="AB22" s="1997">
        <v>1</v>
      </c>
      <c r="AC22" s="1997">
        <v>1</v>
      </c>
    </row>
    <row r="23" spans="1:29" ht="57">
      <c r="A23" s="1631"/>
      <c r="B23" s="1666" t="s">
        <v>1468</v>
      </c>
      <c r="C23" s="2393"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0"/>
      <c r="L23" s="2919"/>
      <c r="M23" s="2915"/>
      <c r="N23" s="2915"/>
      <c r="O23" s="2915"/>
      <c r="P23" s="3673"/>
      <c r="Q23" s="1999" t="str">
        <f>B23</f>
        <v>自然及人文环境</v>
      </c>
      <c r="R23" s="1654" t="s">
        <v>25</v>
      </c>
      <c r="S23" s="1655">
        <f>F23</f>
        <v>100</v>
      </c>
      <c r="T23" s="1654" t="s">
        <v>25</v>
      </c>
      <c r="U23" s="1655">
        <f>H23</f>
        <v>100</v>
      </c>
      <c r="V23" s="1654" t="s">
        <v>25</v>
      </c>
      <c r="W23" s="1655">
        <f>J23</f>
        <v>100</v>
      </c>
      <c r="X23" s="2002"/>
      <c r="Y23" s="3659"/>
      <c r="Z23" s="2006" t="str">
        <f>Q23</f>
        <v>自然及人文环境</v>
      </c>
      <c r="AA23" s="1997">
        <f t="shared" si="3"/>
        <v>1</v>
      </c>
      <c r="AB23" s="1997">
        <f t="shared" si="4"/>
        <v>1</v>
      </c>
      <c r="AC23" s="1997">
        <f t="shared" si="5"/>
        <v>1</v>
      </c>
    </row>
    <row r="24" spans="1:29" ht="15">
      <c r="A24" s="1631"/>
      <c r="B24" s="1672"/>
      <c r="C24" s="1659"/>
      <c r="D24" s="1660"/>
      <c r="E24" s="1661"/>
      <c r="F24" s="1662"/>
      <c r="G24" s="1663"/>
      <c r="H24" s="1660"/>
      <c r="I24" s="1661"/>
      <c r="J24" s="1660"/>
      <c r="K24" s="2391"/>
      <c r="L24" s="2919"/>
      <c r="M24" s="2915"/>
      <c r="N24" s="2915"/>
      <c r="O24" s="2915"/>
      <c r="P24" s="3673"/>
      <c r="Q24" s="1999"/>
      <c r="R24" s="1654"/>
      <c r="S24" s="1655"/>
      <c r="T24" s="1654"/>
      <c r="U24" s="1655"/>
      <c r="V24" s="1654"/>
      <c r="W24" s="1655"/>
      <c r="X24" s="2002"/>
      <c r="Y24" s="3659"/>
      <c r="Z24" s="2006"/>
      <c r="AA24" s="1997">
        <v>1</v>
      </c>
      <c r="AB24" s="1997">
        <v>1</v>
      </c>
      <c r="AC24" s="1997">
        <v>1</v>
      </c>
    </row>
    <row r="25" spans="1:29" ht="15">
      <c r="A25" s="1631"/>
      <c r="B25" s="1624" t="s">
        <v>2119</v>
      </c>
      <c r="C25" s="1919"/>
      <c r="D25" s="1640">
        <v>100</v>
      </c>
      <c r="E25" s="1919"/>
      <c r="F25" s="1683">
        <f>SUMIF(86:86,E25,87:87)-SUMIF(86:86,C25,87:87)+100</f>
        <v>100</v>
      </c>
      <c r="G25" s="1919"/>
      <c r="H25" s="1640">
        <f>SUMIF(86:86,G25,87:87)-SUMIF(86:86,C25,87:87)+100</f>
        <v>100</v>
      </c>
      <c r="I25" s="1919"/>
      <c r="J25" s="1640">
        <f>SUMIF(86:86,I25,87:87)-SUMIF(86:86,C25,87:87)+100</f>
        <v>100</v>
      </c>
      <c r="K25" s="1920"/>
      <c r="L25" s="2919"/>
      <c r="M25" s="2915"/>
      <c r="N25" s="2915"/>
      <c r="O25" s="2915"/>
      <c r="P25" s="3673"/>
      <c r="Q25" s="1999" t="str">
        <f t="shared" ref="Q25:Q46" si="11">B25</f>
        <v>临街状况</v>
      </c>
      <c r="R25" s="1654" t="s">
        <v>25</v>
      </c>
      <c r="S25" s="1655">
        <f>F25</f>
        <v>100</v>
      </c>
      <c r="T25" s="1654" t="s">
        <v>25</v>
      </c>
      <c r="U25" s="1655">
        <f>H25</f>
        <v>100</v>
      </c>
      <c r="V25" s="1654" t="s">
        <v>25</v>
      </c>
      <c r="W25" s="1655">
        <f>J25</f>
        <v>100</v>
      </c>
      <c r="X25" s="2002"/>
      <c r="Y25" s="3659"/>
      <c r="Z25" s="2006" t="str">
        <f>Q25</f>
        <v>临街状况</v>
      </c>
      <c r="AA25" s="1997">
        <f t="shared" si="3"/>
        <v>1</v>
      </c>
      <c r="AB25" s="1997">
        <f t="shared" si="4"/>
        <v>1</v>
      </c>
      <c r="AC25" s="1997">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7"/>
      <c r="L26" s="2919"/>
      <c r="M26" s="2915"/>
      <c r="N26" s="2915"/>
      <c r="O26" s="2915"/>
      <c r="P26" s="3673"/>
      <c r="Q26" s="1999" t="str">
        <f t="shared" si="11"/>
        <v>平面位置/可视性</v>
      </c>
      <c r="R26" s="1654" t="s">
        <v>25</v>
      </c>
      <c r="S26" s="1655">
        <f>F26</f>
        <v>100</v>
      </c>
      <c r="T26" s="1654" t="s">
        <v>25</v>
      </c>
      <c r="U26" s="1655">
        <f>H26</f>
        <v>100</v>
      </c>
      <c r="V26" s="1654" t="s">
        <v>25</v>
      </c>
      <c r="W26" s="1655">
        <f>J26</f>
        <v>100</v>
      </c>
      <c r="X26" s="2002"/>
      <c r="Y26" s="3659"/>
      <c r="Z26" s="2006" t="str">
        <f>Q26</f>
        <v>平面位置/可视性</v>
      </c>
      <c r="AA26" s="1997">
        <f t="shared" si="3"/>
        <v>1</v>
      </c>
      <c r="AB26" s="1997">
        <f t="shared" si="4"/>
        <v>1</v>
      </c>
      <c r="AC26" s="1997">
        <f t="shared" si="5"/>
        <v>1</v>
      </c>
    </row>
    <row r="27" spans="1:29" s="1613" customFormat="1" ht="15">
      <c r="A27" s="1634"/>
      <c r="B27" s="1666" t="s">
        <v>2121</v>
      </c>
      <c r="C27" s="2394"/>
      <c r="D27" s="1685">
        <v>100</v>
      </c>
      <c r="E27" s="2394"/>
      <c r="F27" s="1687">
        <f>SUMIF(90:90,E27,91:91)-SUMIF(90:90,C27,91:91)+100</f>
        <v>100</v>
      </c>
      <c r="G27" s="2394"/>
      <c r="H27" s="1685">
        <f>SUMIF(90:90,G27,91:91)-SUMIF(90:90,C27,91:91)+100</f>
        <v>100</v>
      </c>
      <c r="I27" s="2394"/>
      <c r="J27" s="1685">
        <f>SUMIF(90:90,I27,91:91)-SUMIF(90:90,C27,91:91)+100</f>
        <v>100</v>
      </c>
      <c r="K27" s="1920"/>
      <c r="L27" s="2914"/>
      <c r="M27" s="2887"/>
      <c r="N27" s="2887"/>
      <c r="O27" s="2887"/>
      <c r="P27" s="3673"/>
      <c r="Q27" s="1993" t="str">
        <f t="shared" si="11"/>
        <v>人流量</v>
      </c>
      <c r="R27" s="1609" t="s">
        <v>25</v>
      </c>
      <c r="S27" s="1610">
        <f>F27</f>
        <v>100</v>
      </c>
      <c r="T27" s="1609" t="s">
        <v>25</v>
      </c>
      <c r="U27" s="1610">
        <f>H27</f>
        <v>100</v>
      </c>
      <c r="V27" s="1609" t="s">
        <v>25</v>
      </c>
      <c r="W27" s="1610">
        <f>J27</f>
        <v>100</v>
      </c>
      <c r="X27" s="1611"/>
      <c r="Y27" s="3659"/>
      <c r="Z27" s="1622" t="str">
        <f>Q27</f>
        <v>人流量</v>
      </c>
      <c r="AA27" s="1997">
        <f>D27/F27</f>
        <v>1</v>
      </c>
      <c r="AB27" s="1997">
        <f>D27/H27</f>
        <v>1</v>
      </c>
      <c r="AC27" s="1997">
        <f>D27/J27</f>
        <v>1</v>
      </c>
    </row>
    <row r="28" spans="1:29" ht="15">
      <c r="A28" s="1631"/>
      <c r="B28" s="1624" t="s">
        <v>2122</v>
      </c>
      <c r="C28" s="1919"/>
      <c r="D28" s="1640">
        <v>100</v>
      </c>
      <c r="E28" s="1919"/>
      <c r="F28" s="1683">
        <f>SUMIF(92:92,E28,93:93)-SUMIF(92:92,C28,93:93)+100</f>
        <v>100</v>
      </c>
      <c r="G28" s="1919"/>
      <c r="H28" s="1640">
        <f>SUMIF(92:92,G28,93:93)-SUMIF(92:92,C28,93:93)+100</f>
        <v>100</v>
      </c>
      <c r="I28" s="1919"/>
      <c r="J28" s="1640">
        <f>SUMIF(92:92,I28,93:93)-SUMIF(92:92,C28,93:93)+100</f>
        <v>100</v>
      </c>
      <c r="K28" s="1917"/>
      <c r="L28" s="2919"/>
      <c r="M28" s="2915"/>
      <c r="N28" s="2915"/>
      <c r="O28" s="2915"/>
      <c r="P28" s="3673"/>
      <c r="Q28" s="1999" t="str">
        <f t="shared" si="11"/>
        <v>楼层</v>
      </c>
      <c r="R28" s="1654" t="s">
        <v>25</v>
      </c>
      <c r="S28" s="1655">
        <f t="shared" ref="S28:S46" si="12">F28</f>
        <v>100</v>
      </c>
      <c r="T28" s="1654" t="s">
        <v>25</v>
      </c>
      <c r="U28" s="1655">
        <f t="shared" ref="U28:U46" si="13">H28</f>
        <v>100</v>
      </c>
      <c r="V28" s="1654" t="s">
        <v>25</v>
      </c>
      <c r="W28" s="1655">
        <f t="shared" ref="W28:W46" si="14">J28</f>
        <v>100</v>
      </c>
      <c r="X28" s="2002"/>
      <c r="Y28" s="3659"/>
      <c r="Z28" s="2006" t="str">
        <f t="shared" ref="Z28:Z46" si="15">Q28</f>
        <v>楼层</v>
      </c>
      <c r="AA28" s="1997">
        <f t="shared" si="3"/>
        <v>1</v>
      </c>
      <c r="AB28" s="1997">
        <f t="shared" si="4"/>
        <v>1</v>
      </c>
      <c r="AC28" s="199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7"/>
      <c r="L29" s="2919"/>
      <c r="M29" s="2915"/>
      <c r="N29" s="2915"/>
      <c r="O29" s="2915"/>
      <c r="P29" s="3673"/>
      <c r="Q29" s="1999">
        <f t="shared" si="11"/>
        <v>111</v>
      </c>
      <c r="R29" s="1654" t="s">
        <v>25</v>
      </c>
      <c r="S29" s="1655">
        <f t="shared" si="12"/>
        <v>100</v>
      </c>
      <c r="T29" s="1654" t="s">
        <v>25</v>
      </c>
      <c r="U29" s="1655">
        <f t="shared" si="13"/>
        <v>100</v>
      </c>
      <c r="V29" s="1654" t="s">
        <v>25</v>
      </c>
      <c r="W29" s="1655">
        <f t="shared" si="14"/>
        <v>100</v>
      </c>
      <c r="X29" s="2002"/>
      <c r="Y29" s="3659"/>
      <c r="Z29" s="2006">
        <f t="shared" si="15"/>
        <v>111</v>
      </c>
      <c r="AA29" s="1997">
        <f t="shared" si="3"/>
        <v>1</v>
      </c>
      <c r="AB29" s="1997">
        <f t="shared" si="4"/>
        <v>1</v>
      </c>
      <c r="AC29" s="199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7"/>
      <c r="L30" s="2919"/>
      <c r="M30" s="2915"/>
      <c r="N30" s="2915"/>
      <c r="O30" s="2915"/>
      <c r="P30" s="3673"/>
      <c r="Q30" s="1999">
        <f t="shared" si="11"/>
        <v>111</v>
      </c>
      <c r="R30" s="1654" t="s">
        <v>25</v>
      </c>
      <c r="S30" s="1655">
        <f t="shared" si="12"/>
        <v>100</v>
      </c>
      <c r="T30" s="1654" t="s">
        <v>25</v>
      </c>
      <c r="U30" s="1655">
        <f t="shared" si="13"/>
        <v>100</v>
      </c>
      <c r="V30" s="1654" t="s">
        <v>25</v>
      </c>
      <c r="W30" s="1655">
        <f t="shared" si="14"/>
        <v>100</v>
      </c>
      <c r="X30" s="2002"/>
      <c r="Y30" s="3659"/>
      <c r="Z30" s="2006">
        <f t="shared" si="15"/>
        <v>111</v>
      </c>
      <c r="AA30" s="1997">
        <f t="shared" si="3"/>
        <v>1</v>
      </c>
      <c r="AB30" s="1997">
        <f t="shared" si="4"/>
        <v>1</v>
      </c>
      <c r="AC30" s="1997">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7"/>
      <c r="L31" s="2919"/>
      <c r="M31" s="2915"/>
      <c r="N31" s="2915"/>
      <c r="O31" s="2915"/>
      <c r="P31" s="3673"/>
      <c r="Q31" s="1999">
        <f t="shared" si="11"/>
        <v>111</v>
      </c>
      <c r="R31" s="1654" t="s">
        <v>25</v>
      </c>
      <c r="S31" s="1655">
        <f t="shared" si="12"/>
        <v>100</v>
      </c>
      <c r="T31" s="1654" t="s">
        <v>25</v>
      </c>
      <c r="U31" s="1655">
        <f t="shared" si="13"/>
        <v>100</v>
      </c>
      <c r="V31" s="1654" t="s">
        <v>25</v>
      </c>
      <c r="W31" s="1655">
        <f t="shared" si="14"/>
        <v>100</v>
      </c>
      <c r="X31" s="2002"/>
      <c r="Y31" s="3659"/>
      <c r="Z31" s="2006">
        <f t="shared" si="15"/>
        <v>111</v>
      </c>
      <c r="AA31" s="1997">
        <f t="shared" si="3"/>
        <v>1</v>
      </c>
      <c r="AB31" s="1997">
        <f t="shared" si="4"/>
        <v>1</v>
      </c>
      <c r="AC31" s="1997">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0"/>
      <c r="L32" s="2919"/>
      <c r="M32" s="2915"/>
      <c r="N32" s="2915"/>
      <c r="O32" s="2915"/>
      <c r="P32" s="3660" t="s">
        <v>2037</v>
      </c>
      <c r="Q32" s="1999" t="str">
        <f t="shared" si="11"/>
        <v>商业类型</v>
      </c>
      <c r="R32" s="1654" t="s">
        <v>25</v>
      </c>
      <c r="S32" s="1655">
        <f t="shared" si="12"/>
        <v>100</v>
      </c>
      <c r="T32" s="1654" t="s">
        <v>25</v>
      </c>
      <c r="U32" s="1655">
        <f t="shared" si="13"/>
        <v>100</v>
      </c>
      <c r="V32" s="1654" t="s">
        <v>25</v>
      </c>
      <c r="W32" s="1655">
        <f t="shared" si="14"/>
        <v>100</v>
      </c>
      <c r="X32" s="2002"/>
      <c r="Y32" s="3663" t="s">
        <v>2037</v>
      </c>
      <c r="Z32" s="2006" t="str">
        <f t="shared" si="15"/>
        <v>商业类型</v>
      </c>
      <c r="AA32" s="1997">
        <f t="shared" si="3"/>
        <v>1</v>
      </c>
      <c r="AB32" s="1997">
        <f t="shared" si="4"/>
        <v>1</v>
      </c>
      <c r="AC32" s="1997">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7"/>
      <c r="L33" s="2918"/>
      <c r="M33" s="1987"/>
      <c r="N33" s="1987"/>
      <c r="O33" s="1987"/>
      <c r="P33" s="3661"/>
      <c r="Q33" s="1694" t="str">
        <f t="shared" si="11"/>
        <v>项目建筑规模</v>
      </c>
      <c r="R33" s="1695" t="s">
        <v>25</v>
      </c>
      <c r="S33" s="1696" t="e">
        <f t="shared" si="12"/>
        <v>#N/A</v>
      </c>
      <c r="T33" s="1695" t="s">
        <v>25</v>
      </c>
      <c r="U33" s="1696" t="e">
        <f t="shared" si="13"/>
        <v>#N/A</v>
      </c>
      <c r="V33" s="1695" t="s">
        <v>25</v>
      </c>
      <c r="W33" s="1696" t="e">
        <f t="shared" si="14"/>
        <v>#N/A</v>
      </c>
      <c r="X33" s="1697"/>
      <c r="Y33" s="3663"/>
      <c r="Z33" s="1698" t="str">
        <f t="shared" si="15"/>
        <v>项目建筑规模</v>
      </c>
      <c r="AA33" s="1997" t="e">
        <f t="shared" si="3"/>
        <v>#N/A</v>
      </c>
      <c r="AB33" s="1997" t="e">
        <f t="shared" si="4"/>
        <v>#N/A</v>
      </c>
      <c r="AC33" s="1997"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20"/>
      <c r="L34" s="2919"/>
      <c r="M34" s="2915"/>
      <c r="N34" s="2915"/>
      <c r="O34" s="2915"/>
      <c r="P34" s="3661"/>
      <c r="Q34" s="1999" t="str">
        <f t="shared" si="11"/>
        <v>建筑结构</v>
      </c>
      <c r="R34" s="1654" t="s">
        <v>25</v>
      </c>
      <c r="S34" s="1655">
        <f t="shared" si="12"/>
        <v>100</v>
      </c>
      <c r="T34" s="1654" t="s">
        <v>25</v>
      </c>
      <c r="U34" s="1655">
        <f t="shared" si="13"/>
        <v>100</v>
      </c>
      <c r="V34" s="1654" t="s">
        <v>25</v>
      </c>
      <c r="W34" s="1655">
        <f t="shared" si="14"/>
        <v>100</v>
      </c>
      <c r="X34" s="2002"/>
      <c r="Y34" s="3663"/>
      <c r="Z34" s="2006" t="str">
        <f t="shared" si="15"/>
        <v>建筑结构</v>
      </c>
      <c r="AA34" s="1997">
        <f t="shared" si="3"/>
        <v>1</v>
      </c>
      <c r="AB34" s="1997">
        <f t="shared" si="4"/>
        <v>1</v>
      </c>
      <c r="AC34" s="1997">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0"/>
      <c r="L35" s="2919"/>
      <c r="M35" s="2915"/>
      <c r="N35" s="2915"/>
      <c r="O35" s="2915"/>
      <c r="P35" s="3661"/>
      <c r="Q35" s="1999" t="str">
        <f t="shared" si="11"/>
        <v>公共部分装修</v>
      </c>
      <c r="R35" s="1654" t="s">
        <v>25</v>
      </c>
      <c r="S35" s="1655">
        <f t="shared" si="12"/>
        <v>100</v>
      </c>
      <c r="T35" s="1654" t="s">
        <v>25</v>
      </c>
      <c r="U35" s="1655">
        <f t="shared" si="13"/>
        <v>100</v>
      </c>
      <c r="V35" s="1654" t="s">
        <v>25</v>
      </c>
      <c r="W35" s="1655">
        <f t="shared" si="14"/>
        <v>100</v>
      </c>
      <c r="X35" s="2002"/>
      <c r="Y35" s="3663"/>
      <c r="Z35" s="2006" t="str">
        <f t="shared" si="15"/>
        <v>公共部分装修</v>
      </c>
      <c r="AA35" s="1997">
        <f t="shared" si="3"/>
        <v>1</v>
      </c>
      <c r="AB35" s="1997">
        <f t="shared" si="4"/>
        <v>1</v>
      </c>
      <c r="AC35" s="1997">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20"/>
      <c r="L36" s="2919"/>
      <c r="M36" s="2915"/>
      <c r="N36" s="2915"/>
      <c r="O36" s="2915"/>
      <c r="P36" s="3661"/>
      <c r="Q36" s="1999" t="str">
        <f t="shared" si="11"/>
        <v>成新度</v>
      </c>
      <c r="R36" s="1654" t="s">
        <v>25</v>
      </c>
      <c r="S36" s="1655" t="e">
        <f t="shared" si="12"/>
        <v>#N/A</v>
      </c>
      <c r="T36" s="1654" t="s">
        <v>25</v>
      </c>
      <c r="U36" s="1655" t="e">
        <f t="shared" si="13"/>
        <v>#N/A</v>
      </c>
      <c r="V36" s="1654" t="s">
        <v>25</v>
      </c>
      <c r="W36" s="1655" t="e">
        <f t="shared" si="14"/>
        <v>#N/A</v>
      </c>
      <c r="X36" s="2002"/>
      <c r="Y36" s="3663"/>
      <c r="Z36" s="2006" t="str">
        <f t="shared" si="15"/>
        <v>成新度</v>
      </c>
      <c r="AA36" s="1997" t="e">
        <f t="shared" si="3"/>
        <v>#N/A</v>
      </c>
      <c r="AB36" s="1997" t="e">
        <f t="shared" si="4"/>
        <v>#N/A</v>
      </c>
      <c r="AC36" s="1997"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0"/>
      <c r="L37" s="2914"/>
      <c r="M37" s="2887"/>
      <c r="N37" s="2887"/>
      <c r="O37" s="2887"/>
      <c r="P37" s="3661"/>
      <c r="Q37" s="1993" t="str">
        <f t="shared" si="11"/>
        <v>市政基础设施</v>
      </c>
      <c r="R37" s="1609" t="s">
        <v>25</v>
      </c>
      <c r="S37" s="1610">
        <f t="shared" si="12"/>
        <v>100</v>
      </c>
      <c r="T37" s="1609" t="s">
        <v>25</v>
      </c>
      <c r="U37" s="1610">
        <f t="shared" si="13"/>
        <v>100</v>
      </c>
      <c r="V37" s="1609" t="s">
        <v>25</v>
      </c>
      <c r="W37" s="1610">
        <f t="shared" si="14"/>
        <v>100</v>
      </c>
      <c r="X37" s="1611"/>
      <c r="Y37" s="3663"/>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0"/>
      <c r="L38" s="2919"/>
      <c r="M38" s="2915"/>
      <c r="N38" s="2915"/>
      <c r="O38" s="2915"/>
      <c r="P38" s="3661" t="s">
        <v>2037</v>
      </c>
      <c r="Q38" s="1999" t="str">
        <f t="shared" si="11"/>
        <v>业态</v>
      </c>
      <c r="R38" s="1654" t="s">
        <v>25</v>
      </c>
      <c r="S38" s="1655">
        <f t="shared" si="12"/>
        <v>100</v>
      </c>
      <c r="T38" s="1654" t="s">
        <v>25</v>
      </c>
      <c r="U38" s="1655">
        <f t="shared" si="13"/>
        <v>100</v>
      </c>
      <c r="V38" s="1654" t="s">
        <v>25</v>
      </c>
      <c r="W38" s="1655">
        <f t="shared" si="14"/>
        <v>100</v>
      </c>
      <c r="X38" s="2002"/>
      <c r="Y38" s="3663" t="s">
        <v>2037</v>
      </c>
      <c r="Z38" s="2006" t="str">
        <f t="shared" si="15"/>
        <v>业态</v>
      </c>
      <c r="AA38" s="1997">
        <f t="shared" si="3"/>
        <v>1</v>
      </c>
      <c r="AB38" s="1997">
        <f t="shared" si="4"/>
        <v>1</v>
      </c>
      <c r="AC38" s="1997">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0"/>
      <c r="L39" s="2919"/>
      <c r="M39" s="2915"/>
      <c r="N39" s="2915"/>
      <c r="O39" s="2915"/>
      <c r="P39" s="3661"/>
      <c r="Q39" s="1999" t="str">
        <f t="shared" si="11"/>
        <v>层高</v>
      </c>
      <c r="R39" s="1654" t="s">
        <v>25</v>
      </c>
      <c r="S39" s="1655">
        <f t="shared" si="12"/>
        <v>100</v>
      </c>
      <c r="T39" s="1654" t="s">
        <v>25</v>
      </c>
      <c r="U39" s="1655">
        <f t="shared" si="13"/>
        <v>100</v>
      </c>
      <c r="V39" s="1654" t="s">
        <v>25</v>
      </c>
      <c r="W39" s="1655">
        <f t="shared" si="14"/>
        <v>100</v>
      </c>
      <c r="X39" s="2002"/>
      <c r="Y39" s="3663"/>
      <c r="Z39" s="2006" t="str">
        <f t="shared" si="15"/>
        <v>层高</v>
      </c>
      <c r="AA39" s="1997">
        <f t="shared" si="3"/>
        <v>1</v>
      </c>
      <c r="AB39" s="1997">
        <f t="shared" si="4"/>
        <v>1</v>
      </c>
      <c r="AC39" s="1997">
        <f t="shared" si="5"/>
        <v>1</v>
      </c>
    </row>
    <row r="40" spans="1:29" ht="15">
      <c r="A40" s="1700"/>
      <c r="B40" s="1624" t="s">
        <v>2129</v>
      </c>
      <c r="C40" s="2395"/>
      <c r="D40" s="1640">
        <v>100</v>
      </c>
      <c r="E40" s="2396"/>
      <c r="F40" s="1683">
        <f>SUMIF(118:118,E40,119:119)-SUMIF(118:118,C40,119:119)+100</f>
        <v>100</v>
      </c>
      <c r="G40" s="2396"/>
      <c r="H40" s="1640">
        <f>SUMIF(118:118,G40,119:119)-SUMIF(118:118,C40,119:119)+100</f>
        <v>100</v>
      </c>
      <c r="I40" s="2396"/>
      <c r="J40" s="1640">
        <f>SUMIF(118:118,I40,119:119)-SUMIF(118:118,C40,119:119)+100</f>
        <v>100</v>
      </c>
      <c r="K40" s="1917"/>
      <c r="L40" s="2919"/>
      <c r="M40" s="2915"/>
      <c r="N40" s="2915"/>
      <c r="O40" s="2915"/>
      <c r="P40" s="3661"/>
      <c r="Q40" s="1999" t="str">
        <f t="shared" si="11"/>
        <v>单套建筑面积</v>
      </c>
      <c r="R40" s="1654" t="s">
        <v>25</v>
      </c>
      <c r="S40" s="1655">
        <f t="shared" si="12"/>
        <v>100</v>
      </c>
      <c r="T40" s="1654" t="s">
        <v>25</v>
      </c>
      <c r="U40" s="1655">
        <f t="shared" si="13"/>
        <v>100</v>
      </c>
      <c r="V40" s="1654" t="s">
        <v>25</v>
      </c>
      <c r="W40" s="1655">
        <f t="shared" si="14"/>
        <v>100</v>
      </c>
      <c r="X40" s="2002"/>
      <c r="Y40" s="3663"/>
      <c r="Z40" s="2006" t="str">
        <f t="shared" si="15"/>
        <v>单套建筑面积</v>
      </c>
      <c r="AA40" s="1997">
        <f t="shared" si="3"/>
        <v>1</v>
      </c>
      <c r="AB40" s="1997">
        <f t="shared" si="4"/>
        <v>1</v>
      </c>
      <c r="AC40" s="1997">
        <f t="shared" si="5"/>
        <v>1</v>
      </c>
    </row>
    <row r="41" spans="1:29" s="1699" customFormat="1" ht="15">
      <c r="A41" s="1692"/>
      <c r="B41" s="1998" t="s">
        <v>2130</v>
      </c>
      <c r="C41" s="1919"/>
      <c r="D41" s="1640">
        <v>100</v>
      </c>
      <c r="E41" s="1919"/>
      <c r="F41" s="1683">
        <f>SUMIF(120:120,E41,121:121)-SUMIF(120:120,C41,121:121)+100</f>
        <v>100</v>
      </c>
      <c r="G41" s="1919"/>
      <c r="H41" s="1640">
        <f>SUMIF(120:120,G41,121:121)-SUMIF(120:120,C41,121:121)+100</f>
        <v>100</v>
      </c>
      <c r="I41" s="1919"/>
      <c r="J41" s="1640">
        <f>SUMIF(120:120,I41,121:121)-SUMIF(120:120,C41,121:121)+100</f>
        <v>100</v>
      </c>
      <c r="K41" s="1920"/>
      <c r="L41" s="2918"/>
      <c r="M41" s="1987"/>
      <c r="N41" s="1987"/>
      <c r="O41" s="1987"/>
      <c r="P41" s="3661"/>
      <c r="Q41" s="1694" t="str">
        <f t="shared" si="11"/>
        <v>进深比</v>
      </c>
      <c r="R41" s="1695" t="s">
        <v>25</v>
      </c>
      <c r="S41" s="1696">
        <f t="shared" si="12"/>
        <v>100</v>
      </c>
      <c r="T41" s="1695" t="s">
        <v>25</v>
      </c>
      <c r="U41" s="1696">
        <f t="shared" si="13"/>
        <v>100</v>
      </c>
      <c r="V41" s="1695" t="s">
        <v>25</v>
      </c>
      <c r="W41" s="1696">
        <f t="shared" si="14"/>
        <v>100</v>
      </c>
      <c r="X41" s="1697"/>
      <c r="Y41" s="3663"/>
      <c r="Z41" s="1698" t="str">
        <f t="shared" si="15"/>
        <v>进深比</v>
      </c>
      <c r="AA41" s="1997">
        <f t="shared" si="3"/>
        <v>1</v>
      </c>
      <c r="AB41" s="1997">
        <f t="shared" si="4"/>
        <v>1</v>
      </c>
      <c r="AC41" s="1997">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0"/>
      <c r="L42" s="2919"/>
      <c r="M42" s="2915"/>
      <c r="N42" s="2915"/>
      <c r="O42" s="2915"/>
      <c r="P42" s="3661"/>
      <c r="Q42" s="1999" t="str">
        <f t="shared" si="11"/>
        <v>内部装修</v>
      </c>
      <c r="R42" s="1654" t="s">
        <v>25</v>
      </c>
      <c r="S42" s="1655">
        <f t="shared" si="12"/>
        <v>100</v>
      </c>
      <c r="T42" s="1654" t="s">
        <v>25</v>
      </c>
      <c r="U42" s="1655">
        <f t="shared" si="13"/>
        <v>100</v>
      </c>
      <c r="V42" s="1654" t="s">
        <v>25</v>
      </c>
      <c r="W42" s="1655">
        <f t="shared" si="14"/>
        <v>100</v>
      </c>
      <c r="X42" s="2002"/>
      <c r="Y42" s="3663"/>
      <c r="Z42" s="2006" t="str">
        <f t="shared" si="15"/>
        <v>内部装修</v>
      </c>
      <c r="AA42" s="1997">
        <f t="shared" si="3"/>
        <v>1</v>
      </c>
      <c r="AB42" s="1997">
        <f t="shared" si="4"/>
        <v>1</v>
      </c>
      <c r="AC42" s="1997">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0"/>
      <c r="L43" s="2919"/>
      <c r="M43" s="2915"/>
      <c r="N43" s="2915"/>
      <c r="O43" s="2915"/>
      <c r="P43" s="3661"/>
      <c r="Q43" s="1999" t="str">
        <f t="shared" si="11"/>
        <v>内部装修维护情况</v>
      </c>
      <c r="R43" s="1654" t="s">
        <v>25</v>
      </c>
      <c r="S43" s="1655">
        <f t="shared" si="12"/>
        <v>100</v>
      </c>
      <c r="T43" s="1654" t="s">
        <v>25</v>
      </c>
      <c r="U43" s="1655">
        <f t="shared" si="13"/>
        <v>100</v>
      </c>
      <c r="V43" s="1654" t="s">
        <v>25</v>
      </c>
      <c r="W43" s="1655">
        <f t="shared" si="14"/>
        <v>100</v>
      </c>
      <c r="X43" s="2002"/>
      <c r="Y43" s="3663"/>
      <c r="Z43" s="2006" t="str">
        <f t="shared" si="15"/>
        <v>内部装修维护情况</v>
      </c>
      <c r="AA43" s="1997">
        <f t="shared" si="3"/>
        <v>1</v>
      </c>
      <c r="AB43" s="1997">
        <f t="shared" si="4"/>
        <v>1</v>
      </c>
      <c r="AC43" s="1997">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7"/>
      <c r="L44" s="2914"/>
      <c r="M44" s="2887"/>
      <c r="N44" s="2887"/>
      <c r="O44" s="2887"/>
      <c r="P44" s="3661"/>
      <c r="Q44" s="1993">
        <f t="shared" si="11"/>
        <v>111</v>
      </c>
      <c r="R44" s="1609" t="s">
        <v>25</v>
      </c>
      <c r="S44" s="1610">
        <f t="shared" si="12"/>
        <v>100</v>
      </c>
      <c r="T44" s="1609" t="s">
        <v>25</v>
      </c>
      <c r="U44" s="1610">
        <f t="shared" si="13"/>
        <v>100</v>
      </c>
      <c r="V44" s="1609" t="s">
        <v>25</v>
      </c>
      <c r="W44" s="1610">
        <f t="shared" si="14"/>
        <v>100</v>
      </c>
      <c r="X44" s="1611"/>
      <c r="Y44" s="3663"/>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7"/>
      <c r="L45" s="2919"/>
      <c r="M45" s="2915"/>
      <c r="N45" s="2915"/>
      <c r="O45" s="2915"/>
      <c r="P45" s="3661"/>
      <c r="Q45" s="1999">
        <f t="shared" si="11"/>
        <v>111</v>
      </c>
      <c r="R45" s="1654" t="s">
        <v>25</v>
      </c>
      <c r="S45" s="1655">
        <f t="shared" si="12"/>
        <v>100</v>
      </c>
      <c r="T45" s="1654" t="s">
        <v>25</v>
      </c>
      <c r="U45" s="1655">
        <f t="shared" si="13"/>
        <v>100</v>
      </c>
      <c r="V45" s="1654" t="s">
        <v>25</v>
      </c>
      <c r="W45" s="1655">
        <f t="shared" si="14"/>
        <v>100</v>
      </c>
      <c r="X45" s="2002"/>
      <c r="Y45" s="3663"/>
      <c r="Z45" s="2006">
        <f t="shared" si="15"/>
        <v>111</v>
      </c>
      <c r="AA45" s="1997">
        <f t="shared" si="3"/>
        <v>1</v>
      </c>
      <c r="AB45" s="1997">
        <f t="shared" si="4"/>
        <v>1</v>
      </c>
      <c r="AC45" s="1997">
        <f t="shared" si="5"/>
        <v>1</v>
      </c>
    </row>
    <row r="46" spans="1:29" ht="15.75" thickBot="1">
      <c r="A46" s="1708"/>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7"/>
      <c r="L46" s="2919"/>
      <c r="M46" s="2915"/>
      <c r="N46" s="2915"/>
      <c r="O46" s="2915"/>
      <c r="P46" s="3662"/>
      <c r="Q46" s="1999">
        <f t="shared" si="11"/>
        <v>111</v>
      </c>
      <c r="R46" s="1654" t="s">
        <v>25</v>
      </c>
      <c r="S46" s="1655">
        <f t="shared" si="12"/>
        <v>100</v>
      </c>
      <c r="T46" s="1654" t="s">
        <v>25</v>
      </c>
      <c r="U46" s="1655">
        <f t="shared" si="13"/>
        <v>100</v>
      </c>
      <c r="V46" s="1654" t="s">
        <v>25</v>
      </c>
      <c r="W46" s="1655">
        <f t="shared" si="14"/>
        <v>100</v>
      </c>
      <c r="X46" s="2002"/>
      <c r="Y46" s="3664"/>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670" t="str">
        <f>A47</f>
        <v>成交单价（元/平方米）</v>
      </c>
      <c r="Q47" s="3670"/>
      <c r="R47" s="3671">
        <f>E47</f>
        <v>0</v>
      </c>
      <c r="S47" s="3671"/>
      <c r="T47" s="3671">
        <f>G47</f>
        <v>0</v>
      </c>
      <c r="U47" s="3671"/>
      <c r="V47" s="3671">
        <f>I47</f>
        <v>0</v>
      </c>
      <c r="W47" s="3671"/>
      <c r="X47" s="1719"/>
      <c r="Y47" s="2001"/>
      <c r="Z47" s="1719"/>
      <c r="AA47" s="1719"/>
      <c r="AB47" s="1719"/>
      <c r="AC47" s="1719"/>
    </row>
    <row r="48" spans="1:29" ht="15.75" thickBot="1">
      <c r="A48" s="1721" t="s">
        <v>2132</v>
      </c>
      <c r="B48" s="1722"/>
      <c r="C48" s="1723" t="e">
        <f>R49</f>
        <v>#DIV/0!</v>
      </c>
      <c r="D48" s="1724" t="s">
        <v>2499</v>
      </c>
      <c r="E48" s="1725" t="e">
        <f>R48</f>
        <v>#DIV/0!</v>
      </c>
      <c r="F48" s="1726"/>
      <c r="G48" s="1723" t="e">
        <f>T48</f>
        <v>#DIV/0!</v>
      </c>
      <c r="H48" s="1726"/>
      <c r="I48" s="1725" t="e">
        <f>V48</f>
        <v>#DIV/0!</v>
      </c>
      <c r="J48" s="1726"/>
      <c r="K48" s="2428">
        <f>F48+H48+J48</f>
        <v>0</v>
      </c>
      <c r="L48" s="2920"/>
      <c r="N48" s="2915"/>
      <c r="P48" s="3670" t="str">
        <f>A48</f>
        <v>比较价值（元/平方米）</v>
      </c>
      <c r="Q48" s="3670"/>
      <c r="R48" s="3671" t="e">
        <f>IF(E1="售价",ROUND(PRODUCT(R47,AA7:AA46),0),ROUND(PRODUCT(R47,AA7:AA46),1))</f>
        <v>#DIV/0!</v>
      </c>
      <c r="S48" s="3671"/>
      <c r="T48" s="3671" t="e">
        <f>IF(E1="售价",ROUND(PRODUCT(T47,AB7:AB46),0),ROUND(PRODUCT(T47,AB7:AB46),1))</f>
        <v>#DIV/0!</v>
      </c>
      <c r="U48" s="3671"/>
      <c r="V48" s="3671" t="e">
        <f>IF(E1="售价",ROUND(PRODUCT(V47,AC7:AC46),0),ROUND(PRODUCT(V47,AC7:AC46),1))</f>
        <v>#DIV/0!</v>
      </c>
      <c r="W48" s="3671"/>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676" t="str">
        <f>A49</f>
        <v>估价对象XX用房的比较价值（楼面单价，元/平方米）</v>
      </c>
      <c r="Q49" s="3677"/>
      <c r="R49" s="3678" t="e">
        <f>IF(E1="售价",ROUND(IF(D48="简单平均",AVERAGE(R48:V48),R48*F48+T48*H48+V48*J48),0),ROUND(IF(D48="简单平均",AVERAGE(R48:V48),R48*F48+T48*H48+V48*J48),1))</f>
        <v>#DIV/0!</v>
      </c>
      <c r="S49" s="3678"/>
      <c r="T49" s="3678"/>
      <c r="U49" s="3678"/>
      <c r="V49" s="3678"/>
      <c r="W49" s="367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2023-1</v>
      </c>
      <c r="D58" s="1753">
        <f>EDATE(C58,-1)</f>
        <v>44896</v>
      </c>
      <c r="E58" s="1753">
        <f t="shared" ref="E58:O58" si="16">EDATE(D58,-1)</f>
        <v>44866</v>
      </c>
      <c r="F58" s="1753">
        <f t="shared" si="16"/>
        <v>44835</v>
      </c>
      <c r="G58" s="1753">
        <f t="shared" si="16"/>
        <v>44805</v>
      </c>
      <c r="H58" s="1753">
        <f t="shared" si="16"/>
        <v>44774</v>
      </c>
      <c r="I58" s="1753">
        <f t="shared" si="16"/>
        <v>44743</v>
      </c>
      <c r="J58" s="1753">
        <f t="shared" si="16"/>
        <v>44713</v>
      </c>
      <c r="K58" s="1753">
        <f t="shared" si="16"/>
        <v>44682</v>
      </c>
      <c r="L58" s="1753">
        <f t="shared" si="16"/>
        <v>44652</v>
      </c>
      <c r="M58" s="1753">
        <f t="shared" si="16"/>
        <v>44621</v>
      </c>
      <c r="N58" s="1753">
        <f t="shared" si="16"/>
        <v>44593</v>
      </c>
      <c r="O58" s="1753">
        <f t="shared" si="16"/>
        <v>44562</v>
      </c>
      <c r="P58" s="1754"/>
    </row>
    <row r="59" spans="1:29" s="1613" customFormat="1" ht="15">
      <c r="A59" s="1756"/>
      <c r="B59" s="1757"/>
      <c r="C59" s="1758">
        <v>100</v>
      </c>
      <c r="D59" s="1759"/>
      <c r="E59" s="1759"/>
      <c r="F59" s="1759"/>
      <c r="G59" s="1759"/>
      <c r="H59" s="1759"/>
      <c r="I59" s="1759"/>
      <c r="J59" s="1759"/>
      <c r="K59" s="1759"/>
      <c r="L59" s="1759"/>
      <c r="M59" s="1760"/>
      <c r="N59" s="1759"/>
      <c r="O59" s="1760"/>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3"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60"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4"/>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3"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3"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3"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3"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6"/>
      <c r="H94" s="1506"/>
      <c r="I94" s="1506"/>
      <c r="J94" s="1506"/>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6"/>
      <c r="H96" s="1506"/>
      <c r="I96" s="1506"/>
      <c r="J96" s="1506"/>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6"/>
      <c r="F105" s="1506"/>
      <c r="G105" s="1506"/>
      <c r="H105" s="1506"/>
      <c r="I105" s="1506"/>
      <c r="J105" s="1506"/>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6"/>
      <c r="G107" s="1506"/>
      <c r="H107" s="1506"/>
      <c r="I107" s="1506"/>
      <c r="J107" s="1506"/>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6"/>
      <c r="I112" s="1506"/>
      <c r="J112" s="1506"/>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6"/>
      <c r="F114" s="1506"/>
      <c r="G114" s="1506"/>
      <c r="H114" s="1506"/>
      <c r="I114" s="1506"/>
      <c r="J114" s="1506"/>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6"/>
      <c r="I116" s="1506"/>
      <c r="J116" s="1506"/>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6"/>
      <c r="D120" s="1506"/>
      <c r="E120" s="1506"/>
      <c r="F120" s="1506"/>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6"/>
      <c r="G122" s="1506"/>
      <c r="H122" s="1506"/>
      <c r="I122" s="1506"/>
      <c r="J122" s="1506"/>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6"/>
      <c r="H128" s="1506"/>
      <c r="I128" s="1506"/>
      <c r="J128" s="1506"/>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7" customFormat="1" ht="28.5" customHeight="1" thickTop="1">
      <c r="A2" s="1577" t="s">
        <v>1674</v>
      </c>
      <c r="B2" s="1578" t="e">
        <f ca="1">IF(D2="——",IF(C2="元",ROUND(C50*D3,0),ROUND(C50*D3/10000,0)),IF(C2="元",ROUND(C50*D3,0),ROUND(C50*D3/10000,0))-E2)</f>
        <v>#DIV/0!</v>
      </c>
      <c r="C2" s="1579" t="str">
        <f>'数据-取费表'!B3</f>
        <v>万元</v>
      </c>
      <c r="D2" s="1580"/>
      <c r="E2" s="2405" t="e">
        <f ca="1">SUMIF(INDIRECT("'"&amp;G2&amp;"'"&amp;"!A:A"),"承租人权益价值",INDIRECT("'"&amp;G2&amp;"'"&amp;"!c:c"))</f>
        <v>#REF!</v>
      </c>
      <c r="F2" s="1582" t="str">
        <f>C2</f>
        <v>万元</v>
      </c>
      <c r="G2" s="1583"/>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7" t="s">
        <v>1675</v>
      </c>
      <c r="B3" s="1890" t="e">
        <f ca="1">ROUND(IF(D2="——",C50,IF(C2="万元",B2*10000/D3,B2/D3)),0)</f>
        <v>#DIV/0!</v>
      </c>
      <c r="C3" s="1588" t="s">
        <v>2005</v>
      </c>
      <c r="D3" s="1588">
        <f>IF(C1="仅计算典型户型",'数据-取费表'!E5,'数据-取费表'!B5)</f>
        <v>53.46</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1" t="s">
        <v>2006</v>
      </c>
      <c r="B4" s="1592"/>
      <c r="C4" s="3632" t="s">
        <v>2007</v>
      </c>
      <c r="D4" s="3633"/>
      <c r="E4" s="3634" t="s">
        <v>2008</v>
      </c>
      <c r="F4" s="3635"/>
      <c r="G4" s="3632" t="s">
        <v>2009</v>
      </c>
      <c r="H4" s="3633"/>
      <c r="I4" s="3632" t="s">
        <v>2010</v>
      </c>
      <c r="J4" s="3633"/>
      <c r="K4" s="1893" t="s">
        <v>2011</v>
      </c>
      <c r="L4" s="2914"/>
      <c r="M4" s="2915"/>
      <c r="N4" s="2915"/>
      <c r="O4" s="2915"/>
      <c r="P4" s="3636" t="s">
        <v>2012</v>
      </c>
      <c r="Q4" s="3637"/>
      <c r="R4" s="3642" t="s">
        <v>2008</v>
      </c>
      <c r="S4" s="3643"/>
      <c r="T4" s="3642" t="s">
        <v>2009</v>
      </c>
      <c r="U4" s="3643"/>
      <c r="V4" s="3648" t="s">
        <v>2010</v>
      </c>
      <c r="W4" s="3648"/>
      <c r="X4" s="2002"/>
      <c r="Y4" s="3642" t="s">
        <v>2012</v>
      </c>
      <c r="Z4" s="3643"/>
      <c r="AA4" s="3629" t="s">
        <v>2008</v>
      </c>
      <c r="AB4" s="3629" t="s">
        <v>2009</v>
      </c>
      <c r="AC4" s="3629" t="s">
        <v>2010</v>
      </c>
    </row>
    <row r="5" spans="1:29" ht="15">
      <c r="A5" s="1596"/>
      <c r="B5" s="1597"/>
      <c r="C5" s="3655" t="s">
        <v>2013</v>
      </c>
      <c r="D5" s="3652"/>
      <c r="E5" s="3649" t="s">
        <v>2014</v>
      </c>
      <c r="F5" s="3650"/>
      <c r="G5" s="3655" t="s">
        <v>2015</v>
      </c>
      <c r="H5" s="3652"/>
      <c r="I5" s="3655" t="s">
        <v>2016</v>
      </c>
      <c r="J5" s="3652"/>
      <c r="K5" s="1893"/>
      <c r="L5" s="2914"/>
      <c r="M5" s="2915"/>
      <c r="N5" s="2915"/>
      <c r="O5" s="2915"/>
      <c r="P5" s="3638"/>
      <c r="Q5" s="3639"/>
      <c r="R5" s="3644"/>
      <c r="S5" s="3645"/>
      <c r="T5" s="3644"/>
      <c r="U5" s="3645"/>
      <c r="V5" s="3648"/>
      <c r="W5" s="3648"/>
      <c r="X5" s="2002"/>
      <c r="Y5" s="3644"/>
      <c r="Z5" s="3645"/>
      <c r="AA5" s="3630"/>
      <c r="AB5" s="3630"/>
      <c r="AC5" s="3630"/>
    </row>
    <row r="6" spans="1:29" ht="15.75" thickBot="1">
      <c r="A6" s="1599"/>
      <c r="B6" s="1600"/>
      <c r="C6" s="3665" t="s">
        <v>2017</v>
      </c>
      <c r="D6" s="3654"/>
      <c r="E6" s="3656" t="s">
        <v>2017</v>
      </c>
      <c r="F6" s="3657"/>
      <c r="G6" s="3665" t="s">
        <v>2017</v>
      </c>
      <c r="H6" s="3654"/>
      <c r="I6" s="3665" t="s">
        <v>2017</v>
      </c>
      <c r="J6" s="3654"/>
      <c r="K6" s="1893" t="s">
        <v>2018</v>
      </c>
      <c r="L6" s="2914"/>
      <c r="M6" s="2915"/>
      <c r="N6" s="2915"/>
      <c r="O6" s="2915"/>
      <c r="P6" s="3640"/>
      <c r="Q6" s="3641"/>
      <c r="R6" s="3644"/>
      <c r="S6" s="3645"/>
      <c r="T6" s="3646"/>
      <c r="U6" s="3647"/>
      <c r="V6" s="3648"/>
      <c r="W6" s="3648"/>
      <c r="X6" s="2002"/>
      <c r="Y6" s="3646"/>
      <c r="Z6" s="3647"/>
      <c r="AA6" s="3631"/>
      <c r="AB6" s="3631"/>
      <c r="AC6" s="3631"/>
    </row>
    <row r="7" spans="1:29" s="1613" customFormat="1" ht="15.75" thickBot="1">
      <c r="A7" s="1601" t="s">
        <v>2019</v>
      </c>
      <c r="B7" s="1602"/>
      <c r="C7" s="1603">
        <f>'数据-取费表'!B2</f>
        <v>44938</v>
      </c>
      <c r="D7" s="1604">
        <v>100</v>
      </c>
      <c r="E7" s="1605"/>
      <c r="F7" s="1606">
        <f>SUMIF(59:59,YEAR(E7)&amp;"-"&amp;MONTH(E7),60:60)</f>
        <v>0</v>
      </c>
      <c r="G7" s="1894"/>
      <c r="H7" s="1604">
        <f>SUMIF(59:59,YEAR(G7)&amp;"-"&amp;MONTH(G7),60:60)</f>
        <v>0</v>
      </c>
      <c r="I7" s="1894"/>
      <c r="J7" s="1604">
        <f>SUMIF(59:59,YEAR(I7)&amp;"-"&amp;MONTH(I7),60:60)</f>
        <v>0</v>
      </c>
      <c r="K7" s="1895"/>
      <c r="L7" s="2914"/>
      <c r="M7" s="2887"/>
      <c r="N7" s="2887"/>
      <c r="O7" s="2887"/>
      <c r="P7" s="3666" t="s">
        <v>2020</v>
      </c>
      <c r="Q7" s="3668"/>
      <c r="R7" s="1609" t="s">
        <v>25</v>
      </c>
      <c r="S7" s="1610">
        <f t="shared" ref="S7:S15" si="0">F7</f>
        <v>0</v>
      </c>
      <c r="T7" s="1609" t="s">
        <v>25</v>
      </c>
      <c r="U7" s="1610">
        <f t="shared" ref="U7:U15" si="1">H7</f>
        <v>0</v>
      </c>
      <c r="V7" s="1609" t="s">
        <v>25</v>
      </c>
      <c r="W7" s="1610">
        <f t="shared" ref="W7:W15" si="2">J7</f>
        <v>0</v>
      </c>
      <c r="X7" s="1611"/>
      <c r="Y7" s="3666" t="s">
        <v>2020</v>
      </c>
      <c r="Z7" s="3667"/>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5"/>
      <c r="L8" s="2914"/>
      <c r="M8" s="2887"/>
      <c r="N8" s="2887"/>
      <c r="O8" s="2887"/>
      <c r="P8" s="3666" t="s">
        <v>2023</v>
      </c>
      <c r="Q8" s="3667"/>
      <c r="R8" s="1609" t="s">
        <v>25</v>
      </c>
      <c r="S8" s="1610">
        <f t="shared" si="0"/>
        <v>0</v>
      </c>
      <c r="T8" s="1609" t="s">
        <v>25</v>
      </c>
      <c r="U8" s="1610">
        <f t="shared" si="1"/>
        <v>0</v>
      </c>
      <c r="V8" s="1609" t="s">
        <v>25</v>
      </c>
      <c r="W8" s="1610">
        <f t="shared" si="2"/>
        <v>0</v>
      </c>
      <c r="X8" s="1611"/>
      <c r="Y8" s="3666" t="s">
        <v>2023</v>
      </c>
      <c r="Z8" s="3667"/>
      <c r="AA8" s="1612" t="e">
        <f t="shared" ref="AA8:AA47" si="3">D8/F8</f>
        <v>#DIV/0!</v>
      </c>
      <c r="AB8" s="1612" t="e">
        <f t="shared" ref="AB8:AB47" si="4">D8/H8</f>
        <v>#DIV/0!</v>
      </c>
      <c r="AC8" s="1612" t="e">
        <f t="shared" ref="AC8:AC47" si="5">D8/J8</f>
        <v>#DIV/0!</v>
      </c>
    </row>
    <row r="9" spans="1:29" s="1613" customFormat="1">
      <c r="A9" s="1994"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5"/>
      <c r="L9" s="2914"/>
      <c r="M9" s="2887"/>
      <c r="N9" s="2887"/>
      <c r="O9" s="2887"/>
      <c r="P9" s="3670" t="s">
        <v>2026</v>
      </c>
      <c r="Q9" s="2832" t="str">
        <f t="shared" ref="Q9:Q15" si="6">B9</f>
        <v>用途</v>
      </c>
      <c r="R9" s="1609" t="s">
        <v>25</v>
      </c>
      <c r="S9" s="1610">
        <f t="shared" si="0"/>
        <v>100</v>
      </c>
      <c r="T9" s="1609" t="s">
        <v>25</v>
      </c>
      <c r="U9" s="1610">
        <f t="shared" si="1"/>
        <v>100</v>
      </c>
      <c r="V9" s="1609" t="s">
        <v>25</v>
      </c>
      <c r="W9" s="1610">
        <f t="shared" si="2"/>
        <v>100</v>
      </c>
      <c r="X9" s="1611"/>
      <c r="Y9" s="353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0"/>
      <c r="L10" s="2916"/>
      <c r="M10" s="2917"/>
      <c r="N10" s="2917"/>
      <c r="O10" s="2917"/>
      <c r="P10" s="3670"/>
      <c r="Q10" s="2832" t="str">
        <f t="shared" si="6"/>
        <v>土地使用年限（年）</v>
      </c>
      <c r="R10" s="1609" t="s">
        <v>25</v>
      </c>
      <c r="S10" s="1610">
        <f t="shared" si="0"/>
        <v>100</v>
      </c>
      <c r="T10" s="1609" t="s">
        <v>25</v>
      </c>
      <c r="U10" s="1610">
        <f t="shared" si="1"/>
        <v>100</v>
      </c>
      <c r="V10" s="1609" t="s">
        <v>25</v>
      </c>
      <c r="W10" s="1610">
        <f t="shared" si="2"/>
        <v>100</v>
      </c>
      <c r="X10" s="1611"/>
      <c r="Y10" s="353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0"/>
      <c r="L11" s="2918"/>
      <c r="M11" s="2915"/>
      <c r="N11" s="2915"/>
      <c r="O11" s="2915"/>
      <c r="P11" s="3670"/>
      <c r="Q11" s="2832" t="str">
        <f t="shared" si="6"/>
        <v>容积率</v>
      </c>
      <c r="R11" s="1609" t="s">
        <v>25</v>
      </c>
      <c r="S11" s="1610" t="e">
        <f t="shared" si="0"/>
        <v>#N/A</v>
      </c>
      <c r="T11" s="1609" t="s">
        <v>25</v>
      </c>
      <c r="U11" s="1610" t="e">
        <f t="shared" si="1"/>
        <v>#N/A</v>
      </c>
      <c r="V11" s="1609" t="s">
        <v>25</v>
      </c>
      <c r="W11" s="1610" t="e">
        <f t="shared" si="2"/>
        <v>#N/A</v>
      </c>
      <c r="X11" s="1611"/>
      <c r="Y11" s="353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8"/>
      <c r="H12" s="1626">
        <f>SUMIF(71:71,G12,72:72)-SUMIF(71:71,C12,72:72)+100</f>
        <v>100</v>
      </c>
      <c r="I12" s="1636"/>
      <c r="J12" s="1626">
        <f>SUMIF(71:71,I12,72:72)-SUMIF(71:71,C12,72:72)+100</f>
        <v>100</v>
      </c>
      <c r="K12" s="1917"/>
      <c r="L12" s="2914"/>
      <c r="M12" s="2887"/>
      <c r="N12" s="2887"/>
      <c r="O12" s="2887"/>
      <c r="P12" s="3670"/>
      <c r="Q12" s="2832">
        <f t="shared" si="6"/>
        <v>111</v>
      </c>
      <c r="R12" s="1609" t="s">
        <v>25</v>
      </c>
      <c r="S12" s="1610">
        <f t="shared" si="0"/>
        <v>100</v>
      </c>
      <c r="T12" s="1609" t="s">
        <v>25</v>
      </c>
      <c r="U12" s="1610">
        <f t="shared" si="1"/>
        <v>100</v>
      </c>
      <c r="V12" s="1609" t="s">
        <v>25</v>
      </c>
      <c r="W12" s="1610">
        <f t="shared" si="2"/>
        <v>100</v>
      </c>
      <c r="X12" s="1611"/>
      <c r="Y12" s="353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8"/>
      <c r="H13" s="1640">
        <f>SUMIF(73:73,G13,74:74)-SUMIF(73:73,C13,74:74)+100</f>
        <v>100</v>
      </c>
      <c r="I13" s="1636"/>
      <c r="J13" s="1640">
        <f>SUMIF(73:73,I13,74:74)-SUMIF(73:73,C13,74:74)+100</f>
        <v>100</v>
      </c>
      <c r="K13" s="1917"/>
      <c r="L13" s="2919"/>
      <c r="M13" s="2915"/>
      <c r="N13" s="2915"/>
      <c r="O13" s="2915"/>
      <c r="P13" s="3670"/>
      <c r="Q13" s="2832">
        <f t="shared" si="6"/>
        <v>111</v>
      </c>
      <c r="R13" s="1609" t="s">
        <v>25</v>
      </c>
      <c r="S13" s="1610">
        <f t="shared" si="0"/>
        <v>100</v>
      </c>
      <c r="T13" s="1609" t="s">
        <v>25</v>
      </c>
      <c r="U13" s="1610">
        <f t="shared" si="1"/>
        <v>100</v>
      </c>
      <c r="V13" s="1609" t="s">
        <v>25</v>
      </c>
      <c r="W13" s="1610">
        <f t="shared" si="2"/>
        <v>100</v>
      </c>
      <c r="X13" s="1611"/>
      <c r="Y13" s="3532"/>
      <c r="Z13" s="1622">
        <f t="shared" si="7"/>
        <v>111</v>
      </c>
      <c r="AA13" s="1612">
        <f t="shared" si="3"/>
        <v>1</v>
      </c>
      <c r="AB13" s="1612">
        <f t="shared" si="4"/>
        <v>1</v>
      </c>
      <c r="AC13" s="1612">
        <f t="shared" si="5"/>
        <v>1</v>
      </c>
    </row>
    <row r="14" spans="1:29" ht="15.75" thickBot="1">
      <c r="A14" s="1641"/>
      <c r="B14" s="1642">
        <v>111</v>
      </c>
      <c r="C14" s="1643"/>
      <c r="D14" s="1644">
        <v>100</v>
      </c>
      <c r="E14" s="2409"/>
      <c r="F14" s="1644">
        <f>SUMIF(75:75,E14,76:76)-SUMIF(75:75,C14,76:76)+100</f>
        <v>100</v>
      </c>
      <c r="G14" s="2408"/>
      <c r="H14" s="1644">
        <f>SUMIF(75:75,G14,76:76)-SUMIF(75:75,C14,76:76)+100</f>
        <v>100</v>
      </c>
      <c r="I14" s="1636"/>
      <c r="J14" s="1644">
        <f>SUMIF(75:75,I14,76:76)-SUMIF(75:75,C14,76:76)+100</f>
        <v>100</v>
      </c>
      <c r="K14" s="1917"/>
      <c r="L14" s="2919"/>
      <c r="M14" s="2915"/>
      <c r="N14" s="2915"/>
      <c r="O14" s="2915"/>
      <c r="P14" s="3670"/>
      <c r="Q14" s="2832">
        <f t="shared" si="6"/>
        <v>111</v>
      </c>
      <c r="R14" s="1609" t="s">
        <v>25</v>
      </c>
      <c r="S14" s="1610">
        <f t="shared" si="0"/>
        <v>100</v>
      </c>
      <c r="T14" s="1609" t="s">
        <v>25</v>
      </c>
      <c r="U14" s="1610">
        <f t="shared" si="1"/>
        <v>100</v>
      </c>
      <c r="V14" s="1609" t="s">
        <v>25</v>
      </c>
      <c r="W14" s="1610">
        <f t="shared" si="2"/>
        <v>100</v>
      </c>
      <c r="X14" s="1611"/>
      <c r="Y14" s="3532"/>
      <c r="Z14" s="1622">
        <f t="shared" si="7"/>
        <v>111</v>
      </c>
      <c r="AA14" s="1612">
        <f t="shared" si="3"/>
        <v>1</v>
      </c>
      <c r="AB14" s="1612">
        <f t="shared" si="4"/>
        <v>1</v>
      </c>
      <c r="AC14" s="1612">
        <f t="shared" si="5"/>
        <v>1</v>
      </c>
    </row>
    <row r="15" spans="1:29" ht="71.25">
      <c r="A15" s="1646" t="s">
        <v>2030</v>
      </c>
      <c r="B15" s="2410" t="s">
        <v>2145</v>
      </c>
      <c r="C15" s="1901"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0"/>
      <c r="L15" s="2919"/>
      <c r="M15" s="2915"/>
      <c r="N15" s="2915"/>
      <c r="O15" s="2915"/>
      <c r="P15" s="3658" t="s">
        <v>2031</v>
      </c>
      <c r="Q15" s="2833" t="str">
        <f t="shared" si="6"/>
        <v>办公集聚程度</v>
      </c>
      <c r="R15" s="1654" t="s">
        <v>25</v>
      </c>
      <c r="S15" s="1655">
        <f t="shared" si="0"/>
        <v>100</v>
      </c>
      <c r="T15" s="1654" t="s">
        <v>25</v>
      </c>
      <c r="U15" s="1655">
        <f t="shared" si="1"/>
        <v>100</v>
      </c>
      <c r="V15" s="1654" t="s">
        <v>25</v>
      </c>
      <c r="W15" s="1655">
        <f t="shared" si="2"/>
        <v>100</v>
      </c>
      <c r="X15" s="2002"/>
      <c r="Y15" s="3658" t="s">
        <v>2031</v>
      </c>
      <c r="Z15" s="2006" t="str">
        <f t="shared" si="7"/>
        <v>办公集聚程度</v>
      </c>
      <c r="AA15" s="1997">
        <f t="shared" si="3"/>
        <v>1</v>
      </c>
      <c r="AB15" s="1997">
        <f t="shared" si="4"/>
        <v>1</v>
      </c>
      <c r="AC15" s="1997">
        <f t="shared" si="5"/>
        <v>1</v>
      </c>
    </row>
    <row r="16" spans="1:29" ht="15">
      <c r="A16" s="1631"/>
      <c r="B16" s="2411"/>
      <c r="C16" s="1903"/>
      <c r="D16" s="1660"/>
      <c r="E16" s="1659"/>
      <c r="F16" s="1660"/>
      <c r="G16" s="1903"/>
      <c r="H16" s="1664"/>
      <c r="I16" s="1659"/>
      <c r="J16" s="1660"/>
      <c r="K16" s="2391"/>
      <c r="L16" s="2919"/>
      <c r="M16" s="2915"/>
      <c r="N16" s="2915"/>
      <c r="O16" s="2915"/>
      <c r="P16" s="3659"/>
      <c r="Q16" s="2833"/>
      <c r="R16" s="1654"/>
      <c r="S16" s="1655"/>
      <c r="T16" s="1654"/>
      <c r="U16" s="1655"/>
      <c r="V16" s="1654"/>
      <c r="W16" s="1655"/>
      <c r="X16" s="2002"/>
      <c r="Y16" s="3659"/>
      <c r="Z16" s="2006"/>
      <c r="AA16" s="1997">
        <v>1</v>
      </c>
      <c r="AB16" s="1997">
        <v>1</v>
      </c>
      <c r="AC16" s="1997">
        <v>1</v>
      </c>
    </row>
    <row r="17" spans="1:29" ht="85.5">
      <c r="A17" s="1631"/>
      <c r="B17" s="2412" t="s">
        <v>1466</v>
      </c>
      <c r="C17" s="1908"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0"/>
      <c r="L17" s="2919"/>
      <c r="M17" s="2915"/>
      <c r="N17" s="2915"/>
      <c r="O17" s="2915"/>
      <c r="P17" s="3659"/>
      <c r="Q17" s="2833" t="str">
        <f>B17</f>
        <v>交通便捷度</v>
      </c>
      <c r="R17" s="1654" t="s">
        <v>25</v>
      </c>
      <c r="S17" s="1655">
        <f>F17</f>
        <v>100</v>
      </c>
      <c r="T17" s="1654" t="s">
        <v>25</v>
      </c>
      <c r="U17" s="1655">
        <f>H17</f>
        <v>100</v>
      </c>
      <c r="V17" s="1654" t="s">
        <v>25</v>
      </c>
      <c r="W17" s="1655">
        <f>J17</f>
        <v>100</v>
      </c>
      <c r="X17" s="2002"/>
      <c r="Y17" s="3659"/>
      <c r="Z17" s="2006" t="str">
        <f>Q17</f>
        <v>交通便捷度</v>
      </c>
      <c r="AA17" s="1997">
        <f t="shared" si="3"/>
        <v>1</v>
      </c>
      <c r="AB17" s="1997">
        <f t="shared" si="4"/>
        <v>1</v>
      </c>
      <c r="AC17" s="1997">
        <f t="shared" si="5"/>
        <v>1</v>
      </c>
    </row>
    <row r="18" spans="1:29" ht="15">
      <c r="A18" s="1631"/>
      <c r="B18" s="2413"/>
      <c r="C18" s="1907"/>
      <c r="D18" s="1664"/>
      <c r="E18" s="1675"/>
      <c r="F18" s="1664"/>
      <c r="G18" s="1674"/>
      <c r="H18" s="1660"/>
      <c r="I18" s="1674"/>
      <c r="J18" s="1660"/>
      <c r="K18" s="2391"/>
      <c r="L18" s="2919"/>
      <c r="M18" s="2915"/>
      <c r="N18" s="2915"/>
      <c r="O18" s="2915"/>
      <c r="P18" s="3659"/>
      <c r="Q18" s="2833"/>
      <c r="R18" s="1654"/>
      <c r="S18" s="1655"/>
      <c r="T18" s="1654"/>
      <c r="U18" s="1655"/>
      <c r="V18" s="1654"/>
      <c r="W18" s="1655"/>
      <c r="X18" s="2002"/>
      <c r="Y18" s="3659"/>
      <c r="Z18" s="2006"/>
      <c r="AA18" s="1997">
        <v>1</v>
      </c>
      <c r="AB18" s="1997">
        <v>1</v>
      </c>
      <c r="AC18" s="1997">
        <v>1</v>
      </c>
    </row>
    <row r="19" spans="1:29" ht="42.75">
      <c r="A19" s="1631"/>
      <c r="B19" s="2412" t="s">
        <v>2146</v>
      </c>
      <c r="C19" s="1908"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0"/>
      <c r="L19" s="2919"/>
      <c r="M19" s="2915"/>
      <c r="N19" s="2915"/>
      <c r="O19" s="2915"/>
      <c r="P19" s="3659"/>
      <c r="Q19" s="2833" t="str">
        <f>B19</f>
        <v>公共配套设施</v>
      </c>
      <c r="R19" s="1654" t="s">
        <v>25</v>
      </c>
      <c r="S19" s="1655">
        <f>F19</f>
        <v>100</v>
      </c>
      <c r="T19" s="1654" t="s">
        <v>25</v>
      </c>
      <c r="U19" s="1655">
        <f>H19</f>
        <v>100</v>
      </c>
      <c r="V19" s="1654" t="s">
        <v>25</v>
      </c>
      <c r="W19" s="1655">
        <f>J19</f>
        <v>100</v>
      </c>
      <c r="X19" s="2002"/>
      <c r="Y19" s="3659"/>
      <c r="Z19" s="2006" t="str">
        <f>Q19</f>
        <v>公共配套设施</v>
      </c>
      <c r="AA19" s="1997">
        <f t="shared" si="3"/>
        <v>1</v>
      </c>
      <c r="AB19" s="1997">
        <f t="shared" si="4"/>
        <v>1</v>
      </c>
      <c r="AC19" s="1997">
        <f t="shared" si="5"/>
        <v>1</v>
      </c>
    </row>
    <row r="20" spans="1:29" ht="15">
      <c r="A20" s="1631"/>
      <c r="B20" s="2413"/>
      <c r="C20" s="1903"/>
      <c r="D20" s="1660"/>
      <c r="E20" s="1663"/>
      <c r="F20" s="1660"/>
      <c r="G20" s="1661"/>
      <c r="H20" s="1660"/>
      <c r="I20" s="1661"/>
      <c r="J20" s="1660"/>
      <c r="K20" s="2391"/>
      <c r="L20" s="2919"/>
      <c r="M20" s="2915"/>
      <c r="N20" s="2915"/>
      <c r="O20" s="2915"/>
      <c r="P20" s="3659"/>
      <c r="Q20" s="2833"/>
      <c r="R20" s="1654"/>
      <c r="S20" s="1655"/>
      <c r="T20" s="1654"/>
      <c r="U20" s="1655"/>
      <c r="V20" s="1654"/>
      <c r="W20" s="1655"/>
      <c r="X20" s="2002"/>
      <c r="Y20" s="3659"/>
      <c r="Z20" s="2006"/>
      <c r="AA20" s="1997">
        <v>1</v>
      </c>
      <c r="AB20" s="1997">
        <v>1</v>
      </c>
      <c r="AC20" s="1997">
        <v>1</v>
      </c>
    </row>
    <row r="21" spans="1:29" ht="28.5">
      <c r="A21" s="1631"/>
      <c r="B21" s="2414" t="s">
        <v>2147</v>
      </c>
      <c r="C21" s="1908"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0"/>
      <c r="L21" s="2919"/>
      <c r="M21" s="2915"/>
      <c r="N21" s="2915"/>
      <c r="O21" s="2915"/>
      <c r="P21" s="3659"/>
      <c r="Q21" s="2833" t="str">
        <f>B21</f>
        <v>基础设施水平</v>
      </c>
      <c r="R21" s="1654" t="s">
        <v>25</v>
      </c>
      <c r="S21" s="1655">
        <f>F21</f>
        <v>100</v>
      </c>
      <c r="T21" s="1654" t="s">
        <v>25</v>
      </c>
      <c r="U21" s="1655">
        <f>H21</f>
        <v>100</v>
      </c>
      <c r="V21" s="1654" t="s">
        <v>25</v>
      </c>
      <c r="W21" s="1655">
        <f>J21</f>
        <v>100</v>
      </c>
      <c r="X21" s="2002"/>
      <c r="Y21" s="3659"/>
      <c r="Z21" s="2006" t="str">
        <f>Q21</f>
        <v>基础设施水平</v>
      </c>
      <c r="AA21" s="1997">
        <f t="shared" ref="AA21" si="8">D21/F21</f>
        <v>1</v>
      </c>
      <c r="AB21" s="1997">
        <f t="shared" ref="AB21" si="9">D21/H21</f>
        <v>1</v>
      </c>
      <c r="AC21" s="1997">
        <f t="shared" ref="AC21" si="10">D21/J21</f>
        <v>1</v>
      </c>
    </row>
    <row r="22" spans="1:29" ht="15">
      <c r="A22" s="1631"/>
      <c r="B22" s="2414"/>
      <c r="C22" s="1907"/>
      <c r="D22" s="1660"/>
      <c r="E22" s="1659"/>
      <c r="F22" s="1660"/>
      <c r="G22" s="1903"/>
      <c r="H22" s="1660"/>
      <c r="I22" s="1903"/>
      <c r="J22" s="1660"/>
      <c r="K22" s="2392"/>
      <c r="L22" s="2919"/>
      <c r="M22" s="2915"/>
      <c r="N22" s="2915"/>
      <c r="O22" s="2915"/>
      <c r="P22" s="3659"/>
      <c r="Q22" s="2833"/>
      <c r="R22" s="1654"/>
      <c r="S22" s="1655"/>
      <c r="T22" s="1654"/>
      <c r="U22" s="1655"/>
      <c r="V22" s="1654"/>
      <c r="W22" s="1655"/>
      <c r="X22" s="2002"/>
      <c r="Y22" s="3659"/>
      <c r="Z22" s="2006"/>
      <c r="AA22" s="1997">
        <v>1</v>
      </c>
      <c r="AB22" s="1997">
        <v>1</v>
      </c>
      <c r="AC22" s="1997">
        <v>1</v>
      </c>
    </row>
    <row r="23" spans="1:29" ht="57">
      <c r="A23" s="1631"/>
      <c r="B23" s="2412" t="s">
        <v>2148</v>
      </c>
      <c r="C23" s="1908"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0"/>
      <c r="L23" s="2919"/>
      <c r="M23" s="2915"/>
      <c r="N23" s="2915"/>
      <c r="O23" s="2915"/>
      <c r="P23" s="3659"/>
      <c r="Q23" s="2833" t="str">
        <f>B23</f>
        <v>环境质量</v>
      </c>
      <c r="R23" s="1654" t="s">
        <v>25</v>
      </c>
      <c r="S23" s="1655">
        <f>F23</f>
        <v>100</v>
      </c>
      <c r="T23" s="1654" t="s">
        <v>25</v>
      </c>
      <c r="U23" s="1655">
        <f>H23</f>
        <v>100</v>
      </c>
      <c r="V23" s="1654" t="s">
        <v>25</v>
      </c>
      <c r="W23" s="1655">
        <f>J23</f>
        <v>100</v>
      </c>
      <c r="X23" s="2002"/>
      <c r="Y23" s="3659"/>
      <c r="Z23" s="2006" t="str">
        <f>Q23</f>
        <v>环境质量</v>
      </c>
      <c r="AA23" s="1997">
        <f t="shared" si="3"/>
        <v>1</v>
      </c>
      <c r="AB23" s="1997">
        <f t="shared" si="4"/>
        <v>1</v>
      </c>
      <c r="AC23" s="1997">
        <f t="shared" si="5"/>
        <v>1</v>
      </c>
    </row>
    <row r="24" spans="1:29" ht="15">
      <c r="A24" s="1631"/>
      <c r="B24" s="2414"/>
      <c r="C24" s="1903"/>
      <c r="D24" s="1660"/>
      <c r="E24" s="1663"/>
      <c r="F24" s="1660"/>
      <c r="G24" s="1661"/>
      <c r="H24" s="1660"/>
      <c r="I24" s="1661"/>
      <c r="J24" s="1660"/>
      <c r="K24" s="2391"/>
      <c r="L24" s="2919"/>
      <c r="M24" s="2915"/>
      <c r="N24" s="2915"/>
      <c r="O24" s="2915"/>
      <c r="P24" s="3659"/>
      <c r="Q24" s="2833"/>
      <c r="R24" s="1654"/>
      <c r="S24" s="1655"/>
      <c r="T24" s="1654"/>
      <c r="U24" s="1655"/>
      <c r="V24" s="1654"/>
      <c r="W24" s="1655"/>
      <c r="X24" s="2002"/>
      <c r="Y24" s="3659"/>
      <c r="Z24" s="2006"/>
      <c r="AA24" s="1997">
        <v>1</v>
      </c>
      <c r="AB24" s="1997">
        <v>1</v>
      </c>
      <c r="AC24" s="1997">
        <v>1</v>
      </c>
    </row>
    <row r="25" spans="1:29" ht="27">
      <c r="A25" s="1596"/>
      <c r="B25" s="2412" t="s">
        <v>2149</v>
      </c>
      <c r="C25" s="2415"/>
      <c r="D25" s="1640">
        <v>100</v>
      </c>
      <c r="E25" s="1639"/>
      <c r="F25" s="1640">
        <f>SUMIF(87:87,E26,88:88)-SUMIF(87:87,C26,88:88)+100</f>
        <v>100</v>
      </c>
      <c r="G25" s="2415"/>
      <c r="H25" s="1640">
        <f>SUMIF(87:87,G26,88:88)-SUMIF(87:87,C26,88:88)+100</f>
        <v>100</v>
      </c>
      <c r="I25" s="1639"/>
      <c r="J25" s="1640">
        <f>SUMIF(87:87,I26,88:88)-SUMIF(87:87,C26,88:88)+100</f>
        <v>100</v>
      </c>
      <c r="K25" s="2390"/>
      <c r="L25" s="2919"/>
      <c r="M25" s="2915"/>
      <c r="N25" s="2915"/>
      <c r="O25" s="2915"/>
      <c r="P25" s="3659"/>
      <c r="Q25" s="2833" t="str">
        <f>B25</f>
        <v>毗邻道路的类型与等级</v>
      </c>
      <c r="R25" s="1654" t="s">
        <v>25</v>
      </c>
      <c r="S25" s="1655">
        <f>F25</f>
        <v>100</v>
      </c>
      <c r="T25" s="1654" t="s">
        <v>25</v>
      </c>
      <c r="U25" s="1655">
        <f>H25</f>
        <v>100</v>
      </c>
      <c r="V25" s="1654" t="s">
        <v>25</v>
      </c>
      <c r="W25" s="1655">
        <f>J25</f>
        <v>100</v>
      </c>
      <c r="X25" s="2002"/>
      <c r="Y25" s="3659"/>
      <c r="Z25" s="2006" t="str">
        <f>Q25</f>
        <v>毗邻道路的类型与等级</v>
      </c>
      <c r="AA25" s="1997">
        <f t="shared" si="3"/>
        <v>1</v>
      </c>
      <c r="AB25" s="1997">
        <f t="shared" si="4"/>
        <v>1</v>
      </c>
      <c r="AC25" s="1997">
        <f t="shared" si="5"/>
        <v>1</v>
      </c>
    </row>
    <row r="26" spans="1:29" ht="15">
      <c r="A26" s="1596"/>
      <c r="B26" s="2413"/>
      <c r="C26" s="1911"/>
      <c r="D26" s="1640"/>
      <c r="E26" s="1919"/>
      <c r="F26" s="1640"/>
      <c r="G26" s="1911"/>
      <c r="H26" s="1640"/>
      <c r="I26" s="1919"/>
      <c r="J26" s="1640"/>
      <c r="K26" s="2391"/>
      <c r="L26" s="2919"/>
      <c r="M26" s="2915"/>
      <c r="N26" s="2915"/>
      <c r="O26" s="2915"/>
      <c r="P26" s="3659"/>
      <c r="Q26" s="2833"/>
      <c r="R26" s="1654"/>
      <c r="S26" s="1655"/>
      <c r="T26" s="1654"/>
      <c r="U26" s="1655"/>
      <c r="V26" s="1654"/>
      <c r="W26" s="1655"/>
      <c r="X26" s="2002"/>
      <c r="Y26" s="3659"/>
      <c r="Z26" s="2006"/>
      <c r="AA26" s="1997">
        <v>1</v>
      </c>
      <c r="AB26" s="1997">
        <v>1</v>
      </c>
      <c r="AC26" s="1997">
        <v>1</v>
      </c>
    </row>
    <row r="27" spans="1:29" ht="15">
      <c r="A27" s="1631"/>
      <c r="B27" s="2413" t="s">
        <v>2122</v>
      </c>
      <c r="C27" s="1911"/>
      <c r="D27" s="1640">
        <v>100</v>
      </c>
      <c r="E27" s="1919"/>
      <c r="F27" s="1640">
        <f>SUMIF(89:89,E27,90:90)-SUMIF(89:89,C27,90:90)+100</f>
        <v>100</v>
      </c>
      <c r="G27" s="1911"/>
      <c r="H27" s="1640">
        <f>SUMIF(89:89,G27,90:90)-SUMIF(89:89,C27,90:90)+100</f>
        <v>100</v>
      </c>
      <c r="I27" s="1919"/>
      <c r="J27" s="1640">
        <f>SUMIF(89:89,I27,90:90)-SUMIF(89:89,C27,90:90)+100</f>
        <v>100</v>
      </c>
      <c r="K27" s="1920"/>
      <c r="L27" s="2919"/>
      <c r="M27" s="2915"/>
      <c r="N27" s="2915"/>
      <c r="O27" s="2915"/>
      <c r="P27" s="3659"/>
      <c r="Q27" s="2833" t="str">
        <f t="shared" ref="Q27:Q47" si="11">B27</f>
        <v>楼层</v>
      </c>
      <c r="R27" s="1654" t="s">
        <v>25</v>
      </c>
      <c r="S27" s="1655">
        <f>F27</f>
        <v>100</v>
      </c>
      <c r="T27" s="1654" t="s">
        <v>25</v>
      </c>
      <c r="U27" s="1655">
        <f>H27</f>
        <v>100</v>
      </c>
      <c r="V27" s="1654" t="s">
        <v>25</v>
      </c>
      <c r="W27" s="1655">
        <f>J27</f>
        <v>100</v>
      </c>
      <c r="X27" s="2002"/>
      <c r="Y27" s="3659"/>
      <c r="Z27" s="2006" t="str">
        <f>Q27</f>
        <v>楼层</v>
      </c>
      <c r="AA27" s="1997">
        <f t="shared" si="3"/>
        <v>1</v>
      </c>
      <c r="AB27" s="1997">
        <f t="shared" si="4"/>
        <v>1</v>
      </c>
      <c r="AC27" s="1997">
        <f t="shared" si="5"/>
        <v>1</v>
      </c>
    </row>
    <row r="28" spans="1:29" s="1613" customFormat="1" ht="15">
      <c r="A28" s="1634"/>
      <c r="B28" s="2412" t="s">
        <v>2150</v>
      </c>
      <c r="C28" s="2416"/>
      <c r="D28" s="1685">
        <v>100</v>
      </c>
      <c r="E28" s="2394"/>
      <c r="F28" s="1685">
        <f>SUMIF(91:91,E28,92:92)-SUMIF(91:91,C28,92:92)+100</f>
        <v>100</v>
      </c>
      <c r="G28" s="2416"/>
      <c r="H28" s="1685">
        <f>SUMIF(91:91,G28,92:92)-SUMIF(91:91,C28,92:92)+100</f>
        <v>100</v>
      </c>
      <c r="I28" s="2394"/>
      <c r="J28" s="1685">
        <f>SUMIF(91:91,I28,92:92)-SUMIF(91:91,C28,92:92)+100</f>
        <v>100</v>
      </c>
      <c r="K28" s="1920"/>
      <c r="L28" s="2914"/>
      <c r="M28" s="2887"/>
      <c r="N28" s="2887"/>
      <c r="O28" s="2887"/>
      <c r="P28" s="3659"/>
      <c r="Q28" s="2832" t="str">
        <f t="shared" si="11"/>
        <v>朝向</v>
      </c>
      <c r="R28" s="1609" t="s">
        <v>25</v>
      </c>
      <c r="S28" s="1610">
        <f>F28</f>
        <v>100</v>
      </c>
      <c r="T28" s="1609" t="s">
        <v>25</v>
      </c>
      <c r="U28" s="1610">
        <f>H28</f>
        <v>100</v>
      </c>
      <c r="V28" s="1609" t="s">
        <v>25</v>
      </c>
      <c r="W28" s="1610">
        <f>J28</f>
        <v>100</v>
      </c>
      <c r="X28" s="1611"/>
      <c r="Y28" s="3659"/>
      <c r="Z28" s="1622" t="str">
        <f>Q28</f>
        <v>朝向</v>
      </c>
      <c r="AA28" s="1997">
        <f>D28/F28</f>
        <v>1</v>
      </c>
      <c r="AB28" s="1997">
        <f>D28/H28</f>
        <v>1</v>
      </c>
      <c r="AC28" s="1997">
        <f>D28/J28</f>
        <v>1</v>
      </c>
    </row>
    <row r="29" spans="1:29" ht="15">
      <c r="A29" s="1631"/>
      <c r="B29" s="2417">
        <v>111</v>
      </c>
      <c r="C29" s="2415"/>
      <c r="D29" s="1640">
        <v>100</v>
      </c>
      <c r="E29" s="1636"/>
      <c r="F29" s="1640">
        <f>SUMIF(93:93,E29,94:94)-SUMIF(93:93,C29,94:94)+100</f>
        <v>100</v>
      </c>
      <c r="G29" s="2408"/>
      <c r="H29" s="1640">
        <f>SUMIF(93:93,G29,94:94)-SUMIF(93:93,C29,94:94)+100</f>
        <v>100</v>
      </c>
      <c r="I29" s="1636"/>
      <c r="J29" s="1640">
        <f>SUMIF(93:93,I29,94:94)-SUMIF(93:93,C29,94:94)+100</f>
        <v>100</v>
      </c>
      <c r="K29" s="1917"/>
      <c r="L29" s="2919"/>
      <c r="M29" s="2915"/>
      <c r="N29" s="2915"/>
      <c r="O29" s="2915"/>
      <c r="P29" s="3659"/>
      <c r="Q29" s="2833">
        <f t="shared" si="11"/>
        <v>111</v>
      </c>
      <c r="R29" s="1654" t="s">
        <v>25</v>
      </c>
      <c r="S29" s="1655">
        <f t="shared" ref="S29:S47" si="12">F29</f>
        <v>100</v>
      </c>
      <c r="T29" s="1654" t="s">
        <v>25</v>
      </c>
      <c r="U29" s="1655">
        <f t="shared" ref="U29:U47" si="13">H29</f>
        <v>100</v>
      </c>
      <c r="V29" s="1654" t="s">
        <v>25</v>
      </c>
      <c r="W29" s="1655">
        <f t="shared" ref="W29:W47" si="14">J29</f>
        <v>100</v>
      </c>
      <c r="X29" s="2002"/>
      <c r="Y29" s="3659"/>
      <c r="Z29" s="2006">
        <f t="shared" ref="Z29:Z47" si="15">Q29</f>
        <v>111</v>
      </c>
      <c r="AA29" s="1997">
        <f t="shared" si="3"/>
        <v>1</v>
      </c>
      <c r="AB29" s="1997">
        <f t="shared" si="4"/>
        <v>1</v>
      </c>
      <c r="AC29" s="1997">
        <f t="shared" si="5"/>
        <v>1</v>
      </c>
    </row>
    <row r="30" spans="1:29" ht="15">
      <c r="A30" s="1631"/>
      <c r="B30" s="2417">
        <v>111</v>
      </c>
      <c r="C30" s="2415"/>
      <c r="D30" s="1640">
        <v>100</v>
      </c>
      <c r="E30" s="1636"/>
      <c r="F30" s="1640">
        <f>SUMIF(95:95,E30,96:96)-SUMIF(95:95,C30,96:96)+100</f>
        <v>100</v>
      </c>
      <c r="G30" s="2408"/>
      <c r="H30" s="1640">
        <f>SUMIF(95:95,G30,96:96)-SUMIF(95:95,C30,96:96)+100</f>
        <v>100</v>
      </c>
      <c r="I30" s="1636"/>
      <c r="J30" s="1640">
        <f>SUMIF(95:95,I30,96:96)-SUMIF(95:95,C30,96:96)+100</f>
        <v>100</v>
      </c>
      <c r="K30" s="1917"/>
      <c r="L30" s="2919"/>
      <c r="M30" s="2915"/>
      <c r="N30" s="2915"/>
      <c r="O30" s="2915"/>
      <c r="P30" s="3659"/>
      <c r="Q30" s="2833">
        <f t="shared" si="11"/>
        <v>111</v>
      </c>
      <c r="R30" s="1654" t="s">
        <v>25</v>
      </c>
      <c r="S30" s="1655">
        <f t="shared" si="12"/>
        <v>100</v>
      </c>
      <c r="T30" s="1654" t="s">
        <v>25</v>
      </c>
      <c r="U30" s="1655">
        <f t="shared" si="13"/>
        <v>100</v>
      </c>
      <c r="V30" s="1654" t="s">
        <v>25</v>
      </c>
      <c r="W30" s="1655">
        <f t="shared" si="14"/>
        <v>100</v>
      </c>
      <c r="X30" s="2002"/>
      <c r="Y30" s="3659"/>
      <c r="Z30" s="2006">
        <f t="shared" si="15"/>
        <v>111</v>
      </c>
      <c r="AA30" s="1997">
        <f t="shared" si="3"/>
        <v>1</v>
      </c>
      <c r="AB30" s="1997">
        <f t="shared" si="4"/>
        <v>1</v>
      </c>
      <c r="AC30" s="1997">
        <f t="shared" si="5"/>
        <v>1</v>
      </c>
    </row>
    <row r="31" spans="1:29" ht="15">
      <c r="A31" s="1631"/>
      <c r="B31" s="2417">
        <v>111</v>
      </c>
      <c r="C31" s="2415"/>
      <c r="D31" s="1640">
        <v>100</v>
      </c>
      <c r="E31" s="1636"/>
      <c r="F31" s="1640">
        <f>SUMIF(97:97,E31,98:98)-SUMIF(97:97,C31,98:98)+100</f>
        <v>100</v>
      </c>
      <c r="G31" s="2408"/>
      <c r="H31" s="1640">
        <f>SUMIF(97:97,G31,98:98)-SUMIF(97:97,C31,98:98)+100</f>
        <v>100</v>
      </c>
      <c r="I31" s="1636"/>
      <c r="J31" s="1640">
        <f>SUMIF(97:97,I31,98:98)-SUMIF(97:97,C31,98:98)+100</f>
        <v>100</v>
      </c>
      <c r="K31" s="1917"/>
      <c r="L31" s="2919"/>
      <c r="M31" s="2915"/>
      <c r="N31" s="2915"/>
      <c r="O31" s="2915"/>
      <c r="P31" s="3659"/>
      <c r="Q31" s="2833">
        <f t="shared" si="11"/>
        <v>111</v>
      </c>
      <c r="R31" s="1654" t="s">
        <v>25</v>
      </c>
      <c r="S31" s="1655">
        <f t="shared" si="12"/>
        <v>100</v>
      </c>
      <c r="T31" s="1654" t="s">
        <v>25</v>
      </c>
      <c r="U31" s="1655">
        <f t="shared" si="13"/>
        <v>100</v>
      </c>
      <c r="V31" s="1654" t="s">
        <v>25</v>
      </c>
      <c r="W31" s="1655">
        <f t="shared" si="14"/>
        <v>100</v>
      </c>
      <c r="X31" s="2002"/>
      <c r="Y31" s="3659"/>
      <c r="Z31" s="2006">
        <f t="shared" si="15"/>
        <v>111</v>
      </c>
      <c r="AA31" s="1997">
        <f t="shared" si="3"/>
        <v>1</v>
      </c>
      <c r="AB31" s="1997">
        <f t="shared" si="4"/>
        <v>1</v>
      </c>
      <c r="AC31" s="1997">
        <f t="shared" si="5"/>
        <v>1</v>
      </c>
    </row>
    <row r="32" spans="1:29" ht="15.75" thickBot="1">
      <c r="A32" s="1641"/>
      <c r="B32" s="2418">
        <v>111</v>
      </c>
      <c r="C32" s="2419"/>
      <c r="D32" s="1644">
        <v>100</v>
      </c>
      <c r="E32" s="2409"/>
      <c r="F32" s="1644">
        <f>SUMIF(99:99,E32,100:100)-SUMIF(99:99,C32,100:100)+100</f>
        <v>100</v>
      </c>
      <c r="G32" s="2408"/>
      <c r="H32" s="1644">
        <f>SUMIF(99:99,G32,100:100)-SUMIF(99:99,C32,100:100)+100</f>
        <v>100</v>
      </c>
      <c r="I32" s="1636"/>
      <c r="J32" s="1644">
        <f>SUMIF(99:99,I32,100:100)-SUMIF(99:99,C32,100:100)+100</f>
        <v>100</v>
      </c>
      <c r="K32" s="1917"/>
      <c r="L32" s="2919"/>
      <c r="M32" s="2915"/>
      <c r="N32" s="2915"/>
      <c r="O32" s="2915"/>
      <c r="P32" s="3659"/>
      <c r="Q32" s="2833">
        <f t="shared" si="11"/>
        <v>111</v>
      </c>
      <c r="R32" s="1654" t="s">
        <v>25</v>
      </c>
      <c r="S32" s="1655">
        <f t="shared" si="12"/>
        <v>100</v>
      </c>
      <c r="T32" s="1654" t="s">
        <v>25</v>
      </c>
      <c r="U32" s="1655">
        <f t="shared" si="13"/>
        <v>100</v>
      </c>
      <c r="V32" s="1654" t="s">
        <v>25</v>
      </c>
      <c r="W32" s="1655">
        <f t="shared" si="14"/>
        <v>100</v>
      </c>
      <c r="X32" s="2002"/>
      <c r="Y32" s="3659"/>
      <c r="Z32" s="2006">
        <f t="shared" si="15"/>
        <v>111</v>
      </c>
      <c r="AA32" s="1997">
        <f t="shared" si="3"/>
        <v>1</v>
      </c>
      <c r="AB32" s="1997">
        <f t="shared" si="4"/>
        <v>1</v>
      </c>
      <c r="AC32" s="1997">
        <f t="shared" si="5"/>
        <v>1</v>
      </c>
    </row>
    <row r="33" spans="1:29" ht="15">
      <c r="A33" s="1646" t="s">
        <v>2035</v>
      </c>
      <c r="B33" s="1616" t="s">
        <v>2151</v>
      </c>
      <c r="C33" s="2420"/>
      <c r="D33" s="1691">
        <v>100</v>
      </c>
      <c r="E33" s="2420"/>
      <c r="F33" s="1683">
        <f>SUMIF(101:101,E33,102:102)-SUMIF(101:101,C33,102:102)+100</f>
        <v>100</v>
      </c>
      <c r="G33" s="2420"/>
      <c r="H33" s="1640">
        <f>SUMIF(101:101,G33,102:102)-SUMIF(101:101,C33,102:102)+100</f>
        <v>100</v>
      </c>
      <c r="I33" s="2420"/>
      <c r="J33" s="1691">
        <f>SUMIF(101:101,I33,102:102)-SUMIF(101:101,C33,102:102)+100</f>
        <v>100</v>
      </c>
      <c r="K33" s="1920"/>
      <c r="L33" s="2919"/>
      <c r="M33" s="2915"/>
      <c r="N33" s="2915"/>
      <c r="O33" s="2915"/>
      <c r="P33" s="3679" t="s">
        <v>2037</v>
      </c>
      <c r="Q33" s="2833" t="str">
        <f t="shared" si="11"/>
        <v>建筑类型</v>
      </c>
      <c r="R33" s="1654" t="s">
        <v>25</v>
      </c>
      <c r="S33" s="1655">
        <f t="shared" si="12"/>
        <v>100</v>
      </c>
      <c r="T33" s="1654" t="s">
        <v>25</v>
      </c>
      <c r="U33" s="1655">
        <f t="shared" si="13"/>
        <v>100</v>
      </c>
      <c r="V33" s="1654" t="s">
        <v>25</v>
      </c>
      <c r="W33" s="1655">
        <f t="shared" si="14"/>
        <v>100</v>
      </c>
      <c r="X33" s="2002"/>
      <c r="Y33" s="3663" t="s">
        <v>2037</v>
      </c>
      <c r="Z33" s="2006" t="str">
        <f t="shared" si="15"/>
        <v>建筑类型</v>
      </c>
      <c r="AA33" s="1997">
        <f t="shared" si="3"/>
        <v>1</v>
      </c>
      <c r="AB33" s="1997">
        <f t="shared" si="4"/>
        <v>1</v>
      </c>
      <c r="AC33" s="1997">
        <f t="shared" si="5"/>
        <v>1</v>
      </c>
    </row>
    <row r="34" spans="1:29" s="1699" customFormat="1" ht="15">
      <c r="A34" s="1692"/>
      <c r="B34" s="1624" t="s">
        <v>2038</v>
      </c>
      <c r="C34" s="1693"/>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7"/>
      <c r="L34" s="2918"/>
      <c r="M34" s="1987"/>
      <c r="N34" s="1987"/>
      <c r="O34" s="1987"/>
      <c r="P34" s="3663"/>
      <c r="Q34" s="1694" t="str">
        <f t="shared" si="11"/>
        <v>项目建筑规模</v>
      </c>
      <c r="R34" s="1695" t="s">
        <v>25</v>
      </c>
      <c r="S34" s="1696" t="e">
        <f t="shared" si="12"/>
        <v>#N/A</v>
      </c>
      <c r="T34" s="1695" t="s">
        <v>25</v>
      </c>
      <c r="U34" s="1696" t="e">
        <f t="shared" si="13"/>
        <v>#N/A</v>
      </c>
      <c r="V34" s="1695" t="s">
        <v>25</v>
      </c>
      <c r="W34" s="1696" t="e">
        <f t="shared" si="14"/>
        <v>#N/A</v>
      </c>
      <c r="X34" s="1697"/>
      <c r="Y34" s="3663"/>
      <c r="Z34" s="1698" t="str">
        <f t="shared" si="15"/>
        <v>项目建筑规模</v>
      </c>
      <c r="AA34" s="1997" t="e">
        <f t="shared" si="3"/>
        <v>#N/A</v>
      </c>
      <c r="AB34" s="1997" t="e">
        <f t="shared" si="4"/>
        <v>#N/A</v>
      </c>
      <c r="AC34" s="1997" t="e">
        <f t="shared" si="5"/>
        <v>#N/A</v>
      </c>
    </row>
    <row r="35" spans="1:29" ht="15">
      <c r="A35" s="1700"/>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0"/>
      <c r="L35" s="2919"/>
      <c r="M35" s="2915"/>
      <c r="N35" s="2915"/>
      <c r="O35" s="2915"/>
      <c r="P35" s="3663"/>
      <c r="Q35" s="2833" t="str">
        <f t="shared" si="11"/>
        <v>建筑结构</v>
      </c>
      <c r="R35" s="1654" t="s">
        <v>25</v>
      </c>
      <c r="S35" s="1655">
        <f t="shared" si="12"/>
        <v>100</v>
      </c>
      <c r="T35" s="1654" t="s">
        <v>25</v>
      </c>
      <c r="U35" s="1655">
        <f t="shared" si="13"/>
        <v>100</v>
      </c>
      <c r="V35" s="1654" t="s">
        <v>25</v>
      </c>
      <c r="W35" s="1655">
        <f t="shared" si="14"/>
        <v>100</v>
      </c>
      <c r="X35" s="2002"/>
      <c r="Y35" s="3663"/>
      <c r="Z35" s="2006" t="str">
        <f t="shared" si="15"/>
        <v>建筑结构</v>
      </c>
      <c r="AA35" s="1997">
        <f t="shared" si="3"/>
        <v>1</v>
      </c>
      <c r="AB35" s="1997">
        <f t="shared" si="4"/>
        <v>1</v>
      </c>
      <c r="AC35" s="1997">
        <f t="shared" si="5"/>
        <v>1</v>
      </c>
    </row>
    <row r="36" spans="1:29" ht="15">
      <c r="A36" s="1700"/>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0"/>
      <c r="L36" s="2919"/>
      <c r="M36" s="2915"/>
      <c r="N36" s="2915"/>
      <c r="O36" s="2915"/>
      <c r="P36" s="3663"/>
      <c r="Q36" s="2833" t="str">
        <f t="shared" si="11"/>
        <v>公共部分装修</v>
      </c>
      <c r="R36" s="1654" t="s">
        <v>25</v>
      </c>
      <c r="S36" s="1655">
        <f t="shared" si="12"/>
        <v>100</v>
      </c>
      <c r="T36" s="1654" t="s">
        <v>25</v>
      </c>
      <c r="U36" s="1655">
        <f t="shared" si="13"/>
        <v>100</v>
      </c>
      <c r="V36" s="1654" t="s">
        <v>25</v>
      </c>
      <c r="W36" s="1655">
        <f t="shared" si="14"/>
        <v>100</v>
      </c>
      <c r="X36" s="2002"/>
      <c r="Y36" s="3663"/>
      <c r="Z36" s="2006" t="str">
        <f t="shared" si="15"/>
        <v>公共部分装修</v>
      </c>
      <c r="AA36" s="1997">
        <f t="shared" si="3"/>
        <v>1</v>
      </c>
      <c r="AB36" s="1997">
        <f t="shared" si="4"/>
        <v>1</v>
      </c>
      <c r="AC36" s="1997">
        <f t="shared" si="5"/>
        <v>1</v>
      </c>
    </row>
    <row r="37" spans="1:29" ht="15">
      <c r="A37" s="1700"/>
      <c r="B37" s="1624" t="s">
        <v>2125</v>
      </c>
      <c r="C37" s="1704"/>
      <c r="D37" s="1640">
        <v>100</v>
      </c>
      <c r="E37" s="1704"/>
      <c r="F37" s="1683" t="e">
        <f>LOOKUP(E37,111:111,112:112)-LOOKUP(C37,111:111,112:112)+100</f>
        <v>#N/A</v>
      </c>
      <c r="G37" s="1704"/>
      <c r="H37" s="1683" t="e">
        <f>LOOKUP(G37,111:111,112:112)-LOOKUP(C37,111:111,112:112)+100</f>
        <v>#N/A</v>
      </c>
      <c r="I37" s="1704"/>
      <c r="J37" s="1640" t="e">
        <f>LOOKUP(I37,111:111,112:112)-LOOKUP(C37,111:111,112:112)+100</f>
        <v>#N/A</v>
      </c>
      <c r="K37" s="1920"/>
      <c r="L37" s="2919"/>
      <c r="M37" s="2915"/>
      <c r="N37" s="2915"/>
      <c r="O37" s="2915"/>
      <c r="P37" s="3663"/>
      <c r="Q37" s="2833" t="str">
        <f t="shared" si="11"/>
        <v>成新度</v>
      </c>
      <c r="R37" s="1654" t="s">
        <v>25</v>
      </c>
      <c r="S37" s="1655" t="e">
        <f t="shared" si="12"/>
        <v>#N/A</v>
      </c>
      <c r="T37" s="1654" t="s">
        <v>25</v>
      </c>
      <c r="U37" s="1655" t="e">
        <f t="shared" si="13"/>
        <v>#N/A</v>
      </c>
      <c r="V37" s="1654" t="s">
        <v>25</v>
      </c>
      <c r="W37" s="1655" t="e">
        <f t="shared" si="14"/>
        <v>#N/A</v>
      </c>
      <c r="X37" s="2002"/>
      <c r="Y37" s="3663"/>
      <c r="Z37" s="2006" t="str">
        <f t="shared" si="15"/>
        <v>成新度</v>
      </c>
      <c r="AA37" s="1997" t="e">
        <f t="shared" si="3"/>
        <v>#N/A</v>
      </c>
      <c r="AB37" s="1997" t="e">
        <f t="shared" si="4"/>
        <v>#N/A</v>
      </c>
      <c r="AC37" s="1997" t="e">
        <f t="shared" si="5"/>
        <v>#N/A</v>
      </c>
    </row>
    <row r="38" spans="1:29" s="1613" customFormat="1" ht="15">
      <c r="A38" s="1703"/>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0"/>
      <c r="L38" s="2914"/>
      <c r="M38" s="2887"/>
      <c r="N38" s="2887"/>
      <c r="O38" s="2887"/>
      <c r="P38" s="3663"/>
      <c r="Q38" s="2832" t="str">
        <f t="shared" si="11"/>
        <v>写字楼等级</v>
      </c>
      <c r="R38" s="1609" t="s">
        <v>25</v>
      </c>
      <c r="S38" s="1610">
        <f t="shared" si="12"/>
        <v>100</v>
      </c>
      <c r="T38" s="1609" t="s">
        <v>25</v>
      </c>
      <c r="U38" s="1610">
        <f t="shared" si="13"/>
        <v>100</v>
      </c>
      <c r="V38" s="1609" t="s">
        <v>25</v>
      </c>
      <c r="W38" s="1610">
        <f t="shared" si="14"/>
        <v>100</v>
      </c>
      <c r="X38" s="1611"/>
      <c r="Y38" s="3663"/>
      <c r="Z38" s="1622" t="str">
        <f t="shared" si="15"/>
        <v>写字楼等级</v>
      </c>
      <c r="AA38" s="1612">
        <f t="shared" si="3"/>
        <v>1</v>
      </c>
      <c r="AB38" s="1612">
        <f t="shared" si="4"/>
        <v>1</v>
      </c>
      <c r="AC38" s="1612">
        <f t="shared" si="5"/>
        <v>1</v>
      </c>
    </row>
    <row r="39" spans="1:29" ht="15">
      <c r="A39" s="1700"/>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0"/>
      <c r="L39" s="2919"/>
      <c r="M39" s="2915"/>
      <c r="N39" s="2915"/>
      <c r="O39" s="2915"/>
      <c r="P39" s="3663" t="s">
        <v>2037</v>
      </c>
      <c r="Q39" s="2833" t="str">
        <f t="shared" si="11"/>
        <v>物业管理</v>
      </c>
      <c r="R39" s="1654" t="s">
        <v>25</v>
      </c>
      <c r="S39" s="1655">
        <f t="shared" si="12"/>
        <v>100</v>
      </c>
      <c r="T39" s="1654" t="s">
        <v>25</v>
      </c>
      <c r="U39" s="1655">
        <f t="shared" si="13"/>
        <v>100</v>
      </c>
      <c r="V39" s="1654" t="s">
        <v>25</v>
      </c>
      <c r="W39" s="1655">
        <f t="shared" si="14"/>
        <v>100</v>
      </c>
      <c r="X39" s="2002"/>
      <c r="Y39" s="3663" t="s">
        <v>2037</v>
      </c>
      <c r="Z39" s="2006" t="str">
        <f t="shared" si="15"/>
        <v>物业管理</v>
      </c>
      <c r="AA39" s="1997">
        <f t="shared" si="3"/>
        <v>1</v>
      </c>
      <c r="AB39" s="1997">
        <f t="shared" si="4"/>
        <v>1</v>
      </c>
      <c r="AC39" s="1997">
        <f t="shared" si="5"/>
        <v>1</v>
      </c>
    </row>
    <row r="40" spans="1:29" ht="15">
      <c r="A40" s="1700"/>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0"/>
      <c r="L40" s="2919"/>
      <c r="M40" s="2915"/>
      <c r="N40" s="2915"/>
      <c r="O40" s="2915"/>
      <c r="P40" s="3663"/>
      <c r="Q40" s="2833" t="str">
        <f t="shared" si="11"/>
        <v>市政基础设施</v>
      </c>
      <c r="R40" s="1654" t="s">
        <v>25</v>
      </c>
      <c r="S40" s="1655">
        <f t="shared" si="12"/>
        <v>100</v>
      </c>
      <c r="T40" s="1654" t="s">
        <v>25</v>
      </c>
      <c r="U40" s="1655">
        <f t="shared" si="13"/>
        <v>100</v>
      </c>
      <c r="V40" s="1654" t="s">
        <v>25</v>
      </c>
      <c r="W40" s="1655">
        <f t="shared" si="14"/>
        <v>100</v>
      </c>
      <c r="X40" s="2002"/>
      <c r="Y40" s="3663"/>
      <c r="Z40" s="2006" t="str">
        <f t="shared" si="15"/>
        <v>市政基础设施</v>
      </c>
      <c r="AA40" s="1997">
        <f t="shared" si="3"/>
        <v>1</v>
      </c>
      <c r="AB40" s="1997">
        <f t="shared" si="4"/>
        <v>1</v>
      </c>
      <c r="AC40" s="1997">
        <f t="shared" si="5"/>
        <v>1</v>
      </c>
    </row>
    <row r="41" spans="1:29" ht="15">
      <c r="A41" s="1700"/>
      <c r="B41" s="1624" t="s">
        <v>2128</v>
      </c>
      <c r="C41" s="1919"/>
      <c r="D41" s="1640">
        <v>100</v>
      </c>
      <c r="E41" s="1919"/>
      <c r="F41" s="1683">
        <f>SUMIF(119:119,E41,120:120)-SUMIF(119:119,C41,120:120)+100</f>
        <v>100</v>
      </c>
      <c r="G41" s="1919"/>
      <c r="H41" s="1640">
        <f>SUMIF(119:119,G41,120:120)-SUMIF(119:119,C41,120:120)+100</f>
        <v>100</v>
      </c>
      <c r="I41" s="1919"/>
      <c r="J41" s="1640">
        <f>SUMIF(119:119,I41,120:120)-SUMIF(119:119,C41,120:120)+100</f>
        <v>100</v>
      </c>
      <c r="K41" s="1920"/>
      <c r="L41" s="2919"/>
      <c r="M41" s="2915"/>
      <c r="N41" s="2915"/>
      <c r="O41" s="2915"/>
      <c r="P41" s="3663"/>
      <c r="Q41" s="2833" t="str">
        <f t="shared" si="11"/>
        <v>层高</v>
      </c>
      <c r="R41" s="1654" t="s">
        <v>25</v>
      </c>
      <c r="S41" s="1655">
        <f t="shared" si="12"/>
        <v>100</v>
      </c>
      <c r="T41" s="1654" t="s">
        <v>25</v>
      </c>
      <c r="U41" s="1655">
        <f t="shared" si="13"/>
        <v>100</v>
      </c>
      <c r="V41" s="1654" t="s">
        <v>25</v>
      </c>
      <c r="W41" s="1655">
        <f t="shared" si="14"/>
        <v>100</v>
      </c>
      <c r="X41" s="2002"/>
      <c r="Y41" s="3663"/>
      <c r="Z41" s="2006" t="str">
        <f t="shared" si="15"/>
        <v>层高</v>
      </c>
      <c r="AA41" s="1997">
        <f t="shared" si="3"/>
        <v>1</v>
      </c>
      <c r="AB41" s="1997">
        <f t="shared" si="4"/>
        <v>1</v>
      </c>
      <c r="AC41" s="1997">
        <f t="shared" si="5"/>
        <v>1</v>
      </c>
    </row>
    <row r="42" spans="1:29" s="1699" customFormat="1" ht="15">
      <c r="A42" s="1692"/>
      <c r="B42" s="1998"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7"/>
      <c r="L42" s="2918"/>
      <c r="M42" s="1987"/>
      <c r="N42" s="1987"/>
      <c r="O42" s="1987"/>
      <c r="P42" s="3663"/>
      <c r="Q42" s="1694" t="str">
        <f t="shared" si="11"/>
        <v>单套建筑面积</v>
      </c>
      <c r="R42" s="1695" t="s">
        <v>25</v>
      </c>
      <c r="S42" s="1696">
        <f t="shared" si="12"/>
        <v>100</v>
      </c>
      <c r="T42" s="1695" t="s">
        <v>25</v>
      </c>
      <c r="U42" s="1696">
        <f t="shared" si="13"/>
        <v>100</v>
      </c>
      <c r="V42" s="1695" t="s">
        <v>25</v>
      </c>
      <c r="W42" s="1696">
        <f t="shared" si="14"/>
        <v>100</v>
      </c>
      <c r="X42" s="1697"/>
      <c r="Y42" s="3663"/>
      <c r="Z42" s="1698" t="str">
        <f t="shared" si="15"/>
        <v>单套建筑面积</v>
      </c>
      <c r="AA42" s="1997">
        <f t="shared" si="3"/>
        <v>1</v>
      </c>
      <c r="AB42" s="1997">
        <f t="shared" si="4"/>
        <v>1</v>
      </c>
      <c r="AC42" s="1997">
        <f t="shared" si="5"/>
        <v>1</v>
      </c>
    </row>
    <row r="43" spans="1:29" ht="15">
      <c r="A43" s="1700"/>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0"/>
      <c r="L43" s="2919"/>
      <c r="M43" s="2915"/>
      <c r="N43" s="2915"/>
      <c r="O43" s="2915"/>
      <c r="P43" s="3663"/>
      <c r="Q43" s="2833" t="str">
        <f t="shared" si="11"/>
        <v>内部装修</v>
      </c>
      <c r="R43" s="1654" t="s">
        <v>25</v>
      </c>
      <c r="S43" s="1655">
        <f t="shared" si="12"/>
        <v>100</v>
      </c>
      <c r="T43" s="1654" t="s">
        <v>25</v>
      </c>
      <c r="U43" s="1655">
        <f t="shared" si="13"/>
        <v>100</v>
      </c>
      <c r="V43" s="1654" t="s">
        <v>25</v>
      </c>
      <c r="W43" s="1655">
        <f t="shared" si="14"/>
        <v>100</v>
      </c>
      <c r="X43" s="2002"/>
      <c r="Y43" s="3663"/>
      <c r="Z43" s="2006" t="str">
        <f t="shared" si="15"/>
        <v>内部装修</v>
      </c>
      <c r="AA43" s="1997">
        <f t="shared" si="3"/>
        <v>1</v>
      </c>
      <c r="AB43" s="1997">
        <f t="shared" si="4"/>
        <v>1</v>
      </c>
      <c r="AC43" s="1997">
        <f t="shared" si="5"/>
        <v>1</v>
      </c>
    </row>
    <row r="44" spans="1:29" ht="15">
      <c r="A44" s="1700"/>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0"/>
      <c r="L44" s="2919"/>
      <c r="M44" s="2915"/>
      <c r="N44" s="2915"/>
      <c r="O44" s="2915"/>
      <c r="P44" s="3663"/>
      <c r="Q44" s="2833" t="str">
        <f t="shared" si="11"/>
        <v>内部装修维护情况</v>
      </c>
      <c r="R44" s="1654" t="s">
        <v>25</v>
      </c>
      <c r="S44" s="1655">
        <f t="shared" si="12"/>
        <v>100</v>
      </c>
      <c r="T44" s="1654" t="s">
        <v>25</v>
      </c>
      <c r="U44" s="1655">
        <f t="shared" si="13"/>
        <v>100</v>
      </c>
      <c r="V44" s="1654" t="s">
        <v>25</v>
      </c>
      <c r="W44" s="1655">
        <f t="shared" si="14"/>
        <v>100</v>
      </c>
      <c r="X44" s="2002"/>
      <c r="Y44" s="3663"/>
      <c r="Z44" s="2006" t="str">
        <f t="shared" si="15"/>
        <v>内部装修维护情况</v>
      </c>
      <c r="AA44" s="1997">
        <f t="shared" si="3"/>
        <v>1</v>
      </c>
      <c r="AB44" s="1997">
        <f t="shared" si="4"/>
        <v>1</v>
      </c>
      <c r="AC44" s="1997">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7"/>
      <c r="L45" s="2914"/>
      <c r="M45" s="2887"/>
      <c r="N45" s="2887"/>
      <c r="O45" s="2887"/>
      <c r="P45" s="3663"/>
      <c r="Q45" s="2832">
        <f t="shared" si="11"/>
        <v>111</v>
      </c>
      <c r="R45" s="1609" t="s">
        <v>25</v>
      </c>
      <c r="S45" s="1610">
        <f t="shared" si="12"/>
        <v>100</v>
      </c>
      <c r="T45" s="1609" t="s">
        <v>25</v>
      </c>
      <c r="U45" s="1610">
        <f t="shared" si="13"/>
        <v>100</v>
      </c>
      <c r="V45" s="1609" t="s">
        <v>25</v>
      </c>
      <c r="W45" s="1610">
        <f t="shared" si="14"/>
        <v>100</v>
      </c>
      <c r="X45" s="1611"/>
      <c r="Y45" s="3663"/>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7"/>
      <c r="L46" s="2919"/>
      <c r="M46" s="2915"/>
      <c r="N46" s="2915"/>
      <c r="O46" s="2915"/>
      <c r="P46" s="3663"/>
      <c r="Q46" s="2833">
        <f t="shared" si="11"/>
        <v>111</v>
      </c>
      <c r="R46" s="1654" t="s">
        <v>25</v>
      </c>
      <c r="S46" s="1655">
        <f t="shared" si="12"/>
        <v>100</v>
      </c>
      <c r="T46" s="1654" t="s">
        <v>25</v>
      </c>
      <c r="U46" s="1655">
        <f t="shared" si="13"/>
        <v>100</v>
      </c>
      <c r="V46" s="1654" t="s">
        <v>25</v>
      </c>
      <c r="W46" s="1655">
        <f t="shared" si="14"/>
        <v>100</v>
      </c>
      <c r="X46" s="2002"/>
      <c r="Y46" s="3663"/>
      <c r="Z46" s="2006">
        <f t="shared" si="15"/>
        <v>111</v>
      </c>
      <c r="AA46" s="1997">
        <f t="shared" si="3"/>
        <v>1</v>
      </c>
      <c r="AB46" s="1997">
        <f t="shared" si="4"/>
        <v>1</v>
      </c>
      <c r="AC46" s="1997">
        <f t="shared" si="5"/>
        <v>1</v>
      </c>
    </row>
    <row r="47" spans="1:29" ht="15.75" thickBot="1">
      <c r="A47" s="1708"/>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7"/>
      <c r="L47" s="2919"/>
      <c r="M47" s="2915"/>
      <c r="N47" s="2915"/>
      <c r="O47" s="2915"/>
      <c r="P47" s="3664"/>
      <c r="Q47" s="2833">
        <f t="shared" si="11"/>
        <v>111</v>
      </c>
      <c r="R47" s="1654" t="s">
        <v>25</v>
      </c>
      <c r="S47" s="1655">
        <f t="shared" si="12"/>
        <v>100</v>
      </c>
      <c r="T47" s="1654" t="s">
        <v>25</v>
      </c>
      <c r="U47" s="1655">
        <f t="shared" si="13"/>
        <v>100</v>
      </c>
      <c r="V47" s="1654" t="s">
        <v>25</v>
      </c>
      <c r="W47" s="1655">
        <f t="shared" si="14"/>
        <v>100</v>
      </c>
      <c r="X47" s="2002"/>
      <c r="Y47" s="3664"/>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670" t="str">
        <f>A48</f>
        <v>成交单价（元/平方米）</v>
      </c>
      <c r="Q48" s="3670"/>
      <c r="R48" s="3671">
        <f>E48</f>
        <v>0</v>
      </c>
      <c r="S48" s="3671"/>
      <c r="T48" s="3671">
        <f>G48</f>
        <v>0</v>
      </c>
      <c r="U48" s="3671"/>
      <c r="V48" s="3671">
        <f>I48</f>
        <v>0</v>
      </c>
      <c r="W48" s="3671"/>
      <c r="X48" s="1719"/>
      <c r="Y48" s="2001"/>
      <c r="Z48" s="1719"/>
      <c r="AA48" s="1719"/>
      <c r="AB48" s="1719"/>
      <c r="AC48" s="1719"/>
    </row>
    <row r="49" spans="1:29" ht="15.75" thickBot="1">
      <c r="A49" s="1721" t="s">
        <v>2132</v>
      </c>
      <c r="B49" s="1722"/>
      <c r="C49" s="1723" t="e">
        <f>R50</f>
        <v>#DIV/0!</v>
      </c>
      <c r="D49" s="1724" t="s">
        <v>2499</v>
      </c>
      <c r="E49" s="1725" t="e">
        <f>R49</f>
        <v>#DIV/0!</v>
      </c>
      <c r="F49" s="1726"/>
      <c r="G49" s="1723" t="e">
        <f>T49</f>
        <v>#DIV/0!</v>
      </c>
      <c r="H49" s="1726"/>
      <c r="I49" s="1725" t="e">
        <f>V49</f>
        <v>#DIV/0!</v>
      </c>
      <c r="J49" s="1726"/>
      <c r="K49" s="2428">
        <f>F49+H49+J49</f>
        <v>0</v>
      </c>
      <c r="L49" s="2920"/>
      <c r="M49" s="2915"/>
      <c r="N49" s="2915"/>
      <c r="O49" s="2915"/>
      <c r="P49" s="3670" t="str">
        <f>A49</f>
        <v>比较价值（元/平方米）</v>
      </c>
      <c r="Q49" s="3670"/>
      <c r="R49" s="3671" t="e">
        <f>IF(E1="售价",ROUND(PRODUCT(R48,AA7:AA47),0),ROUND(PRODUCT(R48,AA7:AA47),1))</f>
        <v>#DIV/0!</v>
      </c>
      <c r="S49" s="3671"/>
      <c r="T49" s="3671" t="e">
        <f>IF(E1="售价",ROUND(PRODUCT(T48,AB7:AB47),0),ROUND(PRODUCT(T48,AB7:AB47),1))</f>
        <v>#DIV/0!</v>
      </c>
      <c r="U49" s="3671"/>
      <c r="V49" s="3671" t="e">
        <f>IF(E1="售价",ROUND(PRODUCT(V48,AC7:AC47),0),ROUND(PRODUCT(V48,AC7:AC47),1))</f>
        <v>#DIV/0!</v>
      </c>
      <c r="W49" s="3671"/>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676" t="str">
        <f>A50</f>
        <v>估价对象XX用房的比较价值（楼面单价，元/平方米）</v>
      </c>
      <c r="Q50" s="3677"/>
      <c r="R50" s="3678" t="e">
        <f>IF(E1="售价",ROUND(IF(D49="简单平均",AVERAGE(R49:V49),R49*F49+T49*H49+V49*J49),0),ROUND(IF(D49="简单平均",AVERAGE(R49:V49),R49*F49+T49*H49+V49*J49),1))</f>
        <v>#DIV/0!</v>
      </c>
      <c r="S50" s="3678"/>
      <c r="T50" s="3678"/>
      <c r="U50" s="3678"/>
      <c r="V50" s="3678"/>
      <c r="W50" s="3678"/>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2023-1</v>
      </c>
      <c r="D59" s="1753">
        <f>EDATE(C59,-1)</f>
        <v>44896</v>
      </c>
      <c r="E59" s="1753">
        <f t="shared" ref="E59:O59" si="16">EDATE(D59,-1)</f>
        <v>44866</v>
      </c>
      <c r="F59" s="1753">
        <f t="shared" si="16"/>
        <v>44835</v>
      </c>
      <c r="G59" s="1753">
        <f t="shared" si="16"/>
        <v>44805</v>
      </c>
      <c r="H59" s="1753">
        <f t="shared" si="16"/>
        <v>44774</v>
      </c>
      <c r="I59" s="1753">
        <f t="shared" si="16"/>
        <v>44743</v>
      </c>
      <c r="J59" s="1753">
        <f t="shared" si="16"/>
        <v>44713</v>
      </c>
      <c r="K59" s="1753">
        <f t="shared" si="16"/>
        <v>44682</v>
      </c>
      <c r="L59" s="1753">
        <f t="shared" si="16"/>
        <v>44652</v>
      </c>
      <c r="M59" s="1753">
        <f t="shared" si="16"/>
        <v>44621</v>
      </c>
      <c r="N59" s="1753">
        <f t="shared" si="16"/>
        <v>44593</v>
      </c>
      <c r="O59" s="1753">
        <f t="shared" si="16"/>
        <v>44562</v>
      </c>
      <c r="P59" s="2421"/>
    </row>
    <row r="60" spans="1:29" s="1613" customFormat="1" ht="15">
      <c r="A60" s="1756"/>
      <c r="B60" s="1757"/>
      <c r="C60" s="1758">
        <v>100</v>
      </c>
      <c r="D60" s="1759"/>
      <c r="E60" s="1759"/>
      <c r="F60" s="1759"/>
      <c r="G60" s="1759"/>
      <c r="H60" s="1759"/>
      <c r="I60" s="1759"/>
      <c r="J60" s="1759"/>
      <c r="K60" s="1759"/>
      <c r="L60" s="1759"/>
      <c r="M60" s="1760"/>
      <c r="N60" s="1759"/>
      <c r="O60" s="1773"/>
      <c r="P60" s="1749"/>
    </row>
    <row r="61" spans="1:29" s="1613"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3"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3"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60"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4"/>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3"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3"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3"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3"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6"/>
      <c r="H95" s="1506"/>
      <c r="I95" s="1506"/>
      <c r="J95" s="1506"/>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6"/>
      <c r="H97" s="1506"/>
      <c r="I97" s="1506"/>
      <c r="J97" s="1506"/>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6"/>
      <c r="F106" s="1506"/>
      <c r="G106" s="1506"/>
      <c r="H106" s="1506"/>
      <c r="I106" s="1506"/>
      <c r="J106" s="1506"/>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6"/>
      <c r="G108" s="1506"/>
      <c r="H108" s="1506"/>
      <c r="I108" s="1506"/>
      <c r="J108" s="1506"/>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6"/>
      <c r="I113" s="1506"/>
      <c r="J113" s="1506"/>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6"/>
      <c r="F115" s="1506"/>
      <c r="G115" s="1506"/>
      <c r="H115" s="1506"/>
      <c r="I115" s="1506"/>
      <c r="J115" s="1506"/>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6"/>
      <c r="I117" s="1506"/>
      <c r="J117" s="1506"/>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6"/>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6"/>
      <c r="G123" s="1506"/>
      <c r="H123" s="1506"/>
      <c r="I123" s="1506"/>
      <c r="J123" s="1506"/>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6"/>
      <c r="H129" s="1506"/>
      <c r="I129" s="1506"/>
      <c r="J129" s="1506"/>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53.46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92" t="s">
        <v>2007</v>
      </c>
      <c r="D4" s="3693"/>
      <c r="E4" s="3694" t="s">
        <v>2008</v>
      </c>
      <c r="F4" s="3695"/>
      <c r="G4" s="3692" t="s">
        <v>2009</v>
      </c>
      <c r="H4" s="3693"/>
      <c r="I4" s="3692" t="s">
        <v>2010</v>
      </c>
      <c r="J4" s="3693"/>
      <c r="K4" s="496" t="s">
        <v>2011</v>
      </c>
      <c r="L4" s="2942"/>
      <c r="M4" s="2943"/>
      <c r="N4" s="2943"/>
      <c r="O4" s="2943"/>
      <c r="P4" s="3696" t="s">
        <v>2012</v>
      </c>
      <c r="Q4" s="3697"/>
      <c r="R4" s="3702" t="s">
        <v>2008</v>
      </c>
      <c r="S4" s="3703"/>
      <c r="T4" s="3702" t="s">
        <v>2009</v>
      </c>
      <c r="U4" s="3703"/>
      <c r="V4" s="3708" t="s">
        <v>2010</v>
      </c>
      <c r="W4" s="3708"/>
      <c r="X4" s="1263"/>
      <c r="Y4" s="3702" t="s">
        <v>2012</v>
      </c>
      <c r="Z4" s="3703"/>
      <c r="AA4" s="3689" t="s">
        <v>2008</v>
      </c>
      <c r="AB4" s="3690" t="s">
        <v>2009</v>
      </c>
      <c r="AC4" s="3689" t="s">
        <v>2010</v>
      </c>
    </row>
    <row r="5" spans="1:29" ht="15">
      <c r="A5" s="297"/>
      <c r="B5" s="298"/>
      <c r="C5" s="3685" t="s">
        <v>2013</v>
      </c>
      <c r="D5" s="3686"/>
      <c r="E5" s="3709" t="s">
        <v>2014</v>
      </c>
      <c r="F5" s="3710"/>
      <c r="G5" s="3685" t="s">
        <v>2015</v>
      </c>
      <c r="H5" s="3686"/>
      <c r="I5" s="3685" t="s">
        <v>2016</v>
      </c>
      <c r="J5" s="3686"/>
      <c r="K5" s="496"/>
      <c r="L5" s="2942"/>
      <c r="M5" s="2943"/>
      <c r="N5" s="2943"/>
      <c r="O5" s="2943"/>
      <c r="P5" s="3698"/>
      <c r="Q5" s="3699"/>
      <c r="R5" s="3704"/>
      <c r="S5" s="3705"/>
      <c r="T5" s="3704"/>
      <c r="U5" s="3705"/>
      <c r="V5" s="3708"/>
      <c r="W5" s="3708"/>
      <c r="X5" s="1263"/>
      <c r="Y5" s="3704"/>
      <c r="Z5" s="3705"/>
      <c r="AA5" s="3690"/>
      <c r="AB5" s="3690"/>
      <c r="AC5" s="3690"/>
    </row>
    <row r="6" spans="1:29" ht="15.75" thickBot="1">
      <c r="A6" s="299"/>
      <c r="B6" s="300"/>
      <c r="C6" s="3682" t="s">
        <v>2017</v>
      </c>
      <c r="D6" s="3683"/>
      <c r="E6" s="3680" t="s">
        <v>2017</v>
      </c>
      <c r="F6" s="3681"/>
      <c r="G6" s="3682" t="s">
        <v>2017</v>
      </c>
      <c r="H6" s="3683"/>
      <c r="I6" s="3682" t="s">
        <v>2017</v>
      </c>
      <c r="J6" s="3683"/>
      <c r="K6" s="496" t="s">
        <v>2018</v>
      </c>
      <c r="L6" s="2942"/>
      <c r="M6" s="2943"/>
      <c r="N6" s="2943"/>
      <c r="O6" s="2943"/>
      <c r="P6" s="3700"/>
      <c r="Q6" s="3701"/>
      <c r="R6" s="3704"/>
      <c r="S6" s="3705"/>
      <c r="T6" s="3706"/>
      <c r="U6" s="3707"/>
      <c r="V6" s="3708"/>
      <c r="W6" s="3708"/>
      <c r="X6" s="1263"/>
      <c r="Y6" s="3706"/>
      <c r="Z6" s="3707"/>
      <c r="AA6" s="3691"/>
      <c r="AB6" s="3691"/>
      <c r="AC6" s="3691"/>
    </row>
    <row r="7" spans="1:29" s="25" customFormat="1" ht="15.75" thickBot="1">
      <c r="A7" s="301" t="s">
        <v>2019</v>
      </c>
      <c r="B7" s="302"/>
      <c r="C7" s="303">
        <f>'数据-取费表'!B2</f>
        <v>44938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87" t="s">
        <v>2020</v>
      </c>
      <c r="Q7" s="3711"/>
      <c r="R7" s="627" t="s">
        <v>25</v>
      </c>
      <c r="S7" s="628">
        <f t="shared" ref="S7:S15" si="0">F7</f>
        <v>0</v>
      </c>
      <c r="T7" s="627" t="s">
        <v>25</v>
      </c>
      <c r="U7" s="628">
        <f t="shared" ref="U7:U15" si="1">H7</f>
        <v>0</v>
      </c>
      <c r="V7" s="627" t="s">
        <v>25</v>
      </c>
      <c r="W7" s="628">
        <f t="shared" ref="W7:W15" si="2">J7</f>
        <v>0</v>
      </c>
      <c r="X7" s="629"/>
      <c r="Y7" s="3687" t="s">
        <v>2020</v>
      </c>
      <c r="Z7" s="3688"/>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84" t="s">
        <v>2026</v>
      </c>
      <c r="Q9" s="1255" t="str">
        <f t="shared" ref="Q9:Q15" si="6">B9</f>
        <v>用途</v>
      </c>
      <c r="R9" s="627" t="s">
        <v>25</v>
      </c>
      <c r="S9" s="628">
        <f t="shared" si="0"/>
        <v>100</v>
      </c>
      <c r="T9" s="627" t="s">
        <v>25</v>
      </c>
      <c r="U9" s="628">
        <f t="shared" si="1"/>
        <v>100</v>
      </c>
      <c r="V9" s="627" t="s">
        <v>25</v>
      </c>
      <c r="W9" s="628">
        <f t="shared" si="2"/>
        <v>100</v>
      </c>
      <c r="X9" s="629"/>
      <c r="Y9" s="3714"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84"/>
      <c r="Q10" s="1255" t="str">
        <f t="shared" si="6"/>
        <v>土地使用年限（年）</v>
      </c>
      <c r="R10" s="627" t="s">
        <v>25</v>
      </c>
      <c r="S10" s="628">
        <f t="shared" si="0"/>
        <v>100</v>
      </c>
      <c r="T10" s="627" t="s">
        <v>25</v>
      </c>
      <c r="U10" s="628">
        <f t="shared" si="1"/>
        <v>100</v>
      </c>
      <c r="V10" s="627" t="s">
        <v>25</v>
      </c>
      <c r="W10" s="628">
        <f t="shared" si="2"/>
        <v>100</v>
      </c>
      <c r="X10" s="629"/>
      <c r="Y10" s="3714"/>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84"/>
      <c r="Q11" s="1255" t="str">
        <f t="shared" si="6"/>
        <v>容积率</v>
      </c>
      <c r="R11" s="627" t="s">
        <v>25</v>
      </c>
      <c r="S11" s="628" t="e">
        <f t="shared" si="0"/>
        <v>#N/A</v>
      </c>
      <c r="T11" s="627" t="s">
        <v>25</v>
      </c>
      <c r="U11" s="628" t="e">
        <f t="shared" si="1"/>
        <v>#N/A</v>
      </c>
      <c r="V11" s="627" t="s">
        <v>25</v>
      </c>
      <c r="W11" s="628" t="e">
        <f t="shared" si="2"/>
        <v>#N/A</v>
      </c>
      <c r="X11" s="629"/>
      <c r="Y11" s="3714"/>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84"/>
      <c r="Q12" s="1255">
        <f t="shared" si="6"/>
        <v>111</v>
      </c>
      <c r="R12" s="627" t="s">
        <v>25</v>
      </c>
      <c r="S12" s="628">
        <f t="shared" si="0"/>
        <v>100</v>
      </c>
      <c r="T12" s="627" t="s">
        <v>25</v>
      </c>
      <c r="U12" s="628">
        <f t="shared" si="1"/>
        <v>100</v>
      </c>
      <c r="V12" s="627" t="s">
        <v>25</v>
      </c>
      <c r="W12" s="628">
        <f t="shared" si="2"/>
        <v>100</v>
      </c>
      <c r="X12" s="629"/>
      <c r="Y12" s="3714"/>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84"/>
      <c r="Q13" s="1255">
        <f t="shared" si="6"/>
        <v>111</v>
      </c>
      <c r="R13" s="627" t="s">
        <v>25</v>
      </c>
      <c r="S13" s="628">
        <f t="shared" si="0"/>
        <v>100</v>
      </c>
      <c r="T13" s="627" t="s">
        <v>25</v>
      </c>
      <c r="U13" s="628">
        <f t="shared" si="1"/>
        <v>100</v>
      </c>
      <c r="V13" s="627" t="s">
        <v>25</v>
      </c>
      <c r="W13" s="628">
        <f t="shared" si="2"/>
        <v>100</v>
      </c>
      <c r="X13" s="629"/>
      <c r="Y13" s="3714"/>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84"/>
      <c r="Q14" s="1255">
        <f t="shared" si="6"/>
        <v>111</v>
      </c>
      <c r="R14" s="627" t="s">
        <v>25</v>
      </c>
      <c r="S14" s="628">
        <f t="shared" si="0"/>
        <v>100</v>
      </c>
      <c r="T14" s="627" t="s">
        <v>25</v>
      </c>
      <c r="U14" s="628">
        <f t="shared" si="1"/>
        <v>100</v>
      </c>
      <c r="V14" s="627" t="s">
        <v>25</v>
      </c>
      <c r="W14" s="628">
        <f t="shared" si="2"/>
        <v>100</v>
      </c>
      <c r="X14" s="629"/>
      <c r="Y14" s="3714"/>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712" t="s">
        <v>2031</v>
      </c>
      <c r="Q15" s="1262" t="str">
        <f t="shared" si="6"/>
        <v>产业集聚程度</v>
      </c>
      <c r="R15" s="631" t="s">
        <v>25</v>
      </c>
      <c r="S15" s="632">
        <f t="shared" si="0"/>
        <v>100</v>
      </c>
      <c r="T15" s="631" t="s">
        <v>25</v>
      </c>
      <c r="U15" s="632">
        <f t="shared" si="1"/>
        <v>100</v>
      </c>
      <c r="V15" s="631" t="s">
        <v>25</v>
      </c>
      <c r="W15" s="632">
        <f t="shared" si="2"/>
        <v>100</v>
      </c>
      <c r="X15" s="1263"/>
      <c r="Y15" s="3712"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713"/>
      <c r="Q16" s="1262"/>
      <c r="R16" s="631"/>
      <c r="S16" s="632"/>
      <c r="T16" s="631"/>
      <c r="U16" s="632"/>
      <c r="V16" s="631"/>
      <c r="W16" s="632"/>
      <c r="X16" s="1263"/>
      <c r="Y16" s="3713"/>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713"/>
      <c r="Q17" s="1262" t="str">
        <f>B17</f>
        <v>交通便捷度</v>
      </c>
      <c r="R17" s="631" t="s">
        <v>25</v>
      </c>
      <c r="S17" s="632">
        <f>F17</f>
        <v>100</v>
      </c>
      <c r="T17" s="631" t="s">
        <v>25</v>
      </c>
      <c r="U17" s="632">
        <f>H17</f>
        <v>100</v>
      </c>
      <c r="V17" s="631" t="s">
        <v>25</v>
      </c>
      <c r="W17" s="632">
        <f>J17</f>
        <v>100</v>
      </c>
      <c r="X17" s="1263"/>
      <c r="Y17" s="3713"/>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713"/>
      <c r="Q18" s="1262"/>
      <c r="R18" s="631"/>
      <c r="S18" s="632"/>
      <c r="T18" s="631"/>
      <c r="U18" s="632"/>
      <c r="V18" s="631"/>
      <c r="W18" s="632"/>
      <c r="X18" s="1263"/>
      <c r="Y18" s="3713"/>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713"/>
      <c r="Q19" s="1262" t="str">
        <f>B19</f>
        <v>公共配套设施</v>
      </c>
      <c r="R19" s="631" t="s">
        <v>25</v>
      </c>
      <c r="S19" s="632">
        <f>F19</f>
        <v>100</v>
      </c>
      <c r="T19" s="631" t="s">
        <v>25</v>
      </c>
      <c r="U19" s="632">
        <f>H19</f>
        <v>100</v>
      </c>
      <c r="V19" s="631" t="s">
        <v>25</v>
      </c>
      <c r="W19" s="632">
        <f>J19</f>
        <v>100</v>
      </c>
      <c r="X19" s="1263"/>
      <c r="Y19" s="3713"/>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713"/>
      <c r="Q20" s="1262"/>
      <c r="R20" s="631"/>
      <c r="S20" s="632"/>
      <c r="T20" s="631"/>
      <c r="U20" s="632"/>
      <c r="V20" s="631"/>
      <c r="W20" s="632"/>
      <c r="X20" s="1263"/>
      <c r="Y20" s="3713"/>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713"/>
      <c r="Q21" s="1262" t="str">
        <f>B21</f>
        <v>基础设施水平</v>
      </c>
      <c r="R21" s="631" t="s">
        <v>25</v>
      </c>
      <c r="S21" s="632">
        <f>F21</f>
        <v>100</v>
      </c>
      <c r="T21" s="631" t="s">
        <v>25</v>
      </c>
      <c r="U21" s="632">
        <f>H21</f>
        <v>100</v>
      </c>
      <c r="V21" s="631" t="s">
        <v>25</v>
      </c>
      <c r="W21" s="632">
        <f>J21</f>
        <v>100</v>
      </c>
      <c r="X21" s="1263"/>
      <c r="Y21" s="3713"/>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713"/>
      <c r="Q22" s="1262"/>
      <c r="R22" s="631"/>
      <c r="S22" s="632"/>
      <c r="T22" s="631"/>
      <c r="U22" s="632"/>
      <c r="V22" s="631"/>
      <c r="W22" s="632"/>
      <c r="X22" s="1263"/>
      <c r="Y22" s="3713"/>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713"/>
      <c r="Q23" s="1262" t="str">
        <f>B23</f>
        <v>环境质量</v>
      </c>
      <c r="R23" s="631" t="s">
        <v>25</v>
      </c>
      <c r="S23" s="632">
        <f>F23</f>
        <v>100</v>
      </c>
      <c r="T23" s="631" t="s">
        <v>25</v>
      </c>
      <c r="U23" s="632">
        <f>H23</f>
        <v>100</v>
      </c>
      <c r="V23" s="631" t="s">
        <v>25</v>
      </c>
      <c r="W23" s="632">
        <f>J23</f>
        <v>100</v>
      </c>
      <c r="X23" s="1263"/>
      <c r="Y23" s="3713"/>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713"/>
      <c r="Q24" s="1262"/>
      <c r="R24" s="631"/>
      <c r="S24" s="632"/>
      <c r="T24" s="631"/>
      <c r="U24" s="632"/>
      <c r="V24" s="631"/>
      <c r="W24" s="632"/>
      <c r="X24" s="1263"/>
      <c r="Y24" s="3713"/>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713"/>
      <c r="Q25" s="1262">
        <f>B25</f>
        <v>111</v>
      </c>
      <c r="R25" s="631" t="s">
        <v>25</v>
      </c>
      <c r="S25" s="632">
        <f>F25</f>
        <v>100</v>
      </c>
      <c r="T25" s="631" t="s">
        <v>25</v>
      </c>
      <c r="U25" s="632">
        <f>H25</f>
        <v>100</v>
      </c>
      <c r="V25" s="631" t="s">
        <v>25</v>
      </c>
      <c r="W25" s="632">
        <f>J25</f>
        <v>100</v>
      </c>
      <c r="X25" s="1263"/>
      <c r="Y25" s="3713"/>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713"/>
      <c r="Q26" s="1262">
        <f t="shared" ref="Q26:Q40" si="11">B26</f>
        <v>111</v>
      </c>
      <c r="R26" s="631" t="s">
        <v>25</v>
      </c>
      <c r="S26" s="632">
        <f>F26</f>
        <v>100</v>
      </c>
      <c r="T26" s="631" t="s">
        <v>25</v>
      </c>
      <c r="U26" s="632">
        <f>H26</f>
        <v>100</v>
      </c>
      <c r="V26" s="631" t="s">
        <v>25</v>
      </c>
      <c r="W26" s="632">
        <f>J26</f>
        <v>100</v>
      </c>
      <c r="X26" s="1263"/>
      <c r="Y26" s="3713"/>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713"/>
      <c r="Q27" s="1255">
        <f t="shared" si="11"/>
        <v>111</v>
      </c>
      <c r="R27" s="627" t="s">
        <v>25</v>
      </c>
      <c r="S27" s="628">
        <f>F27</f>
        <v>100</v>
      </c>
      <c r="T27" s="627" t="s">
        <v>25</v>
      </c>
      <c r="U27" s="628">
        <f>H27</f>
        <v>100</v>
      </c>
      <c r="V27" s="627" t="s">
        <v>25</v>
      </c>
      <c r="W27" s="628">
        <f>J27</f>
        <v>100</v>
      </c>
      <c r="X27" s="629"/>
      <c r="Y27" s="3713"/>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713"/>
      <c r="Q28" s="1262">
        <f t="shared" si="11"/>
        <v>111</v>
      </c>
      <c r="R28" s="631" t="s">
        <v>25</v>
      </c>
      <c r="S28" s="632">
        <f t="shared" ref="S28:S40" si="12">F28</f>
        <v>100</v>
      </c>
      <c r="T28" s="631" t="s">
        <v>25</v>
      </c>
      <c r="U28" s="632">
        <f t="shared" ref="U28:U40" si="13">H28</f>
        <v>100</v>
      </c>
      <c r="V28" s="631" t="s">
        <v>25</v>
      </c>
      <c r="W28" s="632">
        <f t="shared" ref="W28:W40" si="14">J28</f>
        <v>100</v>
      </c>
      <c r="X28" s="1263"/>
      <c r="Y28" s="3713"/>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715" t="s">
        <v>2037</v>
      </c>
      <c r="Q29" s="1262" t="str">
        <f t="shared" si="11"/>
        <v>建筑类型</v>
      </c>
      <c r="R29" s="631" t="s">
        <v>25</v>
      </c>
      <c r="S29" s="632">
        <f t="shared" si="12"/>
        <v>100</v>
      </c>
      <c r="T29" s="631" t="s">
        <v>25</v>
      </c>
      <c r="U29" s="632">
        <f t="shared" si="13"/>
        <v>100</v>
      </c>
      <c r="V29" s="631" t="s">
        <v>25</v>
      </c>
      <c r="W29" s="632">
        <f t="shared" si="14"/>
        <v>100</v>
      </c>
      <c r="X29" s="1263"/>
      <c r="Y29" s="371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716"/>
      <c r="Q30" s="633" t="str">
        <f t="shared" si="11"/>
        <v>项目建筑规模</v>
      </c>
      <c r="R30" s="634" t="s">
        <v>25</v>
      </c>
      <c r="S30" s="635" t="e">
        <f t="shared" si="12"/>
        <v>#N/A</v>
      </c>
      <c r="T30" s="634" t="s">
        <v>25</v>
      </c>
      <c r="U30" s="635" t="e">
        <f t="shared" si="13"/>
        <v>#N/A</v>
      </c>
      <c r="V30" s="634" t="s">
        <v>25</v>
      </c>
      <c r="W30" s="635" t="e">
        <f t="shared" si="14"/>
        <v>#N/A</v>
      </c>
      <c r="X30" s="636"/>
      <c r="Y30" s="371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716"/>
      <c r="Q31" s="1262" t="str">
        <f t="shared" si="11"/>
        <v>建筑结构</v>
      </c>
      <c r="R31" s="631" t="s">
        <v>25</v>
      </c>
      <c r="S31" s="632">
        <f t="shared" si="12"/>
        <v>100</v>
      </c>
      <c r="T31" s="631" t="s">
        <v>25</v>
      </c>
      <c r="U31" s="632">
        <f t="shared" si="13"/>
        <v>100</v>
      </c>
      <c r="V31" s="631" t="s">
        <v>25</v>
      </c>
      <c r="W31" s="632">
        <f t="shared" si="14"/>
        <v>100</v>
      </c>
      <c r="X31" s="1263"/>
      <c r="Y31" s="371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716"/>
      <c r="Q32" s="1262" t="str">
        <f t="shared" si="11"/>
        <v>公共部分装修</v>
      </c>
      <c r="R32" s="631" t="s">
        <v>25</v>
      </c>
      <c r="S32" s="632">
        <f t="shared" si="12"/>
        <v>100</v>
      </c>
      <c r="T32" s="631" t="s">
        <v>25</v>
      </c>
      <c r="U32" s="632">
        <f t="shared" si="13"/>
        <v>100</v>
      </c>
      <c r="V32" s="631" t="s">
        <v>25</v>
      </c>
      <c r="W32" s="632">
        <f t="shared" si="14"/>
        <v>100</v>
      </c>
      <c r="X32" s="1263"/>
      <c r="Y32" s="371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716"/>
      <c r="Q33" s="1262" t="str">
        <f t="shared" si="11"/>
        <v>成新度</v>
      </c>
      <c r="R33" s="631" t="s">
        <v>25</v>
      </c>
      <c r="S33" s="632" t="e">
        <f t="shared" si="12"/>
        <v>#N/A</v>
      </c>
      <c r="T33" s="631" t="s">
        <v>25</v>
      </c>
      <c r="U33" s="632" t="e">
        <f t="shared" si="13"/>
        <v>#N/A</v>
      </c>
      <c r="V33" s="631" t="s">
        <v>25</v>
      </c>
      <c r="W33" s="632" t="e">
        <f t="shared" si="14"/>
        <v>#N/A</v>
      </c>
      <c r="X33" s="1263"/>
      <c r="Y33" s="371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716"/>
      <c r="Q34" s="1255" t="str">
        <f t="shared" si="11"/>
        <v>物业管理</v>
      </c>
      <c r="R34" s="627" t="s">
        <v>25</v>
      </c>
      <c r="S34" s="628">
        <f t="shared" si="12"/>
        <v>100</v>
      </c>
      <c r="T34" s="627" t="s">
        <v>25</v>
      </c>
      <c r="U34" s="628">
        <f t="shared" si="13"/>
        <v>100</v>
      </c>
      <c r="V34" s="627" t="s">
        <v>25</v>
      </c>
      <c r="W34" s="628">
        <f t="shared" si="14"/>
        <v>100</v>
      </c>
      <c r="X34" s="629"/>
      <c r="Y34" s="371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716" t="s">
        <v>2037</v>
      </c>
      <c r="Q35" s="1262" t="str">
        <f t="shared" si="11"/>
        <v>市政基础设施</v>
      </c>
      <c r="R35" s="631" t="s">
        <v>25</v>
      </c>
      <c r="S35" s="632">
        <f t="shared" si="12"/>
        <v>100</v>
      </c>
      <c r="T35" s="631" t="s">
        <v>25</v>
      </c>
      <c r="U35" s="632">
        <f t="shared" si="13"/>
        <v>100</v>
      </c>
      <c r="V35" s="631" t="s">
        <v>25</v>
      </c>
      <c r="W35" s="632">
        <f t="shared" si="14"/>
        <v>100</v>
      </c>
      <c r="X35" s="1263"/>
      <c r="Y35" s="371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716"/>
      <c r="Q36" s="1262" t="str">
        <f t="shared" si="11"/>
        <v>内部装修</v>
      </c>
      <c r="R36" s="631" t="s">
        <v>25</v>
      </c>
      <c r="S36" s="632">
        <f t="shared" si="12"/>
        <v>100</v>
      </c>
      <c r="T36" s="631" t="s">
        <v>25</v>
      </c>
      <c r="U36" s="632">
        <f t="shared" si="13"/>
        <v>100</v>
      </c>
      <c r="V36" s="631" t="s">
        <v>25</v>
      </c>
      <c r="W36" s="632">
        <f t="shared" si="14"/>
        <v>100</v>
      </c>
      <c r="X36" s="1263"/>
      <c r="Y36" s="371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716"/>
      <c r="Q37" s="1262" t="str">
        <f t="shared" si="11"/>
        <v>内部装修状况</v>
      </c>
      <c r="R37" s="631" t="s">
        <v>25</v>
      </c>
      <c r="S37" s="632">
        <f t="shared" si="12"/>
        <v>100</v>
      </c>
      <c r="T37" s="631" t="s">
        <v>25</v>
      </c>
      <c r="U37" s="632">
        <f t="shared" si="13"/>
        <v>100</v>
      </c>
      <c r="V37" s="631" t="s">
        <v>25</v>
      </c>
      <c r="W37" s="632">
        <f t="shared" si="14"/>
        <v>100</v>
      </c>
      <c r="X37" s="1263"/>
      <c r="Y37" s="371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716"/>
      <c r="Q38" s="633">
        <f t="shared" si="11"/>
        <v>111</v>
      </c>
      <c r="R38" s="634" t="s">
        <v>25</v>
      </c>
      <c r="S38" s="635">
        <f t="shared" si="12"/>
        <v>100</v>
      </c>
      <c r="T38" s="634" t="s">
        <v>25</v>
      </c>
      <c r="U38" s="635">
        <f t="shared" si="13"/>
        <v>100</v>
      </c>
      <c r="V38" s="634" t="s">
        <v>25</v>
      </c>
      <c r="W38" s="635">
        <f t="shared" si="14"/>
        <v>100</v>
      </c>
      <c r="X38" s="636"/>
      <c r="Y38" s="371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716"/>
      <c r="Q39" s="1262">
        <f t="shared" si="11"/>
        <v>111</v>
      </c>
      <c r="R39" s="631" t="s">
        <v>25</v>
      </c>
      <c r="S39" s="632">
        <f t="shared" si="12"/>
        <v>100</v>
      </c>
      <c r="T39" s="631" t="s">
        <v>25</v>
      </c>
      <c r="U39" s="632">
        <f t="shared" si="13"/>
        <v>100</v>
      </c>
      <c r="V39" s="631" t="s">
        <v>25</v>
      </c>
      <c r="W39" s="632">
        <f t="shared" si="14"/>
        <v>100</v>
      </c>
      <c r="X39" s="1263"/>
      <c r="Y39" s="371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717"/>
      <c r="Q40" s="1262">
        <f t="shared" si="11"/>
        <v>111</v>
      </c>
      <c r="R40" s="631" t="s">
        <v>25</v>
      </c>
      <c r="S40" s="632">
        <f t="shared" si="12"/>
        <v>100</v>
      </c>
      <c r="T40" s="631" t="s">
        <v>25</v>
      </c>
      <c r="U40" s="632">
        <f t="shared" si="13"/>
        <v>100</v>
      </c>
      <c r="V40" s="631" t="s">
        <v>25</v>
      </c>
      <c r="W40" s="632">
        <f t="shared" si="14"/>
        <v>100</v>
      </c>
      <c r="X40" s="1263"/>
      <c r="Y40" s="371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84" t="str">
        <f>A41</f>
        <v>成交单价（元/平方米）</v>
      </c>
      <c r="Q41" s="3684"/>
      <c r="R41" s="3718">
        <f>E41</f>
        <v>0</v>
      </c>
      <c r="S41" s="3718"/>
      <c r="T41" s="3718">
        <f>G41</f>
        <v>0</v>
      </c>
      <c r="U41" s="3718"/>
      <c r="V41" s="3718">
        <f>I41</f>
        <v>0</v>
      </c>
      <c r="W41" s="3718"/>
      <c r="X41" s="618"/>
      <c r="Y41" s="638"/>
      <c r="Z41" s="618"/>
      <c r="AA41" s="618"/>
      <c r="AB41" s="618"/>
      <c r="AC41" s="618"/>
    </row>
    <row r="42" spans="1:29" ht="15.75" thickBot="1">
      <c r="A42" s="374" t="s">
        <v>2132</v>
      </c>
      <c r="B42" s="375"/>
      <c r="C42" s="1088" t="e">
        <f>R43</f>
        <v>#DIV/0!</v>
      </c>
      <c r="D42" s="1724" t="s">
        <v>2499</v>
      </c>
      <c r="E42" s="1089" t="e">
        <f>R42</f>
        <v>#DIV/0!</v>
      </c>
      <c r="F42" s="1726"/>
      <c r="G42" s="1088" t="e">
        <f>T42</f>
        <v>#DIV/0!</v>
      </c>
      <c r="H42" s="1726"/>
      <c r="I42" s="1089" t="e">
        <f>V42</f>
        <v>#DIV/0!</v>
      </c>
      <c r="J42" s="1726"/>
      <c r="K42" s="2428">
        <f>F42+H42+J42</f>
        <v>0</v>
      </c>
      <c r="L42" s="2954"/>
      <c r="N42" s="2943"/>
      <c r="P42" s="3684" t="str">
        <f>A42</f>
        <v>比较价值（元/平方米）</v>
      </c>
      <c r="Q42" s="3684"/>
      <c r="R42" s="3718" t="e">
        <f>IF(E1="售价",ROUND(PRODUCT(R41,AA7:AA40),0),ROUND(PRODUCT(R41,AA7:AA40),1))</f>
        <v>#DIV/0!</v>
      </c>
      <c r="S42" s="3718"/>
      <c r="T42" s="3718" t="e">
        <f>IF(E1="售价",ROUND(PRODUCT(T41,AB7:AB40),0),ROUND(PRODUCT(T41,AB7:AB40),1))</f>
        <v>#DIV/0!</v>
      </c>
      <c r="U42" s="3718"/>
      <c r="V42" s="3718" t="e">
        <f>IF(E1="售价",ROUND(PRODUCT(V41,AC7:AC40),0),ROUND(PRODUCT(V41,AC7:AC40),1))</f>
        <v>#DIV/0!</v>
      </c>
      <c r="W42" s="3718"/>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719" t="str">
        <f>A43</f>
        <v>估价对象XX用房的比较价值（楼面单价，元/平方米）</v>
      </c>
      <c r="Q43" s="3720"/>
      <c r="R43" s="3721" t="e">
        <f>IF(E1="售价",ROUND(IF(D42="简单平均",AVERAGE(R42:V42),R42*F42+T42*H42+V42*J42),0),ROUND(IF(D42="简单平均",AVERAGE(R42:V42),R42*F42+T42*H42+V42*J42),1))</f>
        <v>#DIV/0!</v>
      </c>
      <c r="S43" s="3721"/>
      <c r="T43" s="3721"/>
      <c r="U43" s="3721"/>
      <c r="V43" s="3721"/>
      <c r="W43" s="3721"/>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2023-1</v>
      </c>
      <c r="D52" s="1117">
        <f>EDATE(C52,-1)</f>
        <v>44896</v>
      </c>
      <c r="E52" s="1118">
        <f t="shared" ref="E52:O52" si="16">EDATE(D52,-1)</f>
        <v>44866</v>
      </c>
      <c r="F52" s="1118">
        <f t="shared" si="16"/>
        <v>44835</v>
      </c>
      <c r="G52" s="1118">
        <f t="shared" si="16"/>
        <v>44805</v>
      </c>
      <c r="H52" s="1118">
        <f t="shared" si="16"/>
        <v>44774</v>
      </c>
      <c r="I52" s="1118">
        <f t="shared" si="16"/>
        <v>44743</v>
      </c>
      <c r="J52" s="1118">
        <f t="shared" si="16"/>
        <v>44713</v>
      </c>
      <c r="K52" s="1118">
        <f t="shared" si="16"/>
        <v>44682</v>
      </c>
      <c r="L52" s="1118">
        <f t="shared" si="16"/>
        <v>44652</v>
      </c>
      <c r="M52" s="1118">
        <f t="shared" si="16"/>
        <v>44621</v>
      </c>
      <c r="N52" s="1118">
        <f t="shared" si="16"/>
        <v>44593</v>
      </c>
      <c r="O52" s="1118">
        <f t="shared" si="16"/>
        <v>44562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53.46</v>
      </c>
      <c r="E3" s="797" t="s">
        <v>2167</v>
      </c>
      <c r="F3" s="293">
        <f>'数据-取费表'!B42</f>
        <v>1</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92" t="s">
        <v>2007</v>
      </c>
      <c r="D4" s="3693"/>
      <c r="E4" s="3694" t="s">
        <v>2008</v>
      </c>
      <c r="F4" s="3695"/>
      <c r="G4" s="3692" t="s">
        <v>2009</v>
      </c>
      <c r="H4" s="3693"/>
      <c r="I4" s="3692" t="s">
        <v>2010</v>
      </c>
      <c r="J4" s="3693"/>
      <c r="K4" s="496" t="s">
        <v>2011</v>
      </c>
      <c r="L4" s="2942"/>
      <c r="M4" s="2943"/>
      <c r="N4" s="2943"/>
      <c r="O4" s="2943"/>
      <c r="P4" s="3696" t="s">
        <v>2012</v>
      </c>
      <c r="Q4" s="3697"/>
      <c r="R4" s="3702" t="s">
        <v>2008</v>
      </c>
      <c r="S4" s="3703"/>
      <c r="T4" s="3702" t="s">
        <v>2009</v>
      </c>
      <c r="U4" s="3703"/>
      <c r="V4" s="3708" t="s">
        <v>2010</v>
      </c>
      <c r="W4" s="3708"/>
      <c r="X4" s="1263"/>
      <c r="Y4" s="3702" t="s">
        <v>2012</v>
      </c>
      <c r="Z4" s="3703"/>
      <c r="AA4" s="3689" t="s">
        <v>2008</v>
      </c>
      <c r="AB4" s="3690" t="s">
        <v>2009</v>
      </c>
      <c r="AC4" s="3689" t="s">
        <v>2010</v>
      </c>
    </row>
    <row r="5" spans="1:29" ht="15">
      <c r="A5" s="297"/>
      <c r="B5" s="298"/>
      <c r="C5" s="3685" t="s">
        <v>2013</v>
      </c>
      <c r="D5" s="3686"/>
      <c r="E5" s="3709" t="s">
        <v>2014</v>
      </c>
      <c r="F5" s="3710"/>
      <c r="G5" s="3685" t="s">
        <v>2015</v>
      </c>
      <c r="H5" s="3686"/>
      <c r="I5" s="3685" t="s">
        <v>2016</v>
      </c>
      <c r="J5" s="3686"/>
      <c r="K5" s="496"/>
      <c r="L5" s="2942"/>
      <c r="M5" s="2943"/>
      <c r="N5" s="2943"/>
      <c r="O5" s="2943"/>
      <c r="P5" s="3698"/>
      <c r="Q5" s="3699"/>
      <c r="R5" s="3704"/>
      <c r="S5" s="3705"/>
      <c r="T5" s="3704"/>
      <c r="U5" s="3705"/>
      <c r="V5" s="3708"/>
      <c r="W5" s="3708"/>
      <c r="X5" s="1263"/>
      <c r="Y5" s="3704"/>
      <c r="Z5" s="3705"/>
      <c r="AA5" s="3690"/>
      <c r="AB5" s="3690"/>
      <c r="AC5" s="3690"/>
    </row>
    <row r="6" spans="1:29" ht="15.75" thickBot="1">
      <c r="A6" s="299"/>
      <c r="B6" s="300"/>
      <c r="C6" s="3682" t="s">
        <v>2017</v>
      </c>
      <c r="D6" s="3683"/>
      <c r="E6" s="3680" t="s">
        <v>2017</v>
      </c>
      <c r="F6" s="3681"/>
      <c r="G6" s="3682" t="s">
        <v>2017</v>
      </c>
      <c r="H6" s="3683"/>
      <c r="I6" s="3682" t="s">
        <v>2017</v>
      </c>
      <c r="J6" s="3683"/>
      <c r="K6" s="496" t="s">
        <v>2018</v>
      </c>
      <c r="L6" s="2942"/>
      <c r="M6" s="2943"/>
      <c r="N6" s="2943"/>
      <c r="O6" s="2943"/>
      <c r="P6" s="3700"/>
      <c r="Q6" s="3701"/>
      <c r="R6" s="3704"/>
      <c r="S6" s="3705"/>
      <c r="T6" s="3706"/>
      <c r="U6" s="3707"/>
      <c r="V6" s="3708"/>
      <c r="W6" s="3708"/>
      <c r="X6" s="1263"/>
      <c r="Y6" s="3706"/>
      <c r="Z6" s="3707"/>
      <c r="AA6" s="3691"/>
      <c r="AB6" s="3691"/>
      <c r="AC6" s="3691"/>
    </row>
    <row r="7" spans="1:29" s="25" customFormat="1" ht="15.75" thickBot="1">
      <c r="A7" s="301" t="s">
        <v>2019</v>
      </c>
      <c r="B7" s="302"/>
      <c r="C7" s="303">
        <f>'数据-取费表'!B2</f>
        <v>44938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87" t="s">
        <v>2020</v>
      </c>
      <c r="Q7" s="3711"/>
      <c r="R7" s="627" t="s">
        <v>25</v>
      </c>
      <c r="S7" s="628">
        <f t="shared" ref="S7:S14" si="0">F7</f>
        <v>0</v>
      </c>
      <c r="T7" s="627" t="s">
        <v>25</v>
      </c>
      <c r="U7" s="628">
        <f t="shared" ref="U7:U14" si="1">H7</f>
        <v>0</v>
      </c>
      <c r="V7" s="627" t="s">
        <v>25</v>
      </c>
      <c r="W7" s="628">
        <f t="shared" ref="W7:W14" si="2">J7</f>
        <v>0</v>
      </c>
      <c r="X7" s="629"/>
      <c r="Y7" s="3687" t="s">
        <v>2020</v>
      </c>
      <c r="Z7" s="368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84" t="s">
        <v>2026</v>
      </c>
      <c r="Q9" s="1255" t="str">
        <f t="shared" ref="Q9:Q14" si="6">B9</f>
        <v>用途</v>
      </c>
      <c r="R9" s="627" t="s">
        <v>25</v>
      </c>
      <c r="S9" s="628">
        <f t="shared" si="0"/>
        <v>100</v>
      </c>
      <c r="T9" s="627" t="s">
        <v>25</v>
      </c>
      <c r="U9" s="628">
        <f t="shared" si="1"/>
        <v>100</v>
      </c>
      <c r="V9" s="627" t="s">
        <v>25</v>
      </c>
      <c r="W9" s="628">
        <f t="shared" si="2"/>
        <v>100</v>
      </c>
      <c r="X9" s="629"/>
      <c r="Y9" s="3714"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84"/>
      <c r="Q10" s="1255" t="str">
        <f t="shared" si="6"/>
        <v>土地使用年限（年）</v>
      </c>
      <c r="R10" s="627" t="s">
        <v>25</v>
      </c>
      <c r="S10" s="628">
        <f t="shared" si="0"/>
        <v>100</v>
      </c>
      <c r="T10" s="627" t="s">
        <v>25</v>
      </c>
      <c r="U10" s="628">
        <f t="shared" si="1"/>
        <v>100</v>
      </c>
      <c r="V10" s="627" t="s">
        <v>25</v>
      </c>
      <c r="W10" s="628">
        <f t="shared" si="2"/>
        <v>100</v>
      </c>
      <c r="X10" s="629"/>
      <c r="Y10" s="371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84"/>
      <c r="Q11" s="1255">
        <f t="shared" si="6"/>
        <v>111</v>
      </c>
      <c r="R11" s="627" t="s">
        <v>25</v>
      </c>
      <c r="S11" s="628">
        <f t="shared" si="0"/>
        <v>100</v>
      </c>
      <c r="T11" s="627" t="s">
        <v>25</v>
      </c>
      <c r="U11" s="628">
        <f t="shared" si="1"/>
        <v>100</v>
      </c>
      <c r="V11" s="627" t="s">
        <v>25</v>
      </c>
      <c r="W11" s="628">
        <f t="shared" si="2"/>
        <v>100</v>
      </c>
      <c r="X11" s="629"/>
      <c r="Y11" s="371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84"/>
      <c r="Q12" s="1255">
        <f t="shared" si="6"/>
        <v>111</v>
      </c>
      <c r="R12" s="627" t="s">
        <v>25</v>
      </c>
      <c r="S12" s="628">
        <f t="shared" si="0"/>
        <v>100</v>
      </c>
      <c r="T12" s="627" t="s">
        <v>25</v>
      </c>
      <c r="U12" s="628">
        <f t="shared" si="1"/>
        <v>100</v>
      </c>
      <c r="V12" s="627" t="s">
        <v>25</v>
      </c>
      <c r="W12" s="628">
        <f t="shared" si="2"/>
        <v>100</v>
      </c>
      <c r="X12" s="629"/>
      <c r="Y12" s="371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84"/>
      <c r="Q13" s="1255">
        <f t="shared" si="6"/>
        <v>111</v>
      </c>
      <c r="R13" s="627" t="s">
        <v>25</v>
      </c>
      <c r="S13" s="628">
        <f t="shared" si="0"/>
        <v>100</v>
      </c>
      <c r="T13" s="627" t="s">
        <v>25</v>
      </c>
      <c r="U13" s="628">
        <f t="shared" si="1"/>
        <v>100</v>
      </c>
      <c r="V13" s="627" t="s">
        <v>25</v>
      </c>
      <c r="W13" s="628">
        <f t="shared" si="2"/>
        <v>100</v>
      </c>
      <c r="X13" s="629"/>
      <c r="Y13" s="3714"/>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712" t="s">
        <v>2031</v>
      </c>
      <c r="Q14" s="1262" t="str">
        <f t="shared" si="6"/>
        <v>交通便捷度</v>
      </c>
      <c r="R14" s="631" t="s">
        <v>25</v>
      </c>
      <c r="S14" s="632">
        <f t="shared" si="0"/>
        <v>100</v>
      </c>
      <c r="T14" s="631" t="s">
        <v>25</v>
      </c>
      <c r="U14" s="632">
        <f t="shared" si="1"/>
        <v>100</v>
      </c>
      <c r="V14" s="631" t="s">
        <v>25</v>
      </c>
      <c r="W14" s="632">
        <f t="shared" si="2"/>
        <v>100</v>
      </c>
      <c r="X14" s="1263"/>
      <c r="Y14" s="3712"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713"/>
      <c r="Q15" s="1262"/>
      <c r="R15" s="631"/>
      <c r="S15" s="632"/>
      <c r="T15" s="631"/>
      <c r="U15" s="632"/>
      <c r="V15" s="631"/>
      <c r="W15" s="632"/>
      <c r="X15" s="1263"/>
      <c r="Y15" s="3713"/>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713"/>
      <c r="Q16" s="1262" t="str">
        <f>B16</f>
        <v>公共配套设施</v>
      </c>
      <c r="R16" s="631" t="s">
        <v>25</v>
      </c>
      <c r="S16" s="632">
        <f>F16</f>
        <v>100</v>
      </c>
      <c r="T16" s="631" t="s">
        <v>25</v>
      </c>
      <c r="U16" s="632">
        <f>H16</f>
        <v>100</v>
      </c>
      <c r="V16" s="631" t="s">
        <v>25</v>
      </c>
      <c r="W16" s="632">
        <f>J16</f>
        <v>100</v>
      </c>
      <c r="X16" s="1263"/>
      <c r="Y16" s="3713"/>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713"/>
      <c r="Q17" s="1262"/>
      <c r="R17" s="631"/>
      <c r="S17" s="632"/>
      <c r="T17" s="631"/>
      <c r="U17" s="632"/>
      <c r="V17" s="631"/>
      <c r="W17" s="632"/>
      <c r="X17" s="1263"/>
      <c r="Y17" s="3713"/>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713"/>
      <c r="Q18" s="1262" t="str">
        <f>B18</f>
        <v>基础设施水平</v>
      </c>
      <c r="R18" s="631" t="s">
        <v>25</v>
      </c>
      <c r="S18" s="632">
        <f>F18</f>
        <v>100</v>
      </c>
      <c r="T18" s="631" t="s">
        <v>25</v>
      </c>
      <c r="U18" s="632">
        <f>H18</f>
        <v>100</v>
      </c>
      <c r="V18" s="631" t="s">
        <v>25</v>
      </c>
      <c r="W18" s="632">
        <f>J18</f>
        <v>100</v>
      </c>
      <c r="X18" s="1263"/>
      <c r="Y18" s="3713"/>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713"/>
      <c r="Q19" s="1262"/>
      <c r="R19" s="631"/>
      <c r="S19" s="632"/>
      <c r="T19" s="631"/>
      <c r="U19" s="632"/>
      <c r="V19" s="631"/>
      <c r="W19" s="632"/>
      <c r="X19" s="1263"/>
      <c r="Y19" s="3713"/>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713"/>
      <c r="Q20" s="1262" t="str">
        <f>B20</f>
        <v>自然及人文环境</v>
      </c>
      <c r="R20" s="631" t="s">
        <v>25</v>
      </c>
      <c r="S20" s="632">
        <f>F20</f>
        <v>100</v>
      </c>
      <c r="T20" s="631" t="s">
        <v>25</v>
      </c>
      <c r="U20" s="632">
        <f>H20</f>
        <v>100</v>
      </c>
      <c r="V20" s="631" t="s">
        <v>25</v>
      </c>
      <c r="W20" s="632">
        <f>J20</f>
        <v>100</v>
      </c>
      <c r="X20" s="1263"/>
      <c r="Y20" s="3713"/>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713"/>
      <c r="Q21" s="1262"/>
      <c r="R21" s="631"/>
      <c r="S21" s="632"/>
      <c r="T21" s="631"/>
      <c r="U21" s="632"/>
      <c r="V21" s="631"/>
      <c r="W21" s="632"/>
      <c r="X21" s="1263"/>
      <c r="Y21" s="3713"/>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713"/>
      <c r="Q22" s="1262" t="str">
        <f>B22</f>
        <v>楼层</v>
      </c>
      <c r="R22" s="631" t="s">
        <v>25</v>
      </c>
      <c r="S22" s="632">
        <f>F22</f>
        <v>100</v>
      </c>
      <c r="T22" s="631" t="s">
        <v>25</v>
      </c>
      <c r="U22" s="632">
        <f>H22</f>
        <v>100</v>
      </c>
      <c r="V22" s="631" t="s">
        <v>25</v>
      </c>
      <c r="W22" s="632">
        <f>J22</f>
        <v>100</v>
      </c>
      <c r="X22" s="1263"/>
      <c r="Y22" s="3713"/>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713"/>
      <c r="Q23" s="1262">
        <f>B23</f>
        <v>111</v>
      </c>
      <c r="R23" s="631" t="s">
        <v>25</v>
      </c>
      <c r="S23" s="632">
        <f>F23</f>
        <v>100</v>
      </c>
      <c r="T23" s="631" t="s">
        <v>25</v>
      </c>
      <c r="U23" s="632">
        <f>H23</f>
        <v>100</v>
      </c>
      <c r="V23" s="631" t="s">
        <v>25</v>
      </c>
      <c r="W23" s="632">
        <f>J23</f>
        <v>100</v>
      </c>
      <c r="X23" s="1263"/>
      <c r="Y23" s="3713"/>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713"/>
      <c r="Q24" s="1262">
        <f t="shared" ref="Q24:Q36" si="11">B24</f>
        <v>111</v>
      </c>
      <c r="R24" s="631" t="s">
        <v>25</v>
      </c>
      <c r="S24" s="632">
        <f>F24</f>
        <v>100</v>
      </c>
      <c r="T24" s="631" t="s">
        <v>25</v>
      </c>
      <c r="U24" s="632">
        <f>H24</f>
        <v>100</v>
      </c>
      <c r="V24" s="631" t="s">
        <v>25</v>
      </c>
      <c r="W24" s="632">
        <f>J24</f>
        <v>100</v>
      </c>
      <c r="X24" s="1263"/>
      <c r="Y24" s="3713"/>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713"/>
      <c r="Q25" s="1255">
        <f t="shared" si="11"/>
        <v>111</v>
      </c>
      <c r="R25" s="627" t="s">
        <v>25</v>
      </c>
      <c r="S25" s="628">
        <f>F25</f>
        <v>100</v>
      </c>
      <c r="T25" s="627" t="s">
        <v>25</v>
      </c>
      <c r="U25" s="628">
        <f>H25</f>
        <v>100</v>
      </c>
      <c r="V25" s="627" t="s">
        <v>25</v>
      </c>
      <c r="W25" s="628">
        <f>J25</f>
        <v>100</v>
      </c>
      <c r="X25" s="629"/>
      <c r="Y25" s="3713"/>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71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1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716"/>
      <c r="Q27" s="633" t="str">
        <f t="shared" si="11"/>
        <v>项目停车位配比</v>
      </c>
      <c r="R27" s="634" t="s">
        <v>25</v>
      </c>
      <c r="S27" s="635">
        <f t="shared" si="12"/>
        <v>100</v>
      </c>
      <c r="T27" s="634" t="s">
        <v>25</v>
      </c>
      <c r="U27" s="635">
        <f t="shared" si="13"/>
        <v>100</v>
      </c>
      <c r="V27" s="634" t="s">
        <v>25</v>
      </c>
      <c r="W27" s="635">
        <f t="shared" si="14"/>
        <v>100</v>
      </c>
      <c r="X27" s="636"/>
      <c r="Y27" s="371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716"/>
      <c r="Q28" s="1262" t="str">
        <f t="shared" si="11"/>
        <v>公共部分装修</v>
      </c>
      <c r="R28" s="631" t="s">
        <v>25</v>
      </c>
      <c r="S28" s="632">
        <f t="shared" si="12"/>
        <v>100</v>
      </c>
      <c r="T28" s="631" t="s">
        <v>25</v>
      </c>
      <c r="U28" s="632">
        <f t="shared" si="13"/>
        <v>100</v>
      </c>
      <c r="V28" s="631" t="s">
        <v>25</v>
      </c>
      <c r="W28" s="632">
        <f t="shared" si="14"/>
        <v>100</v>
      </c>
      <c r="X28" s="1263"/>
      <c r="Y28" s="371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716"/>
      <c r="Q29" s="1262" t="str">
        <f t="shared" si="11"/>
        <v>成新率</v>
      </c>
      <c r="R29" s="631" t="s">
        <v>25</v>
      </c>
      <c r="S29" s="632" t="e">
        <f t="shared" si="12"/>
        <v>#N/A</v>
      </c>
      <c r="T29" s="631" t="s">
        <v>25</v>
      </c>
      <c r="U29" s="632" t="e">
        <f t="shared" si="13"/>
        <v>#N/A</v>
      </c>
      <c r="V29" s="631" t="s">
        <v>25</v>
      </c>
      <c r="W29" s="632" t="e">
        <f t="shared" si="14"/>
        <v>#N/A</v>
      </c>
      <c r="X29" s="1263"/>
      <c r="Y29" s="371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716"/>
      <c r="Q30" s="1262" t="str">
        <f t="shared" si="11"/>
        <v>物业等级</v>
      </c>
      <c r="R30" s="631" t="s">
        <v>25</v>
      </c>
      <c r="S30" s="632">
        <f t="shared" si="12"/>
        <v>100</v>
      </c>
      <c r="T30" s="631" t="s">
        <v>25</v>
      </c>
      <c r="U30" s="632">
        <f t="shared" si="13"/>
        <v>100</v>
      </c>
      <c r="V30" s="631" t="s">
        <v>25</v>
      </c>
      <c r="W30" s="632">
        <f t="shared" si="14"/>
        <v>100</v>
      </c>
      <c r="X30" s="1263"/>
      <c r="Y30" s="371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716"/>
      <c r="Q31" s="1255" t="str">
        <f t="shared" si="11"/>
        <v>停车位面积</v>
      </c>
      <c r="R31" s="627" t="s">
        <v>25</v>
      </c>
      <c r="S31" s="628" t="e">
        <f t="shared" si="12"/>
        <v>#N/A</v>
      </c>
      <c r="T31" s="627" t="s">
        <v>25</v>
      </c>
      <c r="U31" s="628" t="e">
        <f t="shared" si="13"/>
        <v>#N/A</v>
      </c>
      <c r="V31" s="627" t="s">
        <v>25</v>
      </c>
      <c r="W31" s="628" t="e">
        <f t="shared" si="14"/>
        <v>#N/A</v>
      </c>
      <c r="X31" s="629"/>
      <c r="Y31" s="371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716" t="s">
        <v>2037</v>
      </c>
      <c r="Q32" s="1262" t="str">
        <f t="shared" si="11"/>
        <v>车位类型</v>
      </c>
      <c r="R32" s="631" t="s">
        <v>25</v>
      </c>
      <c r="S32" s="632">
        <f t="shared" si="12"/>
        <v>100</v>
      </c>
      <c r="T32" s="631" t="s">
        <v>25</v>
      </c>
      <c r="U32" s="632">
        <f t="shared" si="13"/>
        <v>100</v>
      </c>
      <c r="V32" s="631" t="s">
        <v>25</v>
      </c>
      <c r="W32" s="632">
        <f t="shared" si="14"/>
        <v>100</v>
      </c>
      <c r="X32" s="1263"/>
      <c r="Y32" s="371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716"/>
      <c r="Q33" s="1262" t="str">
        <f t="shared" si="11"/>
        <v>是否直接入户</v>
      </c>
      <c r="R33" s="631" t="s">
        <v>25</v>
      </c>
      <c r="S33" s="632">
        <f t="shared" si="12"/>
        <v>100</v>
      </c>
      <c r="T33" s="631" t="s">
        <v>25</v>
      </c>
      <c r="U33" s="632">
        <f t="shared" si="13"/>
        <v>100</v>
      </c>
      <c r="V33" s="631" t="s">
        <v>25</v>
      </c>
      <c r="W33" s="632">
        <f t="shared" si="14"/>
        <v>100</v>
      </c>
      <c r="X33" s="1263"/>
      <c r="Y33" s="371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716"/>
      <c r="Q34" s="1262">
        <f t="shared" si="11"/>
        <v>111</v>
      </c>
      <c r="R34" s="631" t="s">
        <v>25</v>
      </c>
      <c r="S34" s="632">
        <f t="shared" si="12"/>
        <v>100</v>
      </c>
      <c r="T34" s="631" t="s">
        <v>25</v>
      </c>
      <c r="U34" s="632">
        <f t="shared" si="13"/>
        <v>100</v>
      </c>
      <c r="V34" s="631" t="s">
        <v>25</v>
      </c>
      <c r="W34" s="632">
        <f t="shared" si="14"/>
        <v>100</v>
      </c>
      <c r="X34" s="1263"/>
      <c r="Y34" s="371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716"/>
      <c r="Q35" s="633">
        <f t="shared" si="11"/>
        <v>111</v>
      </c>
      <c r="R35" s="634" t="s">
        <v>25</v>
      </c>
      <c r="S35" s="635">
        <f t="shared" si="12"/>
        <v>100</v>
      </c>
      <c r="T35" s="634" t="s">
        <v>25</v>
      </c>
      <c r="U35" s="635">
        <f t="shared" si="13"/>
        <v>100</v>
      </c>
      <c r="V35" s="634" t="s">
        <v>25</v>
      </c>
      <c r="W35" s="635">
        <f t="shared" si="14"/>
        <v>100</v>
      </c>
      <c r="X35" s="636"/>
      <c r="Y35" s="371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716"/>
      <c r="Q36" s="1262">
        <f t="shared" si="11"/>
        <v>111</v>
      </c>
      <c r="R36" s="631" t="s">
        <v>25</v>
      </c>
      <c r="S36" s="632">
        <f t="shared" si="12"/>
        <v>100</v>
      </c>
      <c r="T36" s="631" t="s">
        <v>25</v>
      </c>
      <c r="U36" s="632">
        <f t="shared" si="13"/>
        <v>100</v>
      </c>
      <c r="V36" s="631" t="s">
        <v>25</v>
      </c>
      <c r="W36" s="632">
        <f t="shared" si="14"/>
        <v>100</v>
      </c>
      <c r="X36" s="1263"/>
      <c r="Y36" s="371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84" t="str">
        <f>A37</f>
        <v>成交单价</v>
      </c>
      <c r="Q37" s="3684"/>
      <c r="R37" s="3718">
        <f>E37</f>
        <v>0</v>
      </c>
      <c r="S37" s="3718"/>
      <c r="T37" s="3718">
        <f>G37</f>
        <v>0</v>
      </c>
      <c r="U37" s="3718"/>
      <c r="V37" s="3718">
        <f>I37</f>
        <v>0</v>
      </c>
      <c r="W37" s="3718"/>
      <c r="X37" s="618"/>
      <c r="Y37" s="638"/>
      <c r="Z37" s="618"/>
      <c r="AA37" s="618"/>
      <c r="AB37" s="618"/>
      <c r="AC37" s="618"/>
    </row>
    <row r="38" spans="1:29" ht="15.75" thickBot="1">
      <c r="A38" s="374" t="s">
        <v>2181</v>
      </c>
      <c r="B38" s="375" t="str">
        <f>B37</f>
        <v>元/平方米</v>
      </c>
      <c r="C38" s="1088" t="e">
        <f>R39</f>
        <v>#DIV/0!</v>
      </c>
      <c r="D38" s="1724" t="s">
        <v>2499</v>
      </c>
      <c r="E38" s="1089" t="e">
        <f>R38</f>
        <v>#DIV/0!</v>
      </c>
      <c r="F38" s="1726"/>
      <c r="G38" s="1088" t="e">
        <f>T38</f>
        <v>#DIV/0!</v>
      </c>
      <c r="H38" s="1726"/>
      <c r="I38" s="1089" t="e">
        <f>V38</f>
        <v>#DIV/0!</v>
      </c>
      <c r="J38" s="1726"/>
      <c r="K38" s="2428">
        <f>F38+H38+J38</f>
        <v>0</v>
      </c>
      <c r="L38" s="2954"/>
      <c r="P38" s="3684" t="str">
        <f>A38</f>
        <v>比较价值</v>
      </c>
      <c r="Q38" s="3684"/>
      <c r="R38" s="3718" t="e">
        <f>IF(E1="售价",ROUND(PRODUCT(R37,AA7:AA36),0),ROUND(PRODUCT(R37,AA7:AA36),1))</f>
        <v>#DIV/0!</v>
      </c>
      <c r="S38" s="3718"/>
      <c r="T38" s="3718" t="e">
        <f>IF(E1="售价",ROUND(PRODUCT(T37,AB7:AB36),0),ROUND(PRODUCT(T37,AB7:AB36),1))</f>
        <v>#DIV/0!</v>
      </c>
      <c r="U38" s="3718"/>
      <c r="V38" s="3718" t="e">
        <f>IF(E1="售价",ROUND(PRODUCT(V37,AC7:AC36),0),ROUND(PRODUCT(V37,AC7:AC36),1))</f>
        <v>#DIV/0!</v>
      </c>
      <c r="W38" s="3718"/>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719" t="str">
        <f>A39</f>
        <v>估价对象XX用房的比较价值（楼面单价，元/平方米）</v>
      </c>
      <c r="Q39" s="3720"/>
      <c r="R39" s="3721" t="e">
        <f>IF(E1="售价",ROUND(IF(D38="简单平均",AVERAGE(R38:W38),R38*F38+T38*H38+V38*J38),0),ROUND(IF(D38="简单平均",AVERAGE(R38:V38),R38*F38+T38*H38+V38*J38),1))</f>
        <v>#DIV/0!</v>
      </c>
      <c r="S39" s="3721"/>
      <c r="T39" s="3721"/>
      <c r="U39" s="3721"/>
      <c r="V39" s="3721"/>
      <c r="W39" s="372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2023-1</v>
      </c>
      <c r="D48" s="1117">
        <f>EDATE(C48,-1)</f>
        <v>44896</v>
      </c>
      <c r="E48" s="1117">
        <f t="shared" ref="E48:O48" si="16">EDATE(D48,-1)</f>
        <v>44866</v>
      </c>
      <c r="F48" s="1117">
        <f t="shared" si="16"/>
        <v>44835</v>
      </c>
      <c r="G48" s="1117">
        <f t="shared" si="16"/>
        <v>44805</v>
      </c>
      <c r="H48" s="1117">
        <f t="shared" si="16"/>
        <v>44774</v>
      </c>
      <c r="I48" s="1117">
        <f t="shared" si="16"/>
        <v>44743</v>
      </c>
      <c r="J48" s="1117">
        <f t="shared" si="16"/>
        <v>44713</v>
      </c>
      <c r="K48" s="1117">
        <f t="shared" si="16"/>
        <v>44682</v>
      </c>
      <c r="L48" s="1117">
        <f t="shared" si="16"/>
        <v>44652</v>
      </c>
      <c r="M48" s="1117">
        <f t="shared" si="16"/>
        <v>44621</v>
      </c>
      <c r="N48" s="1117">
        <f t="shared" si="16"/>
        <v>44593</v>
      </c>
      <c r="O48" s="1117">
        <f t="shared" si="16"/>
        <v>44562</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2500</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53.46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92" t="s">
        <v>2007</v>
      </c>
      <c r="D4" s="3693"/>
      <c r="E4" s="3694" t="s">
        <v>2008</v>
      </c>
      <c r="F4" s="3695"/>
      <c r="G4" s="3692" t="s">
        <v>2009</v>
      </c>
      <c r="H4" s="3693"/>
      <c r="I4" s="3692" t="s">
        <v>2010</v>
      </c>
      <c r="J4" s="3693"/>
      <c r="K4" s="496" t="s">
        <v>2011</v>
      </c>
      <c r="L4" s="2942"/>
      <c r="M4" s="2943"/>
      <c r="N4" s="2943"/>
      <c r="O4" s="2943"/>
      <c r="P4" s="3696" t="s">
        <v>2012</v>
      </c>
      <c r="Q4" s="3697"/>
      <c r="R4" s="3702" t="s">
        <v>2008</v>
      </c>
      <c r="S4" s="3703"/>
      <c r="T4" s="3702" t="s">
        <v>2009</v>
      </c>
      <c r="U4" s="3703"/>
      <c r="V4" s="3708" t="s">
        <v>2010</v>
      </c>
      <c r="W4" s="3708"/>
      <c r="X4" s="1263"/>
      <c r="Y4" s="3702" t="s">
        <v>2012</v>
      </c>
      <c r="Z4" s="3703"/>
      <c r="AA4" s="3689" t="s">
        <v>2008</v>
      </c>
      <c r="AB4" s="3690" t="s">
        <v>2009</v>
      </c>
      <c r="AC4" s="3689" t="s">
        <v>2010</v>
      </c>
    </row>
    <row r="5" spans="1:29" ht="15">
      <c r="A5" s="297"/>
      <c r="B5" s="298"/>
      <c r="C5" s="3685" t="s">
        <v>2013</v>
      </c>
      <c r="D5" s="3686"/>
      <c r="E5" s="3709" t="s">
        <v>2014</v>
      </c>
      <c r="F5" s="3710"/>
      <c r="G5" s="3685" t="s">
        <v>2015</v>
      </c>
      <c r="H5" s="3686"/>
      <c r="I5" s="3685" t="s">
        <v>2016</v>
      </c>
      <c r="J5" s="3686"/>
      <c r="K5" s="496"/>
      <c r="L5" s="2942"/>
      <c r="M5" s="2943"/>
      <c r="N5" s="2943"/>
      <c r="O5" s="2943"/>
      <c r="P5" s="3698"/>
      <c r="Q5" s="3699"/>
      <c r="R5" s="3704"/>
      <c r="S5" s="3705"/>
      <c r="T5" s="3704"/>
      <c r="U5" s="3705"/>
      <c r="V5" s="3708"/>
      <c r="W5" s="3708"/>
      <c r="X5" s="1263"/>
      <c r="Y5" s="3704"/>
      <c r="Z5" s="3705"/>
      <c r="AA5" s="3690"/>
      <c r="AB5" s="3690"/>
      <c r="AC5" s="3690"/>
    </row>
    <row r="6" spans="1:29" ht="15.75" thickBot="1">
      <c r="A6" s="299"/>
      <c r="B6" s="300"/>
      <c r="C6" s="3682" t="s">
        <v>2017</v>
      </c>
      <c r="D6" s="3683"/>
      <c r="E6" s="3680" t="s">
        <v>2017</v>
      </c>
      <c r="F6" s="3681"/>
      <c r="G6" s="3682" t="s">
        <v>2017</v>
      </c>
      <c r="H6" s="3683"/>
      <c r="I6" s="3682" t="s">
        <v>2017</v>
      </c>
      <c r="J6" s="3683"/>
      <c r="K6" s="496" t="s">
        <v>2018</v>
      </c>
      <c r="L6" s="2942"/>
      <c r="M6" s="2943"/>
      <c r="N6" s="2943"/>
      <c r="O6" s="2943"/>
      <c r="P6" s="3700"/>
      <c r="Q6" s="3701"/>
      <c r="R6" s="3704"/>
      <c r="S6" s="3705"/>
      <c r="T6" s="3706"/>
      <c r="U6" s="3707"/>
      <c r="V6" s="3708"/>
      <c r="W6" s="3708"/>
      <c r="X6" s="1263"/>
      <c r="Y6" s="3706"/>
      <c r="Z6" s="3707"/>
      <c r="AA6" s="3691"/>
      <c r="AB6" s="3691"/>
      <c r="AC6" s="3691"/>
    </row>
    <row r="7" spans="1:29" s="25" customFormat="1" ht="15.75" thickBot="1">
      <c r="A7" s="301" t="s">
        <v>2019</v>
      </c>
      <c r="B7" s="302"/>
      <c r="C7" s="303">
        <f>'数据-取费表'!B2</f>
        <v>44938</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87" t="s">
        <v>2020</v>
      </c>
      <c r="Q7" s="3711"/>
      <c r="R7" s="627" t="s">
        <v>25</v>
      </c>
      <c r="S7" s="628">
        <f t="shared" ref="S7:S14" si="0">F7</f>
        <v>0</v>
      </c>
      <c r="T7" s="627" t="s">
        <v>25</v>
      </c>
      <c r="U7" s="628">
        <f t="shared" ref="U7:U14" si="1">H7</f>
        <v>0</v>
      </c>
      <c r="V7" s="627" t="s">
        <v>25</v>
      </c>
      <c r="W7" s="628">
        <f t="shared" ref="W7:W14" si="2">J7</f>
        <v>0</v>
      </c>
      <c r="X7" s="629"/>
      <c r="Y7" s="3687" t="s">
        <v>2020</v>
      </c>
      <c r="Z7" s="368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84" t="s">
        <v>2026</v>
      </c>
      <c r="Q9" s="1255" t="str">
        <f t="shared" ref="Q9:Q14" si="6">B9</f>
        <v>用途</v>
      </c>
      <c r="R9" s="627" t="s">
        <v>25</v>
      </c>
      <c r="S9" s="628">
        <f t="shared" si="0"/>
        <v>100</v>
      </c>
      <c r="T9" s="627" t="s">
        <v>25</v>
      </c>
      <c r="U9" s="628">
        <f t="shared" si="1"/>
        <v>100</v>
      </c>
      <c r="V9" s="627" t="s">
        <v>25</v>
      </c>
      <c r="W9" s="628">
        <f t="shared" si="2"/>
        <v>100</v>
      </c>
      <c r="X9" s="629"/>
      <c r="Y9" s="3714"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84"/>
      <c r="Q10" s="1255" t="str">
        <f t="shared" si="6"/>
        <v>土地使用年限（年）</v>
      </c>
      <c r="R10" s="627" t="s">
        <v>25</v>
      </c>
      <c r="S10" s="628">
        <f t="shared" si="0"/>
        <v>100</v>
      </c>
      <c r="T10" s="627" t="s">
        <v>25</v>
      </c>
      <c r="U10" s="628">
        <f t="shared" si="1"/>
        <v>100</v>
      </c>
      <c r="V10" s="627" t="s">
        <v>25</v>
      </c>
      <c r="W10" s="628">
        <f t="shared" si="2"/>
        <v>100</v>
      </c>
      <c r="X10" s="629"/>
      <c r="Y10" s="3714"/>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84"/>
      <c r="Q11" s="1255">
        <f t="shared" si="6"/>
        <v>111</v>
      </c>
      <c r="R11" s="627" t="s">
        <v>25</v>
      </c>
      <c r="S11" s="628">
        <f t="shared" si="0"/>
        <v>100</v>
      </c>
      <c r="T11" s="627" t="s">
        <v>25</v>
      </c>
      <c r="U11" s="628">
        <f t="shared" si="1"/>
        <v>100</v>
      </c>
      <c r="V11" s="627" t="s">
        <v>25</v>
      </c>
      <c r="W11" s="628">
        <f t="shared" si="2"/>
        <v>100</v>
      </c>
      <c r="X11" s="629"/>
      <c r="Y11" s="3714"/>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84"/>
      <c r="Q12" s="1255">
        <f t="shared" si="6"/>
        <v>111</v>
      </c>
      <c r="R12" s="627" t="s">
        <v>25</v>
      </c>
      <c r="S12" s="628">
        <f t="shared" si="0"/>
        <v>100</v>
      </c>
      <c r="T12" s="627" t="s">
        <v>25</v>
      </c>
      <c r="U12" s="628">
        <f t="shared" si="1"/>
        <v>100</v>
      </c>
      <c r="V12" s="627" t="s">
        <v>25</v>
      </c>
      <c r="W12" s="628">
        <f t="shared" si="2"/>
        <v>100</v>
      </c>
      <c r="X12" s="629"/>
      <c r="Y12" s="3714"/>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84"/>
      <c r="Q13" s="1255">
        <f t="shared" si="6"/>
        <v>111</v>
      </c>
      <c r="R13" s="627" t="s">
        <v>25</v>
      </c>
      <c r="S13" s="628">
        <f t="shared" si="0"/>
        <v>100</v>
      </c>
      <c r="T13" s="627" t="s">
        <v>25</v>
      </c>
      <c r="U13" s="628">
        <f t="shared" si="1"/>
        <v>100</v>
      </c>
      <c r="V13" s="627" t="s">
        <v>25</v>
      </c>
      <c r="W13" s="628">
        <f t="shared" si="2"/>
        <v>100</v>
      </c>
      <c r="X13" s="629"/>
      <c r="Y13" s="3714"/>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712" t="s">
        <v>2031</v>
      </c>
      <c r="Q14" s="1262" t="str">
        <f t="shared" si="6"/>
        <v>交通便捷度</v>
      </c>
      <c r="R14" s="631" t="s">
        <v>25</v>
      </c>
      <c r="S14" s="632">
        <f t="shared" si="0"/>
        <v>100</v>
      </c>
      <c r="T14" s="631" t="s">
        <v>25</v>
      </c>
      <c r="U14" s="632">
        <f t="shared" si="1"/>
        <v>100</v>
      </c>
      <c r="V14" s="631" t="s">
        <v>25</v>
      </c>
      <c r="W14" s="632">
        <f t="shared" si="2"/>
        <v>100</v>
      </c>
      <c r="X14" s="1263"/>
      <c r="Y14" s="3712"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713"/>
      <c r="Q15" s="1262"/>
      <c r="R15" s="631"/>
      <c r="S15" s="632"/>
      <c r="T15" s="631"/>
      <c r="U15" s="632"/>
      <c r="V15" s="631"/>
      <c r="W15" s="632"/>
      <c r="X15" s="1263"/>
      <c r="Y15" s="3713"/>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713"/>
      <c r="Q16" s="1262" t="str">
        <f>B16</f>
        <v>公共配套设施</v>
      </c>
      <c r="R16" s="631" t="s">
        <v>25</v>
      </c>
      <c r="S16" s="632">
        <f>F16</f>
        <v>100</v>
      </c>
      <c r="T16" s="631" t="s">
        <v>25</v>
      </c>
      <c r="U16" s="632">
        <f>H16</f>
        <v>100</v>
      </c>
      <c r="V16" s="631" t="s">
        <v>25</v>
      </c>
      <c r="W16" s="632">
        <f>J16</f>
        <v>100</v>
      </c>
      <c r="X16" s="1263"/>
      <c r="Y16" s="3713"/>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713"/>
      <c r="Q17" s="1262"/>
      <c r="R17" s="631"/>
      <c r="S17" s="632"/>
      <c r="T17" s="631"/>
      <c r="U17" s="632"/>
      <c r="V17" s="631"/>
      <c r="W17" s="632"/>
      <c r="X17" s="1263"/>
      <c r="Y17" s="3713"/>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713"/>
      <c r="Q18" s="1262" t="str">
        <f>B18</f>
        <v>基础设施水平</v>
      </c>
      <c r="R18" s="631" t="s">
        <v>25</v>
      </c>
      <c r="S18" s="632">
        <f>F18</f>
        <v>100</v>
      </c>
      <c r="T18" s="631" t="s">
        <v>25</v>
      </c>
      <c r="U18" s="632">
        <f>H18</f>
        <v>100</v>
      </c>
      <c r="V18" s="631" t="s">
        <v>25</v>
      </c>
      <c r="W18" s="632">
        <f>J18</f>
        <v>100</v>
      </c>
      <c r="X18" s="1263"/>
      <c r="Y18" s="3713"/>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713"/>
      <c r="Q19" s="1262"/>
      <c r="R19" s="631"/>
      <c r="S19" s="632"/>
      <c r="T19" s="631"/>
      <c r="U19" s="632"/>
      <c r="V19" s="631"/>
      <c r="W19" s="632"/>
      <c r="X19" s="1263"/>
      <c r="Y19" s="3713"/>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713"/>
      <c r="Q20" s="1262" t="str">
        <f>B20</f>
        <v>自然及人文环境</v>
      </c>
      <c r="R20" s="631" t="s">
        <v>25</v>
      </c>
      <c r="S20" s="632">
        <f>F20</f>
        <v>100</v>
      </c>
      <c r="T20" s="631" t="s">
        <v>25</v>
      </c>
      <c r="U20" s="632">
        <f>H20</f>
        <v>100</v>
      </c>
      <c r="V20" s="631" t="s">
        <v>25</v>
      </c>
      <c r="W20" s="632">
        <f>J20</f>
        <v>100</v>
      </c>
      <c r="X20" s="1263"/>
      <c r="Y20" s="3713"/>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713"/>
      <c r="Q21" s="1262"/>
      <c r="R21" s="631"/>
      <c r="S21" s="632"/>
      <c r="T21" s="631"/>
      <c r="U21" s="632"/>
      <c r="V21" s="631"/>
      <c r="W21" s="632"/>
      <c r="X21" s="1263"/>
      <c r="Y21" s="3713"/>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713"/>
      <c r="Q22" s="1262" t="str">
        <f>B22</f>
        <v>楼层</v>
      </c>
      <c r="R22" s="631" t="s">
        <v>25</v>
      </c>
      <c r="S22" s="632">
        <f>F22</f>
        <v>100</v>
      </c>
      <c r="T22" s="631" t="s">
        <v>25</v>
      </c>
      <c r="U22" s="632">
        <f>H22</f>
        <v>100</v>
      </c>
      <c r="V22" s="631" t="s">
        <v>25</v>
      </c>
      <c r="W22" s="632">
        <f>J22</f>
        <v>100</v>
      </c>
      <c r="X22" s="1263"/>
      <c r="Y22" s="3713"/>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713"/>
      <c r="Q23" s="1262">
        <f>B23</f>
        <v>111</v>
      </c>
      <c r="R23" s="631" t="s">
        <v>25</v>
      </c>
      <c r="S23" s="632">
        <f>F23</f>
        <v>100</v>
      </c>
      <c r="T23" s="631" t="s">
        <v>25</v>
      </c>
      <c r="U23" s="632">
        <f>H23</f>
        <v>100</v>
      </c>
      <c r="V23" s="631" t="s">
        <v>25</v>
      </c>
      <c r="W23" s="632">
        <f>J23</f>
        <v>100</v>
      </c>
      <c r="X23" s="1263"/>
      <c r="Y23" s="3713"/>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713"/>
      <c r="Q24" s="1262">
        <f t="shared" ref="Q24:Q34" si="11">B24</f>
        <v>111</v>
      </c>
      <c r="R24" s="631" t="s">
        <v>25</v>
      </c>
      <c r="S24" s="632">
        <f>F24</f>
        <v>100</v>
      </c>
      <c r="T24" s="631" t="s">
        <v>25</v>
      </c>
      <c r="U24" s="632">
        <f>H24</f>
        <v>100</v>
      </c>
      <c r="V24" s="631" t="s">
        <v>25</v>
      </c>
      <c r="W24" s="632">
        <f>J24</f>
        <v>100</v>
      </c>
      <c r="X24" s="1263"/>
      <c r="Y24" s="3713"/>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713"/>
      <c r="Q25" s="1255">
        <f t="shared" si="11"/>
        <v>111</v>
      </c>
      <c r="R25" s="627" t="s">
        <v>25</v>
      </c>
      <c r="S25" s="628">
        <f>F25</f>
        <v>100</v>
      </c>
      <c r="T25" s="627" t="s">
        <v>25</v>
      </c>
      <c r="U25" s="628">
        <f>H25</f>
        <v>100</v>
      </c>
      <c r="V25" s="627" t="s">
        <v>25</v>
      </c>
      <c r="W25" s="628">
        <f>J25</f>
        <v>100</v>
      </c>
      <c r="X25" s="629"/>
      <c r="Y25" s="3713"/>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71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1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716"/>
      <c r="Q27" s="633" t="str">
        <f t="shared" si="11"/>
        <v>成新率</v>
      </c>
      <c r="R27" s="634" t="s">
        <v>25</v>
      </c>
      <c r="S27" s="635" t="e">
        <f t="shared" si="12"/>
        <v>#N/A</v>
      </c>
      <c r="T27" s="634" t="s">
        <v>25</v>
      </c>
      <c r="U27" s="635" t="e">
        <f t="shared" si="13"/>
        <v>#N/A</v>
      </c>
      <c r="V27" s="634" t="s">
        <v>25</v>
      </c>
      <c r="W27" s="635" t="e">
        <f t="shared" si="14"/>
        <v>#N/A</v>
      </c>
      <c r="X27" s="636"/>
      <c r="Y27" s="371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716"/>
      <c r="Q28" s="1262" t="str">
        <f t="shared" si="11"/>
        <v>物业等级</v>
      </c>
      <c r="R28" s="631" t="s">
        <v>25</v>
      </c>
      <c r="S28" s="632">
        <f t="shared" si="12"/>
        <v>100</v>
      </c>
      <c r="T28" s="631" t="s">
        <v>25</v>
      </c>
      <c r="U28" s="632">
        <f t="shared" si="13"/>
        <v>100</v>
      </c>
      <c r="V28" s="631" t="s">
        <v>25</v>
      </c>
      <c r="W28" s="632">
        <f t="shared" si="14"/>
        <v>100</v>
      </c>
      <c r="X28" s="1263"/>
      <c r="Y28" s="371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716"/>
      <c r="Q29" s="1262" t="str">
        <f t="shared" si="11"/>
        <v>有无电梯</v>
      </c>
      <c r="R29" s="631" t="s">
        <v>25</v>
      </c>
      <c r="S29" s="632">
        <f t="shared" si="12"/>
        <v>100</v>
      </c>
      <c r="T29" s="631" t="s">
        <v>25</v>
      </c>
      <c r="U29" s="632">
        <f t="shared" si="13"/>
        <v>100</v>
      </c>
      <c r="V29" s="631" t="s">
        <v>25</v>
      </c>
      <c r="W29" s="632">
        <f t="shared" si="14"/>
        <v>100</v>
      </c>
      <c r="X29" s="1263"/>
      <c r="Y29" s="371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716"/>
      <c r="Q30" s="1262" t="str">
        <f t="shared" si="11"/>
        <v>建筑面积</v>
      </c>
      <c r="R30" s="631" t="s">
        <v>25</v>
      </c>
      <c r="S30" s="632" t="e">
        <f t="shared" si="12"/>
        <v>#N/A</v>
      </c>
      <c r="T30" s="631" t="s">
        <v>25</v>
      </c>
      <c r="U30" s="632" t="e">
        <f t="shared" si="13"/>
        <v>#N/A</v>
      </c>
      <c r="V30" s="631" t="s">
        <v>25</v>
      </c>
      <c r="W30" s="632" t="e">
        <f t="shared" si="14"/>
        <v>#N/A</v>
      </c>
      <c r="X30" s="1263"/>
      <c r="Y30" s="371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716"/>
      <c r="Q31" s="1255" t="str">
        <f t="shared" si="11"/>
        <v>是否封闭</v>
      </c>
      <c r="R31" s="627" t="s">
        <v>25</v>
      </c>
      <c r="S31" s="628">
        <f t="shared" si="12"/>
        <v>100</v>
      </c>
      <c r="T31" s="627" t="s">
        <v>25</v>
      </c>
      <c r="U31" s="628">
        <f t="shared" si="13"/>
        <v>100</v>
      </c>
      <c r="V31" s="627" t="s">
        <v>25</v>
      </c>
      <c r="W31" s="628">
        <f t="shared" si="14"/>
        <v>100</v>
      </c>
      <c r="X31" s="629"/>
      <c r="Y31" s="371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716" t="s">
        <v>2037</v>
      </c>
      <c r="Q32" s="1262">
        <f t="shared" si="11"/>
        <v>111</v>
      </c>
      <c r="R32" s="631" t="s">
        <v>25</v>
      </c>
      <c r="S32" s="632">
        <f t="shared" si="12"/>
        <v>100</v>
      </c>
      <c r="T32" s="631" t="s">
        <v>25</v>
      </c>
      <c r="U32" s="632">
        <f t="shared" si="13"/>
        <v>100</v>
      </c>
      <c r="V32" s="631" t="s">
        <v>25</v>
      </c>
      <c r="W32" s="632">
        <f t="shared" si="14"/>
        <v>100</v>
      </c>
      <c r="X32" s="1263"/>
      <c r="Y32" s="371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716"/>
      <c r="Q33" s="1262">
        <f t="shared" si="11"/>
        <v>111</v>
      </c>
      <c r="R33" s="631" t="s">
        <v>25</v>
      </c>
      <c r="S33" s="632">
        <f t="shared" si="12"/>
        <v>100</v>
      </c>
      <c r="T33" s="631" t="s">
        <v>25</v>
      </c>
      <c r="U33" s="632">
        <f t="shared" si="13"/>
        <v>100</v>
      </c>
      <c r="V33" s="631" t="s">
        <v>25</v>
      </c>
      <c r="W33" s="632">
        <f t="shared" si="14"/>
        <v>100</v>
      </c>
      <c r="X33" s="1263"/>
      <c r="Y33" s="371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716"/>
      <c r="Q34" s="1262">
        <f t="shared" si="11"/>
        <v>111</v>
      </c>
      <c r="R34" s="631" t="s">
        <v>25</v>
      </c>
      <c r="S34" s="632">
        <f t="shared" si="12"/>
        <v>100</v>
      </c>
      <c r="T34" s="631" t="s">
        <v>25</v>
      </c>
      <c r="U34" s="632">
        <f t="shared" si="13"/>
        <v>100</v>
      </c>
      <c r="V34" s="631" t="s">
        <v>25</v>
      </c>
      <c r="W34" s="632">
        <f t="shared" si="14"/>
        <v>100</v>
      </c>
      <c r="X34" s="1263"/>
      <c r="Y34" s="371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84" t="str">
        <f>A35</f>
        <v>成交单价（元/平方米）</v>
      </c>
      <c r="Q35" s="3684"/>
      <c r="R35" s="3718">
        <f>E35</f>
        <v>0</v>
      </c>
      <c r="S35" s="3718"/>
      <c r="T35" s="3718">
        <f>G35</f>
        <v>0</v>
      </c>
      <c r="U35" s="3718"/>
      <c r="V35" s="3718">
        <f>I35</f>
        <v>0</v>
      </c>
      <c r="W35" s="3718"/>
      <c r="X35" s="618"/>
      <c r="Y35" s="638"/>
      <c r="Z35" s="618"/>
      <c r="AA35" s="618"/>
      <c r="AB35" s="618"/>
      <c r="AC35" s="618"/>
    </row>
    <row r="36" spans="1:29" ht="15.75" thickBot="1">
      <c r="A36" s="374" t="s">
        <v>2132</v>
      </c>
      <c r="B36" s="375"/>
      <c r="C36" s="1088" t="e">
        <f>R37</f>
        <v>#DIV/0!</v>
      </c>
      <c r="D36" s="1724" t="s">
        <v>2499</v>
      </c>
      <c r="E36" s="1089" t="e">
        <f>R36</f>
        <v>#DIV/0!</v>
      </c>
      <c r="F36" s="1726"/>
      <c r="G36" s="1088" t="e">
        <f>T36</f>
        <v>#DIV/0!</v>
      </c>
      <c r="H36" s="1726"/>
      <c r="I36" s="1089" t="e">
        <f>V36</f>
        <v>#DIV/0!</v>
      </c>
      <c r="J36" s="1726"/>
      <c r="K36" s="2428">
        <f>F36+H36+J36</f>
        <v>0</v>
      </c>
      <c r="L36" s="2954"/>
      <c r="N36" s="2943"/>
      <c r="P36" s="3684" t="str">
        <f>A36</f>
        <v>比较价值（元/平方米）</v>
      </c>
      <c r="Q36" s="3684"/>
      <c r="R36" s="3718" t="e">
        <f>IF(E1="售价",ROUND(PRODUCT(R35,AA7:AA34),0),ROUND(PRODUCT(R35,AA7:AA34),1))</f>
        <v>#DIV/0!</v>
      </c>
      <c r="S36" s="3718"/>
      <c r="T36" s="3718" t="e">
        <f>IF(E1="售价",ROUND(PRODUCT(T35,AB7:AB34),0),ROUND(PRODUCT(T35,AB7:AB34),1))</f>
        <v>#DIV/0!</v>
      </c>
      <c r="U36" s="3718"/>
      <c r="V36" s="3718" t="e">
        <f>IF(E1="售价",ROUND(PRODUCT(V35,AC7:AC34),0),ROUND(PRODUCT(V35,AC7:AC34),1))</f>
        <v>#DIV/0!</v>
      </c>
      <c r="W36" s="3718"/>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719" t="str">
        <f>A37</f>
        <v>估价对象XX用房的比较价值（楼面单价，元/平方米）</v>
      </c>
      <c r="Q37" s="3720"/>
      <c r="R37" s="3721" t="e">
        <f>IF(E1="售价",ROUND(IF(D36="简单平均",AVERAGE(R36:W36),R36*F36+T36*H36+V36*J36),0),ROUND(IF(D36="简单平均",AVERAGE(R36:V36),R36*F36+T36*H36+V36*J36),1))</f>
        <v>#DIV/0!</v>
      </c>
      <c r="S37" s="3721"/>
      <c r="T37" s="3721"/>
      <c r="U37" s="3721"/>
      <c r="V37" s="3721"/>
      <c r="W37" s="3721"/>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2023-1</v>
      </c>
      <c r="D46" s="1117">
        <f>EDATE(C46,-1)</f>
        <v>44896</v>
      </c>
      <c r="E46" s="1117">
        <f t="shared" ref="E46:O46" si="16">EDATE(D46,-1)</f>
        <v>44866</v>
      </c>
      <c r="F46" s="1117">
        <f t="shared" si="16"/>
        <v>44835</v>
      </c>
      <c r="G46" s="1117">
        <f t="shared" si="16"/>
        <v>44805</v>
      </c>
      <c r="H46" s="1117">
        <f t="shared" si="16"/>
        <v>44774</v>
      </c>
      <c r="I46" s="1117">
        <f t="shared" si="16"/>
        <v>44743</v>
      </c>
      <c r="J46" s="1117">
        <f t="shared" si="16"/>
        <v>44713</v>
      </c>
      <c r="K46" s="1117">
        <f t="shared" si="16"/>
        <v>44682</v>
      </c>
      <c r="L46" s="1117">
        <f t="shared" si="16"/>
        <v>44652</v>
      </c>
      <c r="M46" s="1117">
        <f t="shared" si="16"/>
        <v>44621</v>
      </c>
      <c r="N46" s="1117">
        <f t="shared" si="16"/>
        <v>44593</v>
      </c>
      <c r="O46" s="1117">
        <f t="shared" si="16"/>
        <v>44562</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 xml:space="preserve">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估价对象为北京市房地产，为所有。根据《》[]，估价对象建筑面积为53.46平方米。根据《》[]，估价对象（分摊）出让国有建设用地使用权面积为平方米。估价对象用途为。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2023年1月12日（评估专业人员实地查勘之日）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本次估价的“房地产价值”是指在正常市场情况下，在价值时点2023年1月12日，估价对象规划用途为，假定未设立法定优先受偿款下的房地产市场价值。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5"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7" t="s">
        <v>1675</v>
      </c>
      <c r="B3" s="1890" t="e">
        <f>ROUND(B2/'数据-取费表'!B5,0)</f>
        <v>#DIV/0!</v>
      </c>
      <c r="C3" s="1585"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1" t="s">
        <v>2006</v>
      </c>
      <c r="B4" s="1592"/>
      <c r="C4" s="3632" t="s">
        <v>2007</v>
      </c>
      <c r="D4" s="3633"/>
      <c r="E4" s="3634" t="s">
        <v>2008</v>
      </c>
      <c r="F4" s="3635"/>
      <c r="G4" s="3632" t="s">
        <v>2009</v>
      </c>
      <c r="H4" s="3633"/>
      <c r="I4" s="3632" t="s">
        <v>2010</v>
      </c>
      <c r="J4" s="3633"/>
      <c r="K4" s="1893" t="s">
        <v>2011</v>
      </c>
      <c r="L4" s="2914"/>
      <c r="M4" s="2915"/>
      <c r="N4" s="2915"/>
      <c r="O4" s="2915"/>
      <c r="P4" s="3636" t="s">
        <v>2012</v>
      </c>
      <c r="Q4" s="3637"/>
      <c r="R4" s="3642" t="s">
        <v>2008</v>
      </c>
      <c r="S4" s="3643"/>
      <c r="T4" s="3642" t="s">
        <v>2009</v>
      </c>
      <c r="U4" s="3643"/>
      <c r="V4" s="3648" t="s">
        <v>2010</v>
      </c>
      <c r="W4" s="3648"/>
      <c r="X4" s="1594"/>
      <c r="Y4" s="3642" t="s">
        <v>2012</v>
      </c>
      <c r="Z4" s="3643"/>
      <c r="AA4" s="3629" t="s">
        <v>2008</v>
      </c>
      <c r="AB4" s="3630" t="s">
        <v>2009</v>
      </c>
      <c r="AC4" s="3629" t="s">
        <v>2010</v>
      </c>
    </row>
    <row r="5" spans="1:30" ht="15">
      <c r="A5" s="1596"/>
      <c r="B5" s="1597"/>
      <c r="C5" s="3655" t="s">
        <v>2013</v>
      </c>
      <c r="D5" s="3652"/>
      <c r="E5" s="3649" t="s">
        <v>2014</v>
      </c>
      <c r="F5" s="3650"/>
      <c r="G5" s="3655" t="s">
        <v>2015</v>
      </c>
      <c r="H5" s="3652"/>
      <c r="I5" s="3655" t="s">
        <v>2016</v>
      </c>
      <c r="J5" s="3652"/>
      <c r="K5" s="1893"/>
      <c r="L5" s="2914"/>
      <c r="M5" s="2915"/>
      <c r="N5" s="2915"/>
      <c r="O5" s="2915"/>
      <c r="P5" s="3638"/>
      <c r="Q5" s="3639"/>
      <c r="R5" s="3644"/>
      <c r="S5" s="3645"/>
      <c r="T5" s="3644"/>
      <c r="U5" s="3645"/>
      <c r="V5" s="3648"/>
      <c r="W5" s="3648"/>
      <c r="X5" s="1594"/>
      <c r="Y5" s="3644"/>
      <c r="Z5" s="3645"/>
      <c r="AA5" s="3630"/>
      <c r="AB5" s="3630"/>
      <c r="AC5" s="3630"/>
    </row>
    <row r="6" spans="1:30" ht="15.75" thickBot="1">
      <c r="A6" s="1599"/>
      <c r="B6" s="1600"/>
      <c r="C6" s="3665" t="s">
        <v>2017</v>
      </c>
      <c r="D6" s="3654"/>
      <c r="E6" s="3656" t="s">
        <v>2017</v>
      </c>
      <c r="F6" s="3657"/>
      <c r="G6" s="3665" t="s">
        <v>2017</v>
      </c>
      <c r="H6" s="3654"/>
      <c r="I6" s="3665" t="s">
        <v>2017</v>
      </c>
      <c r="J6" s="3654"/>
      <c r="K6" s="1893" t="s">
        <v>2018</v>
      </c>
      <c r="L6" s="2914"/>
      <c r="M6" s="2915"/>
      <c r="N6" s="2915"/>
      <c r="O6" s="2915"/>
      <c r="P6" s="3640"/>
      <c r="Q6" s="3641"/>
      <c r="R6" s="3644"/>
      <c r="S6" s="3645"/>
      <c r="T6" s="3646"/>
      <c r="U6" s="3647"/>
      <c r="V6" s="3648"/>
      <c r="W6" s="3648"/>
      <c r="X6" s="1594"/>
      <c r="Y6" s="3646"/>
      <c r="Z6" s="3647"/>
      <c r="AA6" s="3631"/>
      <c r="AB6" s="3631"/>
      <c r="AC6" s="3631"/>
    </row>
    <row r="7" spans="1:30" s="1613" customFormat="1" ht="15.75" thickBot="1">
      <c r="A7" s="1601" t="s">
        <v>2019</v>
      </c>
      <c r="B7" s="1602"/>
      <c r="C7" s="1603">
        <f>'数据-取费表'!B2</f>
        <v>44938</v>
      </c>
      <c r="D7" s="1604">
        <v>100</v>
      </c>
      <c r="E7" s="1605"/>
      <c r="F7" s="1606">
        <f>SUMIF(69:69,YEAR(E7)&amp;"-"&amp;INT((MONTH(E7)+2)/3),70:70)</f>
        <v>0</v>
      </c>
      <c r="G7" s="1894"/>
      <c r="H7" s="1604">
        <f>SUMIF(69:69,YEAR(G7)&amp;"-"&amp;INT((MONTH(G7)+2)/3),70:70)</f>
        <v>0</v>
      </c>
      <c r="I7" s="1894"/>
      <c r="J7" s="1604">
        <f>SUMIF(69:69,YEAR(I7)&amp;"-"&amp;INT((MONTH(I7)+2)/3),70:70)</f>
        <v>0</v>
      </c>
      <c r="K7" s="1895"/>
      <c r="L7" s="2914"/>
      <c r="M7" s="2887"/>
      <c r="N7" s="2887"/>
      <c r="O7" s="2887"/>
      <c r="P7" s="3666" t="s">
        <v>2020</v>
      </c>
      <c r="Q7" s="3668"/>
      <c r="R7" s="1609" t="s">
        <v>25</v>
      </c>
      <c r="S7" s="1610">
        <f t="shared" ref="S7:S15" si="0">F7</f>
        <v>0</v>
      </c>
      <c r="T7" s="1609" t="s">
        <v>25</v>
      </c>
      <c r="U7" s="1610">
        <f t="shared" ref="U7:U15" si="1">H7</f>
        <v>0</v>
      </c>
      <c r="V7" s="1609" t="s">
        <v>25</v>
      </c>
      <c r="W7" s="1610">
        <f t="shared" ref="W7:W15" si="2">J7</f>
        <v>0</v>
      </c>
      <c r="X7" s="1611"/>
      <c r="Y7" s="3666" t="s">
        <v>2020</v>
      </c>
      <c r="Z7" s="366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5"/>
      <c r="L8" s="2914"/>
      <c r="M8" s="2887"/>
      <c r="N8" s="2887"/>
      <c r="O8" s="2887"/>
      <c r="P8" s="3666" t="s">
        <v>2023</v>
      </c>
      <c r="Q8" s="3667"/>
      <c r="R8" s="1609" t="s">
        <v>25</v>
      </c>
      <c r="S8" s="1610">
        <f t="shared" si="0"/>
        <v>0</v>
      </c>
      <c r="T8" s="1609" t="s">
        <v>25</v>
      </c>
      <c r="U8" s="1610">
        <f t="shared" si="1"/>
        <v>0</v>
      </c>
      <c r="V8" s="1609" t="s">
        <v>25</v>
      </c>
      <c r="W8" s="1610">
        <f t="shared" si="2"/>
        <v>0</v>
      </c>
      <c r="X8" s="1611"/>
      <c r="Y8" s="3666" t="s">
        <v>2023</v>
      </c>
      <c r="Z8" s="3667"/>
      <c r="AA8" s="1612" t="e">
        <f t="shared" ref="AA8:AA45" si="3">D8/F8</f>
        <v>#DIV/0!</v>
      </c>
      <c r="AB8" s="1612" t="e">
        <f t="shared" ref="AB8:AB45" si="4">D8/H8</f>
        <v>#DIV/0!</v>
      </c>
      <c r="AC8" s="1612" t="e">
        <f t="shared" ref="AC8:AC45" si="5">D8/J8</f>
        <v>#DIV/0!</v>
      </c>
    </row>
    <row r="9" spans="1:30" s="1613" customFormat="1">
      <c r="A9" s="1564" t="s">
        <v>2024</v>
      </c>
      <c r="B9" s="1616" t="s">
        <v>2025</v>
      </c>
      <c r="C9" s="1896"/>
      <c r="D9" s="1618">
        <v>100</v>
      </c>
      <c r="E9" s="1896"/>
      <c r="F9" s="1618">
        <f>SUMIF(74:74,E9,75:75)-SUMIF(74:74,C9,75:75)+100</f>
        <v>100</v>
      </c>
      <c r="G9" s="1896"/>
      <c r="H9" s="1618">
        <f>SUMIF(74:74,G9,75:75)-SUMIF(74:74,C9,75:75)+100</f>
        <v>100</v>
      </c>
      <c r="I9" s="1896"/>
      <c r="J9" s="1618">
        <f>SUMIF(74:74,I9,75:75)-SUMIF(74:74,C9,75:75)+100</f>
        <v>100</v>
      </c>
      <c r="K9" s="1895"/>
      <c r="L9" s="2914"/>
      <c r="M9" s="2887"/>
      <c r="N9" s="2887"/>
      <c r="O9" s="2961"/>
      <c r="P9" s="3670" t="s">
        <v>2026</v>
      </c>
      <c r="Q9" s="1563" t="str">
        <f t="shared" ref="Q9:Q15" si="6">B9</f>
        <v>用途</v>
      </c>
      <c r="R9" s="1609" t="s">
        <v>25</v>
      </c>
      <c r="S9" s="1610">
        <f t="shared" si="0"/>
        <v>100</v>
      </c>
      <c r="T9" s="1609" t="s">
        <v>25</v>
      </c>
      <c r="U9" s="1610">
        <f t="shared" si="1"/>
        <v>100</v>
      </c>
      <c r="V9" s="1609" t="s">
        <v>25</v>
      </c>
      <c r="W9" s="1610">
        <f t="shared" si="2"/>
        <v>100</v>
      </c>
      <c r="X9" s="1611"/>
      <c r="Y9" s="353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100</v>
      </c>
      <c r="G10" s="1686"/>
      <c r="H10" s="1626">
        <f>ROUND(100/'数据-取费表'!B14,0)</f>
        <v>100</v>
      </c>
      <c r="I10" s="1686"/>
      <c r="J10" s="1626">
        <f>ROUND(100/'数据-取费表'!B14,0)</f>
        <v>100</v>
      </c>
      <c r="K10" s="1897"/>
      <c r="L10" s="2916"/>
      <c r="M10" s="2917"/>
      <c r="N10" s="2917"/>
      <c r="O10" s="2962"/>
      <c r="P10" s="3670"/>
      <c r="Q10" s="1563" t="str">
        <f t="shared" si="6"/>
        <v>土地使用年限（年）</v>
      </c>
      <c r="R10" s="1609" t="s">
        <v>25</v>
      </c>
      <c r="S10" s="1610">
        <f t="shared" si="0"/>
        <v>100</v>
      </c>
      <c r="T10" s="1609" t="s">
        <v>25</v>
      </c>
      <c r="U10" s="1610">
        <f t="shared" si="1"/>
        <v>100</v>
      </c>
      <c r="V10" s="1609" t="s">
        <v>25</v>
      </c>
      <c r="W10" s="1610">
        <f t="shared" si="2"/>
        <v>100</v>
      </c>
      <c r="X10" s="1611"/>
      <c r="Y10" s="3532"/>
      <c r="Z10" s="1622" t="str">
        <f t="shared" si="7"/>
        <v>土地使用年限（年）</v>
      </c>
      <c r="AA10" s="1612">
        <f t="shared" si="3"/>
        <v>1</v>
      </c>
      <c r="AB10" s="1612">
        <f t="shared" si="4"/>
        <v>1</v>
      </c>
      <c r="AC10" s="1612">
        <f t="shared" si="5"/>
        <v>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8"/>
      <c r="L11" s="2918"/>
      <c r="M11" s="2915"/>
      <c r="N11" s="2915"/>
      <c r="O11" s="2963"/>
      <c r="P11" s="3670"/>
      <c r="Q11" s="1563" t="str">
        <f t="shared" si="6"/>
        <v>容积率</v>
      </c>
      <c r="R11" s="1609" t="s">
        <v>25</v>
      </c>
      <c r="S11" s="1610" t="e">
        <f t="shared" si="0"/>
        <v>#N/A</v>
      </c>
      <c r="T11" s="1609" t="s">
        <v>25</v>
      </c>
      <c r="U11" s="1610" t="e">
        <f t="shared" si="1"/>
        <v>#N/A</v>
      </c>
      <c r="V11" s="1609" t="s">
        <v>25</v>
      </c>
      <c r="W11" s="1610" t="e">
        <f t="shared" si="2"/>
        <v>#N/A</v>
      </c>
      <c r="X11" s="1611"/>
      <c r="Y11" s="353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7"/>
      <c r="L12" s="2914"/>
      <c r="M12" s="2887"/>
      <c r="N12" s="2887"/>
      <c r="O12" s="2961"/>
      <c r="P12" s="3670"/>
      <c r="Q12" s="1563" t="str">
        <f t="shared" si="6"/>
        <v>配建</v>
      </c>
      <c r="R12" s="1609" t="s">
        <v>25</v>
      </c>
      <c r="S12" s="1610">
        <f t="shared" si="0"/>
        <v>100</v>
      </c>
      <c r="T12" s="1609" t="s">
        <v>25</v>
      </c>
      <c r="U12" s="1610">
        <f t="shared" si="1"/>
        <v>100</v>
      </c>
      <c r="V12" s="1609" t="s">
        <v>25</v>
      </c>
      <c r="W12" s="1610">
        <f t="shared" si="2"/>
        <v>100</v>
      </c>
      <c r="X12" s="1611"/>
      <c r="Y12" s="3532"/>
      <c r="Z12" s="1622" t="str">
        <f t="shared" si="7"/>
        <v>配建</v>
      </c>
      <c r="AA12" s="1612">
        <f>D12/F12</f>
        <v>1</v>
      </c>
      <c r="AB12" s="1612">
        <f>D12/H12</f>
        <v>1</v>
      </c>
      <c r="AC12" s="1612">
        <f>D12/J12</f>
        <v>1</v>
      </c>
    </row>
    <row r="13" spans="1:30" ht="15">
      <c r="A13" s="1631"/>
      <c r="B13" s="1635">
        <v>111</v>
      </c>
      <c r="C13" s="1639"/>
      <c r="D13" s="1640">
        <v>100</v>
      </c>
      <c r="E13" s="1795"/>
      <c r="F13" s="1626">
        <f>SUMIF(83:83,E13,84:84)-SUMIF(83:83,C13,84:84)+100</f>
        <v>100</v>
      </c>
      <c r="G13" s="1899"/>
      <c r="H13" s="1640">
        <f>SUMIF(83:83,G13,84:84)-SUMIF(83:83,C13,84:84)+100</f>
        <v>100</v>
      </c>
      <c r="I13" s="1899"/>
      <c r="J13" s="1640">
        <f>SUMIF(83:83,I13,84:84)-SUMIF(83:83,C13,84:84)+100</f>
        <v>100</v>
      </c>
      <c r="K13" s="1897"/>
      <c r="L13" s="2919"/>
      <c r="M13" s="2915"/>
      <c r="N13" s="2915"/>
      <c r="O13" s="2963"/>
      <c r="P13" s="3670"/>
      <c r="Q13" s="1563">
        <f t="shared" si="6"/>
        <v>111</v>
      </c>
      <c r="R13" s="1609" t="s">
        <v>25</v>
      </c>
      <c r="S13" s="1610">
        <f t="shared" si="0"/>
        <v>100</v>
      </c>
      <c r="T13" s="1609" t="s">
        <v>25</v>
      </c>
      <c r="U13" s="1610">
        <f t="shared" si="1"/>
        <v>100</v>
      </c>
      <c r="V13" s="1609" t="s">
        <v>25</v>
      </c>
      <c r="W13" s="1610">
        <f t="shared" si="2"/>
        <v>100</v>
      </c>
      <c r="X13" s="1611"/>
      <c r="Y13" s="3532"/>
      <c r="Z13" s="1622">
        <f t="shared" si="7"/>
        <v>111</v>
      </c>
      <c r="AA13" s="1612">
        <f>D13/F13</f>
        <v>1</v>
      </c>
      <c r="AB13" s="1612">
        <f>D13/H13</f>
        <v>1</v>
      </c>
      <c r="AC13" s="1612">
        <f>D13/J13</f>
        <v>1</v>
      </c>
    </row>
    <row r="14" spans="1:30" ht="15.75" thickBot="1">
      <c r="A14" s="1641"/>
      <c r="B14" s="1642">
        <v>111</v>
      </c>
      <c r="C14" s="1643"/>
      <c r="D14" s="1644">
        <v>100</v>
      </c>
      <c r="E14" s="1795"/>
      <c r="F14" s="1644">
        <f>SUMIF(85:85,E14,86:86)-SUMIF(85:85,C14,86:86)+100</f>
        <v>100</v>
      </c>
      <c r="G14" s="1899"/>
      <c r="H14" s="1644">
        <f>SUMIF(85:85,G14,86:86)-SUMIF(85:85,C14,86:86)+100</f>
        <v>100</v>
      </c>
      <c r="I14" s="1899"/>
      <c r="J14" s="1644">
        <f>SUMIF(85:85,I14,86:86)-SUMIF(85:85,C14,86:86)+100</f>
        <v>100</v>
      </c>
      <c r="K14" s="1897"/>
      <c r="L14" s="2919"/>
      <c r="M14" s="2915"/>
      <c r="N14" s="2915"/>
      <c r="O14" s="2963"/>
      <c r="P14" s="3670"/>
      <c r="Q14" s="1563">
        <f t="shared" si="6"/>
        <v>111</v>
      </c>
      <c r="R14" s="1609" t="s">
        <v>25</v>
      </c>
      <c r="S14" s="1610">
        <f t="shared" si="0"/>
        <v>100</v>
      </c>
      <c r="T14" s="1609" t="s">
        <v>25</v>
      </c>
      <c r="U14" s="1610">
        <f t="shared" si="1"/>
        <v>100</v>
      </c>
      <c r="V14" s="1609" t="s">
        <v>25</v>
      </c>
      <c r="W14" s="1610">
        <f t="shared" si="2"/>
        <v>100</v>
      </c>
      <c r="X14" s="1611"/>
      <c r="Y14" s="3532"/>
      <c r="Z14" s="1622">
        <f t="shared" si="7"/>
        <v>111</v>
      </c>
      <c r="AA14" s="1612">
        <f>D14/F14</f>
        <v>1</v>
      </c>
      <c r="AB14" s="1612">
        <f>D14/H14</f>
        <v>1</v>
      </c>
      <c r="AC14" s="1612">
        <f>D14/J14</f>
        <v>1</v>
      </c>
    </row>
    <row r="15" spans="1:30" ht="99.75">
      <c r="A15" s="1591" t="s">
        <v>2030</v>
      </c>
      <c r="B15" s="1900" t="s">
        <v>1464</v>
      </c>
      <c r="C15" s="1901"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8"/>
      <c r="L15" s="2919"/>
      <c r="M15" s="2915"/>
      <c r="N15" s="2915"/>
      <c r="O15" s="2963"/>
      <c r="P15" s="3658" t="s">
        <v>2031</v>
      </c>
      <c r="Q15" s="1544" t="str">
        <f t="shared" si="6"/>
        <v>居住社区成熟度</v>
      </c>
      <c r="R15" s="1654" t="s">
        <v>25</v>
      </c>
      <c r="S15" s="1655">
        <f t="shared" si="0"/>
        <v>100</v>
      </c>
      <c r="T15" s="1654" t="s">
        <v>25</v>
      </c>
      <c r="U15" s="1655">
        <f t="shared" si="1"/>
        <v>100</v>
      </c>
      <c r="V15" s="1654" t="s">
        <v>25</v>
      </c>
      <c r="W15" s="1655">
        <f t="shared" si="2"/>
        <v>100</v>
      </c>
      <c r="X15" s="1594"/>
      <c r="Y15" s="3658" t="s">
        <v>2031</v>
      </c>
      <c r="Z15" s="1656" t="str">
        <f t="shared" si="7"/>
        <v>居住社区成熟度</v>
      </c>
      <c r="AA15" s="1657">
        <f t="shared" si="3"/>
        <v>1</v>
      </c>
      <c r="AB15" s="1657">
        <f t="shared" si="4"/>
        <v>1</v>
      </c>
      <c r="AC15" s="1657">
        <f t="shared" si="5"/>
        <v>1</v>
      </c>
    </row>
    <row r="16" spans="1:30" ht="15">
      <c r="A16" s="1596"/>
      <c r="B16" s="1902"/>
      <c r="C16" s="1903"/>
      <c r="D16" s="1660"/>
      <c r="E16" s="1661"/>
      <c r="F16" s="1660"/>
      <c r="G16" s="1661"/>
      <c r="H16" s="1664"/>
      <c r="I16" s="1663"/>
      <c r="J16" s="1660"/>
      <c r="K16" s="1897"/>
      <c r="L16" s="2919"/>
      <c r="M16" s="2915"/>
      <c r="N16" s="2915"/>
      <c r="O16" s="2963"/>
      <c r="P16" s="3659"/>
      <c r="Q16" s="1544"/>
      <c r="R16" s="1654"/>
      <c r="S16" s="1655"/>
      <c r="T16" s="1654"/>
      <c r="U16" s="1655"/>
      <c r="V16" s="1654"/>
      <c r="W16" s="1655"/>
      <c r="X16" s="1594"/>
      <c r="Y16" s="3659"/>
      <c r="Z16" s="1656"/>
      <c r="AA16" s="1657">
        <v>1</v>
      </c>
      <c r="AB16" s="1657">
        <v>1</v>
      </c>
      <c r="AC16" s="1657">
        <v>1</v>
      </c>
    </row>
    <row r="17" spans="1:29" ht="71.25">
      <c r="A17" s="1596"/>
      <c r="B17" s="1904" t="s">
        <v>2116</v>
      </c>
      <c r="C17" s="1905"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8"/>
      <c r="L17" s="2919"/>
      <c r="M17" s="2915"/>
      <c r="N17" s="2915"/>
      <c r="O17" s="2963"/>
      <c r="P17" s="3659"/>
      <c r="Q17" s="1544" t="str">
        <f>B17</f>
        <v>商业繁华度</v>
      </c>
      <c r="R17" s="1654" t="s">
        <v>25</v>
      </c>
      <c r="S17" s="1655">
        <f>F17</f>
        <v>100</v>
      </c>
      <c r="T17" s="1654" t="s">
        <v>25</v>
      </c>
      <c r="U17" s="1655">
        <f>H17</f>
        <v>100</v>
      </c>
      <c r="V17" s="1654" t="s">
        <v>25</v>
      </c>
      <c r="W17" s="1655">
        <f>J17</f>
        <v>100</v>
      </c>
      <c r="X17" s="1594"/>
      <c r="Y17" s="3659"/>
      <c r="Z17" s="1656" t="str">
        <f>Q17</f>
        <v>商业繁华度</v>
      </c>
      <c r="AA17" s="1657">
        <f t="shared" si="3"/>
        <v>1</v>
      </c>
      <c r="AB17" s="1657">
        <f t="shared" si="4"/>
        <v>1</v>
      </c>
      <c r="AC17" s="1657">
        <f t="shared" si="5"/>
        <v>1</v>
      </c>
    </row>
    <row r="18" spans="1:29" ht="15">
      <c r="A18" s="1596"/>
      <c r="B18" s="1906"/>
      <c r="C18" s="1907"/>
      <c r="D18" s="1664"/>
      <c r="E18" s="1674"/>
      <c r="F18" s="1664"/>
      <c r="G18" s="1674"/>
      <c r="H18" s="1660"/>
      <c r="I18" s="1675"/>
      <c r="J18" s="1660"/>
      <c r="K18" s="1897"/>
      <c r="L18" s="2919"/>
      <c r="M18" s="2915"/>
      <c r="N18" s="2915"/>
      <c r="O18" s="2963"/>
      <c r="P18" s="3659"/>
      <c r="Q18" s="1544"/>
      <c r="R18" s="1654"/>
      <c r="S18" s="1655"/>
      <c r="T18" s="1654"/>
      <c r="U18" s="1655"/>
      <c r="V18" s="1654"/>
      <c r="W18" s="1655"/>
      <c r="X18" s="1594"/>
      <c r="Y18" s="3659"/>
      <c r="Z18" s="1656"/>
      <c r="AA18" s="1657">
        <v>1</v>
      </c>
      <c r="AB18" s="1657">
        <v>1</v>
      </c>
      <c r="AC18" s="1657">
        <v>1</v>
      </c>
    </row>
    <row r="19" spans="1:29" ht="71.25">
      <c r="A19" s="1596"/>
      <c r="B19" s="1904" t="s">
        <v>2145</v>
      </c>
      <c r="C19" s="1905"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8"/>
      <c r="L19" s="2919"/>
      <c r="M19" s="2915"/>
      <c r="N19" s="2915"/>
      <c r="O19" s="2963"/>
      <c r="P19" s="3659"/>
      <c r="Q19" s="1544" t="str">
        <f>B19</f>
        <v>办公集聚程度</v>
      </c>
      <c r="R19" s="1654" t="s">
        <v>25</v>
      </c>
      <c r="S19" s="1655">
        <f>F19</f>
        <v>100</v>
      </c>
      <c r="T19" s="1654" t="s">
        <v>25</v>
      </c>
      <c r="U19" s="1655">
        <f>H19</f>
        <v>100</v>
      </c>
      <c r="V19" s="1654" t="s">
        <v>25</v>
      </c>
      <c r="W19" s="1655">
        <f>J19</f>
        <v>100</v>
      </c>
      <c r="X19" s="1594"/>
      <c r="Y19" s="3659"/>
      <c r="Z19" s="1656" t="str">
        <f>Q19</f>
        <v>办公集聚程度</v>
      </c>
      <c r="AA19" s="1657">
        <f t="shared" si="3"/>
        <v>1</v>
      </c>
      <c r="AB19" s="1657">
        <f t="shared" si="4"/>
        <v>1</v>
      </c>
      <c r="AC19" s="1657">
        <f t="shared" si="5"/>
        <v>1</v>
      </c>
    </row>
    <row r="20" spans="1:29" ht="15">
      <c r="A20" s="1596"/>
      <c r="B20" s="1906"/>
      <c r="C20" s="1903"/>
      <c r="D20" s="1660"/>
      <c r="E20" s="1661"/>
      <c r="F20" s="1660"/>
      <c r="G20" s="1661"/>
      <c r="H20" s="1660"/>
      <c r="I20" s="1663"/>
      <c r="J20" s="1660"/>
      <c r="K20" s="1897"/>
      <c r="L20" s="2919"/>
      <c r="M20" s="2915"/>
      <c r="N20" s="2915"/>
      <c r="O20" s="2963"/>
      <c r="P20" s="3659"/>
      <c r="Q20" s="1544"/>
      <c r="R20" s="1654"/>
      <c r="S20" s="1655"/>
      <c r="T20" s="1654"/>
      <c r="U20" s="1655"/>
      <c r="V20" s="1654"/>
      <c r="W20" s="1655"/>
      <c r="X20" s="1594"/>
      <c r="Y20" s="3659"/>
      <c r="Z20" s="1656"/>
      <c r="AA20" s="1657">
        <v>1</v>
      </c>
      <c r="AB20" s="1657">
        <v>1</v>
      </c>
      <c r="AC20" s="1657">
        <v>1</v>
      </c>
    </row>
    <row r="21" spans="1:29" ht="85.5">
      <c r="A21" s="1596"/>
      <c r="B21" s="1904" t="s">
        <v>2168</v>
      </c>
      <c r="C21" s="1908"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8"/>
      <c r="L21" s="2919"/>
      <c r="M21" s="2915"/>
      <c r="N21" s="2915"/>
      <c r="O21" s="2963"/>
      <c r="P21" s="3659"/>
      <c r="Q21" s="1544" t="str">
        <f>B21</f>
        <v>交通便捷度</v>
      </c>
      <c r="R21" s="1654" t="s">
        <v>25</v>
      </c>
      <c r="S21" s="1655">
        <f>F21</f>
        <v>100</v>
      </c>
      <c r="T21" s="1654" t="s">
        <v>25</v>
      </c>
      <c r="U21" s="1655">
        <f>H21</f>
        <v>100</v>
      </c>
      <c r="V21" s="1654" t="s">
        <v>25</v>
      </c>
      <c r="W21" s="1655">
        <f>J21</f>
        <v>100</v>
      </c>
      <c r="X21" s="1594"/>
      <c r="Y21" s="3659"/>
      <c r="Z21" s="1656" t="str">
        <f>Q21</f>
        <v>交通便捷度</v>
      </c>
      <c r="AA21" s="1657">
        <f t="shared" si="3"/>
        <v>1</v>
      </c>
      <c r="AB21" s="1657">
        <f t="shared" si="4"/>
        <v>1</v>
      </c>
      <c r="AC21" s="1657">
        <f t="shared" si="5"/>
        <v>1</v>
      </c>
    </row>
    <row r="22" spans="1:29" ht="15">
      <c r="A22" s="1596"/>
      <c r="B22" s="1909"/>
      <c r="C22" s="1903"/>
      <c r="D22" s="1664"/>
      <c r="E22" s="1661"/>
      <c r="F22" s="1660"/>
      <c r="G22" s="1661"/>
      <c r="H22" s="1660"/>
      <c r="I22" s="1663"/>
      <c r="J22" s="1660"/>
      <c r="K22" s="1897"/>
      <c r="L22" s="2919"/>
      <c r="M22" s="2915"/>
      <c r="N22" s="2915"/>
      <c r="O22" s="2963"/>
      <c r="P22" s="3659"/>
      <c r="Q22" s="1544"/>
      <c r="R22" s="1654"/>
      <c r="S22" s="1655"/>
      <c r="T22" s="1654"/>
      <c r="U22" s="1655"/>
      <c r="V22" s="1654"/>
      <c r="W22" s="1655"/>
      <c r="X22" s="1594"/>
      <c r="Y22" s="3659"/>
      <c r="Z22" s="1656"/>
      <c r="AA22" s="1657">
        <v>1</v>
      </c>
      <c r="AB22" s="1657">
        <v>1</v>
      </c>
      <c r="AC22" s="1657">
        <v>1</v>
      </c>
    </row>
    <row r="23" spans="1:29" ht="15">
      <c r="A23" s="1596"/>
      <c r="B23" s="1386" t="s">
        <v>2208</v>
      </c>
      <c r="C23" s="1910">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8"/>
      <c r="L23" s="2919"/>
      <c r="M23" s="2915"/>
      <c r="N23" s="2915"/>
      <c r="O23" s="2963"/>
      <c r="P23" s="3659"/>
      <c r="Q23" s="1544" t="str">
        <f t="shared" ref="Q23:Q37" si="8">B23</f>
        <v>区域土地利用方向</v>
      </c>
      <c r="R23" s="1654" t="s">
        <v>25</v>
      </c>
      <c r="S23" s="1655">
        <f>F23</f>
        <v>100</v>
      </c>
      <c r="T23" s="1654" t="s">
        <v>25</v>
      </c>
      <c r="U23" s="1655">
        <f>H23</f>
        <v>100</v>
      </c>
      <c r="V23" s="1654" t="s">
        <v>25</v>
      </c>
      <c r="W23" s="1655">
        <f>J23</f>
        <v>100</v>
      </c>
      <c r="X23" s="1594"/>
      <c r="Y23" s="3659"/>
      <c r="Z23" s="1656" t="str">
        <f>Q23</f>
        <v>区域土地利用方向</v>
      </c>
      <c r="AA23" s="1657">
        <f t="shared" si="3"/>
        <v>1</v>
      </c>
      <c r="AB23" s="1657">
        <f t="shared" si="4"/>
        <v>1</v>
      </c>
      <c r="AC23" s="1657">
        <f t="shared" si="5"/>
        <v>1</v>
      </c>
    </row>
    <row r="24" spans="1:29" ht="15">
      <c r="A24" s="1596"/>
      <c r="B24" s="1387"/>
      <c r="C24" s="1911"/>
      <c r="D24" s="1660"/>
      <c r="E24" s="1661"/>
      <c r="F24" s="1660"/>
      <c r="G24" s="1663"/>
      <c r="H24" s="1660"/>
      <c r="I24" s="1663"/>
      <c r="J24" s="1660"/>
      <c r="K24" s="1912"/>
      <c r="L24" s="2919"/>
      <c r="M24" s="2915"/>
      <c r="N24" s="2915"/>
      <c r="O24" s="2963"/>
      <c r="P24" s="3659"/>
      <c r="Q24" s="1544"/>
      <c r="R24" s="1654"/>
      <c r="S24" s="1655"/>
      <c r="T24" s="1654"/>
      <c r="U24" s="1655"/>
      <c r="V24" s="1654"/>
      <c r="W24" s="1655"/>
      <c r="X24" s="1594"/>
      <c r="Y24" s="3659"/>
      <c r="Z24" s="1656"/>
      <c r="AA24" s="1657"/>
      <c r="AB24" s="1657"/>
      <c r="AC24" s="1657"/>
    </row>
    <row r="25" spans="1:29" ht="57">
      <c r="A25" s="1596"/>
      <c r="B25" s="1909" t="s">
        <v>2209</v>
      </c>
      <c r="C25" s="1905"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8"/>
      <c r="L25" s="2919"/>
      <c r="M25" s="2915"/>
      <c r="N25" s="2915"/>
      <c r="O25" s="2963"/>
      <c r="P25" s="3659"/>
      <c r="Q25" s="1544" t="str">
        <f t="shared" si="8"/>
        <v>自然及人文环境状况</v>
      </c>
      <c r="R25" s="1654" t="s">
        <v>25</v>
      </c>
      <c r="S25" s="1655">
        <f>F25</f>
        <v>100</v>
      </c>
      <c r="T25" s="1654" t="s">
        <v>25</v>
      </c>
      <c r="U25" s="1655">
        <f>H25</f>
        <v>100</v>
      </c>
      <c r="V25" s="1654" t="s">
        <v>25</v>
      </c>
      <c r="W25" s="1655">
        <f>J25</f>
        <v>100</v>
      </c>
      <c r="X25" s="1594"/>
      <c r="Y25" s="3659"/>
      <c r="Z25" s="1656" t="str">
        <f>Q25</f>
        <v>自然及人文环境状况</v>
      </c>
      <c r="AA25" s="1657">
        <f t="shared" si="3"/>
        <v>1</v>
      </c>
      <c r="AB25" s="1657">
        <f t="shared" si="4"/>
        <v>1</v>
      </c>
      <c r="AC25" s="1657">
        <f t="shared" si="5"/>
        <v>1</v>
      </c>
    </row>
    <row r="26" spans="1:29" ht="15">
      <c r="A26" s="1596"/>
      <c r="B26" s="1906"/>
      <c r="C26" s="1903"/>
      <c r="D26" s="1660"/>
      <c r="E26" s="1903"/>
      <c r="F26" s="1660"/>
      <c r="G26" s="1903"/>
      <c r="H26" s="1660"/>
      <c r="I26" s="1659"/>
      <c r="J26" s="1660"/>
      <c r="K26" s="1897"/>
      <c r="L26" s="2919"/>
      <c r="M26" s="2915"/>
      <c r="N26" s="2915"/>
      <c r="O26" s="2963"/>
      <c r="P26" s="3659"/>
      <c r="Q26" s="1544"/>
      <c r="R26" s="1654"/>
      <c r="S26" s="1655"/>
      <c r="T26" s="1654"/>
      <c r="U26" s="1655"/>
      <c r="V26" s="1654"/>
      <c r="W26" s="1655"/>
      <c r="X26" s="1594"/>
      <c r="Y26" s="3659"/>
      <c r="Z26" s="1656"/>
      <c r="AA26" s="1657">
        <v>1</v>
      </c>
      <c r="AB26" s="1657">
        <v>1</v>
      </c>
      <c r="AC26" s="1657">
        <v>1</v>
      </c>
    </row>
    <row r="27" spans="1:29" ht="42.75">
      <c r="A27" s="1596"/>
      <c r="B27" s="1909" t="s">
        <v>2117</v>
      </c>
      <c r="C27" s="1908"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3"/>
      <c r="L27" s="2919"/>
      <c r="M27" s="2915"/>
      <c r="N27" s="2915"/>
      <c r="O27" s="2963"/>
      <c r="P27" s="3659"/>
      <c r="Q27" s="1563" t="str">
        <f t="shared" ref="Q27" si="9">B27</f>
        <v>公共配套设施</v>
      </c>
      <c r="R27" s="1609" t="s">
        <v>25</v>
      </c>
      <c r="S27" s="1610">
        <f>F27</f>
        <v>100</v>
      </c>
      <c r="T27" s="1609" t="s">
        <v>25</v>
      </c>
      <c r="U27" s="1610">
        <f>H27</f>
        <v>100</v>
      </c>
      <c r="V27" s="1609" t="s">
        <v>25</v>
      </c>
      <c r="W27" s="1610">
        <f>J27</f>
        <v>100</v>
      </c>
      <c r="X27" s="1594"/>
      <c r="Y27" s="3659"/>
      <c r="Z27" s="1622" t="str">
        <f>Q27</f>
        <v>公共配套设施</v>
      </c>
      <c r="AA27" s="1657">
        <f>D27/F27</f>
        <v>1</v>
      </c>
      <c r="AB27" s="1657">
        <f>D27/H27</f>
        <v>1</v>
      </c>
      <c r="AC27" s="1657">
        <f>D27/J27</f>
        <v>1</v>
      </c>
    </row>
    <row r="28" spans="1:29" ht="15">
      <c r="A28" s="1596"/>
      <c r="B28" s="1906"/>
      <c r="C28" s="1914"/>
      <c r="D28" s="1660"/>
      <c r="E28" s="1914"/>
      <c r="F28" s="1660"/>
      <c r="G28" s="1914"/>
      <c r="H28" s="1660"/>
      <c r="I28" s="1914"/>
      <c r="J28" s="1660"/>
      <c r="K28" s="1897"/>
      <c r="L28" s="2919"/>
      <c r="M28" s="2915"/>
      <c r="N28" s="2915"/>
      <c r="O28" s="2963"/>
      <c r="P28" s="3659"/>
      <c r="Q28" s="1544"/>
      <c r="R28" s="1654"/>
      <c r="S28" s="1655"/>
      <c r="T28" s="1654"/>
      <c r="U28" s="1655"/>
      <c r="V28" s="1654"/>
      <c r="W28" s="1655"/>
      <c r="X28" s="1594"/>
      <c r="Y28" s="3659"/>
      <c r="Z28" s="1622"/>
      <c r="AA28" s="1657">
        <v>1</v>
      </c>
      <c r="AB28" s="1657">
        <v>1</v>
      </c>
      <c r="AC28" s="1657">
        <v>1</v>
      </c>
    </row>
    <row r="29" spans="1:29" s="1613" customFormat="1" ht="28.5">
      <c r="A29" s="1915"/>
      <c r="B29" s="1909" t="s">
        <v>2118</v>
      </c>
      <c r="C29" s="1916"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3"/>
      <c r="L29" s="2914"/>
      <c r="M29" s="2887"/>
      <c r="N29" s="2887"/>
      <c r="O29" s="2961"/>
      <c r="P29" s="3659"/>
      <c r="Q29" s="1563" t="str">
        <f t="shared" si="8"/>
        <v>基础设施水平</v>
      </c>
      <c r="R29" s="1609" t="s">
        <v>25</v>
      </c>
      <c r="S29" s="1610">
        <f>F29</f>
        <v>100</v>
      </c>
      <c r="T29" s="1609" t="s">
        <v>25</v>
      </c>
      <c r="U29" s="1610">
        <f>H29</f>
        <v>100</v>
      </c>
      <c r="V29" s="1609" t="s">
        <v>25</v>
      </c>
      <c r="W29" s="1610">
        <f>J29</f>
        <v>100</v>
      </c>
      <c r="X29" s="1611"/>
      <c r="Y29" s="3659"/>
      <c r="Z29" s="1622" t="str">
        <f>Q29</f>
        <v>基础设施水平</v>
      </c>
      <c r="AA29" s="1657">
        <f>D29/F29</f>
        <v>1</v>
      </c>
      <c r="AB29" s="1657">
        <f>D29/H29</f>
        <v>1</v>
      </c>
      <c r="AC29" s="1657">
        <f>D29/J29</f>
        <v>1</v>
      </c>
    </row>
    <row r="30" spans="1:29" s="1613" customFormat="1" ht="15">
      <c r="A30" s="1915"/>
      <c r="B30" s="1906"/>
      <c r="C30" s="1914"/>
      <c r="D30" s="1660"/>
      <c r="E30" s="1914"/>
      <c r="F30" s="1660"/>
      <c r="G30" s="1914"/>
      <c r="H30" s="1660"/>
      <c r="I30" s="1914"/>
      <c r="J30" s="1660"/>
      <c r="K30" s="1897"/>
      <c r="L30" s="2914"/>
      <c r="M30" s="2887"/>
      <c r="N30" s="2887"/>
      <c r="O30" s="2961"/>
      <c r="P30" s="3659"/>
      <c r="Q30" s="1563"/>
      <c r="R30" s="1609"/>
      <c r="S30" s="1610"/>
      <c r="T30" s="1609"/>
      <c r="U30" s="1610"/>
      <c r="V30" s="1609"/>
      <c r="W30" s="1610"/>
      <c r="X30" s="1611"/>
      <c r="Y30" s="3659"/>
      <c r="Z30" s="1622"/>
      <c r="AA30" s="1657">
        <v>1</v>
      </c>
      <c r="AB30" s="1657">
        <v>1</v>
      </c>
      <c r="AC30" s="1657">
        <v>1</v>
      </c>
    </row>
    <row r="31" spans="1:29" ht="15">
      <c r="A31" s="1596"/>
      <c r="B31" s="1906" t="s">
        <v>2119</v>
      </c>
      <c r="C31" s="1911"/>
      <c r="D31" s="1640">
        <v>100</v>
      </c>
      <c r="E31" s="1911"/>
      <c r="F31" s="1640">
        <f>SUMIF(103:103,E31,104:104)-SUMIF(103:103,C31,104:104)+100</f>
        <v>100</v>
      </c>
      <c r="G31" s="1911"/>
      <c r="H31" s="1640">
        <f>SUMIF(103:103,G31,104:104)-SUMIF(103:103,C31,104:104)+100</f>
        <v>100</v>
      </c>
      <c r="I31" s="1911"/>
      <c r="J31" s="1640">
        <f>SUMIF(103:103,I31,104:104)-SUMIF(103:103,C31,104:104)+100</f>
        <v>100</v>
      </c>
      <c r="K31" s="1898"/>
      <c r="L31" s="2919"/>
      <c r="M31" s="2915"/>
      <c r="N31" s="2915"/>
      <c r="O31" s="2963"/>
      <c r="P31" s="365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59"/>
      <c r="Z31" s="1656" t="str">
        <f t="shared" ref="Z31:Z45" si="13">Q31</f>
        <v>临街状况</v>
      </c>
      <c r="AA31" s="1657">
        <f t="shared" si="3"/>
        <v>1</v>
      </c>
      <c r="AB31" s="1657">
        <f t="shared" si="4"/>
        <v>1</v>
      </c>
      <c r="AC31" s="1657">
        <f t="shared" si="5"/>
        <v>1</v>
      </c>
    </row>
    <row r="32" spans="1:29" ht="27">
      <c r="A32" s="1596"/>
      <c r="B32" s="1909"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8"/>
      <c r="L32" s="2919"/>
      <c r="M32" s="2915"/>
      <c r="N32" s="2915"/>
      <c r="O32" s="2963"/>
      <c r="P32" s="3659"/>
      <c r="Q32" s="1544" t="str">
        <f t="shared" si="8"/>
        <v>毗邻道路的类型与等级</v>
      </c>
      <c r="R32" s="1654" t="s">
        <v>25</v>
      </c>
      <c r="S32" s="1655">
        <f t="shared" si="10"/>
        <v>100</v>
      </c>
      <c r="T32" s="1654" t="s">
        <v>25</v>
      </c>
      <c r="U32" s="1655">
        <f t="shared" si="11"/>
        <v>100</v>
      </c>
      <c r="V32" s="1654" t="s">
        <v>25</v>
      </c>
      <c r="W32" s="1655">
        <f t="shared" si="12"/>
        <v>100</v>
      </c>
      <c r="X32" s="1594"/>
      <c r="Y32" s="3659"/>
      <c r="Z32" s="1656" t="str">
        <f t="shared" si="13"/>
        <v>毗邻道路的类型与等级</v>
      </c>
      <c r="AA32" s="1657">
        <f t="shared" si="3"/>
        <v>1</v>
      </c>
      <c r="AB32" s="1657">
        <f t="shared" si="4"/>
        <v>1</v>
      </c>
      <c r="AC32" s="1657">
        <f t="shared" si="5"/>
        <v>1</v>
      </c>
    </row>
    <row r="33" spans="1:29" ht="15">
      <c r="A33" s="1596"/>
      <c r="B33" s="1906"/>
      <c r="C33" s="1903"/>
      <c r="D33" s="1660"/>
      <c r="E33" s="1903"/>
      <c r="F33" s="1660"/>
      <c r="G33" s="1903"/>
      <c r="H33" s="1660"/>
      <c r="I33" s="1659"/>
      <c r="J33" s="1660"/>
      <c r="K33" s="1917"/>
      <c r="L33" s="2919"/>
      <c r="M33" s="2915"/>
      <c r="N33" s="2915"/>
      <c r="O33" s="2963"/>
      <c r="P33" s="3659"/>
      <c r="Q33" s="1544"/>
      <c r="R33" s="1654"/>
      <c r="S33" s="1655"/>
      <c r="T33" s="1654"/>
      <c r="U33" s="1655"/>
      <c r="V33" s="1654"/>
      <c r="W33" s="1655"/>
      <c r="X33" s="1594"/>
      <c r="Y33" s="3659"/>
      <c r="Z33" s="1656"/>
      <c r="AA33" s="1657">
        <v>1</v>
      </c>
      <c r="AB33" s="1657">
        <v>1</v>
      </c>
      <c r="AC33" s="1657">
        <v>1</v>
      </c>
    </row>
    <row r="34" spans="1:29" ht="15">
      <c r="A34" s="1596"/>
      <c r="B34" s="1918" t="s">
        <v>2210</v>
      </c>
      <c r="C34" s="1911"/>
      <c r="D34" s="1640">
        <v>100</v>
      </c>
      <c r="E34" s="1911"/>
      <c r="F34" s="1640">
        <f>SUMIF(107:107,E34,108:108)-SUMIF(107:107,C34,108:108)+100</f>
        <v>100</v>
      </c>
      <c r="G34" s="1911"/>
      <c r="H34" s="1640">
        <f>SUMIF(107:107,G34,108:108)-SUMIF(107:107,C34,108:108)+100</f>
        <v>100</v>
      </c>
      <c r="I34" s="1919"/>
      <c r="J34" s="1640">
        <f>SUMIF(107:107,I34,108:108)-SUMIF(107:107,C34,108:108)+100</f>
        <v>100</v>
      </c>
      <c r="K34" s="1920"/>
      <c r="L34" s="2919"/>
      <c r="M34" s="2915"/>
      <c r="N34" s="2915"/>
      <c r="O34" s="2963"/>
      <c r="P34" s="3659"/>
      <c r="Q34" s="1544" t="str">
        <f t="shared" si="8"/>
        <v>土地级别</v>
      </c>
      <c r="R34" s="1654" t="s">
        <v>25</v>
      </c>
      <c r="S34" s="1655">
        <f t="shared" si="10"/>
        <v>100</v>
      </c>
      <c r="T34" s="1654" t="s">
        <v>25</v>
      </c>
      <c r="U34" s="1655">
        <f t="shared" si="11"/>
        <v>100</v>
      </c>
      <c r="V34" s="1654" t="s">
        <v>25</v>
      </c>
      <c r="W34" s="1655">
        <f t="shared" si="12"/>
        <v>100</v>
      </c>
      <c r="X34" s="1594"/>
      <c r="Y34" s="3659"/>
      <c r="Z34" s="1656" t="str">
        <f t="shared" si="13"/>
        <v>土地级别</v>
      </c>
      <c r="AA34" s="1657">
        <f t="shared" si="3"/>
        <v>1</v>
      </c>
      <c r="AB34" s="1657">
        <f t="shared" si="4"/>
        <v>1</v>
      </c>
      <c r="AC34" s="1657">
        <f t="shared" si="5"/>
        <v>1</v>
      </c>
    </row>
    <row r="35" spans="1:29" ht="15">
      <c r="A35" s="1596"/>
      <c r="B35" s="1921">
        <v>111</v>
      </c>
      <c r="C35" s="1707"/>
      <c r="D35" s="1640">
        <v>100</v>
      </c>
      <c r="E35" s="1707"/>
      <c r="F35" s="1640">
        <f>SUMIF(109:109,E35,110:110)-SUMIF(109:109,C35,110:110)+100</f>
        <v>100</v>
      </c>
      <c r="G35" s="1707"/>
      <c r="H35" s="1640">
        <f>SUMIF(109:109,G35,110:110)-SUMIF(109:109,C35,110:110)+100</f>
        <v>100</v>
      </c>
      <c r="I35" s="1899"/>
      <c r="J35" s="1640">
        <f>SUMIF(109:109,I35,110:110)-SUMIF(109:109,C35,110:110)+100</f>
        <v>100</v>
      </c>
      <c r="K35" s="1917"/>
      <c r="L35" s="2919"/>
      <c r="M35" s="2915"/>
      <c r="N35" s="2915"/>
      <c r="O35" s="2963"/>
      <c r="P35" s="3659"/>
      <c r="Q35" s="1544">
        <f t="shared" si="8"/>
        <v>111</v>
      </c>
      <c r="R35" s="1654" t="s">
        <v>25</v>
      </c>
      <c r="S35" s="1655">
        <f t="shared" si="10"/>
        <v>100</v>
      </c>
      <c r="T35" s="1654" t="s">
        <v>25</v>
      </c>
      <c r="U35" s="1655">
        <f t="shared" si="11"/>
        <v>100</v>
      </c>
      <c r="V35" s="1654" t="s">
        <v>25</v>
      </c>
      <c r="W35" s="1655">
        <f t="shared" si="12"/>
        <v>100</v>
      </c>
      <c r="X35" s="1594"/>
      <c r="Y35" s="3659"/>
      <c r="Z35" s="1656">
        <f t="shared" si="13"/>
        <v>111</v>
      </c>
      <c r="AA35" s="1657">
        <f t="shared" si="3"/>
        <v>1</v>
      </c>
      <c r="AB35" s="1657">
        <f t="shared" si="4"/>
        <v>1</v>
      </c>
      <c r="AC35" s="1657">
        <f t="shared" si="5"/>
        <v>1</v>
      </c>
    </row>
    <row r="36" spans="1:29" ht="15">
      <c r="A36" s="1922"/>
      <c r="B36" s="1923">
        <v>111</v>
      </c>
      <c r="C36" s="1707"/>
      <c r="D36" s="1640">
        <v>100</v>
      </c>
      <c r="E36" s="1707"/>
      <c r="F36" s="1640">
        <f>SUMIF(111:111,E37,112:112)-SUMIF(111:111,C37,112:112)+100</f>
        <v>100</v>
      </c>
      <c r="G36" s="1707"/>
      <c r="H36" s="1640">
        <f>SUMIF(111:111,G36,112:112)-SUMIF(111:111,C36,112:112)+100</f>
        <v>100</v>
      </c>
      <c r="I36" s="1899"/>
      <c r="J36" s="1640">
        <f>SUMIF(111:111,I36,112:112)-SUMIF(111:111,C36,112:112)+100</f>
        <v>100</v>
      </c>
      <c r="K36" s="1917"/>
      <c r="L36" s="2919"/>
      <c r="M36" s="2915"/>
      <c r="N36" s="2915"/>
      <c r="O36" s="2963"/>
      <c r="P36" s="3679" t="s">
        <v>2037</v>
      </c>
      <c r="Q36" s="1544">
        <f t="shared" si="8"/>
        <v>111</v>
      </c>
      <c r="R36" s="1654" t="s">
        <v>25</v>
      </c>
      <c r="S36" s="1655">
        <f t="shared" si="10"/>
        <v>100</v>
      </c>
      <c r="T36" s="1654" t="s">
        <v>25</v>
      </c>
      <c r="U36" s="1655">
        <f t="shared" si="11"/>
        <v>100</v>
      </c>
      <c r="V36" s="1654" t="s">
        <v>25</v>
      </c>
      <c r="W36" s="1655">
        <f t="shared" si="12"/>
        <v>100</v>
      </c>
      <c r="X36" s="1594"/>
      <c r="Y36" s="3663" t="s">
        <v>2037</v>
      </c>
      <c r="Z36" s="1656">
        <f t="shared" si="13"/>
        <v>111</v>
      </c>
      <c r="AA36" s="1657">
        <f t="shared" si="3"/>
        <v>1</v>
      </c>
      <c r="AB36" s="1657">
        <f t="shared" si="4"/>
        <v>1</v>
      </c>
      <c r="AC36" s="1657">
        <f t="shared" si="5"/>
        <v>1</v>
      </c>
    </row>
    <row r="37" spans="1:29" s="1699" customFormat="1" ht="15.75" thickBot="1">
      <c r="A37" s="1924"/>
      <c r="B37" s="1925">
        <v>111</v>
      </c>
      <c r="C37" s="1926"/>
      <c r="D37" s="1927">
        <v>100</v>
      </c>
      <c r="E37" s="1926"/>
      <c r="F37" s="1644">
        <f>SUMIF(113:113,E37,114:114)-SUMIF(113:113,C37,114:114)+100</f>
        <v>100</v>
      </c>
      <c r="G37" s="1926"/>
      <c r="H37" s="1644">
        <f>SUMIF(113:113,G37,114:114)-SUMIF(113:113,C37,114:114)+100</f>
        <v>100</v>
      </c>
      <c r="I37" s="1928"/>
      <c r="J37" s="1644">
        <f>SUMIF(113:113,I37,114:114)-SUMIF(113:113,C37,114:114)+100</f>
        <v>100</v>
      </c>
      <c r="K37" s="1917"/>
      <c r="L37" s="2918"/>
      <c r="M37" s="1987"/>
      <c r="N37" s="1987"/>
      <c r="O37" s="2964"/>
      <c r="P37" s="3663"/>
      <c r="Q37" s="1544">
        <f t="shared" si="8"/>
        <v>111</v>
      </c>
      <c r="R37" s="1695" t="s">
        <v>25</v>
      </c>
      <c r="S37" s="1696">
        <f t="shared" si="10"/>
        <v>100</v>
      </c>
      <c r="T37" s="1695" t="s">
        <v>25</v>
      </c>
      <c r="U37" s="1696">
        <f t="shared" si="11"/>
        <v>100</v>
      </c>
      <c r="V37" s="1695" t="s">
        <v>25</v>
      </c>
      <c r="W37" s="1696">
        <f t="shared" si="12"/>
        <v>100</v>
      </c>
      <c r="X37" s="1697"/>
      <c r="Y37" s="3663"/>
      <c r="Z37" s="1698">
        <f t="shared" si="13"/>
        <v>111</v>
      </c>
      <c r="AA37" s="1657">
        <f t="shared" si="3"/>
        <v>1</v>
      </c>
      <c r="AB37" s="1657">
        <f t="shared" si="4"/>
        <v>1</v>
      </c>
      <c r="AC37" s="1657">
        <f t="shared" si="5"/>
        <v>1</v>
      </c>
    </row>
    <row r="38" spans="1:29" ht="15">
      <c r="A38" s="1591" t="s">
        <v>2035</v>
      </c>
      <c r="B38" s="1672" t="s">
        <v>2211</v>
      </c>
      <c r="C38" s="1929"/>
      <c r="D38" s="1691">
        <v>100</v>
      </c>
      <c r="E38" s="1929"/>
      <c r="F38" s="1691" t="e">
        <f>LOOKUP(E38,116:116,117:117)-LOOKUP(C38,116:116,117:117)+100</f>
        <v>#N/A</v>
      </c>
      <c r="G38" s="1929"/>
      <c r="H38" s="1691" t="e">
        <f>LOOKUP(G38,116:116,117:117)-LOOKUP(C38,116:116,117:117)+100</f>
        <v>#N/A</v>
      </c>
      <c r="I38" s="1777"/>
      <c r="J38" s="1691" t="e">
        <f>LOOKUP(I38,116:116,117:117)-LOOKUP(C38,116:116,117:117)+100</f>
        <v>#N/A</v>
      </c>
      <c r="K38" s="1917"/>
      <c r="L38" s="2919"/>
      <c r="M38" s="2915"/>
      <c r="N38" s="2915"/>
      <c r="O38" s="2963"/>
      <c r="P38" s="3663"/>
      <c r="Q38" s="1544" t="str">
        <f>B38</f>
        <v>宗地面积</v>
      </c>
      <c r="R38" s="1654" t="s">
        <v>25</v>
      </c>
      <c r="S38" s="1655" t="e">
        <f t="shared" si="10"/>
        <v>#N/A</v>
      </c>
      <c r="T38" s="1654" t="s">
        <v>25</v>
      </c>
      <c r="U38" s="1655" t="e">
        <f t="shared" si="11"/>
        <v>#N/A</v>
      </c>
      <c r="V38" s="1654" t="s">
        <v>25</v>
      </c>
      <c r="W38" s="1655" t="e">
        <f t="shared" si="12"/>
        <v>#N/A</v>
      </c>
      <c r="X38" s="1594"/>
      <c r="Y38" s="3663"/>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0"/>
      <c r="L39" s="2919"/>
      <c r="M39" s="2915"/>
      <c r="N39" s="2915"/>
      <c r="O39" s="2963"/>
      <c r="P39" s="3663"/>
      <c r="Q39" s="1544" t="str">
        <f t="shared" ref="Q39:Q45" si="14">B39</f>
        <v>宗地形状</v>
      </c>
      <c r="R39" s="1654" t="s">
        <v>25</v>
      </c>
      <c r="S39" s="1655">
        <f t="shared" si="10"/>
        <v>100</v>
      </c>
      <c r="T39" s="1654" t="s">
        <v>25</v>
      </c>
      <c r="U39" s="1655">
        <f t="shared" si="11"/>
        <v>100</v>
      </c>
      <c r="V39" s="1654" t="s">
        <v>25</v>
      </c>
      <c r="W39" s="1655">
        <f t="shared" si="12"/>
        <v>100</v>
      </c>
      <c r="X39" s="1594"/>
      <c r="Y39" s="3663"/>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0"/>
      <c r="L40" s="2919"/>
      <c r="M40" s="2915"/>
      <c r="N40" s="2915"/>
      <c r="O40" s="2963"/>
      <c r="P40" s="3663"/>
      <c r="Q40" s="1544" t="str">
        <f t="shared" si="14"/>
        <v>临街宽度及深度</v>
      </c>
      <c r="R40" s="1654" t="s">
        <v>25</v>
      </c>
      <c r="S40" s="1655">
        <f t="shared" si="10"/>
        <v>100</v>
      </c>
      <c r="T40" s="1654" t="s">
        <v>25</v>
      </c>
      <c r="U40" s="1655">
        <f t="shared" si="11"/>
        <v>100</v>
      </c>
      <c r="V40" s="1654" t="s">
        <v>25</v>
      </c>
      <c r="W40" s="1655">
        <f t="shared" si="12"/>
        <v>100</v>
      </c>
      <c r="X40" s="1594"/>
      <c r="Y40" s="3663"/>
      <c r="Z40" s="1656" t="str">
        <f t="shared" si="13"/>
        <v>临街宽度及深度</v>
      </c>
      <c r="AA40" s="1657">
        <f t="shared" si="3"/>
        <v>1</v>
      </c>
      <c r="AB40" s="1657">
        <f t="shared" si="4"/>
        <v>1</v>
      </c>
      <c r="AC40" s="1657">
        <f t="shared" si="5"/>
        <v>1</v>
      </c>
    </row>
    <row r="41" spans="1:29" s="1613" customFormat="1" ht="15">
      <c r="A41" s="1703"/>
      <c r="B41" s="1624" t="s">
        <v>2214</v>
      </c>
      <c r="C41" s="1930"/>
      <c r="D41" s="1626">
        <v>100</v>
      </c>
      <c r="E41" s="1930"/>
      <c r="F41" s="1640">
        <f>SUMIF(122:122,E41,123:123)-SUMIF(122:122,C41,123:123)+100</f>
        <v>100</v>
      </c>
      <c r="G41" s="1930"/>
      <c r="H41" s="1640">
        <f>SUMIF(122:122,G41,123:123)-SUMIF(122:122,C41,123:123)+100</f>
        <v>100</v>
      </c>
      <c r="I41" s="1930"/>
      <c r="J41" s="1640">
        <f>SUMIF(122:122,I41,123:123)-SUMIF(122:122,C41,123:123)+100</f>
        <v>100</v>
      </c>
      <c r="K41" s="1920"/>
      <c r="L41" s="2914"/>
      <c r="M41" s="2887"/>
      <c r="N41" s="2887"/>
      <c r="O41" s="2961"/>
      <c r="P41" s="3663"/>
      <c r="Q41" s="1544" t="str">
        <f t="shared" si="14"/>
        <v>宗地开发程度</v>
      </c>
      <c r="R41" s="1609" t="s">
        <v>25</v>
      </c>
      <c r="S41" s="1610">
        <f t="shared" si="10"/>
        <v>100</v>
      </c>
      <c r="T41" s="1609" t="s">
        <v>25</v>
      </c>
      <c r="U41" s="1610">
        <f t="shared" si="11"/>
        <v>100</v>
      </c>
      <c r="V41" s="1609" t="s">
        <v>25</v>
      </c>
      <c r="W41" s="1610">
        <f t="shared" si="12"/>
        <v>100</v>
      </c>
      <c r="X41" s="1611"/>
      <c r="Y41" s="3663"/>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0"/>
      <c r="L42" s="2919"/>
      <c r="M42" s="2915"/>
      <c r="N42" s="2915"/>
      <c r="O42" s="2963"/>
      <c r="P42" s="3663" t="s">
        <v>2037</v>
      </c>
      <c r="Q42" s="1544" t="str">
        <f t="shared" si="14"/>
        <v>工程地质条件</v>
      </c>
      <c r="R42" s="1654" t="s">
        <v>25</v>
      </c>
      <c r="S42" s="1655">
        <f t="shared" si="10"/>
        <v>100</v>
      </c>
      <c r="T42" s="1654" t="s">
        <v>25</v>
      </c>
      <c r="U42" s="1655">
        <f t="shared" si="11"/>
        <v>100</v>
      </c>
      <c r="V42" s="1654" t="s">
        <v>25</v>
      </c>
      <c r="W42" s="1655">
        <f t="shared" si="12"/>
        <v>100</v>
      </c>
      <c r="X42" s="1594"/>
      <c r="Y42" s="3663" t="s">
        <v>2037</v>
      </c>
      <c r="Z42" s="1656" t="str">
        <f t="shared" si="13"/>
        <v>工程地质条件</v>
      </c>
      <c r="AA42" s="1657">
        <f t="shared" si="3"/>
        <v>1</v>
      </c>
      <c r="AB42" s="1657">
        <f t="shared" si="4"/>
        <v>1</v>
      </c>
      <c r="AC42" s="1657">
        <f t="shared" si="5"/>
        <v>1</v>
      </c>
    </row>
    <row r="43" spans="1:29" ht="15">
      <c r="A43" s="1700"/>
      <c r="B43" s="1931">
        <v>111</v>
      </c>
      <c r="C43" s="1899"/>
      <c r="D43" s="1640">
        <v>100</v>
      </c>
      <c r="E43" s="1899"/>
      <c r="F43" s="1640">
        <f>SUMIF(126:126,E43,127:127)-SUMIF(126:126,C43,127:127)+100</f>
        <v>100</v>
      </c>
      <c r="G43" s="1899"/>
      <c r="H43" s="1640">
        <f>SUMIF(126:126,G43,127:127)-SUMIF(126:126,C43,127:127)+100</f>
        <v>100</v>
      </c>
      <c r="I43" s="1795"/>
      <c r="J43" s="1640">
        <f>SUMIF(126:126,I43,127:127)-SUMIF(126:126,C43,127:127)+100</f>
        <v>100</v>
      </c>
      <c r="K43" s="1917"/>
      <c r="L43" s="2919"/>
      <c r="M43" s="2915"/>
      <c r="N43" s="2915"/>
      <c r="O43" s="2963"/>
      <c r="P43" s="3663"/>
      <c r="Q43" s="1544">
        <f t="shared" si="14"/>
        <v>111</v>
      </c>
      <c r="R43" s="1654" t="s">
        <v>25</v>
      </c>
      <c r="S43" s="1655">
        <f t="shared" si="10"/>
        <v>100</v>
      </c>
      <c r="T43" s="1654" t="s">
        <v>25</v>
      </c>
      <c r="U43" s="1655">
        <f t="shared" si="11"/>
        <v>100</v>
      </c>
      <c r="V43" s="1654" t="s">
        <v>25</v>
      </c>
      <c r="W43" s="1655">
        <f t="shared" si="12"/>
        <v>100</v>
      </c>
      <c r="X43" s="1594"/>
      <c r="Y43" s="3663"/>
      <c r="Z43" s="1656">
        <f t="shared" si="13"/>
        <v>111</v>
      </c>
      <c r="AA43" s="1657">
        <f t="shared" si="3"/>
        <v>1</v>
      </c>
      <c r="AB43" s="1657">
        <f t="shared" si="4"/>
        <v>1</v>
      </c>
      <c r="AC43" s="1657">
        <f t="shared" si="5"/>
        <v>1</v>
      </c>
    </row>
    <row r="44" spans="1:29" ht="15">
      <c r="A44" s="1700"/>
      <c r="B44" s="1931">
        <v>111</v>
      </c>
      <c r="C44" s="1899"/>
      <c r="D44" s="1640">
        <v>100</v>
      </c>
      <c r="E44" s="1899"/>
      <c r="F44" s="1640">
        <f>SUMIF(128:128,E44,129:129)-SUMIF(128:128,C44,129:129)+100</f>
        <v>100</v>
      </c>
      <c r="G44" s="1899"/>
      <c r="H44" s="1640">
        <f>SUMIF(128:128,G44,129:129)-SUMIF(128:128,C44,129:129)+100</f>
        <v>100</v>
      </c>
      <c r="I44" s="1795"/>
      <c r="J44" s="1640">
        <f>SUMIF(128:128,I44,129:129)-SUMIF(128:128,C44,129:129)+100</f>
        <v>100</v>
      </c>
      <c r="K44" s="1917"/>
      <c r="L44" s="2919"/>
      <c r="M44" s="2915"/>
      <c r="N44" s="2915"/>
      <c r="O44" s="2963"/>
      <c r="P44" s="3663"/>
      <c r="Q44" s="1544">
        <f t="shared" si="14"/>
        <v>111</v>
      </c>
      <c r="R44" s="1654" t="s">
        <v>25</v>
      </c>
      <c r="S44" s="1655">
        <f t="shared" si="10"/>
        <v>100</v>
      </c>
      <c r="T44" s="1654" t="s">
        <v>25</v>
      </c>
      <c r="U44" s="1655">
        <f t="shared" si="11"/>
        <v>100</v>
      </c>
      <c r="V44" s="1654" t="s">
        <v>25</v>
      </c>
      <c r="W44" s="1655">
        <f t="shared" si="12"/>
        <v>100</v>
      </c>
      <c r="X44" s="1594"/>
      <c r="Y44" s="3663"/>
      <c r="Z44" s="1656">
        <f t="shared" si="13"/>
        <v>111</v>
      </c>
      <c r="AA44" s="1657">
        <f t="shared" si="3"/>
        <v>1</v>
      </c>
      <c r="AB44" s="1657">
        <f t="shared" si="4"/>
        <v>1</v>
      </c>
      <c r="AC44" s="1657">
        <f t="shared" si="5"/>
        <v>1</v>
      </c>
    </row>
    <row r="45" spans="1:29" s="1699" customFormat="1" ht="15.75" thickBot="1">
      <c r="A45" s="1692"/>
      <c r="B45" s="1931">
        <v>111</v>
      </c>
      <c r="C45" s="1932"/>
      <c r="D45" s="3064">
        <v>100</v>
      </c>
      <c r="E45" s="1899"/>
      <c r="F45" s="1644">
        <f>SUMIF(130:130,E45,131:131)-SUMIF(130:130,C45,131:131)+100</f>
        <v>100</v>
      </c>
      <c r="G45" s="1899"/>
      <c r="H45" s="1644">
        <f>SUMIF(130:130,G45,131:131)-SUMIF(130:130,C45,131:131)+100</f>
        <v>100</v>
      </c>
      <c r="I45" s="1899"/>
      <c r="J45" s="1644">
        <f>SUMIF(130:130,I45,131:131)-SUMIF(130:130,C45,131:131)+100</f>
        <v>100</v>
      </c>
      <c r="K45" s="1933"/>
      <c r="L45" s="2918"/>
      <c r="M45" s="1987"/>
      <c r="N45" s="1987"/>
      <c r="O45" s="2964"/>
      <c r="P45" s="3663"/>
      <c r="Q45" s="1544">
        <f t="shared" si="14"/>
        <v>111</v>
      </c>
      <c r="R45" s="1695" t="s">
        <v>25</v>
      </c>
      <c r="S45" s="1696">
        <f t="shared" si="10"/>
        <v>100</v>
      </c>
      <c r="T45" s="1695" t="s">
        <v>25</v>
      </c>
      <c r="U45" s="1696">
        <f t="shared" si="11"/>
        <v>100</v>
      </c>
      <c r="V45" s="1695" t="s">
        <v>25</v>
      </c>
      <c r="W45" s="1696">
        <f t="shared" si="12"/>
        <v>100</v>
      </c>
      <c r="X45" s="1697"/>
      <c r="Y45" s="3663"/>
      <c r="Z45" s="1698">
        <f t="shared" si="13"/>
        <v>111</v>
      </c>
      <c r="AA45" s="1657">
        <f t="shared" si="3"/>
        <v>1</v>
      </c>
      <c r="AB45" s="1657">
        <f t="shared" si="4"/>
        <v>1</v>
      </c>
      <c r="AC45" s="1657">
        <f t="shared" si="5"/>
        <v>1</v>
      </c>
    </row>
    <row r="46" spans="1:29" ht="15">
      <c r="A46" s="1709" t="s">
        <v>2179</v>
      </c>
      <c r="B46" s="1934" t="s">
        <v>2216</v>
      </c>
      <c r="C46" s="1935" t="s">
        <v>1</v>
      </c>
      <c r="D46" s="1936"/>
      <c r="E46" s="1937"/>
      <c r="F46" s="1938"/>
      <c r="G46" s="1939"/>
      <c r="H46" s="1940"/>
      <c r="I46" s="1937"/>
      <c r="J46" s="1940"/>
      <c r="K46" s="1941"/>
      <c r="L46" s="2920"/>
      <c r="N46" s="2915"/>
      <c r="P46" s="3670" t="str">
        <f>A46</f>
        <v>成交单价</v>
      </c>
      <c r="Q46" s="3670"/>
      <c r="R46" s="3648">
        <f>E46</f>
        <v>0</v>
      </c>
      <c r="S46" s="3648"/>
      <c r="T46" s="3648">
        <f>G46</f>
        <v>0</v>
      </c>
      <c r="U46" s="3648"/>
      <c r="V46" s="3648">
        <f>I46</f>
        <v>0</v>
      </c>
      <c r="W46" s="3648"/>
      <c r="X46" s="1719"/>
      <c r="Y46" s="1720"/>
      <c r="Z46" s="1719"/>
      <c r="AA46" s="1719"/>
      <c r="AB46" s="1719"/>
      <c r="AC46" s="1719"/>
    </row>
    <row r="47" spans="1:29" ht="15.75" thickBot="1">
      <c r="A47" s="1721" t="s">
        <v>2132</v>
      </c>
      <c r="B47" s="1942"/>
      <c r="C47" s="1943" t="e">
        <f>R48</f>
        <v>#DIV/0!</v>
      </c>
      <c r="D47" s="1724" t="s">
        <v>2499</v>
      </c>
      <c r="E47" s="1943" t="e">
        <f>R47</f>
        <v>#DIV/0!</v>
      </c>
      <c r="F47" s="1726"/>
      <c r="G47" s="1944" t="e">
        <f>T47</f>
        <v>#DIV/0!</v>
      </c>
      <c r="H47" s="1726"/>
      <c r="I47" s="1943" t="e">
        <f>V47</f>
        <v>#DIV/0!</v>
      </c>
      <c r="J47" s="1726"/>
      <c r="K47" s="2428">
        <f>F47+H47+J47</f>
        <v>0</v>
      </c>
      <c r="L47" s="2920"/>
      <c r="P47" s="3670" t="str">
        <f>A47</f>
        <v>比较价值（元/平方米）</v>
      </c>
      <c r="Q47" s="3670"/>
      <c r="R47" s="3722" t="e">
        <f>ROUND(PRODUCT(R46,AA7:AA45),0)</f>
        <v>#DIV/0!</v>
      </c>
      <c r="S47" s="3722"/>
      <c r="T47" s="3722" t="e">
        <f>ROUND(PRODUCT(T46,AB7:AB45),0)</f>
        <v>#DIV/0!</v>
      </c>
      <c r="U47" s="3722"/>
      <c r="V47" s="3722" t="e">
        <f>ROUND(PRODUCT(V46,AC7:AC45),0)</f>
        <v>#DIV/0!</v>
      </c>
      <c r="W47" s="3722"/>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676" t="str">
        <f>A48</f>
        <v>估价对象XX用房的比较价值（楼面单价，元/平方米）</v>
      </c>
      <c r="Q48" s="3677"/>
      <c r="R48" s="3723" t="e">
        <f>ROUND(IF(D47="简单平均",AVERAGE(R47:W47),R47*F47+T47*H47+V47*J47),0)</f>
        <v>#DIV/0!</v>
      </c>
      <c r="S48" s="3723"/>
      <c r="T48" s="3723"/>
      <c r="U48" s="3723"/>
      <c r="V48" s="3723"/>
      <c r="W48" s="3723"/>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f>项目基本情况!G8</f>
        <v>0</v>
      </c>
      <c r="I55" s="1522"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5"/>
      <c r="J57" s="1837"/>
      <c r="K57" s="1838"/>
      <c r="L57" s="1838"/>
      <c r="M57" s="1595"/>
      <c r="N57" s="1595"/>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5"/>
      <c r="J59" s="1837"/>
      <c r="K59" s="1838"/>
      <c r="L59" s="1838"/>
      <c r="M59" s="1595"/>
      <c r="N59" s="1595"/>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5"/>
      <c r="J60" s="1837"/>
      <c r="K60" s="1838"/>
      <c r="L60" s="1838"/>
      <c r="M60" s="1595"/>
      <c r="N60" s="1595"/>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5"/>
      <c r="J62" s="1837"/>
      <c r="K62" s="1838"/>
      <c r="L62" s="1838"/>
      <c r="M62" s="1595"/>
      <c r="N62" s="1595"/>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5"/>
      <c r="J64" s="1837"/>
      <c r="K64" s="1838"/>
      <c r="L64" s="1838"/>
      <c r="M64" s="1595"/>
      <c r="N64" s="1595"/>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2023-1-1</v>
      </c>
      <c r="D67" s="1968">
        <f>EDATE(C67,-3)</f>
        <v>44835</v>
      </c>
      <c r="E67" s="1968">
        <f t="shared" ref="E67:O67" si="18">EDATE(D67,-3)</f>
        <v>44743</v>
      </c>
      <c r="F67" s="1968">
        <f t="shared" si="18"/>
        <v>44652</v>
      </c>
      <c r="G67" s="1968">
        <f t="shared" si="18"/>
        <v>44562</v>
      </c>
      <c r="H67" s="1968">
        <f t="shared" si="18"/>
        <v>44470</v>
      </c>
      <c r="I67" s="1968">
        <f t="shared" si="18"/>
        <v>44378</v>
      </c>
      <c r="J67" s="1968">
        <f t="shared" si="18"/>
        <v>44287</v>
      </c>
      <c r="K67" s="1968">
        <f t="shared" si="18"/>
        <v>44197</v>
      </c>
      <c r="L67" s="1968">
        <f t="shared" si="18"/>
        <v>44105</v>
      </c>
      <c r="M67" s="1968">
        <f t="shared" si="18"/>
        <v>44013</v>
      </c>
      <c r="N67" s="1968">
        <f t="shared" si="18"/>
        <v>43922</v>
      </c>
      <c r="O67" s="1968">
        <f t="shared" si="18"/>
        <v>43831</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2023-1</v>
      </c>
      <c r="D69" s="1976" t="str">
        <f>YEAR(D67)&amp;"-"&amp;ROUNDUP(MONTH(D67)/3,0)</f>
        <v>2022-4</v>
      </c>
      <c r="E69" s="1976" t="str">
        <f t="shared" ref="E69:O69" si="19">YEAR(E67)&amp;"-"&amp;ROUNDUP(MONTH(E67)/3,0)</f>
        <v>2022-3</v>
      </c>
      <c r="F69" s="1976" t="str">
        <f t="shared" si="19"/>
        <v>2022-2</v>
      </c>
      <c r="G69" s="1976" t="str">
        <f t="shared" si="19"/>
        <v>2022-1</v>
      </c>
      <c r="H69" s="1976" t="str">
        <f t="shared" si="19"/>
        <v>2021-4</v>
      </c>
      <c r="I69" s="1976" t="str">
        <f t="shared" si="19"/>
        <v>2021-3</v>
      </c>
      <c r="J69" s="1976" t="str">
        <f t="shared" si="19"/>
        <v>2021-2</v>
      </c>
      <c r="K69" s="1976" t="str">
        <f t="shared" si="19"/>
        <v>2021-1</v>
      </c>
      <c r="L69" s="1976" t="str">
        <f t="shared" si="19"/>
        <v>2020-4</v>
      </c>
      <c r="M69" s="1976" t="str">
        <f t="shared" si="19"/>
        <v>2020-3</v>
      </c>
      <c r="N69" s="1976" t="str">
        <f t="shared" si="19"/>
        <v>2020-2</v>
      </c>
      <c r="O69" s="1976" t="str">
        <f t="shared" si="19"/>
        <v>2020-1</v>
      </c>
      <c r="P69" s="1977"/>
    </row>
    <row r="70" spans="1:17" s="1613" customFormat="1" ht="29.25" customHeight="1">
      <c r="A70" s="1979" t="s">
        <v>2236</v>
      </c>
      <c r="B70" s="1980" t="str">
        <f>"北京市平均增长率"&amp;TEXT(SUMIF(基准地价修正!N21:N25,A70,基准地价修正!P21:P25),"0.00%")</f>
        <v>北京市平均增长率0.93%</v>
      </c>
      <c r="C70" s="1833">
        <v>100</v>
      </c>
      <c r="D70" s="1829"/>
      <c r="E70" s="1829"/>
      <c r="F70" s="1829"/>
      <c r="G70" s="1829"/>
      <c r="H70" s="1829"/>
      <c r="I70" s="1829"/>
      <c r="J70" s="1829"/>
      <c r="K70" s="1829"/>
      <c r="L70" s="1829"/>
      <c r="M70" s="1981"/>
      <c r="N70" s="1829"/>
      <c r="O70" s="1982"/>
      <c r="P70" s="1749"/>
    </row>
    <row r="71" spans="1:17" s="1613"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3"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3"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60"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3"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3"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3"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3"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3"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3"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4"/>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6"/>
      <c r="I105" s="1506"/>
      <c r="J105" s="1506"/>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6"/>
      <c r="D107" s="1506"/>
      <c r="E107" s="1506"/>
      <c r="F107" s="1506"/>
      <c r="G107" s="1506"/>
      <c r="H107" s="1506"/>
      <c r="I107" s="1506"/>
      <c r="J107" s="1506"/>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6"/>
      <c r="H111" s="1506"/>
      <c r="I111" s="1506"/>
      <c r="J111" s="1506"/>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6"/>
      <c r="D118" s="1506"/>
      <c r="E118" s="1506"/>
      <c r="F118" s="1506"/>
      <c r="G118" s="1506"/>
      <c r="H118" s="1506"/>
      <c r="I118" s="1506"/>
      <c r="J118" s="1506"/>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6"/>
      <c r="G120" s="1506"/>
      <c r="H120" s="1506"/>
      <c r="I120" s="1506"/>
      <c r="J120" s="1506"/>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6"/>
      <c r="I122" s="1506"/>
      <c r="J122" s="1506"/>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6"/>
      <c r="F124" s="1506"/>
      <c r="G124" s="1506"/>
      <c r="H124" s="1506"/>
      <c r="I124" s="1506"/>
      <c r="J124" s="1506"/>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6"/>
      <c r="I126" s="1506"/>
      <c r="J126" s="1506"/>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6"/>
      <c r="H128" s="1506"/>
      <c r="I128" s="1506"/>
      <c r="J128" s="1506"/>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92" t="s">
        <v>2007</v>
      </c>
      <c r="D4" s="3693"/>
      <c r="E4" s="3694" t="s">
        <v>2008</v>
      </c>
      <c r="F4" s="3695"/>
      <c r="G4" s="3692" t="s">
        <v>2009</v>
      </c>
      <c r="H4" s="3693"/>
      <c r="I4" s="3692" t="s">
        <v>2010</v>
      </c>
      <c r="J4" s="3693"/>
      <c r="K4" s="496" t="s">
        <v>2011</v>
      </c>
      <c r="L4" s="2942"/>
      <c r="M4" s="2943"/>
      <c r="N4" s="2943"/>
      <c r="O4" s="2943"/>
      <c r="P4" s="3696" t="s">
        <v>2012</v>
      </c>
      <c r="Q4" s="3697"/>
      <c r="R4" s="3702" t="s">
        <v>2008</v>
      </c>
      <c r="S4" s="3703"/>
      <c r="T4" s="3702" t="s">
        <v>2009</v>
      </c>
      <c r="U4" s="3703"/>
      <c r="V4" s="3708" t="s">
        <v>2010</v>
      </c>
      <c r="W4" s="3708"/>
      <c r="X4" s="1263"/>
      <c r="Y4" s="3702" t="s">
        <v>2012</v>
      </c>
      <c r="Z4" s="3703"/>
      <c r="AA4" s="3689" t="s">
        <v>2008</v>
      </c>
      <c r="AB4" s="3690" t="s">
        <v>2009</v>
      </c>
      <c r="AC4" s="3689" t="s">
        <v>2010</v>
      </c>
    </row>
    <row r="5" spans="1:29" ht="15">
      <c r="A5" s="297"/>
      <c r="B5" s="298"/>
      <c r="C5" s="3685" t="s">
        <v>2013</v>
      </c>
      <c r="D5" s="3686"/>
      <c r="E5" s="3709" t="s">
        <v>2014</v>
      </c>
      <c r="F5" s="3710"/>
      <c r="G5" s="3685" t="s">
        <v>2015</v>
      </c>
      <c r="H5" s="3686"/>
      <c r="I5" s="3685" t="s">
        <v>2016</v>
      </c>
      <c r="J5" s="3686"/>
      <c r="K5" s="496"/>
      <c r="L5" s="2942"/>
      <c r="M5" s="2943"/>
      <c r="N5" s="2943"/>
      <c r="O5" s="2943"/>
      <c r="P5" s="3698"/>
      <c r="Q5" s="3699"/>
      <c r="R5" s="3704"/>
      <c r="S5" s="3705"/>
      <c r="T5" s="3704"/>
      <c r="U5" s="3705"/>
      <c r="V5" s="3708"/>
      <c r="W5" s="3708"/>
      <c r="X5" s="1263"/>
      <c r="Y5" s="3704"/>
      <c r="Z5" s="3705"/>
      <c r="AA5" s="3690"/>
      <c r="AB5" s="3690"/>
      <c r="AC5" s="3690"/>
    </row>
    <row r="6" spans="1:29" ht="15.75" thickBot="1">
      <c r="A6" s="299"/>
      <c r="B6" s="300"/>
      <c r="C6" s="3682" t="s">
        <v>2017</v>
      </c>
      <c r="D6" s="3683"/>
      <c r="E6" s="3680" t="s">
        <v>2017</v>
      </c>
      <c r="F6" s="3681"/>
      <c r="G6" s="3682" t="s">
        <v>2017</v>
      </c>
      <c r="H6" s="3683"/>
      <c r="I6" s="3682" t="s">
        <v>2017</v>
      </c>
      <c r="J6" s="3683"/>
      <c r="K6" s="496" t="s">
        <v>2018</v>
      </c>
      <c r="L6" s="2942"/>
      <c r="M6" s="2943"/>
      <c r="N6" s="2943"/>
      <c r="O6" s="2943"/>
      <c r="P6" s="3700"/>
      <c r="Q6" s="3701"/>
      <c r="R6" s="3704"/>
      <c r="S6" s="3705"/>
      <c r="T6" s="3706"/>
      <c r="U6" s="3707"/>
      <c r="V6" s="3708"/>
      <c r="W6" s="3708"/>
      <c r="X6" s="1263"/>
      <c r="Y6" s="3706"/>
      <c r="Z6" s="3707"/>
      <c r="AA6" s="3691"/>
      <c r="AB6" s="3691"/>
      <c r="AC6" s="3691"/>
    </row>
    <row r="7" spans="1:29" s="25" customFormat="1" ht="15.75" thickBot="1">
      <c r="A7" s="301" t="s">
        <v>2019</v>
      </c>
      <c r="B7" s="302"/>
      <c r="C7" s="303">
        <f>'数据-取费表'!B2</f>
        <v>44938</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87" t="s">
        <v>2020</v>
      </c>
      <c r="Q7" s="3711"/>
      <c r="R7" s="627" t="s">
        <v>25</v>
      </c>
      <c r="S7" s="628">
        <f t="shared" ref="S7:S15" si="0">F7</f>
        <v>0</v>
      </c>
      <c r="T7" s="627" t="s">
        <v>25</v>
      </c>
      <c r="U7" s="628">
        <f t="shared" ref="U7:U15" si="1">H7</f>
        <v>0</v>
      </c>
      <c r="V7" s="627" t="s">
        <v>25</v>
      </c>
      <c r="W7" s="628">
        <f t="shared" ref="W7:W15" si="2">J7</f>
        <v>0</v>
      </c>
      <c r="X7" s="629"/>
      <c r="Y7" s="3687" t="s">
        <v>2020</v>
      </c>
      <c r="Z7" s="368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84" t="s">
        <v>2026</v>
      </c>
      <c r="Q9" s="1255" t="str">
        <f t="shared" ref="Q9:Q15" si="6">B9</f>
        <v>用途</v>
      </c>
      <c r="R9" s="627" t="s">
        <v>25</v>
      </c>
      <c r="S9" s="628">
        <f t="shared" si="0"/>
        <v>100</v>
      </c>
      <c r="T9" s="627" t="s">
        <v>25</v>
      </c>
      <c r="U9" s="628">
        <f t="shared" si="1"/>
        <v>100</v>
      </c>
      <c r="V9" s="627" t="s">
        <v>25</v>
      </c>
      <c r="W9" s="628">
        <f t="shared" si="2"/>
        <v>100</v>
      </c>
      <c r="X9" s="629"/>
      <c r="Y9" s="3714"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100</v>
      </c>
      <c r="G10" s="322"/>
      <c r="H10" s="29">
        <f>ROUND(100/'数据-取费表'!B14,0)</f>
        <v>100</v>
      </c>
      <c r="I10" s="322"/>
      <c r="J10" s="29">
        <f>ROUND(100/'数据-取费表'!B14,0)</f>
        <v>100</v>
      </c>
      <c r="K10" s="553"/>
      <c r="L10" s="2947"/>
      <c r="M10" s="2948"/>
      <c r="N10" s="2948"/>
      <c r="O10" s="2949"/>
      <c r="P10" s="3684"/>
      <c r="Q10" s="1255" t="str">
        <f t="shared" si="6"/>
        <v>土地使用年限（年）</v>
      </c>
      <c r="R10" s="627" t="s">
        <v>25</v>
      </c>
      <c r="S10" s="628">
        <f t="shared" si="0"/>
        <v>100</v>
      </c>
      <c r="T10" s="627" t="s">
        <v>25</v>
      </c>
      <c r="U10" s="628">
        <f t="shared" si="1"/>
        <v>100</v>
      </c>
      <c r="V10" s="627" t="s">
        <v>25</v>
      </c>
      <c r="W10" s="628">
        <f t="shared" si="2"/>
        <v>100</v>
      </c>
      <c r="X10" s="629"/>
      <c r="Y10" s="3714"/>
      <c r="Z10" s="19" t="str">
        <f t="shared" si="7"/>
        <v>土地使用年限（年）</v>
      </c>
      <c r="AA10" s="630">
        <f t="shared" si="3"/>
        <v>1</v>
      </c>
      <c r="AB10" s="630">
        <f t="shared" si="4"/>
        <v>1</v>
      </c>
      <c r="AC10" s="630">
        <f t="shared" si="5"/>
        <v>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84"/>
      <c r="Q11" s="1255" t="str">
        <f t="shared" si="6"/>
        <v>容积率</v>
      </c>
      <c r="R11" s="627" t="s">
        <v>25</v>
      </c>
      <c r="S11" s="628" t="e">
        <f t="shared" si="0"/>
        <v>#N/A</v>
      </c>
      <c r="T11" s="627" t="s">
        <v>25</v>
      </c>
      <c r="U11" s="628" t="e">
        <f t="shared" si="1"/>
        <v>#N/A</v>
      </c>
      <c r="V11" s="627" t="s">
        <v>25</v>
      </c>
      <c r="W11" s="628" t="e">
        <f t="shared" si="2"/>
        <v>#N/A</v>
      </c>
      <c r="X11" s="629"/>
      <c r="Y11" s="3714"/>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84"/>
      <c r="Q12" s="1255">
        <f t="shared" si="6"/>
        <v>111</v>
      </c>
      <c r="R12" s="627" t="s">
        <v>25</v>
      </c>
      <c r="S12" s="628">
        <f t="shared" si="0"/>
        <v>100</v>
      </c>
      <c r="T12" s="627" t="s">
        <v>25</v>
      </c>
      <c r="U12" s="628">
        <f t="shared" si="1"/>
        <v>100</v>
      </c>
      <c r="V12" s="627" t="s">
        <v>25</v>
      </c>
      <c r="W12" s="628">
        <f t="shared" si="2"/>
        <v>100</v>
      </c>
      <c r="X12" s="629"/>
      <c r="Y12" s="3714"/>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84"/>
      <c r="Q13" s="1255">
        <f t="shared" si="6"/>
        <v>111</v>
      </c>
      <c r="R13" s="627" t="s">
        <v>25</v>
      </c>
      <c r="S13" s="628">
        <f t="shared" si="0"/>
        <v>100</v>
      </c>
      <c r="T13" s="627" t="s">
        <v>25</v>
      </c>
      <c r="U13" s="628">
        <f t="shared" si="1"/>
        <v>100</v>
      </c>
      <c r="V13" s="627" t="s">
        <v>25</v>
      </c>
      <c r="W13" s="628">
        <f t="shared" si="2"/>
        <v>100</v>
      </c>
      <c r="X13" s="629"/>
      <c r="Y13" s="3714"/>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84"/>
      <c r="Q14" s="1255">
        <f t="shared" si="6"/>
        <v>111</v>
      </c>
      <c r="R14" s="627" t="s">
        <v>25</v>
      </c>
      <c r="S14" s="628">
        <f t="shared" si="0"/>
        <v>100</v>
      </c>
      <c r="T14" s="627" t="s">
        <v>25</v>
      </c>
      <c r="U14" s="628">
        <f t="shared" si="1"/>
        <v>100</v>
      </c>
      <c r="V14" s="627" t="s">
        <v>25</v>
      </c>
      <c r="W14" s="628">
        <f t="shared" si="2"/>
        <v>100</v>
      </c>
      <c r="X14" s="629"/>
      <c r="Y14" s="3714"/>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712" t="s">
        <v>2031</v>
      </c>
      <c r="Q15" s="1262" t="str">
        <f t="shared" si="6"/>
        <v>产业集聚程度</v>
      </c>
      <c r="R15" s="631" t="s">
        <v>25</v>
      </c>
      <c r="S15" s="632">
        <f t="shared" si="0"/>
        <v>100</v>
      </c>
      <c r="T15" s="631" t="s">
        <v>25</v>
      </c>
      <c r="U15" s="632">
        <f t="shared" si="1"/>
        <v>100</v>
      </c>
      <c r="V15" s="631" t="s">
        <v>25</v>
      </c>
      <c r="W15" s="632">
        <f t="shared" si="2"/>
        <v>100</v>
      </c>
      <c r="X15" s="1263"/>
      <c r="Y15" s="3712"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713"/>
      <c r="Q16" s="1262"/>
      <c r="R16" s="631"/>
      <c r="S16" s="632"/>
      <c r="T16" s="631"/>
      <c r="U16" s="632"/>
      <c r="V16" s="631"/>
      <c r="W16" s="632"/>
      <c r="X16" s="1263"/>
      <c r="Y16" s="3713"/>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713"/>
      <c r="Q17" s="1262" t="str">
        <f>B17</f>
        <v>交通便捷度</v>
      </c>
      <c r="R17" s="631" t="s">
        <v>25</v>
      </c>
      <c r="S17" s="632">
        <f>F17</f>
        <v>100</v>
      </c>
      <c r="T17" s="631" t="s">
        <v>25</v>
      </c>
      <c r="U17" s="632">
        <f>H17</f>
        <v>100</v>
      </c>
      <c r="V17" s="631" t="s">
        <v>25</v>
      </c>
      <c r="W17" s="632">
        <f>J17</f>
        <v>100</v>
      </c>
      <c r="X17" s="1263"/>
      <c r="Y17" s="3713"/>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713"/>
      <c r="Q18" s="1262"/>
      <c r="R18" s="631"/>
      <c r="S18" s="632"/>
      <c r="T18" s="631"/>
      <c r="U18" s="632"/>
      <c r="V18" s="631"/>
      <c r="W18" s="632"/>
      <c r="X18" s="1263"/>
      <c r="Y18" s="3713"/>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713"/>
      <c r="Q19" s="1262" t="str">
        <f t="shared" ref="Q19:Q33" si="8">B19</f>
        <v>区域土地利用方向</v>
      </c>
      <c r="R19" s="631" t="s">
        <v>25</v>
      </c>
      <c r="S19" s="632">
        <f>F19</f>
        <v>100</v>
      </c>
      <c r="T19" s="631" t="s">
        <v>25</v>
      </c>
      <c r="U19" s="632">
        <f>H19</f>
        <v>100</v>
      </c>
      <c r="V19" s="631" t="s">
        <v>25</v>
      </c>
      <c r="W19" s="632">
        <f>J19</f>
        <v>100</v>
      </c>
      <c r="X19" s="1263"/>
      <c r="Y19" s="3713"/>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713"/>
      <c r="Q20" s="1262"/>
      <c r="R20" s="631"/>
      <c r="S20" s="632"/>
      <c r="T20" s="631"/>
      <c r="U20" s="632"/>
      <c r="V20" s="631"/>
      <c r="W20" s="632"/>
      <c r="X20" s="1263"/>
      <c r="Y20" s="3713"/>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713"/>
      <c r="Q21" s="1262" t="str">
        <f t="shared" si="8"/>
        <v>环境状况</v>
      </c>
      <c r="R21" s="631" t="s">
        <v>25</v>
      </c>
      <c r="S21" s="632">
        <f>F21</f>
        <v>100</v>
      </c>
      <c r="T21" s="631" t="s">
        <v>25</v>
      </c>
      <c r="U21" s="632">
        <f>H21</f>
        <v>100</v>
      </c>
      <c r="V21" s="631" t="s">
        <v>25</v>
      </c>
      <c r="W21" s="632">
        <f>J21</f>
        <v>100</v>
      </c>
      <c r="X21" s="1263"/>
      <c r="Y21" s="3713"/>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713"/>
      <c r="Q22" s="1262"/>
      <c r="R22" s="631"/>
      <c r="S22" s="632"/>
      <c r="T22" s="631"/>
      <c r="U22" s="632"/>
      <c r="V22" s="631"/>
      <c r="W22" s="632"/>
      <c r="X22" s="1263"/>
      <c r="Y22" s="3713"/>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713"/>
      <c r="Q23" s="1255" t="str">
        <f t="shared" si="8"/>
        <v>公共配套设施</v>
      </c>
      <c r="R23" s="627" t="s">
        <v>25</v>
      </c>
      <c r="S23" s="628">
        <f>F23</f>
        <v>100</v>
      </c>
      <c r="T23" s="627" t="s">
        <v>25</v>
      </c>
      <c r="U23" s="628">
        <f>H23</f>
        <v>100</v>
      </c>
      <c r="V23" s="627" t="s">
        <v>25</v>
      </c>
      <c r="W23" s="628">
        <f>J23</f>
        <v>100</v>
      </c>
      <c r="X23" s="629"/>
      <c r="Y23" s="3713"/>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713"/>
      <c r="Q24" s="1255"/>
      <c r="R24" s="627"/>
      <c r="S24" s="628"/>
      <c r="T24" s="627"/>
      <c r="U24" s="628"/>
      <c r="V24" s="627"/>
      <c r="W24" s="628"/>
      <c r="X24" s="629"/>
      <c r="Y24" s="3713"/>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713"/>
      <c r="Q25" s="1255" t="str">
        <f t="shared" ref="Q25" si="9">B25</f>
        <v>基础设施水平</v>
      </c>
      <c r="R25" s="627" t="s">
        <v>25</v>
      </c>
      <c r="S25" s="628">
        <f>F25</f>
        <v>100</v>
      </c>
      <c r="T25" s="627" t="s">
        <v>25</v>
      </c>
      <c r="U25" s="628">
        <f>H25</f>
        <v>100</v>
      </c>
      <c r="V25" s="627" t="s">
        <v>25</v>
      </c>
      <c r="W25" s="628">
        <f>J25</f>
        <v>100</v>
      </c>
      <c r="X25" s="629"/>
      <c r="Y25" s="3713"/>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713"/>
      <c r="Q26" s="1255"/>
      <c r="R26" s="627"/>
      <c r="S26" s="628"/>
      <c r="T26" s="627"/>
      <c r="U26" s="628"/>
      <c r="V26" s="627"/>
      <c r="W26" s="628"/>
      <c r="X26" s="629"/>
      <c r="Y26" s="3713"/>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713"/>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713"/>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713"/>
      <c r="Q28" s="1262" t="str">
        <f t="shared" si="8"/>
        <v>毗邻道路的类型与等级</v>
      </c>
      <c r="R28" s="631" t="s">
        <v>25</v>
      </c>
      <c r="S28" s="632">
        <f t="shared" si="10"/>
        <v>100</v>
      </c>
      <c r="T28" s="631" t="s">
        <v>25</v>
      </c>
      <c r="U28" s="632">
        <f t="shared" si="11"/>
        <v>100</v>
      </c>
      <c r="V28" s="631" t="s">
        <v>25</v>
      </c>
      <c r="W28" s="632">
        <f t="shared" si="12"/>
        <v>100</v>
      </c>
      <c r="X28" s="1263"/>
      <c r="Y28" s="3713"/>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713"/>
      <c r="Q29" s="1262"/>
      <c r="R29" s="631"/>
      <c r="S29" s="632"/>
      <c r="T29" s="631"/>
      <c r="U29" s="632"/>
      <c r="V29" s="631"/>
      <c r="W29" s="632"/>
      <c r="X29" s="1263"/>
      <c r="Y29" s="3713"/>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713"/>
      <c r="Q30" s="1262" t="str">
        <f t="shared" si="8"/>
        <v>土地级别</v>
      </c>
      <c r="R30" s="631" t="s">
        <v>25</v>
      </c>
      <c r="S30" s="632">
        <f t="shared" si="10"/>
        <v>100</v>
      </c>
      <c r="T30" s="631" t="s">
        <v>25</v>
      </c>
      <c r="U30" s="632">
        <f t="shared" si="11"/>
        <v>100</v>
      </c>
      <c r="V30" s="631" t="s">
        <v>25</v>
      </c>
      <c r="W30" s="632">
        <f t="shared" si="12"/>
        <v>100</v>
      </c>
      <c r="X30" s="1263"/>
      <c r="Y30" s="3713"/>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713"/>
      <c r="Q31" s="1262">
        <f t="shared" si="8"/>
        <v>111</v>
      </c>
      <c r="R31" s="631" t="s">
        <v>25</v>
      </c>
      <c r="S31" s="632">
        <f t="shared" si="10"/>
        <v>100</v>
      </c>
      <c r="T31" s="631" t="s">
        <v>25</v>
      </c>
      <c r="U31" s="632">
        <f t="shared" si="11"/>
        <v>100</v>
      </c>
      <c r="V31" s="631" t="s">
        <v>25</v>
      </c>
      <c r="W31" s="632">
        <f t="shared" si="12"/>
        <v>100</v>
      </c>
      <c r="X31" s="1263"/>
      <c r="Y31" s="3713"/>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715" t="s">
        <v>2037</v>
      </c>
      <c r="Q32" s="1262">
        <f t="shared" si="8"/>
        <v>111</v>
      </c>
      <c r="R32" s="631" t="s">
        <v>25</v>
      </c>
      <c r="S32" s="632">
        <f t="shared" si="10"/>
        <v>100</v>
      </c>
      <c r="T32" s="631" t="s">
        <v>25</v>
      </c>
      <c r="U32" s="632">
        <f t="shared" si="11"/>
        <v>100</v>
      </c>
      <c r="V32" s="631" t="s">
        <v>25</v>
      </c>
      <c r="W32" s="632">
        <f t="shared" si="12"/>
        <v>100</v>
      </c>
      <c r="X32" s="1263"/>
      <c r="Y32" s="371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716"/>
      <c r="Q33" s="1262">
        <f t="shared" si="8"/>
        <v>111</v>
      </c>
      <c r="R33" s="634" t="s">
        <v>25</v>
      </c>
      <c r="S33" s="635">
        <f t="shared" si="10"/>
        <v>100</v>
      </c>
      <c r="T33" s="634" t="s">
        <v>25</v>
      </c>
      <c r="U33" s="635">
        <f t="shared" si="11"/>
        <v>100</v>
      </c>
      <c r="V33" s="634" t="s">
        <v>25</v>
      </c>
      <c r="W33" s="635">
        <f t="shared" si="12"/>
        <v>100</v>
      </c>
      <c r="X33" s="636"/>
      <c r="Y33" s="371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716"/>
      <c r="Q34" s="1262" t="str">
        <f>B34</f>
        <v>宗地面积</v>
      </c>
      <c r="R34" s="631" t="s">
        <v>25</v>
      </c>
      <c r="S34" s="632" t="e">
        <f t="shared" si="10"/>
        <v>#N/A</v>
      </c>
      <c r="T34" s="631" t="s">
        <v>25</v>
      </c>
      <c r="U34" s="632" t="e">
        <f t="shared" si="11"/>
        <v>#N/A</v>
      </c>
      <c r="V34" s="631" t="s">
        <v>25</v>
      </c>
      <c r="W34" s="632" t="e">
        <f t="shared" si="12"/>
        <v>#N/A</v>
      </c>
      <c r="X34" s="1263"/>
      <c r="Y34" s="371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716"/>
      <c r="Q35" s="1262" t="str">
        <f t="shared" ref="Q35:Q40" si="14">B35</f>
        <v>宗地形状</v>
      </c>
      <c r="R35" s="631" t="s">
        <v>25</v>
      </c>
      <c r="S35" s="632">
        <f t="shared" si="10"/>
        <v>100</v>
      </c>
      <c r="T35" s="631" t="s">
        <v>25</v>
      </c>
      <c r="U35" s="632">
        <f t="shared" si="11"/>
        <v>100</v>
      </c>
      <c r="V35" s="631" t="s">
        <v>25</v>
      </c>
      <c r="W35" s="632">
        <f t="shared" si="12"/>
        <v>100</v>
      </c>
      <c r="X35" s="1263"/>
      <c r="Y35" s="371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716"/>
      <c r="Q36" s="1262" t="str">
        <f t="shared" si="14"/>
        <v>宗地开发程度</v>
      </c>
      <c r="R36" s="627" t="s">
        <v>25</v>
      </c>
      <c r="S36" s="628">
        <f t="shared" si="10"/>
        <v>100</v>
      </c>
      <c r="T36" s="627" t="s">
        <v>25</v>
      </c>
      <c r="U36" s="628">
        <f t="shared" si="11"/>
        <v>100</v>
      </c>
      <c r="V36" s="627" t="s">
        <v>25</v>
      </c>
      <c r="W36" s="628">
        <f t="shared" si="12"/>
        <v>100</v>
      </c>
      <c r="X36" s="629"/>
      <c r="Y36" s="371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716" t="s">
        <v>2037</v>
      </c>
      <c r="Q37" s="1262" t="str">
        <f t="shared" si="14"/>
        <v>工程地质条件</v>
      </c>
      <c r="R37" s="631" t="s">
        <v>25</v>
      </c>
      <c r="S37" s="632">
        <f t="shared" si="10"/>
        <v>100</v>
      </c>
      <c r="T37" s="631" t="s">
        <v>25</v>
      </c>
      <c r="U37" s="632">
        <f t="shared" si="11"/>
        <v>100</v>
      </c>
      <c r="V37" s="631" t="s">
        <v>25</v>
      </c>
      <c r="W37" s="632">
        <f t="shared" si="12"/>
        <v>100</v>
      </c>
      <c r="X37" s="1263"/>
      <c r="Y37" s="371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716"/>
      <c r="Q38" s="1262">
        <f t="shared" si="14"/>
        <v>111</v>
      </c>
      <c r="R38" s="631" t="s">
        <v>25</v>
      </c>
      <c r="S38" s="632">
        <f t="shared" si="10"/>
        <v>100</v>
      </c>
      <c r="T38" s="631" t="s">
        <v>25</v>
      </c>
      <c r="U38" s="632">
        <f t="shared" si="11"/>
        <v>100</v>
      </c>
      <c r="V38" s="631" t="s">
        <v>25</v>
      </c>
      <c r="W38" s="632">
        <f t="shared" si="12"/>
        <v>100</v>
      </c>
      <c r="X38" s="1263"/>
      <c r="Y38" s="371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716"/>
      <c r="Q39" s="1262">
        <f t="shared" si="14"/>
        <v>111</v>
      </c>
      <c r="R39" s="631" t="s">
        <v>25</v>
      </c>
      <c r="S39" s="632">
        <f t="shared" si="10"/>
        <v>100</v>
      </c>
      <c r="T39" s="631" t="s">
        <v>25</v>
      </c>
      <c r="U39" s="632">
        <f t="shared" si="11"/>
        <v>100</v>
      </c>
      <c r="V39" s="631" t="s">
        <v>25</v>
      </c>
      <c r="W39" s="632">
        <f t="shared" si="12"/>
        <v>100</v>
      </c>
      <c r="X39" s="1263"/>
      <c r="Y39" s="371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716"/>
      <c r="Q40" s="1262">
        <f t="shared" si="14"/>
        <v>111</v>
      </c>
      <c r="R40" s="634" t="s">
        <v>25</v>
      </c>
      <c r="S40" s="635">
        <f t="shared" si="10"/>
        <v>100</v>
      </c>
      <c r="T40" s="634" t="s">
        <v>25</v>
      </c>
      <c r="U40" s="635">
        <f t="shared" si="11"/>
        <v>100</v>
      </c>
      <c r="V40" s="634" t="s">
        <v>25</v>
      </c>
      <c r="W40" s="635">
        <f t="shared" si="12"/>
        <v>100</v>
      </c>
      <c r="X40" s="636"/>
      <c r="Y40" s="371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84" t="str">
        <f>A41</f>
        <v>成交单价</v>
      </c>
      <c r="Q41" s="3684"/>
      <c r="R41" s="3708">
        <f>E41</f>
        <v>0</v>
      </c>
      <c r="S41" s="3708"/>
      <c r="T41" s="3708">
        <f>G41</f>
        <v>0</v>
      </c>
      <c r="U41" s="3708"/>
      <c r="V41" s="3708">
        <f>I41</f>
        <v>0</v>
      </c>
      <c r="W41" s="3708"/>
      <c r="X41" s="618"/>
      <c r="Y41" s="638"/>
      <c r="Z41" s="618"/>
      <c r="AA41" s="618"/>
      <c r="AB41" s="618"/>
      <c r="AC41" s="618"/>
    </row>
    <row r="42" spans="1:29" ht="15.75" thickBot="1">
      <c r="A42" s="374" t="s">
        <v>2132</v>
      </c>
      <c r="B42" s="563"/>
      <c r="C42" s="377" t="e">
        <f>R43</f>
        <v>#DIV/0!</v>
      </c>
      <c r="D42" s="1724" t="s">
        <v>2499</v>
      </c>
      <c r="E42" s="377" t="e">
        <f>R42</f>
        <v>#DIV/0!</v>
      </c>
      <c r="F42" s="1726"/>
      <c r="G42" s="376" t="e">
        <f>T42</f>
        <v>#DIV/0!</v>
      </c>
      <c r="H42" s="1726"/>
      <c r="I42" s="377" t="e">
        <f>V42</f>
        <v>#DIV/0!</v>
      </c>
      <c r="J42" s="1726"/>
      <c r="K42" s="2428">
        <f>F42+H42+J42</f>
        <v>0</v>
      </c>
      <c r="L42" s="2954"/>
      <c r="M42" s="2943"/>
      <c r="N42" s="2943"/>
      <c r="P42" s="3684" t="str">
        <f>A42</f>
        <v>比较价值（元/平方米）</v>
      </c>
      <c r="Q42" s="3684"/>
      <c r="R42" s="3725" t="e">
        <f>ROUND(PRODUCT(R41,AA7:AA40),0)</f>
        <v>#DIV/0!</v>
      </c>
      <c r="S42" s="3725"/>
      <c r="T42" s="3725" t="e">
        <f>ROUND(PRODUCT(T41,AB7:AB40),0)</f>
        <v>#DIV/0!</v>
      </c>
      <c r="U42" s="3725"/>
      <c r="V42" s="3725" t="e">
        <f>ROUND(PRODUCT(V41,AC7:AC40),0)</f>
        <v>#DIV/0!</v>
      </c>
      <c r="W42" s="372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719" t="str">
        <f>A43</f>
        <v>估价对象XX用房的比较价值（楼面单价，元/平方米）</v>
      </c>
      <c r="Q43" s="3720"/>
      <c r="R43" s="3724" t="e">
        <f>ROUND(IF(D42="简单平均",AVERAGE(R42:W42),R42*F42+T42*H42+V42*J42),0)</f>
        <v>#DIV/0!</v>
      </c>
      <c r="S43" s="3724"/>
      <c r="T43" s="3724"/>
      <c r="U43" s="3724"/>
      <c r="V43" s="3724"/>
      <c r="W43" s="3724"/>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f>项目基本情况!G8</f>
        <v>0</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2023-1-1</v>
      </c>
      <c r="D62" s="1111">
        <f>EDATE(C62,-3)</f>
        <v>44835</v>
      </c>
      <c r="E62" s="1111">
        <f t="shared" ref="E62:O62" si="18">EDATE(D62,-3)</f>
        <v>44743</v>
      </c>
      <c r="F62" s="1111">
        <f t="shared" si="18"/>
        <v>44652</v>
      </c>
      <c r="G62" s="1111">
        <f t="shared" si="18"/>
        <v>44562</v>
      </c>
      <c r="H62" s="1111">
        <f t="shared" si="18"/>
        <v>44470</v>
      </c>
      <c r="I62" s="1111">
        <f t="shared" si="18"/>
        <v>44378</v>
      </c>
      <c r="J62" s="1111">
        <f t="shared" si="18"/>
        <v>44287</v>
      </c>
      <c r="K62" s="1111">
        <f t="shared" si="18"/>
        <v>44197</v>
      </c>
      <c r="L62" s="1111">
        <f t="shared" si="18"/>
        <v>44105</v>
      </c>
      <c r="M62" s="1111">
        <f t="shared" si="18"/>
        <v>44013</v>
      </c>
      <c r="N62" s="1111">
        <f t="shared" si="18"/>
        <v>43922</v>
      </c>
      <c r="O62" s="1111">
        <f t="shared" si="18"/>
        <v>43831</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2023-1</v>
      </c>
      <c r="D64" s="1112" t="str">
        <f t="shared" ref="D64:O64" si="19">YEAR(D62)&amp;"-"&amp;ROUNDUP(MONTH(D62)/3,0)</f>
        <v>2022-4</v>
      </c>
      <c r="E64" s="1112" t="str">
        <f t="shared" si="19"/>
        <v>2022-3</v>
      </c>
      <c r="F64" s="1112" t="str">
        <f t="shared" si="19"/>
        <v>2022-2</v>
      </c>
      <c r="G64" s="1112" t="str">
        <f t="shared" si="19"/>
        <v>2022-1</v>
      </c>
      <c r="H64" s="1112" t="str">
        <f t="shared" si="19"/>
        <v>2021-4</v>
      </c>
      <c r="I64" s="1112" t="str">
        <f t="shared" si="19"/>
        <v>2021-3</v>
      </c>
      <c r="J64" s="1112" t="str">
        <f t="shared" si="19"/>
        <v>2021-2</v>
      </c>
      <c r="K64" s="1112" t="str">
        <f t="shared" si="19"/>
        <v>2021-1</v>
      </c>
      <c r="L64" s="1112" t="str">
        <f t="shared" si="19"/>
        <v>2020-4</v>
      </c>
      <c r="M64" s="1112" t="str">
        <f t="shared" si="19"/>
        <v>2020-3</v>
      </c>
      <c r="N64" s="1112" t="str">
        <f t="shared" si="19"/>
        <v>2020-2</v>
      </c>
      <c r="O64" s="1112" t="str">
        <f t="shared" si="19"/>
        <v>2020-1</v>
      </c>
      <c r="P64" s="393"/>
    </row>
    <row r="65" spans="1:17" s="25" customFormat="1" ht="33.75" customHeight="1">
      <c r="A65" s="1528" t="s">
        <v>2255</v>
      </c>
      <c r="B65" s="200" t="str">
        <f>"北京市平均增长率"&amp;TEXT(基准地价修正!P24,"0.00%")</f>
        <v>北京市平均增长率1.09%</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2" customWidth="1"/>
    <col min="33" max="38" width="9.375" style="1552" customWidth="1"/>
    <col min="39" max="16384" width="9" style="1552"/>
  </cols>
  <sheetData>
    <row r="1" spans="1:36" ht="28.5">
      <c r="A1" s="2024" t="s">
        <v>2256</v>
      </c>
      <c r="B1" s="2025"/>
      <c r="C1" s="2026" t="s">
        <v>2257</v>
      </c>
      <c r="D1" s="2027">
        <f>SUM(D29:D30,D33:D39)</f>
        <v>53.46</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7" t="e">
        <f>C26</f>
        <v>#REF!</v>
      </c>
      <c r="C2" s="2035" t="s">
        <v>2265</v>
      </c>
      <c r="D2" s="1530" t="s">
        <v>2266</v>
      </c>
      <c r="E2" s="2036" t="s">
        <v>2639</v>
      </c>
      <c r="F2" s="1530" t="s">
        <v>2267</v>
      </c>
      <c r="G2" s="2037">
        <f>项目基本情况!F9</f>
        <v>0</v>
      </c>
      <c r="H2" s="1531"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7" t="s">
        <v>2270</v>
      </c>
      <c r="B3" s="1587" t="e">
        <f>ROUND(B2/D1,0)</f>
        <v>#REF!</v>
      </c>
      <c r="C3" s="2035" t="s">
        <v>2271</v>
      </c>
      <c r="D3" s="1530" t="s">
        <v>2272</v>
      </c>
      <c r="E3" s="2036" t="s">
        <v>2641</v>
      </c>
      <c r="F3" s="1532"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43"/>
      <c r="B4" s="3744"/>
      <c r="C4" s="3744"/>
      <c r="D4" s="3745"/>
      <c r="E4" s="3745"/>
      <c r="F4" s="3745"/>
      <c r="G4" s="3745"/>
      <c r="H4" s="3745"/>
      <c r="I4" s="3745"/>
      <c r="J4" s="3746"/>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3" t="s">
        <v>2278</v>
      </c>
      <c r="B5" s="1533" t="s">
        <v>2279</v>
      </c>
      <c r="C5" s="2045">
        <f>ROUND(IF(E2="商业",C6*C7+C16,(IF(E2="住宅",C6*C12+C16,C6+C16))),0)</f>
        <v>0</v>
      </c>
      <c r="D5" s="2046">
        <f>ROUND(C6+C16,0)</f>
        <v>0</v>
      </c>
      <c r="E5" s="2046"/>
      <c r="F5" s="2047"/>
      <c r="G5" s="2048"/>
      <c r="H5" s="2048"/>
      <c r="I5" s="2048"/>
      <c r="J5" s="2005"/>
      <c r="K5" s="1595"/>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4" t="s">
        <v>2281</v>
      </c>
      <c r="C6" s="2054">
        <f>SUMIF(L1:L12,G2,M1:M12)</f>
        <v>0</v>
      </c>
      <c r="D6" s="2055" t="s">
        <v>2282</v>
      </c>
      <c r="E6" s="1534"/>
      <c r="F6" s="1534"/>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47" t="str">
        <f>IF(E2="商业",IF(C8="不临58条商业街","",2),"")</f>
        <v/>
      </c>
      <c r="B7" s="1535"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748"/>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41" t="s">
        <v>2292</v>
      </c>
      <c r="X8" s="3742"/>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748"/>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42"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48"/>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4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48"/>
      <c r="B11" s="1536" t="s">
        <v>2313</v>
      </c>
      <c r="C11" s="1536">
        <f>C10/4</f>
        <v>0</v>
      </c>
      <c r="D11" s="1536" t="s">
        <v>92</v>
      </c>
      <c r="E11" s="1536"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42"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47">
        <f>IF(E2="住宅",2,"")</f>
        <v>2</v>
      </c>
      <c r="B12" s="1537"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42"/>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49"/>
      <c r="B13" s="1538" t="s">
        <v>2322</v>
      </c>
      <c r="C13" s="2089" t="s">
        <v>2323</v>
      </c>
      <c r="D13" s="1539" t="s">
        <v>2324</v>
      </c>
      <c r="E13" s="1539"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74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49"/>
      <c r="B14" s="1539"/>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50"/>
      <c r="B15" s="1540"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26">
        <f>IF(E2="办公",2,IF(E2="工业",2,IF(E2="住宅",3,IF(E2="商业",IF(C8="不临58条商业街",2,3)))))</f>
        <v>3</v>
      </c>
      <c r="B16" s="1559" t="s">
        <v>2338</v>
      </c>
      <c r="C16" s="1535">
        <f>ROUND(IF(F17="与级别开发程度一致",0,(G17-E17)/C17),0)</f>
        <v>0</v>
      </c>
      <c r="D16" s="3739" t="s">
        <v>2342</v>
      </c>
      <c r="E16" s="3740"/>
      <c r="F16" s="3739" t="s">
        <v>2339</v>
      </c>
      <c r="G16" s="374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27"/>
      <c r="B17" s="1560" t="s">
        <v>2341</v>
      </c>
      <c r="C17" s="2105">
        <f>SUMPRODUCT((修正!A2:A7=E2)*(修正!B1:M1=G2)*(修正!B2:M7))</f>
        <v>0</v>
      </c>
      <c r="D17" s="2099" t="str">
        <f>IF(OR(G2="八级",G2="九级",G2="十级",G2="十一级",G2="十二级"),"五通一平","七通一平")</f>
        <v>七通一平</v>
      </c>
      <c r="E17" s="2106">
        <f>SUMPRODUCT((修正!B1:M1=G2)*(修正!B17:M17))</f>
        <v>0</v>
      </c>
      <c r="F17" s="2107" t="s">
        <v>2642</v>
      </c>
      <c r="G17" s="1549">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2" customFormat="1" ht="15.75" thickBot="1">
      <c r="A18" s="2110" t="s">
        <v>2344</v>
      </c>
      <c r="B18" s="1558"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2" customFormat="1" ht="29.25" thickBot="1">
      <c r="A19" s="2110" t="s">
        <v>2346</v>
      </c>
      <c r="B19" s="1541"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44938</v>
      </c>
      <c r="H19" s="2120" t="s">
        <v>2480</v>
      </c>
      <c r="I19" s="2121" t="str">
        <f>IF(H19="季度增幅（自定义）",SUMIF(N21:N24,E2,O21:O24),"")</f>
        <v/>
      </c>
      <c r="J19" s="2122"/>
      <c r="K19" s="2969"/>
      <c r="L19" s="2003" t="s">
        <v>2350</v>
      </c>
      <c r="M19" s="2123">
        <f>ROUND(SUMIF(地价!B2:F2,E2,地价!B41:F41),0)</f>
        <v>423</v>
      </c>
      <c r="N19" s="2124" t="s">
        <v>2351</v>
      </c>
      <c r="O19" s="2125">
        <f>ROUNDDOWN(DATEDIF(E19,G19,"M")/3,0)</f>
        <v>36</v>
      </c>
      <c r="P19" s="2967"/>
      <c r="Q19" s="2969"/>
      <c r="R19" s="2967"/>
      <c r="S19" s="2967"/>
      <c r="T19" s="2967"/>
      <c r="U19" s="2967"/>
      <c r="V19" s="2967"/>
      <c r="W19" s="2967"/>
      <c r="X19" s="1551"/>
      <c r="Y19" s="1551"/>
      <c r="Z19" s="1551"/>
      <c r="AA19" s="1551"/>
      <c r="AB19" s="1551"/>
      <c r="AC19" s="1551"/>
      <c r="AD19" s="1551"/>
      <c r="AE19" s="2115"/>
      <c r="AF19" s="2126"/>
      <c r="AG19" s="2127"/>
      <c r="AH19" s="1552"/>
    </row>
    <row r="20" spans="1:35" s="2052" customFormat="1" ht="27.75" thickBot="1">
      <c r="A20" s="1646" t="s">
        <v>2352</v>
      </c>
      <c r="B20" s="1542" t="s">
        <v>2353</v>
      </c>
      <c r="C20" s="2128">
        <f>ROUND(POWER(1+G20,J20-I20)*(POWER(1+G20,I20)-1)/(POWER(1+G20,J20)-1),4)</f>
        <v>1</v>
      </c>
      <c r="D20" s="2129" t="s">
        <v>2354</v>
      </c>
      <c r="E20" s="3071">
        <f>存贷款利率!E22/100</f>
        <v>4.3499999999999997E-2</v>
      </c>
      <c r="F20" s="2129" t="s">
        <v>2343</v>
      </c>
      <c r="G20" s="3072">
        <f>SUMIF(M26:P26,E2,M28:P28)</f>
        <v>0.05</v>
      </c>
      <c r="H20" s="2129" t="s">
        <v>2355</v>
      </c>
      <c r="I20" s="2130">
        <f>'数据-取费表'!B13</f>
        <v>70</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1"/>
      <c r="Y20" s="1551"/>
      <c r="Z20" s="1551"/>
      <c r="AA20" s="1551"/>
      <c r="AB20" s="1551"/>
      <c r="AC20" s="1551"/>
      <c r="AD20" s="1551"/>
      <c r="AE20" s="2115"/>
      <c r="AF20" s="2115"/>
    </row>
    <row r="21" spans="1:35" s="2052" customFormat="1" ht="14.25">
      <c r="A21" s="2137" t="s">
        <v>2360</v>
      </c>
      <c r="B21" s="1543"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9.2999999999999992E-3</v>
      </c>
      <c r="Q21" s="2969"/>
      <c r="R21" s="2967"/>
      <c r="S21" s="2967"/>
      <c r="T21" s="2967"/>
      <c r="U21" s="2967"/>
      <c r="V21" s="2967"/>
      <c r="W21" s="2967"/>
      <c r="X21" s="1551"/>
      <c r="Y21" s="1551"/>
      <c r="Z21" s="1551"/>
      <c r="AA21" s="1551"/>
      <c r="AB21" s="1551"/>
      <c r="AC21" s="1551"/>
      <c r="AD21" s="1551"/>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9.2999999999999992E-3</v>
      </c>
      <c r="Q22" s="2969"/>
      <c r="R22" s="2967"/>
      <c r="S22" s="2967"/>
      <c r="T22" s="2967"/>
      <c r="U22" s="2967"/>
      <c r="V22" s="2967"/>
      <c r="W22" s="2967"/>
      <c r="X22" s="1551"/>
      <c r="Y22" s="1551"/>
      <c r="Z22" s="1551"/>
      <c r="AA22" s="1551"/>
      <c r="AB22" s="1551"/>
      <c r="AC22" s="1551"/>
      <c r="AD22" s="1551"/>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8"/>
      <c r="I23" s="1999"/>
      <c r="J23" s="2143"/>
      <c r="K23" s="2967"/>
      <c r="L23" s="2967"/>
      <c r="M23" s="2967"/>
      <c r="N23" s="2140" t="s">
        <v>2367</v>
      </c>
      <c r="O23" s="2141"/>
      <c r="P23" s="2142">
        <f>SUMPRODUCT((地价!A3:A41=YEAR(G19)&amp;"-"&amp;ROUNDUP(MONTH(G19)/3,0))*(地价!AD2:AH2=N23)*(地价!AD3:AH41))</f>
        <v>1.6400000000000001E-2</v>
      </c>
      <c r="Q23" s="2967"/>
      <c r="R23" s="2967"/>
      <c r="S23" s="2967"/>
      <c r="T23" s="2967"/>
      <c r="U23" s="2967"/>
      <c r="V23" s="2967"/>
      <c r="W23" s="2967"/>
      <c r="X23" s="1551"/>
      <c r="Y23" s="1551"/>
      <c r="Z23" s="1551"/>
      <c r="AA23" s="1551"/>
      <c r="AB23" s="1551"/>
      <c r="AC23" s="1551"/>
      <c r="AD23" s="1551"/>
      <c r="AE23" s="1551"/>
      <c r="AF23" s="1551"/>
    </row>
    <row r="24" spans="1:35" s="2052" customFormat="1" ht="15.75" thickBot="1">
      <c r="A24" s="2147" t="s">
        <v>2368</v>
      </c>
      <c r="B24" s="1545"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1.09E-2</v>
      </c>
      <c r="Q24" s="2969"/>
      <c r="R24" s="2967"/>
      <c r="S24" s="2967"/>
      <c r="T24" s="2967"/>
      <c r="U24" s="2967"/>
      <c r="V24" s="2967"/>
      <c r="W24" s="2967"/>
      <c r="X24" s="1551"/>
      <c r="Y24" s="1551"/>
      <c r="Z24" s="1551"/>
      <c r="AA24" s="1551"/>
      <c r="AB24" s="1551"/>
      <c r="AC24" s="1551"/>
      <c r="AD24" s="1551"/>
      <c r="AE24" s="2115"/>
      <c r="AF24" s="2115"/>
    </row>
    <row r="25" spans="1:35" ht="15" thickBot="1">
      <c r="A25" s="1646" t="s">
        <v>2371</v>
      </c>
      <c r="B25" s="1546"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1.49E-2</v>
      </c>
      <c r="Q25" s="2967"/>
      <c r="R25" s="2967"/>
      <c r="S25" s="2967"/>
      <c r="T25" s="2967"/>
      <c r="U25" s="2967"/>
      <c r="V25" s="2967"/>
      <c r="W25" s="2967"/>
      <c r="X25" s="1551"/>
      <c r="Y25" s="1551"/>
      <c r="Z25" s="1551"/>
      <c r="AA25" s="1551"/>
      <c r="AB25" s="1551"/>
      <c r="AC25" s="1551"/>
      <c r="AD25" s="1551"/>
      <c r="AE25" s="1551"/>
      <c r="AF25" s="1551"/>
    </row>
    <row r="26" spans="1:35" ht="15">
      <c r="A26" s="1631"/>
      <c r="B26" s="1999" t="s">
        <v>2374</v>
      </c>
      <c r="C26" s="2807" t="e">
        <f>IF(B21="容积率修正",E29+SUM(E33:E39),SUM(V2:V16)+SUM(E33:E39))</f>
        <v>#REF!</v>
      </c>
      <c r="D26" s="2157"/>
      <c r="E26" s="2096"/>
      <c r="F26" s="1406"/>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5" t="s">
        <v>2376</v>
      </c>
      <c r="C28" s="2166" t="s">
        <v>2377</v>
      </c>
      <c r="D28" s="2166" t="s">
        <v>2378</v>
      </c>
      <c r="E28" s="1546"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0"/>
      <c r="B29" s="1548" t="s">
        <v>2380</v>
      </c>
      <c r="C29" s="54">
        <f>ROUND(C5*C18*C19*C20*C21*C24,0)</f>
        <v>0</v>
      </c>
      <c r="D29" s="2171">
        <f>项目基本情况!C12</f>
        <v>53.46</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5"/>
      <c r="B30" s="1549"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0"/>
      <c r="B31" s="1550"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36"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37"/>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37"/>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38"/>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2"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2" customFormat="1">
      <c r="A41" s="1551"/>
      <c r="B41" s="2193" t="s">
        <v>2475</v>
      </c>
      <c r="C41" s="50">
        <f>ROUND(POWER(1+E41,H41-G41)*(POWER(1+E41,G41)-1)/(POWER(1+E41,H41)-1),4)</f>
        <v>0</v>
      </c>
      <c r="D41" s="50" t="s">
        <v>2473</v>
      </c>
      <c r="E41" s="2194">
        <f>G20</f>
        <v>0.05</v>
      </c>
      <c r="F41" s="50" t="s">
        <v>2474</v>
      </c>
      <c r="G41" s="2195"/>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2" customFormat="1" ht="15.75" thickBot="1">
      <c r="A45" s="2196" t="s">
        <v>2398</v>
      </c>
      <c r="B45" s="2197"/>
      <c r="C45" s="608"/>
      <c r="D45" s="608"/>
      <c r="E45" s="608"/>
      <c r="F45" s="608"/>
      <c r="G45" s="608"/>
      <c r="H45" s="608"/>
      <c r="I45" s="608"/>
      <c r="J45" s="608"/>
      <c r="K45" s="608"/>
      <c r="L45" s="608"/>
      <c r="M45" s="608"/>
      <c r="N45" s="2027"/>
      <c r="O45" s="1551"/>
      <c r="P45" s="1551"/>
      <c r="Q45" s="2967"/>
      <c r="R45" s="2967"/>
      <c r="S45" s="2967"/>
      <c r="T45" s="2967"/>
      <c r="U45" s="2967"/>
      <c r="V45" s="2967"/>
      <c r="W45" s="2967"/>
      <c r="X45" s="1551"/>
      <c r="Y45" s="1551"/>
      <c r="Z45" s="1551"/>
      <c r="AA45" s="1551"/>
      <c r="AB45" s="1551"/>
      <c r="AC45" s="1551"/>
      <c r="AD45" s="1551"/>
      <c r="AE45" s="1551"/>
      <c r="AF45" s="1551"/>
    </row>
    <row r="46" spans="1:33" s="2192" customFormat="1" ht="15">
      <c r="A46" s="2198" t="s">
        <v>2399</v>
      </c>
      <c r="B46" s="2199">
        <f>1+E48</f>
        <v>1</v>
      </c>
      <c r="C46" s="2200"/>
      <c r="D46" s="2201"/>
      <c r="E46" s="2202"/>
      <c r="F46" s="2203"/>
      <c r="G46" s="608"/>
      <c r="H46" s="608"/>
      <c r="I46" s="608"/>
      <c r="J46" s="608"/>
      <c r="K46" s="608"/>
      <c r="L46" s="608"/>
      <c r="M46" s="2027"/>
      <c r="N46" s="2204"/>
      <c r="O46" s="1551"/>
      <c r="P46" s="1551"/>
      <c r="Q46" s="2967"/>
      <c r="R46" s="2967"/>
      <c r="S46" s="2967"/>
      <c r="T46" s="2967"/>
      <c r="U46" s="2967"/>
      <c r="V46" s="2967"/>
      <c r="W46" s="2967"/>
      <c r="X46" s="1551"/>
      <c r="Y46" s="1551"/>
      <c r="Z46" s="1551"/>
      <c r="AA46" s="1551"/>
      <c r="AB46" s="1551"/>
      <c r="AC46" s="1551"/>
      <c r="AD46" s="1551"/>
      <c r="AE46" s="1551"/>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2" customFormat="1" ht="15">
      <c r="A57" s="2198" t="s">
        <v>2425</v>
      </c>
      <c r="B57" s="2227">
        <f>1+E59</f>
        <v>1</v>
      </c>
      <c r="C57" s="2201"/>
      <c r="D57" s="2201"/>
      <c r="E57" s="2202"/>
      <c r="F57" s="2203"/>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2" customFormat="1" ht="15">
      <c r="A68" s="2198" t="s">
        <v>2430</v>
      </c>
      <c r="B68" s="2227">
        <f>1+E70</f>
        <v>1</v>
      </c>
      <c r="C68" s="2201"/>
      <c r="D68" s="2201"/>
      <c r="E68" s="2202"/>
      <c r="F68" s="2203"/>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2"/>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2"/>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2"/>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2"/>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2"/>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2"/>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2"/>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2"/>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2"/>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2"/>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2"/>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2"/>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2"/>
      <c r="AG88" s="2192"/>
    </row>
    <row r="89" spans="1:33">
      <c r="Q89" s="2975"/>
      <c r="R89" s="2975"/>
      <c r="S89" s="2975"/>
      <c r="T89" s="2975"/>
      <c r="U89" s="2975"/>
      <c r="V89" s="2975"/>
      <c r="W89" s="2975"/>
    </row>
    <row r="90" spans="1:33">
      <c r="A90" s="3728" t="s">
        <v>2437</v>
      </c>
      <c r="B90" s="3728"/>
      <c r="C90" s="3728"/>
      <c r="D90" s="3728"/>
      <c r="E90" s="3728"/>
      <c r="F90" s="3728"/>
      <c r="G90" s="3728"/>
      <c r="H90" s="3728"/>
      <c r="I90" s="3728"/>
      <c r="J90" s="3728"/>
      <c r="K90" s="2233"/>
      <c r="L90" s="2233"/>
      <c r="M90" s="2233"/>
      <c r="N90" s="2233"/>
      <c r="Q90" s="2975"/>
      <c r="R90" s="2975"/>
      <c r="S90" s="2975"/>
      <c r="T90" s="2975"/>
      <c r="U90" s="2975"/>
      <c r="V90" s="2975"/>
      <c r="W90" s="2975"/>
    </row>
    <row r="91" spans="1:33">
      <c r="A91" s="3730" t="s">
        <v>2438</v>
      </c>
      <c r="B91" s="3730"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730"/>
      <c r="B92" s="3730"/>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731"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3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3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3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3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3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32"/>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3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31"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3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3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3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3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3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3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32"/>
      <c r="B108" s="3734"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33"/>
      <c r="B109" s="373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29" t="s">
        <v>2445</v>
      </c>
      <c r="B110" s="3729"/>
      <c r="C110" s="3729"/>
      <c r="D110" s="3729"/>
      <c r="E110" s="3729"/>
      <c r="F110" s="3729"/>
      <c r="G110" s="3729"/>
      <c r="H110" s="3729"/>
      <c r="I110" s="3729"/>
      <c r="J110" s="3729"/>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30" t="s">
        <v>2333</v>
      </c>
      <c r="F113" s="2246" t="str">
        <f>E2</f>
        <v>住宅</v>
      </c>
      <c r="G113" s="1530" t="s">
        <v>2267</v>
      </c>
      <c r="H113" s="2246">
        <f>G2</f>
        <v>0</v>
      </c>
      <c r="I113" s="1530"/>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344"/>
  <sheetViews>
    <sheetView workbookViewId="0">
      <selection sqref="A1:IV65536"/>
    </sheetView>
  </sheetViews>
  <sheetFormatPr defaultRowHeight="13.5"/>
  <cols>
    <col min="1" max="1" width="12.625" style="739" customWidth="1"/>
    <col min="2" max="2" width="10.25" style="674" customWidth="1"/>
  </cols>
  <sheetData>
    <row r="1" spans="1:6">
      <c r="A1" s="3751" t="s">
        <v>597</v>
      </c>
      <c r="B1" s="375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51" t="s">
        <v>105</v>
      </c>
      <c r="B1" s="3751"/>
      <c r="C1" s="3751"/>
      <c r="D1" s="3751"/>
      <c r="E1" s="3751"/>
      <c r="F1" s="375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52" t="s">
        <v>118</v>
      </c>
      <c r="B2" s="3752"/>
      <c r="C2" s="3752"/>
      <c r="D2" s="3752"/>
      <c r="E2" s="3752"/>
      <c r="F2" s="375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5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5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2799</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2800</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2801</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2802</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2803</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2804</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2805</v>
      </c>
      <c r="B19" s="3288" t="s">
        <v>2806</v>
      </c>
      <c r="C19" s="3315" t="s">
        <v>561</v>
      </c>
      <c r="D19" s="3287"/>
      <c r="E19" s="3283" t="s">
        <v>3023</v>
      </c>
      <c r="F19" s="3316"/>
      <c r="G19" s="3316"/>
    </row>
    <row r="20" spans="1:13" ht="19.5" customHeight="1">
      <c r="A20" s="3759" t="s">
        <v>2799</v>
      </c>
      <c r="B20" s="3762" t="s">
        <v>2807</v>
      </c>
      <c r="C20" s="3289" t="s">
        <v>2808</v>
      </c>
      <c r="D20" s="3290"/>
      <c r="E20" s="3291">
        <v>1</v>
      </c>
      <c r="F20" s="3292" t="s">
        <v>2809</v>
      </c>
      <c r="G20" s="3292"/>
    </row>
    <row r="21" spans="1:13" ht="19.5" customHeight="1">
      <c r="A21" s="3760"/>
      <c r="B21" s="3758"/>
      <c r="C21" s="740" t="s">
        <v>2810</v>
      </c>
      <c r="D21" s="741"/>
      <c r="E21" s="3293">
        <v>1</v>
      </c>
      <c r="F21" s="3292" t="s">
        <v>2811</v>
      </c>
      <c r="G21" s="3292"/>
    </row>
    <row r="22" spans="1:13" ht="19.5" customHeight="1">
      <c r="A22" s="3760"/>
      <c r="B22" s="3758"/>
      <c r="C22" s="740" t="s">
        <v>2812</v>
      </c>
      <c r="D22" s="741"/>
      <c r="E22" s="3293">
        <v>0.9</v>
      </c>
      <c r="F22" s="3292" t="s">
        <v>2813</v>
      </c>
      <c r="G22" s="3292"/>
    </row>
    <row r="23" spans="1:13" ht="19.5" customHeight="1">
      <c r="A23" s="3760"/>
      <c r="B23" s="3758"/>
      <c r="C23" s="740" t="s">
        <v>2814</v>
      </c>
      <c r="D23" s="741"/>
      <c r="E23" s="3293">
        <v>0.9</v>
      </c>
      <c r="F23" s="3292" t="s">
        <v>2815</v>
      </c>
      <c r="G23" s="3292"/>
    </row>
    <row r="24" spans="1:13" ht="19.5" customHeight="1">
      <c r="A24" s="3760"/>
      <c r="B24" s="3758"/>
      <c r="C24" s="740" t="s">
        <v>2816</v>
      </c>
      <c r="D24" s="741"/>
      <c r="E24" s="3293">
        <v>0.8</v>
      </c>
      <c r="F24" s="3292" t="s">
        <v>2817</v>
      </c>
      <c r="G24" s="3292"/>
    </row>
    <row r="25" spans="1:13" ht="19.5" customHeight="1" thickBot="1">
      <c r="A25" s="3761"/>
      <c r="B25" s="3763"/>
      <c r="C25" s="3294" t="s">
        <v>2818</v>
      </c>
      <c r="D25" s="3295"/>
      <c r="E25" s="3296">
        <v>0.8</v>
      </c>
      <c r="F25" s="3292" t="s">
        <v>2819</v>
      </c>
      <c r="G25" s="3292"/>
    </row>
    <row r="26" spans="1:13" ht="19.5" customHeight="1" thickBot="1">
      <c r="A26" s="3297" t="s">
        <v>2800</v>
      </c>
      <c r="B26" s="3298" t="s">
        <v>2807</v>
      </c>
      <c r="C26" s="3299" t="s">
        <v>2820</v>
      </c>
      <c r="D26" s="3300"/>
      <c r="E26" s="3301">
        <v>1</v>
      </c>
      <c r="F26" s="3292" t="s">
        <v>2861</v>
      </c>
      <c r="G26" s="3292"/>
    </row>
    <row r="27" spans="1:13" ht="19.5" customHeight="1">
      <c r="A27" s="3764" t="s">
        <v>2804</v>
      </c>
      <c r="B27" s="3762" t="s">
        <v>2804</v>
      </c>
      <c r="C27" s="3289" t="s">
        <v>2821</v>
      </c>
      <c r="D27" s="3290"/>
      <c r="E27" s="3291">
        <v>1</v>
      </c>
      <c r="F27" s="3292" t="s">
        <v>2862</v>
      </c>
      <c r="G27" s="3292"/>
    </row>
    <row r="28" spans="1:13" ht="19.5" customHeight="1">
      <c r="A28" s="3765"/>
      <c r="B28" s="3758"/>
      <c r="C28" s="740" t="s">
        <v>2822</v>
      </c>
      <c r="D28" s="741"/>
      <c r="E28" s="3293">
        <v>1</v>
      </c>
      <c r="F28" s="3292" t="s">
        <v>2863</v>
      </c>
      <c r="G28" s="3292"/>
    </row>
    <row r="29" spans="1:13" ht="19.5" customHeight="1">
      <c r="A29" s="3765"/>
      <c r="B29" s="3758"/>
      <c r="C29" s="740" t="s">
        <v>2823</v>
      </c>
      <c r="D29" s="741"/>
      <c r="E29" s="3293">
        <v>0.8</v>
      </c>
      <c r="F29" s="3292" t="s">
        <v>2864</v>
      </c>
      <c r="G29" s="3292"/>
    </row>
    <row r="30" spans="1:13" ht="19.5" customHeight="1">
      <c r="A30" s="3765"/>
      <c r="B30" s="3758"/>
      <c r="C30" s="740" t="s">
        <v>2824</v>
      </c>
      <c r="D30" s="741"/>
      <c r="E30" s="3293">
        <v>0.8</v>
      </c>
      <c r="F30" s="3292" t="s">
        <v>2865</v>
      </c>
      <c r="G30" s="3292"/>
    </row>
    <row r="31" spans="1:13" ht="19.5" customHeight="1">
      <c r="A31" s="3765"/>
      <c r="B31" s="3758"/>
      <c r="C31" s="740" t="s">
        <v>2825</v>
      </c>
      <c r="D31" s="741"/>
      <c r="E31" s="3293">
        <v>0.8</v>
      </c>
      <c r="F31" s="3292" t="s">
        <v>2866</v>
      </c>
      <c r="G31" s="3292"/>
    </row>
    <row r="32" spans="1:13" ht="19.5" customHeight="1">
      <c r="A32" s="3765"/>
      <c r="B32" s="3758"/>
      <c r="C32" s="740" t="s">
        <v>2826</v>
      </c>
      <c r="D32" s="741"/>
      <c r="E32" s="3293">
        <v>0.7</v>
      </c>
      <c r="F32" s="3292" t="s">
        <v>2867</v>
      </c>
      <c r="G32" s="3292"/>
    </row>
    <row r="33" spans="1:7" ht="19.5" customHeight="1">
      <c r="A33" s="3765"/>
      <c r="B33" s="3758"/>
      <c r="C33" s="740" t="s">
        <v>2827</v>
      </c>
      <c r="D33" s="741"/>
      <c r="E33" s="3293">
        <v>0.8</v>
      </c>
      <c r="F33" s="3292" t="s">
        <v>2868</v>
      </c>
      <c r="G33" s="3292"/>
    </row>
    <row r="34" spans="1:7" ht="19.5" customHeight="1">
      <c r="A34" s="3765"/>
      <c r="B34" s="3758"/>
      <c r="C34" s="740" t="s">
        <v>2828</v>
      </c>
      <c r="D34" s="741"/>
      <c r="E34" s="3293">
        <v>0.6</v>
      </c>
      <c r="F34" s="3292" t="s">
        <v>2869</v>
      </c>
      <c r="G34" s="3292"/>
    </row>
    <row r="35" spans="1:7" ht="19.5" customHeight="1">
      <c r="A35" s="3765"/>
      <c r="B35" s="3758"/>
      <c r="C35" s="740" t="s">
        <v>2829</v>
      </c>
      <c r="D35" s="741"/>
      <c r="E35" s="3293">
        <v>0.2</v>
      </c>
      <c r="F35" s="3292" t="s">
        <v>2870</v>
      </c>
      <c r="G35" s="3292"/>
    </row>
    <row r="36" spans="1:7" ht="19.5" customHeight="1">
      <c r="A36" s="3765"/>
      <c r="B36" s="3758"/>
      <c r="C36" s="740" t="s">
        <v>2830</v>
      </c>
      <c r="D36" s="741"/>
      <c r="E36" s="3293">
        <v>0.2</v>
      </c>
      <c r="F36" s="3292" t="s">
        <v>2871</v>
      </c>
      <c r="G36" s="3292"/>
    </row>
    <row r="37" spans="1:7" ht="19.5" customHeight="1">
      <c r="A37" s="3765"/>
      <c r="B37" s="3756" t="s">
        <v>2831</v>
      </c>
      <c r="C37" s="740" t="s">
        <v>2832</v>
      </c>
      <c r="D37" s="741"/>
      <c r="E37" s="3293">
        <v>0.6</v>
      </c>
      <c r="F37" s="3292" t="s">
        <v>2872</v>
      </c>
      <c r="G37" s="3292"/>
    </row>
    <row r="38" spans="1:7" ht="19.5" customHeight="1">
      <c r="A38" s="3765"/>
      <c r="B38" s="3758"/>
      <c r="C38" s="740" t="s">
        <v>2833</v>
      </c>
      <c r="D38" s="741"/>
      <c r="E38" s="3293">
        <v>0.6</v>
      </c>
      <c r="F38" s="3292" t="s">
        <v>2873</v>
      </c>
      <c r="G38" s="3292"/>
    </row>
    <row r="39" spans="1:7" ht="19.5" customHeight="1" thickBot="1">
      <c r="A39" s="3766"/>
      <c r="B39" s="3763"/>
      <c r="C39" s="3294" t="s">
        <v>2834</v>
      </c>
      <c r="D39" s="3295"/>
      <c r="E39" s="3296">
        <v>0.6</v>
      </c>
      <c r="F39" s="3292" t="s">
        <v>2874</v>
      </c>
      <c r="G39" s="3292"/>
    </row>
    <row r="40" spans="1:7" ht="19.5" customHeight="1" thickBot="1">
      <c r="A40" s="3297" t="s">
        <v>2835</v>
      </c>
      <c r="B40" s="3298" t="s">
        <v>2835</v>
      </c>
      <c r="C40" s="3299" t="s">
        <v>2836</v>
      </c>
      <c r="D40" s="3300"/>
      <c r="E40" s="3301">
        <v>1</v>
      </c>
      <c r="F40" s="3292" t="s">
        <v>2875</v>
      </c>
      <c r="G40" s="3292"/>
    </row>
    <row r="41" spans="1:7" ht="19.5" customHeight="1">
      <c r="A41" s="3759" t="s">
        <v>2837</v>
      </c>
      <c r="B41" s="3762" t="s">
        <v>2838</v>
      </c>
      <c r="C41" s="3289" t="s">
        <v>2839</v>
      </c>
      <c r="D41" s="3290"/>
      <c r="E41" s="3291">
        <v>1</v>
      </c>
      <c r="F41" s="3292" t="s">
        <v>2840</v>
      </c>
      <c r="G41" s="3292"/>
    </row>
    <row r="42" spans="1:7" ht="19.5" customHeight="1">
      <c r="A42" s="3760"/>
      <c r="B42" s="3758"/>
      <c r="C42" s="740" t="s">
        <v>2841</v>
      </c>
      <c r="D42" s="741"/>
      <c r="E42" s="3293">
        <v>1</v>
      </c>
      <c r="F42" s="3292" t="s">
        <v>2842</v>
      </c>
      <c r="G42" s="3292"/>
    </row>
    <row r="43" spans="1:7" ht="19.5" customHeight="1">
      <c r="A43" s="3760"/>
      <c r="B43" s="3757"/>
      <c r="C43" s="740" t="s">
        <v>2843</v>
      </c>
      <c r="D43" s="741"/>
      <c r="E43" s="3293">
        <v>1.5</v>
      </c>
      <c r="F43" s="3292" t="s">
        <v>2844</v>
      </c>
      <c r="G43" s="3292"/>
    </row>
    <row r="44" spans="1:7" ht="19.5" customHeight="1">
      <c r="A44" s="3760"/>
      <c r="B44" s="3302" t="s">
        <v>2804</v>
      </c>
      <c r="C44" s="740" t="s">
        <v>2803</v>
      </c>
      <c r="D44" s="741"/>
      <c r="E44" s="3293">
        <v>2</v>
      </c>
      <c r="F44" s="3292" t="s">
        <v>2845</v>
      </c>
      <c r="G44" s="3292"/>
    </row>
    <row r="45" spans="1:7" ht="19.5" customHeight="1">
      <c r="A45" s="3760"/>
      <c r="B45" s="3756" t="s">
        <v>2846</v>
      </c>
      <c r="C45" s="740" t="s">
        <v>2847</v>
      </c>
      <c r="D45" s="741"/>
      <c r="E45" s="3293">
        <v>1</v>
      </c>
      <c r="F45" s="3292" t="s">
        <v>2848</v>
      </c>
      <c r="G45" s="3292"/>
    </row>
    <row r="46" spans="1:7" ht="19.5" customHeight="1">
      <c r="A46" s="3760"/>
      <c r="B46" s="3758"/>
      <c r="C46" s="740" t="s">
        <v>2849</v>
      </c>
      <c r="D46" s="741"/>
      <c r="E46" s="3293">
        <v>1</v>
      </c>
      <c r="F46" s="3292" t="s">
        <v>2850</v>
      </c>
      <c r="G46" s="3292"/>
    </row>
    <row r="47" spans="1:7" ht="19.5" customHeight="1">
      <c r="A47" s="3760"/>
      <c r="B47" s="3758"/>
      <c r="C47" s="740" t="s">
        <v>2851</v>
      </c>
      <c r="D47" s="741"/>
      <c r="E47" s="3293">
        <v>1</v>
      </c>
      <c r="F47" s="3292" t="s">
        <v>2852</v>
      </c>
      <c r="G47" s="3292"/>
    </row>
    <row r="48" spans="1:7" ht="19.5" customHeight="1">
      <c r="A48" s="3760"/>
      <c r="B48" s="3758"/>
      <c r="C48" s="740" t="s">
        <v>2853</v>
      </c>
      <c r="D48" s="741"/>
      <c r="E48" s="3293">
        <v>1</v>
      </c>
      <c r="F48" s="3292" t="s">
        <v>2854</v>
      </c>
      <c r="G48" s="3292"/>
    </row>
    <row r="49" spans="1:7" ht="19.5" customHeight="1">
      <c r="A49" s="3760"/>
      <c r="B49" s="3758"/>
      <c r="C49" s="740" t="s">
        <v>2855</v>
      </c>
      <c r="D49" s="741"/>
      <c r="E49" s="3293">
        <v>1</v>
      </c>
      <c r="F49" s="3292" t="s">
        <v>2856</v>
      </c>
      <c r="G49" s="3292"/>
    </row>
    <row r="50" spans="1:7" ht="19.5" customHeight="1">
      <c r="A50" s="3760"/>
      <c r="B50" s="3758"/>
      <c r="C50" s="740" t="s">
        <v>2857</v>
      </c>
      <c r="D50" s="741"/>
      <c r="E50" s="3293">
        <v>1</v>
      </c>
      <c r="F50" s="3292" t="s">
        <v>2858</v>
      </c>
      <c r="G50" s="3292"/>
    </row>
    <row r="51" spans="1:7" ht="19.5" customHeight="1" thickBot="1">
      <c r="A51" s="3761"/>
      <c r="B51" s="3763"/>
      <c r="C51" s="3294" t="s">
        <v>2859</v>
      </c>
      <c r="D51" s="3295"/>
      <c r="E51" s="3296">
        <v>1</v>
      </c>
      <c r="F51" s="3292" t="s">
        <v>2860</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2876</v>
      </c>
      <c r="D72" s="3302"/>
      <c r="E72" s="3308" t="s">
        <v>1</v>
      </c>
      <c r="F72" s="3302" t="s">
        <v>1</v>
      </c>
    </row>
    <row r="73" spans="1:7" ht="13.5">
      <c r="A73" s="3302">
        <v>1</v>
      </c>
      <c r="B73" s="3756" t="s">
        <v>2877</v>
      </c>
      <c r="C73" s="3283" t="s">
        <v>2878</v>
      </c>
      <c r="D73" s="3283" t="s">
        <v>2879</v>
      </c>
      <c r="E73" s="3308">
        <v>0.2</v>
      </c>
      <c r="F73" s="3302">
        <v>25</v>
      </c>
    </row>
    <row r="74" spans="1:7" ht="24">
      <c r="A74" s="3302">
        <v>2</v>
      </c>
      <c r="B74" s="3758"/>
      <c r="C74" s="3283" t="s">
        <v>2880</v>
      </c>
      <c r="D74" s="3283" t="s">
        <v>2881</v>
      </c>
      <c r="E74" s="3308">
        <v>0.2</v>
      </c>
      <c r="F74" s="3302">
        <v>25</v>
      </c>
    </row>
    <row r="75" spans="1:7" ht="24">
      <c r="A75" s="3302">
        <v>3</v>
      </c>
      <c r="B75" s="3758"/>
      <c r="C75" s="3283" t="s">
        <v>2882</v>
      </c>
      <c r="D75" s="3283" t="s">
        <v>2883</v>
      </c>
      <c r="E75" s="3308">
        <v>0.2</v>
      </c>
      <c r="F75" s="3302">
        <v>25</v>
      </c>
    </row>
    <row r="76" spans="1:7" ht="13.5">
      <c r="A76" s="3302">
        <v>4</v>
      </c>
      <c r="B76" s="3758"/>
      <c r="C76" s="3283" t="s">
        <v>2884</v>
      </c>
      <c r="D76" s="3283" t="s">
        <v>2885</v>
      </c>
      <c r="E76" s="3308">
        <v>0.15</v>
      </c>
      <c r="F76" s="3302">
        <v>20</v>
      </c>
    </row>
    <row r="77" spans="1:7" ht="24">
      <c r="A77" s="3302">
        <v>5</v>
      </c>
      <c r="B77" s="3758"/>
      <c r="C77" s="3283" t="s">
        <v>2886</v>
      </c>
      <c r="D77" s="3283" t="s">
        <v>2887</v>
      </c>
      <c r="E77" s="3308">
        <v>0.15</v>
      </c>
      <c r="F77" s="3302">
        <v>20</v>
      </c>
    </row>
    <row r="78" spans="1:7" ht="24">
      <c r="A78" s="3302">
        <v>6</v>
      </c>
      <c r="B78" s="3758"/>
      <c r="C78" s="3283" t="s">
        <v>2888</v>
      </c>
      <c r="D78" s="3283" t="s">
        <v>2889</v>
      </c>
      <c r="E78" s="3308">
        <v>0.15</v>
      </c>
      <c r="F78" s="3302">
        <v>20</v>
      </c>
    </row>
    <row r="79" spans="1:7" ht="24">
      <c r="A79" s="3302">
        <v>7</v>
      </c>
      <c r="B79" s="3758"/>
      <c r="C79" s="3283" t="s">
        <v>2890</v>
      </c>
      <c r="D79" s="3283" t="s">
        <v>2891</v>
      </c>
      <c r="E79" s="3308">
        <v>0.15</v>
      </c>
      <c r="F79" s="3302">
        <v>20</v>
      </c>
    </row>
    <row r="80" spans="1:7" ht="24">
      <c r="A80" s="3302">
        <v>8</v>
      </c>
      <c r="B80" s="3758"/>
      <c r="C80" s="3283" t="s">
        <v>2892</v>
      </c>
      <c r="D80" s="3283" t="s">
        <v>2893</v>
      </c>
      <c r="E80" s="3308">
        <v>0.1</v>
      </c>
      <c r="F80" s="3302">
        <v>15</v>
      </c>
    </row>
    <row r="81" spans="1:6" ht="24">
      <c r="A81" s="3302">
        <v>9</v>
      </c>
      <c r="B81" s="3758"/>
      <c r="C81" s="3283" t="s">
        <v>2894</v>
      </c>
      <c r="D81" s="3283" t="s">
        <v>2895</v>
      </c>
      <c r="E81" s="3308">
        <v>0.1</v>
      </c>
      <c r="F81" s="3302">
        <v>15</v>
      </c>
    </row>
    <row r="82" spans="1:6" ht="24">
      <c r="A82" s="3302">
        <v>10</v>
      </c>
      <c r="B82" s="3758"/>
      <c r="C82" s="3283" t="s">
        <v>2896</v>
      </c>
      <c r="D82" s="3283" t="s">
        <v>2897</v>
      </c>
      <c r="E82" s="3308">
        <v>0.1</v>
      </c>
      <c r="F82" s="3302">
        <v>15</v>
      </c>
    </row>
    <row r="83" spans="1:6" ht="24">
      <c r="A83" s="3302">
        <v>11</v>
      </c>
      <c r="B83" s="3758"/>
      <c r="C83" s="3283" t="s">
        <v>2898</v>
      </c>
      <c r="D83" s="3283" t="s">
        <v>2899</v>
      </c>
      <c r="E83" s="3308">
        <v>0.1</v>
      </c>
      <c r="F83" s="3302">
        <v>15</v>
      </c>
    </row>
    <row r="84" spans="1:6" ht="24">
      <c r="A84" s="3302">
        <v>12</v>
      </c>
      <c r="B84" s="3758"/>
      <c r="C84" s="3283" t="s">
        <v>2900</v>
      </c>
      <c r="D84" s="3283" t="s">
        <v>2901</v>
      </c>
      <c r="E84" s="3308">
        <v>0.1</v>
      </c>
      <c r="F84" s="3302">
        <v>15</v>
      </c>
    </row>
    <row r="85" spans="1:6" ht="13.5">
      <c r="A85" s="3302">
        <v>13</v>
      </c>
      <c r="B85" s="3758"/>
      <c r="C85" s="3283" t="s">
        <v>2902</v>
      </c>
      <c r="D85" s="3283" t="s">
        <v>2903</v>
      </c>
      <c r="E85" s="3308">
        <v>0.1</v>
      </c>
      <c r="F85" s="3302">
        <v>15</v>
      </c>
    </row>
    <row r="86" spans="1:6" ht="13.5">
      <c r="A86" s="3302">
        <v>14</v>
      </c>
      <c r="B86" s="3758"/>
      <c r="C86" s="3283" t="s">
        <v>2904</v>
      </c>
      <c r="D86" s="3283" t="s">
        <v>2905</v>
      </c>
      <c r="E86" s="3308">
        <v>0.1</v>
      </c>
      <c r="F86" s="3302">
        <v>15</v>
      </c>
    </row>
    <row r="87" spans="1:6" ht="13.5">
      <c r="A87" s="3302">
        <v>15</v>
      </c>
      <c r="B87" s="3758"/>
      <c r="C87" s="3283" t="s">
        <v>2906</v>
      </c>
      <c r="D87" s="3283" t="s">
        <v>2907</v>
      </c>
      <c r="E87" s="3308">
        <v>0.1</v>
      </c>
      <c r="F87" s="3302">
        <v>15</v>
      </c>
    </row>
    <row r="88" spans="1:6" ht="24">
      <c r="A88" s="3302">
        <v>16</v>
      </c>
      <c r="B88" s="3758"/>
      <c r="C88" s="3283" t="s">
        <v>2908</v>
      </c>
      <c r="D88" s="3283" t="s">
        <v>2909</v>
      </c>
      <c r="E88" s="3308">
        <v>0.1</v>
      </c>
      <c r="F88" s="3302">
        <v>15</v>
      </c>
    </row>
    <row r="89" spans="1:6" ht="24">
      <c r="A89" s="3302">
        <v>17</v>
      </c>
      <c r="B89" s="3757"/>
      <c r="C89" s="3283" t="s">
        <v>2910</v>
      </c>
      <c r="D89" s="3283" t="s">
        <v>2911</v>
      </c>
      <c r="E89" s="3308">
        <v>0.1</v>
      </c>
      <c r="F89" s="3302">
        <v>15</v>
      </c>
    </row>
    <row r="90" spans="1:6" ht="13.5">
      <c r="A90" s="3302">
        <v>18</v>
      </c>
      <c r="B90" s="3756" t="s">
        <v>2912</v>
      </c>
      <c r="C90" s="3283" t="s">
        <v>2913</v>
      </c>
      <c r="D90" s="3283" t="s">
        <v>2914</v>
      </c>
      <c r="E90" s="3308">
        <v>0.2</v>
      </c>
      <c r="F90" s="3302">
        <v>25</v>
      </c>
    </row>
    <row r="91" spans="1:6" ht="24">
      <c r="A91" s="3302">
        <v>19</v>
      </c>
      <c r="B91" s="3758"/>
      <c r="C91" s="3283" t="s">
        <v>2915</v>
      </c>
      <c r="D91" s="3283" t="s">
        <v>2916</v>
      </c>
      <c r="E91" s="3308">
        <v>0.2</v>
      </c>
      <c r="F91" s="3302">
        <v>25</v>
      </c>
    </row>
    <row r="92" spans="1:6" ht="13.5">
      <c r="A92" s="3302">
        <v>20</v>
      </c>
      <c r="B92" s="3758"/>
      <c r="C92" s="3283" t="s">
        <v>2917</v>
      </c>
      <c r="D92" s="3283" t="s">
        <v>2918</v>
      </c>
      <c r="E92" s="3308">
        <v>0.15</v>
      </c>
      <c r="F92" s="3302">
        <v>20</v>
      </c>
    </row>
    <row r="93" spans="1:6" ht="24">
      <c r="A93" s="3302">
        <v>21</v>
      </c>
      <c r="B93" s="3758"/>
      <c r="C93" s="3283" t="s">
        <v>2919</v>
      </c>
      <c r="D93" s="3283" t="s">
        <v>2920</v>
      </c>
      <c r="E93" s="3308">
        <v>0.15</v>
      </c>
      <c r="F93" s="3302">
        <v>20</v>
      </c>
    </row>
    <row r="94" spans="1:6" ht="24">
      <c r="A94" s="3302">
        <v>22</v>
      </c>
      <c r="B94" s="3758"/>
      <c r="C94" s="3283" t="s">
        <v>2921</v>
      </c>
      <c r="D94" s="3283" t="s">
        <v>2922</v>
      </c>
      <c r="E94" s="3308">
        <v>0.15</v>
      </c>
      <c r="F94" s="3302">
        <v>20</v>
      </c>
    </row>
    <row r="95" spans="1:6" ht="36">
      <c r="A95" s="3302">
        <v>23</v>
      </c>
      <c r="B95" s="3758"/>
      <c r="C95" s="3283" t="s">
        <v>2923</v>
      </c>
      <c r="D95" s="3283" t="s">
        <v>2924</v>
      </c>
      <c r="E95" s="3308">
        <v>0.15</v>
      </c>
      <c r="F95" s="3302">
        <v>20</v>
      </c>
    </row>
    <row r="96" spans="1:6" ht="13.5">
      <c r="A96" s="3302">
        <v>24</v>
      </c>
      <c r="B96" s="3758"/>
      <c r="C96" s="3283" t="s">
        <v>2925</v>
      </c>
      <c r="D96" s="3283" t="s">
        <v>2926</v>
      </c>
      <c r="E96" s="3308">
        <v>0.1</v>
      </c>
      <c r="F96" s="3302">
        <v>15</v>
      </c>
    </row>
    <row r="97" spans="1:6" ht="24">
      <c r="A97" s="3302">
        <v>25</v>
      </c>
      <c r="B97" s="3758"/>
      <c r="C97" s="3283" t="s">
        <v>2927</v>
      </c>
      <c r="D97" s="3283" t="s">
        <v>2928</v>
      </c>
      <c r="E97" s="3308">
        <v>0.1</v>
      </c>
      <c r="F97" s="3302">
        <v>15</v>
      </c>
    </row>
    <row r="98" spans="1:6" ht="24">
      <c r="A98" s="3302">
        <v>26</v>
      </c>
      <c r="B98" s="3758"/>
      <c r="C98" s="3283" t="s">
        <v>2929</v>
      </c>
      <c r="D98" s="3283" t="s">
        <v>2930</v>
      </c>
      <c r="E98" s="3308">
        <v>0.1</v>
      </c>
      <c r="F98" s="3302">
        <v>15</v>
      </c>
    </row>
    <row r="99" spans="1:6" ht="24">
      <c r="A99" s="3302">
        <v>27</v>
      </c>
      <c r="B99" s="3758"/>
      <c r="C99" s="3283" t="s">
        <v>2931</v>
      </c>
      <c r="D99" s="3283" t="s">
        <v>2932</v>
      </c>
      <c r="E99" s="3308">
        <v>0.1</v>
      </c>
      <c r="F99" s="3302">
        <v>15</v>
      </c>
    </row>
    <row r="100" spans="1:6" ht="24">
      <c r="A100" s="3302">
        <v>28</v>
      </c>
      <c r="B100" s="3758"/>
      <c r="C100" s="3283" t="s">
        <v>2933</v>
      </c>
      <c r="D100" s="3283" t="s">
        <v>2934</v>
      </c>
      <c r="E100" s="3308">
        <v>0.1</v>
      </c>
      <c r="F100" s="3302">
        <v>15</v>
      </c>
    </row>
    <row r="101" spans="1:6" ht="24">
      <c r="A101" s="3302">
        <v>29</v>
      </c>
      <c r="B101" s="3758"/>
      <c r="C101" s="3283" t="s">
        <v>2935</v>
      </c>
      <c r="D101" s="3283" t="s">
        <v>2936</v>
      </c>
      <c r="E101" s="3308">
        <v>0.1</v>
      </c>
      <c r="F101" s="3302">
        <v>15</v>
      </c>
    </row>
    <row r="102" spans="1:6" ht="24">
      <c r="A102" s="3302">
        <v>30</v>
      </c>
      <c r="B102" s="3758"/>
      <c r="C102" s="3283" t="s">
        <v>2937</v>
      </c>
      <c r="D102" s="3283" t="s">
        <v>2938</v>
      </c>
      <c r="E102" s="3308">
        <v>0.1</v>
      </c>
      <c r="F102" s="3302">
        <v>15</v>
      </c>
    </row>
    <row r="103" spans="1:6" ht="24">
      <c r="A103" s="3302">
        <v>31</v>
      </c>
      <c r="B103" s="3758"/>
      <c r="C103" s="3283" t="s">
        <v>2939</v>
      </c>
      <c r="D103" s="3283" t="s">
        <v>2940</v>
      </c>
      <c r="E103" s="3308">
        <v>0.1</v>
      </c>
      <c r="F103" s="3302">
        <v>15</v>
      </c>
    </row>
    <row r="104" spans="1:6" ht="24">
      <c r="A104" s="3302">
        <v>32</v>
      </c>
      <c r="B104" s="3758"/>
      <c r="C104" s="3283" t="s">
        <v>2941</v>
      </c>
      <c r="D104" s="3283" t="s">
        <v>2942</v>
      </c>
      <c r="E104" s="3308">
        <v>0.1</v>
      </c>
      <c r="F104" s="3302">
        <v>15</v>
      </c>
    </row>
    <row r="105" spans="1:6" ht="24">
      <c r="A105" s="3302">
        <v>33</v>
      </c>
      <c r="B105" s="3758"/>
      <c r="C105" s="3283" t="s">
        <v>2943</v>
      </c>
      <c r="D105" s="3283" t="s">
        <v>2944</v>
      </c>
      <c r="E105" s="3308">
        <v>0.1</v>
      </c>
      <c r="F105" s="3302">
        <v>15</v>
      </c>
    </row>
    <row r="106" spans="1:6" ht="24">
      <c r="A106" s="3302">
        <v>34</v>
      </c>
      <c r="B106" s="3757"/>
      <c r="C106" s="3283" t="s">
        <v>2945</v>
      </c>
      <c r="D106" s="3283" t="s">
        <v>2946</v>
      </c>
      <c r="E106" s="3308">
        <v>0.1</v>
      </c>
      <c r="F106" s="3302">
        <v>15</v>
      </c>
    </row>
    <row r="107" spans="1:6" ht="24">
      <c r="A107" s="3302">
        <v>35</v>
      </c>
      <c r="B107" s="3756" t="s">
        <v>2947</v>
      </c>
      <c r="C107" s="3302" t="s">
        <v>2948</v>
      </c>
      <c r="D107" s="3283" t="s">
        <v>2949</v>
      </c>
      <c r="E107" s="3308">
        <v>0.15</v>
      </c>
      <c r="F107" s="3302">
        <v>20</v>
      </c>
    </row>
    <row r="108" spans="1:6" ht="24">
      <c r="A108" s="3302">
        <v>36</v>
      </c>
      <c r="B108" s="3758"/>
      <c r="C108" s="3302" t="s">
        <v>2950</v>
      </c>
      <c r="D108" s="3283" t="s">
        <v>2951</v>
      </c>
      <c r="E108" s="3308">
        <v>0.15</v>
      </c>
      <c r="F108" s="3302">
        <v>20</v>
      </c>
    </row>
    <row r="109" spans="1:6" ht="24">
      <c r="A109" s="3302">
        <v>37</v>
      </c>
      <c r="B109" s="3758"/>
      <c r="C109" s="3302" t="s">
        <v>2952</v>
      </c>
      <c r="D109" s="3283" t="s">
        <v>2953</v>
      </c>
      <c r="E109" s="3308">
        <v>0.15</v>
      </c>
      <c r="F109" s="3302">
        <v>20</v>
      </c>
    </row>
    <row r="110" spans="1:6" ht="13.5">
      <c r="A110" s="3302">
        <v>38</v>
      </c>
      <c r="B110" s="3758"/>
      <c r="C110" s="3302" t="s">
        <v>2954</v>
      </c>
      <c r="D110" s="3283" t="s">
        <v>2955</v>
      </c>
      <c r="E110" s="3308">
        <v>0.1</v>
      </c>
      <c r="F110" s="3302">
        <v>15</v>
      </c>
    </row>
    <row r="111" spans="1:6" ht="24">
      <c r="A111" s="3302">
        <v>39</v>
      </c>
      <c r="B111" s="3758"/>
      <c r="C111" s="3302" t="s">
        <v>2956</v>
      </c>
      <c r="D111" s="3283" t="s">
        <v>2957</v>
      </c>
      <c r="E111" s="3308">
        <v>0.1</v>
      </c>
      <c r="F111" s="3302">
        <v>15</v>
      </c>
    </row>
    <row r="112" spans="1:6" ht="24">
      <c r="A112" s="3302">
        <v>40</v>
      </c>
      <c r="B112" s="3757"/>
      <c r="C112" s="3302" t="s">
        <v>2958</v>
      </c>
      <c r="D112" s="3283" t="s">
        <v>2959</v>
      </c>
      <c r="E112" s="3308">
        <v>0.1</v>
      </c>
      <c r="F112" s="3302">
        <v>15</v>
      </c>
    </row>
    <row r="113" spans="1:6" ht="24">
      <c r="A113" s="3302">
        <v>41</v>
      </c>
      <c r="B113" s="3755" t="s">
        <v>2960</v>
      </c>
      <c r="C113" s="3302" t="s">
        <v>2961</v>
      </c>
      <c r="D113" s="3283" t="s">
        <v>2962</v>
      </c>
      <c r="E113" s="3308">
        <v>0.1</v>
      </c>
      <c r="F113" s="3302">
        <v>15</v>
      </c>
    </row>
    <row r="114" spans="1:6" ht="13.5">
      <c r="A114" s="3302">
        <v>42</v>
      </c>
      <c r="B114" s="3755"/>
      <c r="C114" s="3302" t="s">
        <v>2963</v>
      </c>
      <c r="D114" s="3283" t="s">
        <v>2964</v>
      </c>
      <c r="E114" s="3308">
        <v>0.1</v>
      </c>
      <c r="F114" s="3302">
        <v>15</v>
      </c>
    </row>
    <row r="115" spans="1:6" ht="24">
      <c r="A115" s="3302">
        <v>43</v>
      </c>
      <c r="B115" s="3755"/>
      <c r="C115" s="3302" t="s">
        <v>2965</v>
      </c>
      <c r="D115" s="3283" t="s">
        <v>2966</v>
      </c>
      <c r="E115" s="3308">
        <v>0.1</v>
      </c>
      <c r="F115" s="3302">
        <v>15</v>
      </c>
    </row>
    <row r="116" spans="1:6" ht="24">
      <c r="A116" s="3302">
        <v>44</v>
      </c>
      <c r="B116" s="3756" t="s">
        <v>2967</v>
      </c>
      <c r="C116" s="3302" t="s">
        <v>2968</v>
      </c>
      <c r="D116" s="3283" t="s">
        <v>2969</v>
      </c>
      <c r="E116" s="3308">
        <v>0.1</v>
      </c>
      <c r="F116" s="3302">
        <v>15</v>
      </c>
    </row>
    <row r="117" spans="1:6" ht="24">
      <c r="A117" s="3302">
        <v>45</v>
      </c>
      <c r="B117" s="3757"/>
      <c r="C117" s="3283" t="s">
        <v>2970</v>
      </c>
      <c r="D117" s="3283" t="s">
        <v>2971</v>
      </c>
      <c r="E117" s="3308">
        <v>0.1</v>
      </c>
      <c r="F117" s="3302">
        <v>15</v>
      </c>
    </row>
    <row r="118" spans="1:6" ht="24">
      <c r="A118" s="3302">
        <v>46</v>
      </c>
      <c r="B118" s="3756" t="s">
        <v>2972</v>
      </c>
      <c r="C118" s="3302" t="s">
        <v>2973</v>
      </c>
      <c r="D118" s="3283" t="s">
        <v>2974</v>
      </c>
      <c r="E118" s="3308">
        <v>0.1</v>
      </c>
      <c r="F118" s="3302">
        <v>15</v>
      </c>
    </row>
    <row r="119" spans="1:6" ht="24">
      <c r="A119" s="3302">
        <v>47</v>
      </c>
      <c r="B119" s="3757"/>
      <c r="C119" s="3302" t="s">
        <v>2975</v>
      </c>
      <c r="D119" s="3283" t="s">
        <v>2976</v>
      </c>
      <c r="E119" s="3308">
        <v>0.1</v>
      </c>
      <c r="F119" s="3302">
        <v>15</v>
      </c>
    </row>
    <row r="120" spans="1:6" ht="24">
      <c r="A120" s="3302">
        <v>48</v>
      </c>
      <c r="B120" s="3756" t="s">
        <v>2977</v>
      </c>
      <c r="C120" s="3302" t="s">
        <v>2978</v>
      </c>
      <c r="D120" s="3283" t="s">
        <v>2979</v>
      </c>
      <c r="E120" s="3308">
        <v>0.1</v>
      </c>
      <c r="F120" s="3302">
        <v>15</v>
      </c>
    </row>
    <row r="121" spans="1:6" ht="13.5">
      <c r="A121" s="3302">
        <v>49</v>
      </c>
      <c r="B121" s="3757"/>
      <c r="C121" s="3302" t="s">
        <v>2980</v>
      </c>
      <c r="D121" s="3283" t="s">
        <v>2981</v>
      </c>
      <c r="E121" s="3308">
        <v>0.1</v>
      </c>
      <c r="F121" s="3302">
        <v>15</v>
      </c>
    </row>
    <row r="122" spans="1:6" ht="24">
      <c r="A122" s="3302">
        <v>50</v>
      </c>
      <c r="B122" s="3755" t="s">
        <v>2982</v>
      </c>
      <c r="C122" s="3302" t="s">
        <v>2983</v>
      </c>
      <c r="D122" s="3283" t="s">
        <v>2984</v>
      </c>
      <c r="E122" s="3308">
        <v>0.1</v>
      </c>
      <c r="F122" s="3302">
        <v>15</v>
      </c>
    </row>
    <row r="123" spans="1:6" ht="24">
      <c r="A123" s="3302">
        <v>51</v>
      </c>
      <c r="B123" s="3755"/>
      <c r="C123" s="3302" t="s">
        <v>2985</v>
      </c>
      <c r="D123" s="3283" t="s">
        <v>2986</v>
      </c>
      <c r="E123" s="3308">
        <v>0.1</v>
      </c>
      <c r="F123" s="3302">
        <v>15</v>
      </c>
    </row>
    <row r="124" spans="1:6" ht="24">
      <c r="A124" s="3302">
        <v>52</v>
      </c>
      <c r="B124" s="3755" t="s">
        <v>2987</v>
      </c>
      <c r="C124" s="3302" t="s">
        <v>2988</v>
      </c>
      <c r="D124" s="3283" t="s">
        <v>2989</v>
      </c>
      <c r="E124" s="3308">
        <v>0.1</v>
      </c>
      <c r="F124" s="3302">
        <v>15</v>
      </c>
    </row>
    <row r="125" spans="1:6" ht="24">
      <c r="A125" s="3302">
        <v>53</v>
      </c>
      <c r="B125" s="3755"/>
      <c r="C125" s="3302" t="s">
        <v>2990</v>
      </c>
      <c r="D125" s="3283" t="s">
        <v>2991</v>
      </c>
      <c r="E125" s="3308">
        <v>0.1</v>
      </c>
      <c r="F125" s="3302">
        <v>15</v>
      </c>
    </row>
    <row r="126" spans="1:6" ht="24">
      <c r="A126" s="3302">
        <v>54</v>
      </c>
      <c r="B126" s="3302" t="s">
        <v>2992</v>
      </c>
      <c r="C126" s="3302" t="s">
        <v>2993</v>
      </c>
      <c r="D126" s="3283" t="s">
        <v>2994</v>
      </c>
      <c r="E126" s="3308">
        <v>0.1</v>
      </c>
      <c r="F126" s="3302">
        <v>15</v>
      </c>
    </row>
    <row r="127" spans="1:6" ht="13.5">
      <c r="A127" s="3302">
        <v>55</v>
      </c>
      <c r="B127" s="3755" t="s">
        <v>2995</v>
      </c>
      <c r="C127" s="3302" t="s">
        <v>2996</v>
      </c>
      <c r="D127" s="3283" t="s">
        <v>2997</v>
      </c>
      <c r="E127" s="3308">
        <v>0.1</v>
      </c>
      <c r="F127" s="3302">
        <v>15</v>
      </c>
    </row>
    <row r="128" spans="1:6" ht="13.5">
      <c r="A128" s="3302">
        <v>56</v>
      </c>
      <c r="B128" s="3755"/>
      <c r="C128" s="3302" t="s">
        <v>2998</v>
      </c>
      <c r="D128" s="3283" t="s">
        <v>2999</v>
      </c>
      <c r="E128" s="3308">
        <v>0.1</v>
      </c>
      <c r="F128" s="3302">
        <v>15</v>
      </c>
    </row>
    <row r="129" spans="1:6" ht="24">
      <c r="A129" s="3302">
        <v>57</v>
      </c>
      <c r="B129" s="3755"/>
      <c r="C129" s="3302" t="s">
        <v>3000</v>
      </c>
      <c r="D129" s="3283" t="s">
        <v>3001</v>
      </c>
      <c r="E129" s="3308">
        <v>0.1</v>
      </c>
      <c r="F129" s="3302">
        <v>15</v>
      </c>
    </row>
    <row r="130" spans="1:6" ht="24">
      <c r="A130" s="3302">
        <v>58</v>
      </c>
      <c r="B130" s="3755" t="s">
        <v>3002</v>
      </c>
      <c r="C130" s="3302" t="s">
        <v>3003</v>
      </c>
      <c r="D130" s="3283" t="s">
        <v>3004</v>
      </c>
      <c r="E130" s="3308">
        <v>0.1</v>
      </c>
      <c r="F130" s="3302">
        <v>15</v>
      </c>
    </row>
    <row r="131" spans="1:6" ht="24">
      <c r="A131" s="3302">
        <v>59</v>
      </c>
      <c r="B131" s="3755"/>
      <c r="C131" s="3302" t="s">
        <v>3005</v>
      </c>
      <c r="D131" s="3283" t="s">
        <v>3006</v>
      </c>
      <c r="E131" s="3308">
        <v>0.1</v>
      </c>
      <c r="F131" s="3302">
        <v>15</v>
      </c>
    </row>
    <row r="132" spans="1:6" ht="24">
      <c r="A132" s="3302">
        <v>60</v>
      </c>
      <c r="B132" s="3756" t="s">
        <v>3007</v>
      </c>
      <c r="C132" s="3302" t="s">
        <v>3008</v>
      </c>
      <c r="D132" s="3283" t="s">
        <v>3009</v>
      </c>
      <c r="E132" s="3308">
        <v>0.1</v>
      </c>
      <c r="F132" s="3302">
        <v>15</v>
      </c>
    </row>
    <row r="133" spans="1:6" ht="24">
      <c r="A133" s="3302">
        <v>61</v>
      </c>
      <c r="B133" s="3757"/>
      <c r="C133" s="3302" t="s">
        <v>3010</v>
      </c>
      <c r="D133" s="3283" t="s">
        <v>3011</v>
      </c>
      <c r="E133" s="3308">
        <v>0.1</v>
      </c>
      <c r="F133" s="3302">
        <v>15</v>
      </c>
    </row>
    <row r="134" spans="1:6" ht="24">
      <c r="A134" s="3302">
        <v>62</v>
      </c>
      <c r="B134" s="3302" t="s">
        <v>3012</v>
      </c>
      <c r="C134" s="3302" t="s">
        <v>3013</v>
      </c>
      <c r="D134" s="3283" t="s">
        <v>3014</v>
      </c>
      <c r="E134" s="3308">
        <v>0.1</v>
      </c>
      <c r="F134" s="3302">
        <v>15</v>
      </c>
    </row>
    <row r="135" spans="1:6" ht="24">
      <c r="A135" s="3302">
        <v>63</v>
      </c>
      <c r="B135" s="3755" t="s">
        <v>3015</v>
      </c>
      <c r="C135" s="3302" t="s">
        <v>3016</v>
      </c>
      <c r="D135" s="3283" t="s">
        <v>3017</v>
      </c>
      <c r="E135" s="3308">
        <v>0.1</v>
      </c>
      <c r="F135" s="3302">
        <v>15</v>
      </c>
    </row>
    <row r="136" spans="1:6" ht="13.5">
      <c r="A136" s="3302">
        <v>64</v>
      </c>
      <c r="B136" s="3755"/>
      <c r="C136" s="3302" t="s">
        <v>3018</v>
      </c>
      <c r="D136" s="3283" t="s">
        <v>3019</v>
      </c>
      <c r="E136" s="3308">
        <v>0.1</v>
      </c>
      <c r="F136" s="3302">
        <v>15</v>
      </c>
    </row>
    <row r="137" spans="1:6" ht="24">
      <c r="A137" s="3302">
        <v>65</v>
      </c>
      <c r="B137" s="3302" t="s">
        <v>3020</v>
      </c>
      <c r="C137" s="3302" t="s">
        <v>3021</v>
      </c>
      <c r="D137" s="3283" t="s">
        <v>3022</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5"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AH124"/>
  <sheetViews>
    <sheetView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72" t="s">
        <v>782</v>
      </c>
      <c r="C1" s="3772"/>
      <c r="D1" s="3772"/>
      <c r="E1" s="3772"/>
      <c r="F1" s="3772"/>
      <c r="G1" s="3771" t="s">
        <v>783</v>
      </c>
      <c r="H1" s="3771"/>
      <c r="I1" s="3771"/>
      <c r="J1" s="3771"/>
      <c r="K1" s="3771"/>
      <c r="L1" s="3771"/>
      <c r="N1" s="3771" t="s">
        <v>784</v>
      </c>
      <c r="O1" s="3771"/>
      <c r="P1" s="3771"/>
      <c r="Q1" s="3771"/>
      <c r="S1" s="3771" t="s">
        <v>785</v>
      </c>
      <c r="T1" s="3771"/>
      <c r="U1" s="3771"/>
      <c r="V1" s="3771"/>
      <c r="X1" s="3770" t="s">
        <v>786</v>
      </c>
      <c r="Y1" s="3771"/>
      <c r="Z1" s="3771"/>
      <c r="AA1" s="3771"/>
      <c r="AB1" s="3771"/>
      <c r="AD1" s="3770" t="s">
        <v>787</v>
      </c>
      <c r="AE1" s="3771"/>
      <c r="AF1" s="3771"/>
      <c r="AG1" s="3771"/>
      <c r="AH1" s="377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2796</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2795</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2794</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2793</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2792</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2791</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2645</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2644</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2643</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2637</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2636</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2491</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2488</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2486</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2484</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2478</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2479</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6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6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6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7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7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6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6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7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7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6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6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6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6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6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6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6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6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6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6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6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7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7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7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7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6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6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6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6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6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6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6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6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6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6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6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6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6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6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6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6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6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6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6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6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6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6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6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6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6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6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6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6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6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6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6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6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6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6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6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6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6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6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6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6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6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6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6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6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72"/>
  <sheetViews>
    <sheetView topLeftCell="A10" workbookViewId="0">
      <selection activeCell="G4" sqref="G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44938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2638</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72"/>
      <c r="C2" s="3372"/>
      <c r="D2" s="3372"/>
      <c r="E2" s="3372"/>
    </row>
    <row r="3" spans="1:5" ht="13.5" customHeight="1">
      <c r="A3" s="1290"/>
      <c r="B3" s="1290"/>
      <c r="C3" s="1290"/>
      <c r="D3" s="1290"/>
      <c r="E3" s="1290"/>
    </row>
    <row r="4" spans="1:5" ht="19.5" thickBot="1">
      <c r="A4" s="3373" t="str">
        <f>IF(项目基本情况!D5="房地产市场价值","估价结果一览表（市场价值不需本页表格)","估价结果一览表")</f>
        <v>估价结果一览表（市场价值不需本页表格)</v>
      </c>
      <c r="B4" s="3373"/>
      <c r="C4" s="3373"/>
      <c r="D4" s="3373"/>
      <c r="E4" s="3373"/>
    </row>
    <row r="5" spans="1:5" ht="14.25" customHeight="1" thickTop="1">
      <c r="A5" s="1287"/>
      <c r="B5" s="1291" t="s">
        <v>562</v>
      </c>
      <c r="C5" s="3374" t="s">
        <v>593</v>
      </c>
      <c r="D5" s="3375"/>
      <c r="E5" s="1287"/>
    </row>
    <row r="6" spans="1:5" ht="14.25">
      <c r="A6" s="1287"/>
      <c r="B6" s="1292" t="str">
        <f>项目基本情况!I1</f>
        <v>北京市房地产</v>
      </c>
      <c r="C6" s="3376">
        <f>项目基本情况!C12</f>
        <v>53.46</v>
      </c>
      <c r="D6" s="3376"/>
      <c r="E6" s="1287"/>
    </row>
    <row r="7" spans="1:5" ht="14.25">
      <c r="A7" s="1287"/>
      <c r="B7" s="3370" t="s">
        <v>594</v>
      </c>
      <c r="C7" s="1293" t="str">
        <f>IF('数据-取费表'!B3="万元","总价（万元）","总价（元）")</f>
        <v>总价（万元）</v>
      </c>
      <c r="D7" s="1294">
        <f ca="1">IF('数据-取费表'!E3="否",结果表!I102,'结果表 (1修多)'!I104)</f>
        <v>206</v>
      </c>
      <c r="E7" s="1287"/>
    </row>
    <row r="8" spans="1:5" ht="14.25">
      <c r="A8" s="1287"/>
      <c r="B8" s="3370"/>
      <c r="C8" s="1295" t="s">
        <v>924</v>
      </c>
      <c r="D8" s="1296" t="str">
        <f ca="1">IF('数据-取费表'!B3="万元",NUMBERSTRING(INT(D7*10000),2)&amp;"元整",NUMBERSTRING(INT(D7),2)&amp;"元整")</f>
        <v>贰佰零陆万元整</v>
      </c>
      <c r="E8" s="1287"/>
    </row>
    <row r="9" spans="1:5" ht="14.25">
      <c r="A9" s="1287"/>
      <c r="B9" s="3370"/>
      <c r="C9" s="1297" t="s">
        <v>1020</v>
      </c>
      <c r="D9" s="1294">
        <f ca="1">IF('数据-取费表'!E3="否",结果表!I103,'结果表 (1修多)'!I105)</f>
        <v>38599</v>
      </c>
      <c r="E9" s="1287"/>
    </row>
    <row r="10" spans="1:5" ht="14.25">
      <c r="A10" s="1287"/>
      <c r="B10" s="337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7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77" t="str">
        <f>IF('数据-取费表'!E3="否",结果表!F110,'结果表 (1修多)'!F112)</f>
        <v>3.房地产抵押价值</v>
      </c>
      <c r="C15" s="1288" t="str">
        <f>C7</f>
        <v>总价（万元）</v>
      </c>
      <c r="D15" s="1294">
        <f ca="1">IF('数据-取费表'!E3="否",结果表!I110,'结果表 (1修多)'!I112)</f>
        <v>206</v>
      </c>
      <c r="E15" s="1287"/>
    </row>
    <row r="16" spans="1:5" ht="14.25">
      <c r="A16" s="1287"/>
      <c r="B16" s="3377"/>
      <c r="C16" s="1295" t="s">
        <v>924</v>
      </c>
      <c r="D16" s="1294" t="str">
        <f ca="1">IF('数据-取费表'!B3="万元",NUMBERSTRING(INT(D15*10000),2)&amp;"元整",NUMBERSTRING(INT(D15),2)&amp;"元整")</f>
        <v>贰佰零陆万元整</v>
      </c>
      <c r="E16" s="1287"/>
    </row>
    <row r="17" spans="1:5" ht="14.25">
      <c r="A17" s="1287"/>
      <c r="B17" s="3377"/>
      <c r="C17" s="1297" t="s">
        <v>1020</v>
      </c>
      <c r="D17" s="1294">
        <f ca="1">IF('数据-取费表'!E3="否",结果表!I111,'结果表 (1修多)'!I113)</f>
        <v>38599</v>
      </c>
      <c r="E17" s="1287"/>
    </row>
    <row r="18" spans="1:5" ht="14.25">
      <c r="A18" s="1287"/>
      <c r="B18" s="3377" t="str">
        <f>IF('数据-取费表'!E3="否",结果表!F112,'结果表 (1修多)'!F114)</f>
        <v>——</v>
      </c>
      <c r="C18" s="1288" t="str">
        <f>C7</f>
        <v>总价（万元）</v>
      </c>
      <c r="D18" s="1294" t="str">
        <f>IF('数据-取费表'!E3="否",结果表!I112,'结果表 (1修多)'!I114)</f>
        <v>——</v>
      </c>
      <c r="E18" s="1287"/>
    </row>
    <row r="19" spans="1:5" ht="14.25">
      <c r="A19" s="1287"/>
      <c r="B19" s="3377"/>
      <c r="C19" s="1295" t="s">
        <v>924</v>
      </c>
      <c r="D19" s="1294" t="e">
        <f>IF('数据-取费表'!B3="万元",NUMBERSTRING(INT(D18*10000),2)&amp;"元整",NUMBERSTRING(INT(D18),2)&amp;"元整")</f>
        <v>#VALUE!</v>
      </c>
      <c r="E19" s="1287"/>
    </row>
    <row r="20" spans="1:5" ht="14.25">
      <c r="A20" s="1287"/>
      <c r="B20" s="3377"/>
      <c r="C20" s="1297" t="s">
        <v>1020</v>
      </c>
      <c r="D20" s="1294" t="str">
        <f>IF('数据-取费表'!E3="否",结果表!I113,'结果表 (1修多)'!I115)</f>
        <v>——</v>
      </c>
      <c r="E20" s="1287"/>
    </row>
    <row r="21" spans="1:5" ht="14.25">
      <c r="A21" s="1287"/>
      <c r="B21" s="3370" t="str">
        <f>IF('数据-取费表'!E3="否",结果表!F114,'结果表 (1修多)'!F116)</f>
        <v>——</v>
      </c>
      <c r="C21" s="1293" t="str">
        <f>C7</f>
        <v>总价（万元）</v>
      </c>
      <c r="D21" s="1294" t="str">
        <f>IF('数据-取费表'!E3="否",结果表!I114,'结果表 (1修多)'!I116)</f>
        <v>——</v>
      </c>
      <c r="E21" s="1287"/>
    </row>
    <row r="22" spans="1:5" ht="14.25">
      <c r="A22" s="1287"/>
      <c r="B22" s="3370"/>
      <c r="C22" s="1295" t="s">
        <v>924</v>
      </c>
      <c r="D22" s="1296" t="e">
        <f>IF('数据-取费表'!B3="万元",NUMBERSTRING(INT(D21*10000),2)&amp;"元整",NUMBERSTRING(INT(D21),2)&amp;"元整")</f>
        <v>#VALUE!</v>
      </c>
      <c r="E22" s="1287"/>
    </row>
    <row r="23" spans="1:5" ht="15" thickBot="1">
      <c r="A23" s="1287"/>
      <c r="B23" s="337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85" t="s">
        <v>1021</v>
      </c>
      <c r="C25" s="3385"/>
      <c r="D25" s="3385"/>
      <c r="E25" s="1287"/>
    </row>
    <row r="26" spans="1:5" ht="18.75" customHeight="1" thickTop="1">
      <c r="A26" s="1287"/>
      <c r="B26" s="3388" t="s">
        <v>923</v>
      </c>
      <c r="C26" s="3389"/>
      <c r="D26" s="3386" t="s">
        <v>922</v>
      </c>
      <c r="E26" s="1287"/>
    </row>
    <row r="27" spans="1:5" ht="18.75" customHeight="1">
      <c r="A27" s="1287"/>
      <c r="B27" s="3390"/>
      <c r="C27" s="3391"/>
      <c r="D27" s="3387"/>
      <c r="E27" s="1287"/>
    </row>
    <row r="28" spans="1:5" ht="14.25">
      <c r="A28" s="1287"/>
      <c r="B28" s="3378" t="s">
        <v>594</v>
      </c>
      <c r="C28" s="1304" t="s">
        <v>925</v>
      </c>
      <c r="D28" s="1305">
        <f ca="1">IF('数据-取费表'!E3="否",结果表!I102,'结果表 (1修多)'!I104)</f>
        <v>206</v>
      </c>
      <c r="E28" s="1287"/>
    </row>
    <row r="29" spans="1:5" ht="14.25">
      <c r="A29" s="1287"/>
      <c r="B29" s="3379"/>
      <c r="C29" s="1306" t="s">
        <v>924</v>
      </c>
      <c r="D29" s="1307" t="str">
        <f ca="1">IF('数据-取费表'!B3="万元",NUMBERSTRING(INT(D28*10000),2)&amp;"元整",NUMBERSTRING(INT(D28),2)&amp;"元整")</f>
        <v>贰佰零陆万元整</v>
      </c>
      <c r="E29" s="1287"/>
    </row>
    <row r="30" spans="1:5" ht="14.25">
      <c r="A30" s="1287"/>
      <c r="B30" s="3380"/>
      <c r="C30" s="1297" t="s">
        <v>927</v>
      </c>
      <c r="D30" s="1308">
        <f ca="1">IF('数据-取费表'!E3="否",结果表!I103,'结果表 (1修多)'!I105)</f>
        <v>38599</v>
      </c>
      <c r="E30" s="1287"/>
    </row>
    <row r="31" spans="1:5" ht="14.25">
      <c r="A31" s="1287"/>
      <c r="B31" s="3383" t="str">
        <f>B10</f>
        <v>2.估价师所知悉的法定优先受偿款</v>
      </c>
      <c r="C31" s="1309" t="s">
        <v>926</v>
      </c>
      <c r="D31" s="1310">
        <f>IF('数据-取费表'!E3="否",结果表!I105,'结果表 (1修多)'!I107)</f>
        <v>0</v>
      </c>
      <c r="E31" s="1287"/>
    </row>
    <row r="32" spans="1:5" ht="14.25">
      <c r="A32" s="1287"/>
      <c r="B32" s="339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81" t="str">
        <f>B15</f>
        <v>3.房地产抵押价值</v>
      </c>
      <c r="C36" s="1309" t="str">
        <f>C28</f>
        <v>总价</v>
      </c>
      <c r="D36" s="1310">
        <f ca="1">IF('数据-取费表'!E3="否",结果表!I110,'结果表 (1修多)'!I112)</f>
        <v>206</v>
      </c>
      <c r="E36" s="1287"/>
    </row>
    <row r="37" spans="1:5" ht="14.25">
      <c r="A37" s="1287"/>
      <c r="B37" s="3381"/>
      <c r="C37" s="1306" t="s">
        <v>924</v>
      </c>
      <c r="D37" s="1311" t="str">
        <f ca="1">IF('数据-取费表'!B3="万元",NUMBERSTRING(INT(D36*10000),2)&amp;"元整",NUMBERSTRING(INT(D36),2)&amp;"元整")</f>
        <v>贰佰零陆万元整</v>
      </c>
      <c r="E37" s="1287"/>
    </row>
    <row r="38" spans="1:5" ht="14.25">
      <c r="A38" s="1287"/>
      <c r="B38" s="3381"/>
      <c r="C38" s="1297" t="s">
        <v>928</v>
      </c>
      <c r="D38" s="1308">
        <f ca="1">IF('数据-取费表'!E3="否",结果表!D113,'结果表 (1修多)'!D117)</f>
        <v>38599</v>
      </c>
      <c r="E38" s="1287"/>
    </row>
    <row r="39" spans="1:5" ht="14.25">
      <c r="A39" s="1287"/>
      <c r="B39" s="3382" t="str">
        <f>B18</f>
        <v>——</v>
      </c>
      <c r="C39" s="1309" t="str">
        <f>C28</f>
        <v>总价</v>
      </c>
      <c r="D39" s="1310" t="str">
        <f>IF('数据-取费表'!E3="否",结果表!I112,'结果表 (1修多)'!I114)</f>
        <v>——</v>
      </c>
      <c r="E39" s="1287"/>
    </row>
    <row r="40" spans="1:5" ht="14.25">
      <c r="A40" s="1287"/>
      <c r="B40" s="3382"/>
      <c r="C40" s="1306" t="s">
        <v>924</v>
      </c>
      <c r="D40" s="1311" t="e">
        <f>IF('数据-取费表'!B3="万元",NUMBERSTRING(INT(D39*10000),2)&amp;"元整",NUMBERSTRING(INT(D39),2)&amp;"元整")</f>
        <v>#VALUE!</v>
      </c>
      <c r="E40" s="1287"/>
    </row>
    <row r="41" spans="1:5" ht="14.25">
      <c r="A41" s="1287"/>
      <c r="B41" s="3382"/>
      <c r="C41" s="1297" t="s">
        <v>928</v>
      </c>
      <c r="D41" s="1308" t="str">
        <f>IF('数据-取费表'!E3="否",结果表!D115,'结果表 (1修多)'!D119)</f>
        <v>——</v>
      </c>
      <c r="E41" s="1287"/>
    </row>
    <row r="42" spans="1:5" ht="14.25">
      <c r="A42" s="1287"/>
      <c r="B42" s="3381" t="str">
        <f>B21</f>
        <v>——</v>
      </c>
      <c r="C42" s="1309" t="str">
        <f>C28</f>
        <v>总价</v>
      </c>
      <c r="D42" s="1310" t="str">
        <f>IF('数据-取费表'!E3="否",结果表!I114,'结果表 (1修多)'!I116)</f>
        <v>——</v>
      </c>
      <c r="E42" s="1287"/>
    </row>
    <row r="43" spans="1:5" ht="14.25">
      <c r="A43" s="1287"/>
      <c r="B43" s="3383"/>
      <c r="C43" s="1306" t="s">
        <v>924</v>
      </c>
      <c r="D43" s="1312" t="e">
        <f>IF('数据-取费表'!B3="万元",NUMBERSTRING(INT(D42*10000),2)&amp;"元整",NUMBERSTRING(INT(D42),2)&amp;"元整")</f>
        <v>#VALUE!</v>
      </c>
      <c r="E43" s="1287"/>
    </row>
    <row r="44" spans="1:5" ht="15" thickBot="1">
      <c r="A44" s="1287"/>
      <c r="B44" s="3384"/>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99" t="str">
        <f>IF(项目基本情况!D5="房地产市场价值","估价结果一览表","结果表-2")</f>
        <v>估价结果一览表</v>
      </c>
      <c r="B1" s="3399"/>
      <c r="C1" s="3399"/>
      <c r="D1" s="3399"/>
      <c r="E1" s="3399"/>
      <c r="F1" s="3399"/>
      <c r="G1" s="3399"/>
      <c r="H1" s="3399"/>
      <c r="I1" s="3399"/>
    </row>
    <row r="2" spans="1:9" ht="30" customHeight="1" thickTop="1">
      <c r="A2" s="3400" t="s">
        <v>1022</v>
      </c>
      <c r="B2" s="3400" t="s">
        <v>1023</v>
      </c>
      <c r="C2" s="3400" t="s">
        <v>1024</v>
      </c>
      <c r="D2" s="3400" t="str">
        <f>IF('数据-取费表'!E3="否",结果表!D119,'结果表 (1修多)'!D123)</f>
        <v>出让国有建设用地使用权价值</v>
      </c>
      <c r="E2" s="3400"/>
      <c r="F2" s="3400" t="s">
        <v>1025</v>
      </c>
      <c r="G2" s="3400"/>
      <c r="H2" s="3400" t="s">
        <v>1026</v>
      </c>
      <c r="I2" s="3400"/>
    </row>
    <row r="3" spans="1:9" ht="15">
      <c r="A3" s="3395"/>
      <c r="B3" s="3395"/>
      <c r="C3" s="3395"/>
      <c r="D3" s="776" t="s">
        <v>1027</v>
      </c>
      <c r="E3" s="776" t="s">
        <v>1028</v>
      </c>
      <c r="F3" s="776" t="s">
        <v>1027</v>
      </c>
      <c r="G3" s="776" t="s">
        <v>1029</v>
      </c>
      <c r="H3" s="776" t="s">
        <v>1027</v>
      </c>
      <c r="I3" s="776" t="s">
        <v>1029</v>
      </c>
    </row>
    <row r="4" spans="1:9" ht="46.5" customHeight="1">
      <c r="A4" s="776" t="str">
        <f>项目基本情况!I1</f>
        <v>北京市房地产</v>
      </c>
      <c r="B4" s="776">
        <f>结果表!B121</f>
        <v>53.46</v>
      </c>
      <c r="C4" s="776">
        <f>结果表!C121</f>
        <v>0</v>
      </c>
      <c r="D4" s="776">
        <f ca="1">IF('数据-取费表'!E3="否",结果表!D121,'结果表 (1修多)'!D125)</f>
        <v>178</v>
      </c>
      <c r="E4" s="776">
        <f ca="1">IF('数据-取费表'!E3="否",结果表!E121,'结果表 (1修多)'!E125)</f>
        <v>33388</v>
      </c>
      <c r="F4" s="776">
        <f ca="1">IF('数据-取费表'!E3="否",结果表!F121,'结果表 (1修多)'!F125)</f>
        <v>28</v>
      </c>
      <c r="G4" s="776">
        <f ca="1">IF('数据-取费表'!E3="否",结果表!G121,'结果表 (1修多)'!G125)</f>
        <v>5211</v>
      </c>
      <c r="H4" s="776">
        <f ca="1">IF('数据-取费表'!E3="否",结果表!H121,'结果表 (1修多)'!H125)</f>
        <v>206</v>
      </c>
      <c r="I4" s="776">
        <f ca="1">IF('数据-取费表'!E3="否",结果表!I121,'结果表 (1修多)'!I125)</f>
        <v>38599</v>
      </c>
    </row>
    <row r="5" spans="1:9" ht="15">
      <c r="A5" s="3395" t="s">
        <v>1030</v>
      </c>
      <c r="B5" s="3395"/>
      <c r="C5" s="3395"/>
      <c r="D5" s="3393" t="str">
        <f ca="1">IF('数据-取费表'!E3="否",结果表!D122,'结果表 (1修多)'!D126)</f>
        <v>壹佰柒拾捌万元整</v>
      </c>
      <c r="E5" s="3393"/>
      <c r="F5" s="3393" t="str">
        <f ca="1">IF('数据-取费表'!E3="否",结果表!F122,'结果表 (1修多)'!F126)</f>
        <v>贰拾捌万元整</v>
      </c>
      <c r="G5" s="3393"/>
      <c r="H5" s="3393" t="str">
        <f ca="1">IF('数据-取费表'!E3="否",结果表!H122,'结果表 (1修多)'!H126)</f>
        <v>贰佰零陆万元整</v>
      </c>
      <c r="I5" s="3393"/>
    </row>
    <row r="6" spans="1:9" ht="15.75">
      <c r="A6" s="3394" t="str">
        <f>IF('数据-取费表'!E3="否",结果表!A123,'结果表 (1修多)'!A127)</f>
        <v>——</v>
      </c>
      <c r="B6" s="3394"/>
      <c r="C6" s="3394"/>
      <c r="D6" s="3394">
        <f>IF('数据-取费表'!E3="否",结果表!D123,'结果表 (1修多)'!D127)</f>
        <v>0</v>
      </c>
      <c r="E6" s="3394"/>
      <c r="F6" s="3394"/>
      <c r="G6" s="3394"/>
      <c r="H6" s="3394"/>
      <c r="I6" s="3394"/>
    </row>
    <row r="7" spans="1:9" ht="15">
      <c r="A7" s="3395" t="s">
        <v>1030</v>
      </c>
      <c r="B7" s="3395"/>
      <c r="C7" s="3395"/>
      <c r="D7" s="3396">
        <f>IF('数据-取费表'!E3="否",结果表!D124,'结果表 (1修多)'!D128)</f>
        <v>0</v>
      </c>
      <c r="E7" s="3397"/>
      <c r="F7" s="3397"/>
      <c r="G7" s="3397"/>
      <c r="H7" s="3397"/>
      <c r="I7" s="3398"/>
    </row>
    <row r="8" spans="1:9" ht="15.75">
      <c r="A8" s="3394" t="str">
        <f>IF('数据-取费表'!E3="否",结果表!A125,'结果表 (1修多)'!A129)</f>
        <v>——</v>
      </c>
      <c r="B8" s="3394"/>
      <c r="C8" s="3394"/>
      <c r="D8" s="3394">
        <f ca="1">IF('数据-取费表'!E3="否",结果表!D125,'结果表 (1修多)'!D129)</f>
        <v>206</v>
      </c>
      <c r="E8" s="3394"/>
      <c r="F8" s="3394"/>
      <c r="G8" s="3394"/>
      <c r="H8" s="3394"/>
      <c r="I8" s="3394"/>
    </row>
    <row r="9" spans="1:9" ht="15">
      <c r="A9" s="3395" t="s">
        <v>1030</v>
      </c>
      <c r="B9" s="3395"/>
      <c r="C9" s="3395"/>
      <c r="D9" s="3393">
        <f ca="1">IF('数据-取费表'!E3="否",结果表!D126,'结果表 (1修多)'!D130)</f>
        <v>38599</v>
      </c>
      <c r="E9" s="3393"/>
      <c r="F9" s="3393"/>
      <c r="G9" s="3393"/>
      <c r="H9" s="3393"/>
      <c r="I9" s="3393"/>
    </row>
    <row r="10" spans="1:9" ht="15.75">
      <c r="A10" s="3394" t="str">
        <f>IF('数据-取费表'!E3="否",结果表!A127,'结果表 (1修多)'!A131)</f>
        <v>——</v>
      </c>
      <c r="B10" s="3394"/>
      <c r="C10" s="3394"/>
      <c r="D10" s="3394" t="str">
        <f>IF('数据-取费表'!E3="否",结果表!D127,'结果表 (1修多)'!D130)</f>
        <v>——</v>
      </c>
      <c r="E10" s="3394"/>
      <c r="F10" s="3394"/>
      <c r="G10" s="3394"/>
      <c r="H10" s="3394"/>
      <c r="I10" s="3394"/>
    </row>
    <row r="11" spans="1:9" ht="15">
      <c r="A11" s="3395" t="s">
        <v>1030</v>
      </c>
      <c r="B11" s="3395"/>
      <c r="C11" s="3395"/>
      <c r="D11" s="3393" t="str">
        <f>IF('数据-取费表'!E3="否",结果表!D128,'结果表 (1修多)'!D132)</f>
        <v>——</v>
      </c>
      <c r="E11" s="3393"/>
      <c r="F11" s="3393"/>
      <c r="G11" s="3393"/>
      <c r="H11" s="3393"/>
      <c r="I11" s="3393"/>
    </row>
    <row r="12" spans="1:9" ht="15.75">
      <c r="A12" s="3394" t="str">
        <f>IF('数据-取费表'!E3="否",结果表!A129,'结果表 (1修多)'!A133)</f>
        <v>——</v>
      </c>
      <c r="B12" s="3394"/>
      <c r="C12" s="3394"/>
      <c r="D12" s="3394" t="str">
        <f>IF('数据-取费表'!E3="否",结果表!D129,'结果表 (1修多)'!D133)</f>
        <v>——</v>
      </c>
      <c r="E12" s="3394"/>
      <c r="F12" s="3394"/>
      <c r="G12" s="3394"/>
      <c r="H12" s="3394"/>
      <c r="I12" s="3394"/>
    </row>
    <row r="13" spans="1:9" ht="15.75" thickBot="1">
      <c r="A13" s="3401" t="s">
        <v>1030</v>
      </c>
      <c r="B13" s="3401"/>
      <c r="C13" s="3401"/>
      <c r="D13" s="3402">
        <f>IF('数据-取费表'!E3="否",结果表!D130,'结果表 (1修多)'!D134)</f>
        <v>0</v>
      </c>
      <c r="E13" s="3402"/>
      <c r="F13" s="3402"/>
      <c r="G13" s="3402"/>
      <c r="H13" s="3402"/>
      <c r="I13" s="3402"/>
    </row>
    <row r="14" spans="1:9" ht="15" thickTop="1">
      <c r="A14" s="3403" t="str">
        <f>IF('数据-取费表'!E3="否",结果表!A131,'结果表 (1修多)'!A135)</f>
        <v>单位：平方米、万元、元/平方米（币种：人民币）</v>
      </c>
      <c r="B14" s="3403"/>
      <c r="C14" s="3403"/>
      <c r="D14" s="3403"/>
      <c r="E14" s="3403"/>
      <c r="F14" s="3403"/>
      <c r="G14" s="3403"/>
      <c r="H14" s="3403"/>
      <c r="I14" s="340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408" t="s">
        <v>1043</v>
      </c>
      <c r="B1" s="3408"/>
      <c r="C1" s="3408"/>
      <c r="D1" s="3408"/>
    </row>
    <row r="2" spans="1:4" ht="18">
      <c r="A2" s="3407" t="s">
        <v>1032</v>
      </c>
      <c r="B2" s="3407"/>
      <c r="C2" s="3407"/>
      <c r="D2" s="3407"/>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407" t="s">
        <v>1037</v>
      </c>
      <c r="B7" s="3407"/>
      <c r="C7" s="3407"/>
      <c r="D7" s="340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404" t="s">
        <v>2492</v>
      </c>
      <c r="B12" s="3406"/>
      <c r="C12" s="3406"/>
      <c r="D12" s="3406"/>
    </row>
    <row r="13" spans="1:4" ht="15.75">
      <c r="A13" s="34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06"/>
      <c r="C13" s="3406"/>
      <c r="D13" s="3406"/>
    </row>
    <row r="14" spans="1:4" ht="30" customHeight="1">
      <c r="A14" s="3404" t="str">
        <f>IF(项目基本情况!D4="抵押","3.抵押双方在办理抵押登记手续时，应使用本公司出具的正式《不动产估价报告书》，特提醒报告使用者注意。","——")</f>
        <v>——</v>
      </c>
      <c r="B14" s="3406"/>
      <c r="C14" s="3406"/>
      <c r="D14" s="3406"/>
    </row>
    <row r="15" spans="1:4" ht="15.75" customHeight="1">
      <c r="A15" s="3404" t="str">
        <f>IF(项目基本情况!D4="抵押","4.本次评估估价师所知悉的法定优先受偿款情况说明如下：","——")</f>
        <v>——</v>
      </c>
      <c r="B15" s="3406"/>
      <c r="C15" s="3406"/>
      <c r="D15" s="3406"/>
    </row>
    <row r="16" spans="1:4" ht="75" customHeight="1">
      <c r="A16" s="3404" t="str">
        <f>IF(项目基本情况!D4="抵押",CONCATENATE(项目基本情况!J13,项目基本情况!J14,项目基本情况!J15),"——")</f>
        <v>——</v>
      </c>
      <c r="B16" s="3404"/>
      <c r="C16" s="3404"/>
      <c r="D16" s="3404"/>
    </row>
    <row r="17" spans="1:4" ht="63.75" customHeight="1">
      <c r="A17" s="3405" t="s">
        <v>1045</v>
      </c>
      <c r="B17" s="3405"/>
      <c r="C17" s="3405"/>
      <c r="D17" s="3405"/>
    </row>
    <row r="18" spans="1:4" ht="15.75" customHeight="1">
      <c r="A18" s="3404" t="str">
        <f>IF(项目基本情况!D4="抵押",结果表!L106,"——")</f>
        <v>——</v>
      </c>
      <c r="B18" s="3404"/>
      <c r="C18" s="3404"/>
      <c r="D18" s="3404"/>
    </row>
    <row r="19" spans="1:4" ht="46.5" customHeight="1">
      <c r="A19" s="34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04"/>
      <c r="C19" s="3404"/>
      <c r="D19" s="3404"/>
    </row>
    <row r="20" spans="1:4" ht="15">
      <c r="A20" s="3405" t="s">
        <v>2493</v>
      </c>
      <c r="B20" s="3405"/>
      <c r="C20" s="3405"/>
      <c r="D20" s="340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14" t="s">
        <v>1124</v>
      </c>
      <c r="B15" s="3409" t="s">
        <v>1125</v>
      </c>
      <c r="C15" s="3410"/>
    </row>
    <row r="16" spans="1:7" ht="14.25">
      <c r="A16" s="3415"/>
      <c r="B16" s="3409" t="s">
        <v>1126</v>
      </c>
      <c r="C16" s="3410"/>
    </row>
    <row r="17" spans="1:3" ht="14.25">
      <c r="A17" s="3415"/>
      <c r="B17" s="3409" t="s">
        <v>1127</v>
      </c>
      <c r="C17" s="3410"/>
    </row>
    <row r="18" spans="1:3" ht="14.25">
      <c r="A18" s="3416"/>
      <c r="B18" s="3411" t="s">
        <v>1128</v>
      </c>
      <c r="C18" s="3410"/>
    </row>
    <row r="19" spans="1:3" ht="14.25">
      <c r="A19" s="1340" t="s">
        <v>1129</v>
      </c>
      <c r="B19" s="1341"/>
      <c r="C19" s="1342"/>
    </row>
    <row r="20" spans="1:3" ht="14.25">
      <c r="A20" s="3412" t="s">
        <v>1130</v>
      </c>
      <c r="B20" s="3411" t="s">
        <v>1131</v>
      </c>
      <c r="C20" s="3410"/>
    </row>
    <row r="21" spans="1:3" ht="14.25">
      <c r="A21" s="3412"/>
      <c r="B21" s="3411" t="s">
        <v>1132</v>
      </c>
      <c r="C21" s="3410"/>
    </row>
    <row r="22" spans="1:3" ht="14.25">
      <c r="A22" s="3412"/>
      <c r="B22" s="3411" t="s">
        <v>1133</v>
      </c>
      <c r="C22" s="3410"/>
    </row>
    <row r="23" spans="1:3" ht="14.25">
      <c r="A23" s="3412"/>
      <c r="B23" s="3413" t="s">
        <v>1134</v>
      </c>
      <c r="C23" s="1343" t="s">
        <v>1135</v>
      </c>
    </row>
    <row r="24" spans="1:3" ht="14.25">
      <c r="A24" s="3412"/>
      <c r="B24" s="3413"/>
      <c r="C24" s="1343" t="s">
        <v>1136</v>
      </c>
    </row>
    <row r="25" spans="1:3" ht="14.25">
      <c r="A25" s="3412"/>
      <c r="B25" s="3413"/>
      <c r="C25" s="1343" t="s">
        <v>1137</v>
      </c>
    </row>
    <row r="26" spans="1:3" ht="14.25">
      <c r="A26" s="3412"/>
      <c r="B26" s="3413"/>
      <c r="C26" s="1343" t="s">
        <v>1138</v>
      </c>
    </row>
    <row r="27" spans="1:3" ht="14.25">
      <c r="A27" s="3412"/>
      <c r="B27" s="3413"/>
      <c r="C27" s="1343" t="s">
        <v>1139</v>
      </c>
    </row>
    <row r="28" spans="1:3" ht="14.25">
      <c r="A28" s="3412"/>
      <c r="B28" s="3413"/>
      <c r="C28" s="1343" t="s">
        <v>1140</v>
      </c>
    </row>
    <row r="29" spans="1:3" ht="14.25">
      <c r="A29" s="3412"/>
      <c r="B29" s="3413"/>
      <c r="C29" s="1343" t="s">
        <v>1141</v>
      </c>
    </row>
    <row r="30" spans="1:3" ht="14.25">
      <c r="A30" s="3412"/>
      <c r="B30" s="3413"/>
      <c r="C30" s="1343" t="s">
        <v>1142</v>
      </c>
    </row>
    <row r="31" spans="1:3" ht="14.25">
      <c r="A31" s="3412"/>
      <c r="B31" s="341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44939</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t="str">
        <f ca="1">IF(C4&lt;B2,"已过期",1119970066)</f>
        <v>已过期</v>
      </c>
      <c r="C4" s="2987">
        <v>44876</v>
      </c>
      <c r="D4" s="2997" t="str">
        <f ca="1">A4&amp;"（注册号："&amp;B4&amp;"）"</f>
        <v>梁津（注册号：已过期）</v>
      </c>
      <c r="E4" s="2999" t="s">
        <v>573</v>
      </c>
      <c r="F4" s="1230">
        <f ca="1">IF(G4&lt;B2,"已过期",96010014)</f>
        <v>96010014</v>
      </c>
      <c r="G4" s="2988">
        <v>47118</v>
      </c>
      <c r="H4" s="2989" t="str">
        <f ca="1">E4&amp;"（注册号："&amp;F4&amp;"）"</f>
        <v>梁津（注册号：96010014）</v>
      </c>
    </row>
    <row r="5" spans="1:8" ht="24" customHeight="1">
      <c r="A5" s="1230" t="s">
        <v>574</v>
      </c>
      <c r="B5" s="1230" t="str">
        <f ca="1">IF(C5&lt;B2,"已过期",1119970111)</f>
        <v>已过期</v>
      </c>
      <c r="C5" s="2987">
        <v>44876</v>
      </c>
      <c r="D5" s="2997" t="str">
        <f t="shared" ref="D5:D14" ca="1" si="0">A5&amp;"（注册号："&amp;B5&amp;"）"</f>
        <v>叶凌（注册号：已过期）</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t="str">
        <f ca="1">IF(C7&lt;B2,"已过期",1120000080)</f>
        <v>已过期</v>
      </c>
      <c r="C7" s="2987">
        <v>44876</v>
      </c>
      <c r="D7" s="2997" t="str">
        <f t="shared" ca="1" si="0"/>
        <v>欧红伟（注册号：已过期）</v>
      </c>
      <c r="E7" s="2999" t="s">
        <v>576</v>
      </c>
      <c r="F7" s="1230">
        <f ca="1">IF(G7&lt;B2,"已过期",2000110082)</f>
        <v>2000110082</v>
      </c>
      <c r="G7" s="2988">
        <v>46387</v>
      </c>
      <c r="H7" s="2989" t="str">
        <f t="shared" ca="1" si="1"/>
        <v>欧红伟（注册号：2000110082）</v>
      </c>
    </row>
    <row r="8" spans="1:8" ht="24" customHeight="1">
      <c r="A8" s="1230" t="s">
        <v>577</v>
      </c>
      <c r="B8" s="1230" t="str">
        <f ca="1">IF(C8&lt;B2,"已过期",1419970001)</f>
        <v>已过期</v>
      </c>
      <c r="C8" s="2987">
        <v>44899</v>
      </c>
      <c r="D8" s="2997" t="str">
        <f t="shared" ca="1" si="0"/>
        <v>吴薇（注册号：已过期）</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t="str">
        <f ca="1">IF(C11&lt;B2,"已过期",1120070131)</f>
        <v>已过期</v>
      </c>
      <c r="C11" s="2987">
        <v>44849</v>
      </c>
      <c r="D11" s="2997" t="str">
        <f t="shared" ca="1" si="0"/>
        <v>郑燚（注册号：已过期）</v>
      </c>
      <c r="E11" s="2999" t="s">
        <v>580</v>
      </c>
      <c r="F11" s="1230">
        <f ca="1">IF(G11&lt;B2,"已过期",2014110011)</f>
        <v>2014110011</v>
      </c>
      <c r="G11" s="2988">
        <v>49302</v>
      </c>
      <c r="H11" s="2989" t="str">
        <f t="shared" ca="1" si="1"/>
        <v>郑燚（注册号：2014110011）</v>
      </c>
    </row>
    <row r="12" spans="1:8" ht="24" customHeight="1">
      <c r="A12" s="1230" t="s">
        <v>2472</v>
      </c>
      <c r="B12" s="1230" t="str">
        <f ca="1">IF(C12&lt;B2,"已过期",1120040230)</f>
        <v>已过期</v>
      </c>
      <c r="C12" s="2990">
        <v>44864</v>
      </c>
      <c r="D12" s="2997" t="str">
        <f t="shared" ca="1" si="0"/>
        <v>苏海（注册号：已过期）</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2797</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417" t="s">
        <v>582</v>
      </c>
      <c r="B17" s="3417"/>
      <c r="C17" s="3417"/>
      <c r="D17" s="3417"/>
      <c r="E17" s="3417"/>
      <c r="F17" s="3417"/>
      <c r="G17" s="3417"/>
      <c r="H17" s="3417"/>
    </row>
    <row r="18" spans="1:8" ht="24" customHeight="1">
      <c r="A18" s="3418" t="s">
        <v>583</v>
      </c>
      <c r="B18" s="3418"/>
      <c r="C18" s="3418"/>
      <c r="D18" s="2986"/>
      <c r="E18" s="3419" t="s">
        <v>584</v>
      </c>
      <c r="F18" s="3418"/>
      <c r="G18" s="3418"/>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2798</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2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本次估价的“房地产价值”是指在正常市场情况下，在价值时点2023年1月12日，估价对象规划用途为，假定未设立法定优先受偿款下的房地产市场价值。</v>
      </c>
    </row>
    <row r="54" spans="1:4">
      <c r="A54" s="3420"/>
      <c r="B54" s="9" t="s">
        <v>1280</v>
      </c>
      <c r="C54" s="9" t="s">
        <v>1281</v>
      </c>
    </row>
    <row r="55" spans="1:4">
      <c r="A55" s="3420"/>
      <c r="B55" s="9" t="s">
        <v>1282</v>
      </c>
      <c r="C55" s="9" t="s">
        <v>1283</v>
      </c>
    </row>
    <row r="56" spans="1:4">
      <c r="A56" s="3420"/>
      <c r="B56" s="9" t="s">
        <v>1284</v>
      </c>
      <c r="C56" s="9" t="s">
        <v>1285</v>
      </c>
    </row>
    <row r="57" spans="1:4">
      <c r="A57" s="342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租金案例</vt:lpstr>
      <vt:lpstr>收益法-酒店模型</vt:lpstr>
      <vt:lpstr>典型户型修正</vt:lpstr>
      <vt:lpstr>比较法-住宅</vt:lpstr>
      <vt:lpstr>成交案例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2023-01-13T09:15:44Z</dcterms:modified>
</cp:coreProperties>
</file>