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win10\Desktop\"/>
    </mc:Choice>
  </mc:AlternateContent>
  <bookViews>
    <workbookView xWindow="555" yWindow="465" windowWidth="17235" windowHeight="15795" tabRatio="899" firstSheet="19" activeTab="30"/>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常用公式" sheetId="78" state="hidden" r:id="rId11"/>
    <sheet name="项目基本情况" sheetId="4" r:id="rId12"/>
    <sheet name="多规" sheetId="80" r:id="rId13"/>
    <sheet name="数据-基础表" sheetId="3" state="hidden" r:id="rId14"/>
    <sheet name="数据-汇总表" sheetId="6" state="hidden" r:id="rId15"/>
    <sheet name="数据-取费表" sheetId="1" r:id="rId16"/>
    <sheet name="估价对象房地状况" sheetId="20" state="hidden" r:id="rId17"/>
    <sheet name="结果表" sheetId="9" r:id="rId18"/>
    <sheet name="成本法" sheetId="68" state="hidden" r:id="rId19"/>
    <sheet name="成本法 (元)" sheetId="69" r:id="rId20"/>
    <sheet name="假设开发法" sheetId="12" state="hidden" r:id="rId21"/>
    <sheet name="收益法" sheetId="15" state="hidden" r:id="rId22"/>
    <sheet name="土地比较法-住宅、综合" sheetId="39" r:id="rId23"/>
    <sheet name="地价-分区" sheetId="79" state="hidden" r:id="rId24"/>
    <sheet name="地价" sheetId="71" state="hidden" r:id="rId25"/>
    <sheet name="Sheet4" sheetId="87" r:id="rId26"/>
    <sheet name="招拍挂案例" sheetId="81" r:id="rId27"/>
    <sheet name="收益法 (元)" sheetId="67" state="hidden" r:id="rId28"/>
    <sheet name="收益法-酒店模型" sheetId="77" state="hidden" r:id="rId29"/>
    <sheet name="收益法（汇总）" sheetId="70" state="hidden" r:id="rId30"/>
    <sheet name="比较法-住宅" sheetId="21" r:id="rId31"/>
    <sheet name="共有产权房案例" sheetId="82" r:id="rId32"/>
    <sheet name="Sheet3" sheetId="85" state="hidden" r:id="rId33"/>
    <sheet name="Sheet2" sheetId="84" state="hidden" r:id="rId34"/>
    <sheet name="系统读取表" sheetId="74" r:id="rId35"/>
    <sheet name="二手房变化趋势" sheetId="86" r:id="rId36"/>
    <sheet name="sheet1" sheetId="83" r:id="rId37"/>
    <sheet name="比较法-商业" sheetId="33" state="hidden" r:id="rId38"/>
    <sheet name="比较法-办公" sheetId="34" state="hidden" r:id="rId39"/>
    <sheet name="比较法-工业" sheetId="37" state="hidden" r:id="rId40"/>
    <sheet name="比较法-车位" sheetId="35" state="hidden" r:id="rId41"/>
    <sheet name="比较法-仓储" sheetId="36" state="hidden" r:id="rId42"/>
    <sheet name="土地比较法-工业" sheetId="40" state="hidden" r:id="rId43"/>
    <sheet name="典型户型修正" sheetId="31" state="hidden" r:id="rId44"/>
    <sheet name="基准地价（汇总）" sheetId="76" state="hidden" r:id="rId45"/>
    <sheet name="基准地价修正" sheetId="43" state="hidden" r:id="rId46"/>
    <sheet name="修正" sheetId="45" state="hidden" r:id="rId47"/>
    <sheet name="容积率修正" sheetId="46" state="hidden" r:id="rId48"/>
    <sheet name="成本法（废）" sheetId="11" state="hidden" r:id="rId49"/>
    <sheet name="区片价" sheetId="44" state="hidden" r:id="rId50"/>
    <sheet name="因素修正幅度" sheetId="65" state="hidden" r:id="rId51"/>
    <sheet name="区片价（范围）" sheetId="75" state="hidden" r:id="rId52"/>
    <sheet name="存贷款利率" sheetId="73" state="hidden" r:id="rId53"/>
  </sheets>
  <externalReferences>
    <externalReference r:id="rId54"/>
    <externalReference r:id="rId55"/>
    <externalReference r:id="rId56"/>
  </externalReferences>
  <definedNames>
    <definedName name="_xlnm._FilterDatabase" localSheetId="36" hidden="1">sheet1!$A$1:$AZ$74</definedName>
    <definedName name="_xlnm._FilterDatabase" localSheetId="38" hidden="1">'比较法-办公'!$A$1:$L$50</definedName>
    <definedName name="_xlnm._FilterDatabase" localSheetId="41" hidden="1">'比较法-仓储'!$A$1:$L$37</definedName>
    <definedName name="_xlnm._FilterDatabase" localSheetId="40" hidden="1">'比较法-车位'!$A$1:$L$39</definedName>
    <definedName name="_xlnm._FilterDatabase" localSheetId="39" hidden="1">'比较法-工业'!$A$1:$L$43</definedName>
    <definedName name="_xlnm._FilterDatabase" localSheetId="37" hidden="1">'比较法-商业'!$A$1:$L$49</definedName>
    <definedName name="_xlnm._FilterDatabase" localSheetId="30" hidden="1">'比较法-住宅'!$A$1:$L$49</definedName>
    <definedName name="_xlnm._FilterDatabase" localSheetId="13" hidden="1">'数据-基础表'!$A$12:$AT$587</definedName>
    <definedName name="_xlnm._FilterDatabase" localSheetId="42" hidden="1">'土地比较法-工业'!$A$1:$L$43</definedName>
    <definedName name="_xlnm._FilterDatabase" localSheetId="22" hidden="1">'土地比较法-住宅、综合'!$A$1:$L$48</definedName>
    <definedName name="_xlnm._FilterDatabase" localSheetId="11" hidden="1">项目基本情况!$A$42:$N$42</definedName>
    <definedName name="_xlnm.Print_Area" localSheetId="38">'比较法-办公'!$A$1:$K$55,'比较法-办公'!$A$58:$M$132</definedName>
    <definedName name="_xlnm.Print_Area" localSheetId="41">'比较法-仓储'!$A$1:$K$42,'比较法-仓储'!$A$45:$M$96</definedName>
    <definedName name="_xlnm.Print_Area" localSheetId="40">'比较法-车位'!$A$1:$K$44,'比较法-车位'!$A$47:$M$102</definedName>
    <definedName name="_xlnm.Print_Area" localSheetId="39">'比较法-工业'!$A$1:$K$48,'比较法-工业'!$A$51:$M$113</definedName>
    <definedName name="_xlnm.Print_Area" localSheetId="37">'比较法-商业'!$A$1:$K$54,'比较法-商业'!$A$57:$M$131</definedName>
    <definedName name="_xlnm.Print_Area" localSheetId="30">'比较法-住宅'!$A$1:$K$54,'比较法-住宅'!$A$57:$M$131</definedName>
    <definedName name="_xlnm.Print_Area" localSheetId="18">成本法!$A$1:$G$57</definedName>
    <definedName name="_xlnm.Print_Area" localSheetId="19">'成本法 (元)'!$A$1:$G$57</definedName>
    <definedName name="_xlnm.Print_Area" localSheetId="16">估价对象房地状况!$A$1:$G$24</definedName>
    <definedName name="_xlnm.Print_Area" localSheetId="8">估价师及机构信息!$A$1:$G$22</definedName>
    <definedName name="_xlnm.Print_Area" localSheetId="44">'基准地价（汇总）'!$A$1:$E$13</definedName>
    <definedName name="_xlnm.Print_Area" localSheetId="45">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7">'收益法 (元)'!$A$1:$F$43,'收益法 (元)'!$H$3:$M$29,'收益法 (元)'!$A$45:$F$71,'收益法 (元)'!$I$46:$N$65</definedName>
    <definedName name="_xlnm.Print_Area" localSheetId="29">'收益法（汇总）'!$A$1:$F$13</definedName>
    <definedName name="_xlnm.Print_Area" localSheetId="14">'数据-汇总表'!$A$1:$P$32</definedName>
    <definedName name="_xlnm.Print_Area" localSheetId="42">'土地比较法-工业'!$A$1:$K$61,'土地比较法-工业'!$A$64:$M$121</definedName>
    <definedName name="_xlnm.Print_Area" localSheetId="22">'土地比较法-住宅、综合'!$A$1:$K$65,'土地比较法-住宅、综合'!$A$68:$M$131</definedName>
    <definedName name="_xlnm.Print_Area" localSheetId="34">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8">'[1]数据-汇总表'!$C$17:$C$26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I50" i="21" l="1"/>
  <c r="AC41" i="21"/>
  <c r="V48" i="21"/>
  <c r="R49" i="21"/>
  <c r="C49" i="21"/>
  <c r="B3" i="21"/>
  <c r="D20" i="9"/>
  <c r="D6" i="73"/>
  <c r="K1" i="73"/>
  <c r="D5" i="73"/>
  <c r="G1" i="73"/>
  <c r="B40" i="1"/>
  <c r="F22" i="69"/>
  <c r="C23" i="69"/>
  <c r="C24" i="69"/>
  <c r="C25" i="69"/>
  <c r="C22" i="69"/>
  <c r="F27" i="69"/>
  <c r="C28" i="69"/>
  <c r="C27" i="69"/>
  <c r="C26" i="69"/>
  <c r="D22" i="69"/>
  <c r="C29" i="69"/>
  <c r="D27" i="69"/>
  <c r="C31" i="69"/>
  <c r="C34" i="69"/>
  <c r="C35" i="69"/>
  <c r="C36" i="69"/>
  <c r="D9" i="69"/>
  <c r="D10" i="69"/>
  <c r="D19" i="69"/>
  <c r="D37" i="69"/>
  <c r="B35" i="1"/>
  <c r="E37" i="69"/>
  <c r="C37" i="69"/>
  <c r="C38" i="69"/>
  <c r="C33" i="69"/>
  <c r="C39" i="69"/>
  <c r="C42" i="69"/>
  <c r="C43" i="69"/>
  <c r="C41" i="69"/>
  <c r="C46" i="69"/>
  <c r="C45" i="69"/>
  <c r="E48" i="69"/>
  <c r="C44" i="69"/>
  <c r="D41" i="69"/>
  <c r="C47" i="69"/>
  <c r="D45" i="69"/>
  <c r="C49" i="69"/>
  <c r="M6" i="1"/>
  <c r="M16" i="1"/>
  <c r="N16" i="1"/>
  <c r="F50" i="69"/>
  <c r="C51" i="69"/>
  <c r="C52" i="69"/>
  <c r="B2" i="69"/>
  <c r="B3" i="69"/>
  <c r="C20" i="9"/>
  <c r="E23" i="9"/>
  <c r="D85" i="21"/>
  <c r="E85" i="21"/>
  <c r="F23" i="21"/>
  <c r="AA23" i="21"/>
  <c r="R48" i="21"/>
  <c r="T48" i="21"/>
  <c r="E48" i="21"/>
  <c r="G48" i="21"/>
  <c r="J7" i="21"/>
  <c r="E7" i="39"/>
  <c r="I7" i="21"/>
  <c r="I7" i="39"/>
  <c r="G7" i="21"/>
  <c r="G7" i="39"/>
  <c r="E7" i="21"/>
  <c r="L2" i="39"/>
  <c r="G5" i="21"/>
  <c r="E5" i="21"/>
  <c r="K71" i="39"/>
  <c r="J71" i="39"/>
  <c r="I71" i="39"/>
  <c r="H71" i="39"/>
  <c r="G71" i="39"/>
  <c r="F71" i="39"/>
  <c r="E71" i="39"/>
  <c r="D71" i="39"/>
  <c r="C71" i="39"/>
  <c r="M70" i="39"/>
  <c r="L70" i="39"/>
  <c r="C70" i="39"/>
  <c r="J70" i="39"/>
  <c r="K70" i="39"/>
  <c r="I70" i="39"/>
  <c r="H70" i="39"/>
  <c r="G70" i="39"/>
  <c r="F70" i="39"/>
  <c r="E70" i="39"/>
  <c r="D70" i="39"/>
  <c r="D60" i="80"/>
  <c r="F57" i="80"/>
  <c r="F58" i="80"/>
  <c r="F59" i="80"/>
  <c r="F60" i="80"/>
  <c r="D6" i="80"/>
  <c r="C38" i="39"/>
  <c r="E4" i="80"/>
  <c r="E5" i="80"/>
  <c r="E3" i="80"/>
  <c r="I46" i="39"/>
  <c r="M19" i="39"/>
  <c r="M20" i="39"/>
  <c r="G46" i="39"/>
  <c r="I38" i="39"/>
  <c r="G38" i="39"/>
  <c r="I11" i="39"/>
  <c r="G11" i="39"/>
  <c r="I5" i="39"/>
  <c r="G5" i="39"/>
  <c r="S21" i="81"/>
  <c r="P21" i="81"/>
  <c r="R21" i="81"/>
  <c r="C11" i="39"/>
  <c r="C11" i="21"/>
  <c r="E6" i="80"/>
  <c r="B14" i="74"/>
  <c r="B1" i="74"/>
  <c r="R4" i="86"/>
  <c r="R5" i="86"/>
  <c r="R3" i="86"/>
  <c r="Q6" i="85"/>
  <c r="Q7" i="85"/>
  <c r="Q5" i="85"/>
  <c r="D3" i="4"/>
  <c r="B2" i="1"/>
  <c r="D94" i="39"/>
  <c r="F21" i="39"/>
  <c r="AA21" i="39"/>
  <c r="H21" i="39"/>
  <c r="AB21" i="39"/>
  <c r="J21" i="39"/>
  <c r="AC21" i="39"/>
  <c r="F36" i="69"/>
  <c r="AA41" i="21"/>
  <c r="AB41" i="21"/>
  <c r="F20" i="69"/>
  <c r="F21" i="69"/>
  <c r="C21" i="69"/>
  <c r="C30" i="69"/>
  <c r="F35" i="69"/>
  <c r="C5" i="21"/>
  <c r="AA7" i="39"/>
  <c r="E46" i="39"/>
  <c r="R46" i="39"/>
  <c r="F8" i="39"/>
  <c r="AA8" i="39"/>
  <c r="F9" i="39"/>
  <c r="AA9" i="39"/>
  <c r="M2" i="39"/>
  <c r="AB7" i="39"/>
  <c r="T46" i="39"/>
  <c r="H8" i="39"/>
  <c r="AB8" i="39"/>
  <c r="H9" i="39"/>
  <c r="AB9" i="39"/>
  <c r="N2" i="39"/>
  <c r="N3" i="39"/>
  <c r="AC7" i="39"/>
  <c r="V46" i="39"/>
  <c r="J8" i="39"/>
  <c r="AC8" i="39"/>
  <c r="J9" i="39"/>
  <c r="AC9" i="39"/>
  <c r="L3" i="39"/>
  <c r="M3" i="39"/>
  <c r="M14" i="39"/>
  <c r="B126" i="39"/>
  <c r="F43" i="39"/>
  <c r="E38" i="39"/>
  <c r="E5" i="39"/>
  <c r="H16" i="81"/>
  <c r="H15" i="81"/>
  <c r="H14" i="81"/>
  <c r="H13" i="81"/>
  <c r="H12" i="81"/>
  <c r="H11" i="81"/>
  <c r="H10" i="81"/>
  <c r="H9" i="81"/>
  <c r="H8" i="81"/>
  <c r="H7" i="81"/>
  <c r="H6" i="81"/>
  <c r="H5" i="81"/>
  <c r="A6" i="1"/>
  <c r="G1" i="69"/>
  <c r="F19" i="6"/>
  <c r="E19" i="6"/>
  <c r="K6" i="1"/>
  <c r="BQ13" i="3"/>
  <c r="BQ14" i="3"/>
  <c r="BQ15" i="3"/>
  <c r="BQ16" i="3"/>
  <c r="BQ17" i="3"/>
  <c r="BQ18" i="3"/>
  <c r="BQ19" i="3"/>
  <c r="BQ20" i="3"/>
  <c r="BQ21" i="3"/>
  <c r="BQ22" i="3"/>
  <c r="BQ23" i="3"/>
  <c r="BQ24" i="3"/>
  <c r="BQ25" i="3"/>
  <c r="BQ26" i="3"/>
  <c r="BQ27" i="3"/>
  <c r="BQ28" i="3"/>
  <c r="BQ29" i="3"/>
  <c r="BQ30" i="3"/>
  <c r="BQ31" i="3"/>
  <c r="BQ32" i="3"/>
  <c r="BQ33" i="3"/>
  <c r="BQ34" i="3"/>
  <c r="BQ35" i="3"/>
  <c r="BQ36" i="3"/>
  <c r="BQ37" i="3"/>
  <c r="BQ38" i="3"/>
  <c r="BQ39" i="3"/>
  <c r="BQ40" i="3"/>
  <c r="BQ41" i="3"/>
  <c r="BQ42" i="3"/>
  <c r="BQ43" i="3"/>
  <c r="BQ44" i="3"/>
  <c r="BQ45" i="3"/>
  <c r="BQ46" i="3"/>
  <c r="BQ47" i="3"/>
  <c r="BQ48" i="3"/>
  <c r="BQ49" i="3"/>
  <c r="BQ50" i="3"/>
  <c r="BQ51" i="3"/>
  <c r="BQ52" i="3"/>
  <c r="BQ53" i="3"/>
  <c r="BQ54" i="3"/>
  <c r="BQ55" i="3"/>
  <c r="BQ56" i="3"/>
  <c r="BQ57" i="3"/>
  <c r="BQ58" i="3"/>
  <c r="BQ59" i="3"/>
  <c r="BQ60" i="3"/>
  <c r="BQ61" i="3"/>
  <c r="BQ62" i="3"/>
  <c r="BQ63" i="3"/>
  <c r="BQ64" i="3"/>
  <c r="BQ65" i="3"/>
  <c r="BQ66" i="3"/>
  <c r="BQ67" i="3"/>
  <c r="BQ68" i="3"/>
  <c r="BQ69" i="3"/>
  <c r="BQ70" i="3"/>
  <c r="BQ71" i="3"/>
  <c r="BQ72" i="3"/>
  <c r="BQ73" i="3"/>
  <c r="BQ74" i="3"/>
  <c r="BQ75" i="3"/>
  <c r="BQ76" i="3"/>
  <c r="BQ77" i="3"/>
  <c r="BQ78" i="3"/>
  <c r="BQ79" i="3"/>
  <c r="BQ80" i="3"/>
  <c r="BQ81" i="3"/>
  <c r="BQ82" i="3"/>
  <c r="BQ83" i="3"/>
  <c r="BQ84" i="3"/>
  <c r="BQ85" i="3"/>
  <c r="BQ86" i="3"/>
  <c r="BQ87" i="3"/>
  <c r="BQ88" i="3"/>
  <c r="BQ89" i="3"/>
  <c r="BQ90" i="3"/>
  <c r="BQ91" i="3"/>
  <c r="BQ92" i="3"/>
  <c r="BQ93" i="3"/>
  <c r="BQ94" i="3"/>
  <c r="BQ95" i="3"/>
  <c r="BQ96" i="3"/>
  <c r="BQ97" i="3"/>
  <c r="BQ98" i="3"/>
  <c r="BQ99" i="3"/>
  <c r="BQ100" i="3"/>
  <c r="BQ101" i="3"/>
  <c r="BQ102" i="3"/>
  <c r="BQ103" i="3"/>
  <c r="BQ104" i="3"/>
  <c r="BQ105" i="3"/>
  <c r="BQ106" i="3"/>
  <c r="BQ107" i="3"/>
  <c r="BQ108" i="3"/>
  <c r="BQ109" i="3"/>
  <c r="BQ110" i="3"/>
  <c r="BQ111" i="3"/>
  <c r="BQ112" i="3"/>
  <c r="BQ113" i="3"/>
  <c r="BQ114" i="3"/>
  <c r="BQ115" i="3"/>
  <c r="BQ116" i="3"/>
  <c r="BQ117" i="3"/>
  <c r="BQ118" i="3"/>
  <c r="BQ119" i="3"/>
  <c r="BQ120" i="3"/>
  <c r="BQ121" i="3"/>
  <c r="BQ122" i="3"/>
  <c r="BQ123" i="3"/>
  <c r="BQ124" i="3"/>
  <c r="BQ125" i="3"/>
  <c r="BQ126" i="3"/>
  <c r="BQ127" i="3"/>
  <c r="BQ128" i="3"/>
  <c r="BQ129" i="3"/>
  <c r="BQ130" i="3"/>
  <c r="BQ131" i="3"/>
  <c r="BQ132" i="3"/>
  <c r="BQ133" i="3"/>
  <c r="BQ134" i="3"/>
  <c r="BQ135" i="3"/>
  <c r="BQ136" i="3"/>
  <c r="BQ137" i="3"/>
  <c r="BQ138" i="3"/>
  <c r="BQ139" i="3"/>
  <c r="BQ140" i="3"/>
  <c r="BQ141" i="3"/>
  <c r="BQ142" i="3"/>
  <c r="BQ143" i="3"/>
  <c r="BQ144" i="3"/>
  <c r="BQ145" i="3"/>
  <c r="BQ146" i="3"/>
  <c r="BQ147" i="3"/>
  <c r="BQ148" i="3"/>
  <c r="BQ149" i="3"/>
  <c r="BQ150" i="3"/>
  <c r="BQ151" i="3"/>
  <c r="BQ152" i="3"/>
  <c r="BQ153" i="3"/>
  <c r="BQ154" i="3"/>
  <c r="BQ155" i="3"/>
  <c r="BQ156" i="3"/>
  <c r="BQ157" i="3"/>
  <c r="BQ158" i="3"/>
  <c r="BQ159" i="3"/>
  <c r="BQ160" i="3"/>
  <c r="BQ161" i="3"/>
  <c r="BQ162" i="3"/>
  <c r="BQ163" i="3"/>
  <c r="BQ164" i="3"/>
  <c r="BQ165" i="3"/>
  <c r="BQ166" i="3"/>
  <c r="BQ167" i="3"/>
  <c r="BQ168" i="3"/>
  <c r="BQ169" i="3"/>
  <c r="BQ170" i="3"/>
  <c r="BQ171" i="3"/>
  <c r="BQ172" i="3"/>
  <c r="BQ173" i="3"/>
  <c r="BQ174" i="3"/>
  <c r="BQ175" i="3"/>
  <c r="BQ176" i="3"/>
  <c r="BQ177" i="3"/>
  <c r="BQ178" i="3"/>
  <c r="BQ179" i="3"/>
  <c r="BQ180" i="3"/>
  <c r="BQ181" i="3"/>
  <c r="BQ182" i="3"/>
  <c r="BQ183" i="3"/>
  <c r="BQ184" i="3"/>
  <c r="BQ185" i="3"/>
  <c r="BQ186" i="3"/>
  <c r="BQ187" i="3"/>
  <c r="BQ188" i="3"/>
  <c r="BQ189" i="3"/>
  <c r="BQ190" i="3"/>
  <c r="BQ191" i="3"/>
  <c r="BQ192" i="3"/>
  <c r="BQ193" i="3"/>
  <c r="BQ194" i="3"/>
  <c r="BQ195" i="3"/>
  <c r="BQ196" i="3"/>
  <c r="BQ197" i="3"/>
  <c r="BQ198" i="3"/>
  <c r="BQ199" i="3"/>
  <c r="BQ200" i="3"/>
  <c r="BQ201" i="3"/>
  <c r="BQ202" i="3"/>
  <c r="BQ203" i="3"/>
  <c r="BQ204" i="3"/>
  <c r="BQ205" i="3"/>
  <c r="BQ206" i="3"/>
  <c r="BQ207" i="3"/>
  <c r="BQ208" i="3"/>
  <c r="BQ209" i="3"/>
  <c r="BQ210" i="3"/>
  <c r="BQ211" i="3"/>
  <c r="BQ212" i="3"/>
  <c r="BQ213" i="3"/>
  <c r="BQ214" i="3"/>
  <c r="BQ215" i="3"/>
  <c r="BQ216" i="3"/>
  <c r="BQ217" i="3"/>
  <c r="BQ218" i="3"/>
  <c r="BQ219" i="3"/>
  <c r="BQ220" i="3"/>
  <c r="BQ221" i="3"/>
  <c r="BQ222" i="3"/>
  <c r="BQ223" i="3"/>
  <c r="BQ224" i="3"/>
  <c r="BQ225" i="3"/>
  <c r="BQ226" i="3"/>
  <c r="BQ227" i="3"/>
  <c r="BQ228" i="3"/>
  <c r="BQ229" i="3"/>
  <c r="BQ230" i="3"/>
  <c r="BQ231" i="3"/>
  <c r="BQ232" i="3"/>
  <c r="BQ233" i="3"/>
  <c r="BQ234" i="3"/>
  <c r="BQ235" i="3"/>
  <c r="BQ236" i="3"/>
  <c r="BQ237" i="3"/>
  <c r="BQ238" i="3"/>
  <c r="BQ239" i="3"/>
  <c r="BQ240" i="3"/>
  <c r="BQ241" i="3"/>
  <c r="BQ242" i="3"/>
  <c r="BQ243" i="3"/>
  <c r="BQ244" i="3"/>
  <c r="BQ245" i="3"/>
  <c r="BQ246" i="3"/>
  <c r="BQ247" i="3"/>
  <c r="BQ248" i="3"/>
  <c r="BQ249" i="3"/>
  <c r="BQ250" i="3"/>
  <c r="BQ251" i="3"/>
  <c r="BQ252" i="3"/>
  <c r="BQ253" i="3"/>
  <c r="BQ254" i="3"/>
  <c r="BQ255" i="3"/>
  <c r="BQ256" i="3"/>
  <c r="BQ257" i="3"/>
  <c r="BQ258" i="3"/>
  <c r="BQ259" i="3"/>
  <c r="BQ260" i="3"/>
  <c r="BQ261" i="3"/>
  <c r="BQ262" i="3"/>
  <c r="BQ263" i="3"/>
  <c r="BQ264" i="3"/>
  <c r="BQ265" i="3"/>
  <c r="BQ266" i="3"/>
  <c r="BQ267" i="3"/>
  <c r="BQ268" i="3"/>
  <c r="BQ269" i="3"/>
  <c r="BQ270" i="3"/>
  <c r="BQ271" i="3"/>
  <c r="BQ272" i="3"/>
  <c r="BQ273" i="3"/>
  <c r="BQ274" i="3"/>
  <c r="BQ275" i="3"/>
  <c r="BQ276" i="3"/>
  <c r="BQ277" i="3"/>
  <c r="BQ278" i="3"/>
  <c r="BQ279" i="3"/>
  <c r="BQ280" i="3"/>
  <c r="BQ281" i="3"/>
  <c r="BQ282" i="3"/>
  <c r="BQ283" i="3"/>
  <c r="BQ284" i="3"/>
  <c r="BQ285" i="3"/>
  <c r="BQ286" i="3"/>
  <c r="BQ287" i="3"/>
  <c r="BQ288" i="3"/>
  <c r="BQ289" i="3"/>
  <c r="BQ290" i="3"/>
  <c r="BQ291" i="3"/>
  <c r="BQ292" i="3"/>
  <c r="BQ293" i="3"/>
  <c r="BQ294" i="3"/>
  <c r="BQ295" i="3"/>
  <c r="BQ296" i="3"/>
  <c r="BQ297" i="3"/>
  <c r="BQ298" i="3"/>
  <c r="BQ299" i="3"/>
  <c r="BQ300" i="3"/>
  <c r="BQ301" i="3"/>
  <c r="BQ302" i="3"/>
  <c r="BQ303" i="3"/>
  <c r="BQ304" i="3"/>
  <c r="BQ305" i="3"/>
  <c r="BQ306" i="3"/>
  <c r="BQ307" i="3"/>
  <c r="BQ308" i="3"/>
  <c r="BQ309" i="3"/>
  <c r="BQ310" i="3"/>
  <c r="BQ311" i="3"/>
  <c r="BQ312" i="3"/>
  <c r="BQ313" i="3"/>
  <c r="BQ314" i="3"/>
  <c r="BQ315" i="3"/>
  <c r="BQ316" i="3"/>
  <c r="BQ317" i="3"/>
  <c r="BQ318" i="3"/>
  <c r="BQ319" i="3"/>
  <c r="BQ320" i="3"/>
  <c r="BQ321" i="3"/>
  <c r="BQ322" i="3"/>
  <c r="BQ323" i="3"/>
  <c r="BQ324" i="3"/>
  <c r="BQ325" i="3"/>
  <c r="BQ326" i="3"/>
  <c r="BQ327" i="3"/>
  <c r="BQ328" i="3"/>
  <c r="BQ329" i="3"/>
  <c r="BQ330" i="3"/>
  <c r="BQ331" i="3"/>
  <c r="BQ332" i="3"/>
  <c r="BQ333" i="3"/>
  <c r="BQ334" i="3"/>
  <c r="BQ335" i="3"/>
  <c r="BQ336" i="3"/>
  <c r="BQ337" i="3"/>
  <c r="BQ338" i="3"/>
  <c r="BQ339" i="3"/>
  <c r="BQ340" i="3"/>
  <c r="BQ341" i="3"/>
  <c r="BQ342" i="3"/>
  <c r="BQ343" i="3"/>
  <c r="BQ344" i="3"/>
  <c r="BQ345" i="3"/>
  <c r="BQ346" i="3"/>
  <c r="BQ347" i="3"/>
  <c r="BQ348" i="3"/>
  <c r="BQ349" i="3"/>
  <c r="BQ350" i="3"/>
  <c r="BQ351" i="3"/>
  <c r="BQ352" i="3"/>
  <c r="BQ353" i="3"/>
  <c r="BQ354" i="3"/>
  <c r="BQ355" i="3"/>
  <c r="BQ356" i="3"/>
  <c r="BQ357" i="3"/>
  <c r="BQ358" i="3"/>
  <c r="BQ359" i="3"/>
  <c r="BQ360" i="3"/>
  <c r="BQ361" i="3"/>
  <c r="BQ362" i="3"/>
  <c r="BQ363" i="3"/>
  <c r="BQ364" i="3"/>
  <c r="BQ365" i="3"/>
  <c r="BQ366" i="3"/>
  <c r="BQ367" i="3"/>
  <c r="BQ368" i="3"/>
  <c r="BQ369" i="3"/>
  <c r="BQ370" i="3"/>
  <c r="BQ371" i="3"/>
  <c r="BQ372" i="3"/>
  <c r="BQ373" i="3"/>
  <c r="BQ374" i="3"/>
  <c r="BQ375" i="3"/>
  <c r="BQ376" i="3"/>
  <c r="BQ377" i="3"/>
  <c r="BQ378" i="3"/>
  <c r="BQ379" i="3"/>
  <c r="BQ380" i="3"/>
  <c r="BQ381" i="3"/>
  <c r="BQ382" i="3"/>
  <c r="BQ383" i="3"/>
  <c r="BQ384" i="3"/>
  <c r="BQ385" i="3"/>
  <c r="BQ386" i="3"/>
  <c r="BQ387" i="3"/>
  <c r="BQ388" i="3"/>
  <c r="BQ389" i="3"/>
  <c r="BQ390" i="3"/>
  <c r="BQ391" i="3"/>
  <c r="BQ392" i="3"/>
  <c r="BQ393" i="3"/>
  <c r="BQ394" i="3"/>
  <c r="BQ395" i="3"/>
  <c r="BQ396" i="3"/>
  <c r="BQ397" i="3"/>
  <c r="BQ398" i="3"/>
  <c r="BQ399" i="3"/>
  <c r="BQ400" i="3"/>
  <c r="BQ401" i="3"/>
  <c r="BQ402" i="3"/>
  <c r="BQ403" i="3"/>
  <c r="BQ404" i="3"/>
  <c r="BQ405" i="3"/>
  <c r="BQ406" i="3"/>
  <c r="BQ407" i="3"/>
  <c r="BQ408" i="3"/>
  <c r="BQ409" i="3"/>
  <c r="BQ410" i="3"/>
  <c r="BQ411" i="3"/>
  <c r="BQ412" i="3"/>
  <c r="BQ413" i="3"/>
  <c r="BQ414" i="3"/>
  <c r="BQ415" i="3"/>
  <c r="BQ416" i="3"/>
  <c r="BQ417" i="3"/>
  <c r="BQ418" i="3"/>
  <c r="BQ419" i="3"/>
  <c r="BQ420" i="3"/>
  <c r="BQ421" i="3"/>
  <c r="BQ422" i="3"/>
  <c r="BQ423" i="3"/>
  <c r="BQ424" i="3"/>
  <c r="BQ425" i="3"/>
  <c r="BQ426" i="3"/>
  <c r="BQ427" i="3"/>
  <c r="BQ428" i="3"/>
  <c r="BQ429" i="3"/>
  <c r="BQ430" i="3"/>
  <c r="BQ431" i="3"/>
  <c r="BQ432" i="3"/>
  <c r="BQ433" i="3"/>
  <c r="BQ434" i="3"/>
  <c r="BQ435" i="3"/>
  <c r="BQ436" i="3"/>
  <c r="BQ437" i="3"/>
  <c r="BQ438" i="3"/>
  <c r="BQ439" i="3"/>
  <c r="BQ440" i="3"/>
  <c r="BQ441" i="3"/>
  <c r="BQ442" i="3"/>
  <c r="BQ443" i="3"/>
  <c r="BQ444" i="3"/>
  <c r="BQ445" i="3"/>
  <c r="BQ446" i="3"/>
  <c r="BQ447" i="3"/>
  <c r="BQ448" i="3"/>
  <c r="BQ449" i="3"/>
  <c r="BQ450" i="3"/>
  <c r="BQ451" i="3"/>
  <c r="BQ452" i="3"/>
  <c r="BQ453" i="3"/>
  <c r="BQ454" i="3"/>
  <c r="BQ455" i="3"/>
  <c r="BQ456" i="3"/>
  <c r="BQ457" i="3"/>
  <c r="BQ458" i="3"/>
  <c r="BQ459" i="3"/>
  <c r="BQ460" i="3"/>
  <c r="BQ461" i="3"/>
  <c r="BQ462" i="3"/>
  <c r="BQ463" i="3"/>
  <c r="BQ464" i="3"/>
  <c r="BQ465" i="3"/>
  <c r="BQ466" i="3"/>
  <c r="BQ467" i="3"/>
  <c r="BQ468" i="3"/>
  <c r="BQ469" i="3"/>
  <c r="BQ470" i="3"/>
  <c r="BQ471" i="3"/>
  <c r="BQ472" i="3"/>
  <c r="BQ473" i="3"/>
  <c r="BQ474" i="3"/>
  <c r="BQ475" i="3"/>
  <c r="BQ476" i="3"/>
  <c r="BQ477" i="3"/>
  <c r="BQ478" i="3"/>
  <c r="BQ479" i="3"/>
  <c r="BQ480" i="3"/>
  <c r="BQ481" i="3"/>
  <c r="BQ482" i="3"/>
  <c r="BQ483" i="3"/>
  <c r="BQ484" i="3"/>
  <c r="BQ485" i="3"/>
  <c r="BQ486" i="3"/>
  <c r="BQ487" i="3"/>
  <c r="BQ488" i="3"/>
  <c r="BQ489" i="3"/>
  <c r="BQ490" i="3"/>
  <c r="BQ491" i="3"/>
  <c r="BQ492" i="3"/>
  <c r="BQ493" i="3"/>
  <c r="BQ494" i="3"/>
  <c r="BQ495" i="3"/>
  <c r="BQ496" i="3"/>
  <c r="BQ497" i="3"/>
  <c r="BQ498" i="3"/>
  <c r="BQ499" i="3"/>
  <c r="BQ500" i="3"/>
  <c r="BQ501" i="3"/>
  <c r="BQ502" i="3"/>
  <c r="BQ503" i="3"/>
  <c r="BQ504" i="3"/>
  <c r="BQ505" i="3"/>
  <c r="BQ506" i="3"/>
  <c r="BQ507" i="3"/>
  <c r="BQ508" i="3"/>
  <c r="BQ509" i="3"/>
  <c r="BQ510" i="3"/>
  <c r="BQ511" i="3"/>
  <c r="BQ512" i="3"/>
  <c r="BQ513" i="3"/>
  <c r="BQ514" i="3"/>
  <c r="BQ515" i="3"/>
  <c r="BQ516" i="3"/>
  <c r="BQ517" i="3"/>
  <c r="BQ518" i="3"/>
  <c r="BQ519" i="3"/>
  <c r="BQ520" i="3"/>
  <c r="BQ521" i="3"/>
  <c r="BQ522" i="3"/>
  <c r="BQ523" i="3"/>
  <c r="BQ524" i="3"/>
  <c r="BQ525" i="3"/>
  <c r="BQ526" i="3"/>
  <c r="BQ527" i="3"/>
  <c r="BQ528" i="3"/>
  <c r="BQ529" i="3"/>
  <c r="BQ530" i="3"/>
  <c r="BQ531" i="3"/>
  <c r="BQ532" i="3"/>
  <c r="BQ533" i="3"/>
  <c r="BQ534" i="3"/>
  <c r="BQ535" i="3"/>
  <c r="BQ536" i="3"/>
  <c r="BQ537" i="3"/>
  <c r="BQ538" i="3"/>
  <c r="BQ539" i="3"/>
  <c r="BQ540" i="3"/>
  <c r="BQ541" i="3"/>
  <c r="BQ542" i="3"/>
  <c r="BQ543" i="3"/>
  <c r="BQ544" i="3"/>
  <c r="BQ545" i="3"/>
  <c r="BQ546" i="3"/>
  <c r="BQ547" i="3"/>
  <c r="BQ548" i="3"/>
  <c r="BQ549" i="3"/>
  <c r="BQ550" i="3"/>
  <c r="BQ551" i="3"/>
  <c r="BQ552" i="3"/>
  <c r="BQ553" i="3"/>
  <c r="BQ554" i="3"/>
  <c r="BQ555" i="3"/>
  <c r="BQ556" i="3"/>
  <c r="BQ557" i="3"/>
  <c r="BQ558" i="3"/>
  <c r="BQ559" i="3"/>
  <c r="BQ560" i="3"/>
  <c r="BQ561" i="3"/>
  <c r="BQ562" i="3"/>
  <c r="BQ563" i="3"/>
  <c r="BQ564" i="3"/>
  <c r="BQ565" i="3"/>
  <c r="BQ566" i="3"/>
  <c r="BQ567" i="3"/>
  <c r="BQ568" i="3"/>
  <c r="BQ569" i="3"/>
  <c r="BQ570" i="3"/>
  <c r="BQ571" i="3"/>
  <c r="BQ572" i="3"/>
  <c r="BQ573" i="3"/>
  <c r="BQ574" i="3"/>
  <c r="BQ575" i="3"/>
  <c r="BQ576" i="3"/>
  <c r="BQ577" i="3"/>
  <c r="BQ578" i="3"/>
  <c r="BQ579" i="3"/>
  <c r="BQ580" i="3"/>
  <c r="BQ581" i="3"/>
  <c r="BQ582" i="3"/>
  <c r="BQ583" i="3"/>
  <c r="BQ584" i="3"/>
  <c r="BQ585" i="3"/>
  <c r="BQ586" i="3"/>
  <c r="BQ587" i="3"/>
  <c r="BQ5" i="3"/>
  <c r="BS13" i="3"/>
  <c r="BS14" i="3"/>
  <c r="BS15" i="3"/>
  <c r="BS16" i="3"/>
  <c r="BS17" i="3"/>
  <c r="BS18" i="3"/>
  <c r="BS19" i="3"/>
  <c r="BS20" i="3"/>
  <c r="BS21" i="3"/>
  <c r="BS22" i="3"/>
  <c r="BS23" i="3"/>
  <c r="BS24" i="3"/>
  <c r="BS25" i="3"/>
  <c r="BS26" i="3"/>
  <c r="BS27" i="3"/>
  <c r="BS28" i="3"/>
  <c r="BS29" i="3"/>
  <c r="BS30" i="3"/>
  <c r="BS31" i="3"/>
  <c r="BS32" i="3"/>
  <c r="BS33" i="3"/>
  <c r="BS34" i="3"/>
  <c r="BS35" i="3"/>
  <c r="BS36" i="3"/>
  <c r="BS37" i="3"/>
  <c r="BS38" i="3"/>
  <c r="BS39" i="3"/>
  <c r="BS40" i="3"/>
  <c r="BS41" i="3"/>
  <c r="BS42" i="3"/>
  <c r="BS43" i="3"/>
  <c r="BS44" i="3"/>
  <c r="BS45" i="3"/>
  <c r="BS46" i="3"/>
  <c r="BS47" i="3"/>
  <c r="BS48" i="3"/>
  <c r="BS49" i="3"/>
  <c r="BS50" i="3"/>
  <c r="BS51" i="3"/>
  <c r="BS52" i="3"/>
  <c r="BS53" i="3"/>
  <c r="BS54" i="3"/>
  <c r="BS55" i="3"/>
  <c r="BS56" i="3"/>
  <c r="BS57" i="3"/>
  <c r="BS58" i="3"/>
  <c r="BS59" i="3"/>
  <c r="BS60" i="3"/>
  <c r="BS61" i="3"/>
  <c r="BS62" i="3"/>
  <c r="BS63" i="3"/>
  <c r="BS64" i="3"/>
  <c r="BS65" i="3"/>
  <c r="BS66" i="3"/>
  <c r="BS67" i="3"/>
  <c r="BS68" i="3"/>
  <c r="BS69" i="3"/>
  <c r="BS70" i="3"/>
  <c r="BS71" i="3"/>
  <c r="BS72" i="3"/>
  <c r="BS73" i="3"/>
  <c r="BS74" i="3"/>
  <c r="BS75" i="3"/>
  <c r="BS76" i="3"/>
  <c r="BS77" i="3"/>
  <c r="BS78" i="3"/>
  <c r="BS79" i="3"/>
  <c r="BS80" i="3"/>
  <c r="BS81" i="3"/>
  <c r="BS82" i="3"/>
  <c r="BS83" i="3"/>
  <c r="BS84" i="3"/>
  <c r="BS85" i="3"/>
  <c r="BS86" i="3"/>
  <c r="BS87" i="3"/>
  <c r="BS88" i="3"/>
  <c r="BS89" i="3"/>
  <c r="BS90" i="3"/>
  <c r="BS91" i="3"/>
  <c r="BS92" i="3"/>
  <c r="BS93" i="3"/>
  <c r="BS94" i="3"/>
  <c r="BS95" i="3"/>
  <c r="BS96" i="3"/>
  <c r="BS97" i="3"/>
  <c r="BS98" i="3"/>
  <c r="BS99" i="3"/>
  <c r="BS100" i="3"/>
  <c r="BS101" i="3"/>
  <c r="BS102" i="3"/>
  <c r="BS103" i="3"/>
  <c r="BS104" i="3"/>
  <c r="BS105" i="3"/>
  <c r="BS106" i="3"/>
  <c r="BS107" i="3"/>
  <c r="BS108" i="3"/>
  <c r="BS109" i="3"/>
  <c r="BS110" i="3"/>
  <c r="BS111" i="3"/>
  <c r="BS112" i="3"/>
  <c r="BS113" i="3"/>
  <c r="BS114" i="3"/>
  <c r="BS115" i="3"/>
  <c r="BS116" i="3"/>
  <c r="BS117" i="3"/>
  <c r="BS118" i="3"/>
  <c r="BS119" i="3"/>
  <c r="BS120" i="3"/>
  <c r="BS121" i="3"/>
  <c r="BS122" i="3"/>
  <c r="BS123" i="3"/>
  <c r="BS124" i="3"/>
  <c r="BS125" i="3"/>
  <c r="BS126" i="3"/>
  <c r="BS127" i="3"/>
  <c r="BS128" i="3"/>
  <c r="BS129" i="3"/>
  <c r="BS130" i="3"/>
  <c r="BS131" i="3"/>
  <c r="BS132" i="3"/>
  <c r="BS133" i="3"/>
  <c r="BS134" i="3"/>
  <c r="BS135" i="3"/>
  <c r="BS136" i="3"/>
  <c r="BS137" i="3"/>
  <c r="BS138" i="3"/>
  <c r="BS139" i="3"/>
  <c r="BS140" i="3"/>
  <c r="BS141" i="3"/>
  <c r="BS142" i="3"/>
  <c r="BS143" i="3"/>
  <c r="BS144" i="3"/>
  <c r="BS145" i="3"/>
  <c r="BS146" i="3"/>
  <c r="BS147" i="3"/>
  <c r="BS148" i="3"/>
  <c r="BS149" i="3"/>
  <c r="BS150" i="3"/>
  <c r="BS151" i="3"/>
  <c r="BS152" i="3"/>
  <c r="BS153" i="3"/>
  <c r="BS154" i="3"/>
  <c r="BS155" i="3"/>
  <c r="BS156" i="3"/>
  <c r="BS157" i="3"/>
  <c r="BS158" i="3"/>
  <c r="BS159" i="3"/>
  <c r="BS160" i="3"/>
  <c r="BS161" i="3"/>
  <c r="BS162" i="3"/>
  <c r="BS163" i="3"/>
  <c r="BS164" i="3"/>
  <c r="BS165" i="3"/>
  <c r="BS166" i="3"/>
  <c r="BS167" i="3"/>
  <c r="BS168" i="3"/>
  <c r="BS169" i="3"/>
  <c r="BS170" i="3"/>
  <c r="BS171" i="3"/>
  <c r="BS172" i="3"/>
  <c r="BS173" i="3"/>
  <c r="BS174" i="3"/>
  <c r="BS175" i="3"/>
  <c r="BS176" i="3"/>
  <c r="BS177" i="3"/>
  <c r="BS178" i="3"/>
  <c r="BS179" i="3"/>
  <c r="BS180" i="3"/>
  <c r="BS181" i="3"/>
  <c r="BS182" i="3"/>
  <c r="BS183" i="3"/>
  <c r="BS184" i="3"/>
  <c r="BS185" i="3"/>
  <c r="BS186" i="3"/>
  <c r="BS187" i="3"/>
  <c r="BS188" i="3"/>
  <c r="BS189" i="3"/>
  <c r="BS190" i="3"/>
  <c r="BS191" i="3"/>
  <c r="BS192" i="3"/>
  <c r="BS193" i="3"/>
  <c r="BS194" i="3"/>
  <c r="BS195" i="3"/>
  <c r="BS196" i="3"/>
  <c r="BS197" i="3"/>
  <c r="BS198" i="3"/>
  <c r="BS199" i="3"/>
  <c r="BS200" i="3"/>
  <c r="BS201" i="3"/>
  <c r="BS202" i="3"/>
  <c r="BS203" i="3"/>
  <c r="BS204" i="3"/>
  <c r="BS205" i="3"/>
  <c r="BS206" i="3"/>
  <c r="BS207" i="3"/>
  <c r="BS208" i="3"/>
  <c r="BS209" i="3"/>
  <c r="BS210" i="3"/>
  <c r="BS211" i="3"/>
  <c r="BS212" i="3"/>
  <c r="BS213" i="3"/>
  <c r="BS214" i="3"/>
  <c r="BS215" i="3"/>
  <c r="BS216" i="3"/>
  <c r="BS217" i="3"/>
  <c r="BS218" i="3"/>
  <c r="BS219" i="3"/>
  <c r="BS220" i="3"/>
  <c r="BS221" i="3"/>
  <c r="BS222" i="3"/>
  <c r="BS223" i="3"/>
  <c r="BS224" i="3"/>
  <c r="BS225" i="3"/>
  <c r="BS226" i="3"/>
  <c r="BS227" i="3"/>
  <c r="BS228" i="3"/>
  <c r="BS229" i="3"/>
  <c r="BS230" i="3"/>
  <c r="BS231" i="3"/>
  <c r="BS232" i="3"/>
  <c r="BS233" i="3"/>
  <c r="BS234" i="3"/>
  <c r="BS235" i="3"/>
  <c r="BS236" i="3"/>
  <c r="BS237" i="3"/>
  <c r="BS238" i="3"/>
  <c r="BS239" i="3"/>
  <c r="BS240" i="3"/>
  <c r="BS241" i="3"/>
  <c r="BS242" i="3"/>
  <c r="BS243" i="3"/>
  <c r="BS244" i="3"/>
  <c r="BS245" i="3"/>
  <c r="BS246" i="3"/>
  <c r="BS247" i="3"/>
  <c r="BS248" i="3"/>
  <c r="BS249" i="3"/>
  <c r="BS250" i="3"/>
  <c r="BS251" i="3"/>
  <c r="BS252" i="3"/>
  <c r="BS253" i="3"/>
  <c r="BS254" i="3"/>
  <c r="BS255" i="3"/>
  <c r="BS256" i="3"/>
  <c r="BS257" i="3"/>
  <c r="BS258" i="3"/>
  <c r="BS259" i="3"/>
  <c r="BS260" i="3"/>
  <c r="BS261" i="3"/>
  <c r="BS262" i="3"/>
  <c r="BS263" i="3"/>
  <c r="BS264" i="3"/>
  <c r="BS265" i="3"/>
  <c r="BS266" i="3"/>
  <c r="BS267" i="3"/>
  <c r="BS268" i="3"/>
  <c r="BS269" i="3"/>
  <c r="BS270" i="3"/>
  <c r="BS271" i="3"/>
  <c r="BS272" i="3"/>
  <c r="BS273" i="3"/>
  <c r="BS274" i="3"/>
  <c r="BS275" i="3"/>
  <c r="BS276" i="3"/>
  <c r="BS277" i="3"/>
  <c r="BS278" i="3"/>
  <c r="BS279" i="3"/>
  <c r="BS280" i="3"/>
  <c r="BS281" i="3"/>
  <c r="BS282" i="3"/>
  <c r="BS283" i="3"/>
  <c r="BS284" i="3"/>
  <c r="BS285" i="3"/>
  <c r="BS286" i="3"/>
  <c r="BS287" i="3"/>
  <c r="BS288" i="3"/>
  <c r="BS289" i="3"/>
  <c r="BS290" i="3"/>
  <c r="BS291" i="3"/>
  <c r="BS292" i="3"/>
  <c r="BS293" i="3"/>
  <c r="BS294" i="3"/>
  <c r="BS295" i="3"/>
  <c r="BS296" i="3"/>
  <c r="BS297" i="3"/>
  <c r="BS298" i="3"/>
  <c r="BS299" i="3"/>
  <c r="BS300" i="3"/>
  <c r="BS301" i="3"/>
  <c r="BS302" i="3"/>
  <c r="BS303" i="3"/>
  <c r="BS304" i="3"/>
  <c r="BS305" i="3"/>
  <c r="BS306" i="3"/>
  <c r="BS307" i="3"/>
  <c r="BS308" i="3"/>
  <c r="BS309" i="3"/>
  <c r="BS310" i="3"/>
  <c r="BS311" i="3"/>
  <c r="BS312" i="3"/>
  <c r="BS313" i="3"/>
  <c r="BS314" i="3"/>
  <c r="BS315" i="3"/>
  <c r="BS316" i="3"/>
  <c r="BS317" i="3"/>
  <c r="BS318" i="3"/>
  <c r="BS319" i="3"/>
  <c r="BS320" i="3"/>
  <c r="BS321" i="3"/>
  <c r="BS322" i="3"/>
  <c r="BS323" i="3"/>
  <c r="BS324" i="3"/>
  <c r="BS325" i="3"/>
  <c r="BS326" i="3"/>
  <c r="BS327" i="3"/>
  <c r="BS328" i="3"/>
  <c r="BS329" i="3"/>
  <c r="BS330" i="3"/>
  <c r="BS331" i="3"/>
  <c r="BS332" i="3"/>
  <c r="BS333" i="3"/>
  <c r="BS334" i="3"/>
  <c r="BS335" i="3"/>
  <c r="BS336" i="3"/>
  <c r="BS337" i="3"/>
  <c r="BS338" i="3"/>
  <c r="BS339" i="3"/>
  <c r="BS340" i="3"/>
  <c r="BS341" i="3"/>
  <c r="BS342" i="3"/>
  <c r="BS343" i="3"/>
  <c r="BS344" i="3"/>
  <c r="BS345" i="3"/>
  <c r="BS346" i="3"/>
  <c r="BS347" i="3"/>
  <c r="BS348" i="3"/>
  <c r="BS349" i="3"/>
  <c r="BS350" i="3"/>
  <c r="BS351" i="3"/>
  <c r="BS352" i="3"/>
  <c r="BS353" i="3"/>
  <c r="BS354" i="3"/>
  <c r="BS355" i="3"/>
  <c r="BS356" i="3"/>
  <c r="BS357" i="3"/>
  <c r="BS358" i="3"/>
  <c r="BS359" i="3"/>
  <c r="BS360" i="3"/>
  <c r="BS361" i="3"/>
  <c r="BS362" i="3"/>
  <c r="BS363" i="3"/>
  <c r="BS364" i="3"/>
  <c r="BS365" i="3"/>
  <c r="BS366" i="3"/>
  <c r="BS367" i="3"/>
  <c r="BS368" i="3"/>
  <c r="BS369" i="3"/>
  <c r="BS370" i="3"/>
  <c r="BS371" i="3"/>
  <c r="BS372" i="3"/>
  <c r="BS373" i="3"/>
  <c r="BS374" i="3"/>
  <c r="BS375" i="3"/>
  <c r="BS376" i="3"/>
  <c r="BS377" i="3"/>
  <c r="BS378" i="3"/>
  <c r="BS379" i="3"/>
  <c r="BS380" i="3"/>
  <c r="BS381" i="3"/>
  <c r="BS382" i="3"/>
  <c r="BS383" i="3"/>
  <c r="BS384" i="3"/>
  <c r="BS385" i="3"/>
  <c r="BS386" i="3"/>
  <c r="BS387" i="3"/>
  <c r="BS388" i="3"/>
  <c r="BS389" i="3"/>
  <c r="BS390" i="3"/>
  <c r="BS391" i="3"/>
  <c r="BS392" i="3"/>
  <c r="BS393" i="3"/>
  <c r="BS394" i="3"/>
  <c r="BS395" i="3"/>
  <c r="BS396" i="3"/>
  <c r="BS397" i="3"/>
  <c r="BS398" i="3"/>
  <c r="BS399" i="3"/>
  <c r="BS400" i="3"/>
  <c r="BS401" i="3"/>
  <c r="BS402" i="3"/>
  <c r="BS403" i="3"/>
  <c r="BS404" i="3"/>
  <c r="BS405" i="3"/>
  <c r="BS406" i="3"/>
  <c r="BS407" i="3"/>
  <c r="BS408" i="3"/>
  <c r="BS409" i="3"/>
  <c r="BS410" i="3"/>
  <c r="BS411" i="3"/>
  <c r="BS412" i="3"/>
  <c r="BS413" i="3"/>
  <c r="BS414" i="3"/>
  <c r="BS415" i="3"/>
  <c r="BS416" i="3"/>
  <c r="BS417" i="3"/>
  <c r="BS418" i="3"/>
  <c r="BS419" i="3"/>
  <c r="BS420" i="3"/>
  <c r="BS421" i="3"/>
  <c r="BS422" i="3"/>
  <c r="BS423" i="3"/>
  <c r="BS424" i="3"/>
  <c r="BS425" i="3"/>
  <c r="BS426" i="3"/>
  <c r="BS427" i="3"/>
  <c r="BS428" i="3"/>
  <c r="BS429" i="3"/>
  <c r="BS430" i="3"/>
  <c r="BS431" i="3"/>
  <c r="BS432" i="3"/>
  <c r="BS433" i="3"/>
  <c r="BS434" i="3"/>
  <c r="BS435" i="3"/>
  <c r="BS436" i="3"/>
  <c r="BS437" i="3"/>
  <c r="BS438" i="3"/>
  <c r="BS439" i="3"/>
  <c r="BS440" i="3"/>
  <c r="BS441" i="3"/>
  <c r="BS442" i="3"/>
  <c r="BS443" i="3"/>
  <c r="BS444" i="3"/>
  <c r="BS445" i="3"/>
  <c r="BS446" i="3"/>
  <c r="BS447" i="3"/>
  <c r="BS448" i="3"/>
  <c r="BS449" i="3"/>
  <c r="BS450" i="3"/>
  <c r="BS451" i="3"/>
  <c r="BS452" i="3"/>
  <c r="BS453" i="3"/>
  <c r="BS454" i="3"/>
  <c r="BS455" i="3"/>
  <c r="BS456" i="3"/>
  <c r="BS457" i="3"/>
  <c r="BS458" i="3"/>
  <c r="BS459" i="3"/>
  <c r="BS460" i="3"/>
  <c r="BS461" i="3"/>
  <c r="BS462" i="3"/>
  <c r="BS463" i="3"/>
  <c r="BS464" i="3"/>
  <c r="BS465" i="3"/>
  <c r="BS466" i="3"/>
  <c r="BS467" i="3"/>
  <c r="BS468" i="3"/>
  <c r="BS469" i="3"/>
  <c r="BS470" i="3"/>
  <c r="BS471" i="3"/>
  <c r="BS472" i="3"/>
  <c r="BS473" i="3"/>
  <c r="BS474" i="3"/>
  <c r="BS475" i="3"/>
  <c r="BS476" i="3"/>
  <c r="BS477" i="3"/>
  <c r="BS478" i="3"/>
  <c r="BS479" i="3"/>
  <c r="BS480" i="3"/>
  <c r="BS481" i="3"/>
  <c r="BS482" i="3"/>
  <c r="BS483" i="3"/>
  <c r="BS484" i="3"/>
  <c r="BS485" i="3"/>
  <c r="BS486" i="3"/>
  <c r="BS487" i="3"/>
  <c r="BS488" i="3"/>
  <c r="BS489" i="3"/>
  <c r="BS490" i="3"/>
  <c r="BS491" i="3"/>
  <c r="BS492" i="3"/>
  <c r="BS493" i="3"/>
  <c r="BS494" i="3"/>
  <c r="BS495" i="3"/>
  <c r="BS496" i="3"/>
  <c r="BS497" i="3"/>
  <c r="BS498" i="3"/>
  <c r="BS499" i="3"/>
  <c r="BS500" i="3"/>
  <c r="BS501" i="3"/>
  <c r="BS502" i="3"/>
  <c r="BS503" i="3"/>
  <c r="BS504" i="3"/>
  <c r="BS505" i="3"/>
  <c r="BS506" i="3"/>
  <c r="BS507" i="3"/>
  <c r="BS508" i="3"/>
  <c r="BS509" i="3"/>
  <c r="BS510" i="3"/>
  <c r="BS511" i="3"/>
  <c r="BS512" i="3"/>
  <c r="BS513" i="3"/>
  <c r="BS514" i="3"/>
  <c r="BS515" i="3"/>
  <c r="BS516" i="3"/>
  <c r="BS517" i="3"/>
  <c r="BS518" i="3"/>
  <c r="BS519" i="3"/>
  <c r="BS520" i="3"/>
  <c r="BS521" i="3"/>
  <c r="BS522" i="3"/>
  <c r="BS523" i="3"/>
  <c r="BS524" i="3"/>
  <c r="BS525" i="3"/>
  <c r="BS526" i="3"/>
  <c r="BS527" i="3"/>
  <c r="BS528" i="3"/>
  <c r="BS529" i="3"/>
  <c r="BS530" i="3"/>
  <c r="BS531" i="3"/>
  <c r="BS532" i="3"/>
  <c r="BS533" i="3"/>
  <c r="BS534" i="3"/>
  <c r="BS535" i="3"/>
  <c r="BS536" i="3"/>
  <c r="BS537" i="3"/>
  <c r="BS538" i="3"/>
  <c r="BS539" i="3"/>
  <c r="BS540" i="3"/>
  <c r="BS541" i="3"/>
  <c r="BS542" i="3"/>
  <c r="BS543" i="3"/>
  <c r="BS544" i="3"/>
  <c r="BS545" i="3"/>
  <c r="BS546" i="3"/>
  <c r="BS547" i="3"/>
  <c r="BS548" i="3"/>
  <c r="BS549" i="3"/>
  <c r="BS550" i="3"/>
  <c r="BS551" i="3"/>
  <c r="BS552" i="3"/>
  <c r="BS553" i="3"/>
  <c r="BS554" i="3"/>
  <c r="BS555" i="3"/>
  <c r="BS556" i="3"/>
  <c r="BS557" i="3"/>
  <c r="BS558" i="3"/>
  <c r="BS559" i="3"/>
  <c r="BS560" i="3"/>
  <c r="BS561" i="3"/>
  <c r="BS562" i="3"/>
  <c r="BS563" i="3"/>
  <c r="BS564" i="3"/>
  <c r="BS565" i="3"/>
  <c r="BS566" i="3"/>
  <c r="BS567" i="3"/>
  <c r="BS568" i="3"/>
  <c r="BS569" i="3"/>
  <c r="BS570" i="3"/>
  <c r="BS571" i="3"/>
  <c r="BS572" i="3"/>
  <c r="BS573" i="3"/>
  <c r="BS574" i="3"/>
  <c r="BS575" i="3"/>
  <c r="BS576" i="3"/>
  <c r="BS577" i="3"/>
  <c r="BS578" i="3"/>
  <c r="BS579" i="3"/>
  <c r="BS580" i="3"/>
  <c r="BS581" i="3"/>
  <c r="BS582" i="3"/>
  <c r="BS583" i="3"/>
  <c r="BS584" i="3"/>
  <c r="BS585" i="3"/>
  <c r="BS586" i="3"/>
  <c r="BS587" i="3"/>
  <c r="BS5" i="3"/>
  <c r="F28" i="6"/>
  <c r="BR13" i="3"/>
  <c r="BR14" i="3"/>
  <c r="BR15" i="3"/>
  <c r="BR16" i="3"/>
  <c r="BR17" i="3"/>
  <c r="BR18" i="3"/>
  <c r="BR19" i="3"/>
  <c r="BR20" i="3"/>
  <c r="BR21" i="3"/>
  <c r="BR22" i="3"/>
  <c r="BR23" i="3"/>
  <c r="BR24" i="3"/>
  <c r="BR25" i="3"/>
  <c r="BR26" i="3"/>
  <c r="BR27" i="3"/>
  <c r="BR28" i="3"/>
  <c r="BR29" i="3"/>
  <c r="BR30" i="3"/>
  <c r="BR31" i="3"/>
  <c r="BR32" i="3"/>
  <c r="BR33" i="3"/>
  <c r="BR34" i="3"/>
  <c r="BR35" i="3"/>
  <c r="BR36" i="3"/>
  <c r="BR37" i="3"/>
  <c r="BR38" i="3"/>
  <c r="BR39" i="3"/>
  <c r="BR40" i="3"/>
  <c r="BR41" i="3"/>
  <c r="BR42" i="3"/>
  <c r="BR43" i="3"/>
  <c r="BR44" i="3"/>
  <c r="BR45" i="3"/>
  <c r="BR46" i="3"/>
  <c r="BR47" i="3"/>
  <c r="BR48" i="3"/>
  <c r="BR49" i="3"/>
  <c r="BR50" i="3"/>
  <c r="BR51" i="3"/>
  <c r="BR52" i="3"/>
  <c r="BR53" i="3"/>
  <c r="BR54" i="3"/>
  <c r="BR55" i="3"/>
  <c r="BR56" i="3"/>
  <c r="BR57" i="3"/>
  <c r="BR58" i="3"/>
  <c r="BR59" i="3"/>
  <c r="BR60" i="3"/>
  <c r="BR61" i="3"/>
  <c r="BR62" i="3"/>
  <c r="BR63" i="3"/>
  <c r="BR64" i="3"/>
  <c r="BR65" i="3"/>
  <c r="BR66" i="3"/>
  <c r="BR67" i="3"/>
  <c r="BR68" i="3"/>
  <c r="BR69" i="3"/>
  <c r="BR70" i="3"/>
  <c r="BR71" i="3"/>
  <c r="BR72" i="3"/>
  <c r="BR73" i="3"/>
  <c r="BR74" i="3"/>
  <c r="BR75" i="3"/>
  <c r="BR76" i="3"/>
  <c r="BR77" i="3"/>
  <c r="BR78" i="3"/>
  <c r="BR79" i="3"/>
  <c r="BR80" i="3"/>
  <c r="BR81" i="3"/>
  <c r="BR82" i="3"/>
  <c r="BR83" i="3"/>
  <c r="BR84" i="3"/>
  <c r="BR85" i="3"/>
  <c r="BR86" i="3"/>
  <c r="BR87" i="3"/>
  <c r="BR88" i="3"/>
  <c r="BR89" i="3"/>
  <c r="BR90" i="3"/>
  <c r="BR91" i="3"/>
  <c r="BR92" i="3"/>
  <c r="BR93" i="3"/>
  <c r="BR94" i="3"/>
  <c r="BR95" i="3"/>
  <c r="BR96" i="3"/>
  <c r="BR97" i="3"/>
  <c r="BR98" i="3"/>
  <c r="BR99" i="3"/>
  <c r="BR100" i="3"/>
  <c r="BR101" i="3"/>
  <c r="BR102" i="3"/>
  <c r="BR103" i="3"/>
  <c r="BR104" i="3"/>
  <c r="BR105" i="3"/>
  <c r="BR106" i="3"/>
  <c r="BR107" i="3"/>
  <c r="BR108" i="3"/>
  <c r="BR109" i="3"/>
  <c r="BR110" i="3"/>
  <c r="BR111" i="3"/>
  <c r="BR112" i="3"/>
  <c r="BR113" i="3"/>
  <c r="BR114" i="3"/>
  <c r="BR115" i="3"/>
  <c r="BR116" i="3"/>
  <c r="BR117" i="3"/>
  <c r="BR118" i="3"/>
  <c r="BR119" i="3"/>
  <c r="BR120" i="3"/>
  <c r="BR121" i="3"/>
  <c r="BR122" i="3"/>
  <c r="BR123" i="3"/>
  <c r="BR124" i="3"/>
  <c r="BR125" i="3"/>
  <c r="BR126" i="3"/>
  <c r="BR127" i="3"/>
  <c r="BR128" i="3"/>
  <c r="BR129" i="3"/>
  <c r="BR130" i="3"/>
  <c r="BR131" i="3"/>
  <c r="BR132" i="3"/>
  <c r="BR133" i="3"/>
  <c r="BR134" i="3"/>
  <c r="BR135" i="3"/>
  <c r="BR136" i="3"/>
  <c r="BR137" i="3"/>
  <c r="BR138" i="3"/>
  <c r="BR139" i="3"/>
  <c r="BR140" i="3"/>
  <c r="BR141" i="3"/>
  <c r="BR142" i="3"/>
  <c r="BR143" i="3"/>
  <c r="BR144" i="3"/>
  <c r="BR145" i="3"/>
  <c r="BR146" i="3"/>
  <c r="BR147" i="3"/>
  <c r="BR148" i="3"/>
  <c r="BR149" i="3"/>
  <c r="BR150" i="3"/>
  <c r="BR151" i="3"/>
  <c r="BR152" i="3"/>
  <c r="BR153" i="3"/>
  <c r="BR154" i="3"/>
  <c r="BR155" i="3"/>
  <c r="BR156" i="3"/>
  <c r="BR157" i="3"/>
  <c r="BR158" i="3"/>
  <c r="BR159" i="3"/>
  <c r="BR160" i="3"/>
  <c r="BR161" i="3"/>
  <c r="BR162" i="3"/>
  <c r="BR163" i="3"/>
  <c r="BR164" i="3"/>
  <c r="BR165" i="3"/>
  <c r="BR166" i="3"/>
  <c r="BR167" i="3"/>
  <c r="BR168" i="3"/>
  <c r="BR169" i="3"/>
  <c r="BR170" i="3"/>
  <c r="BR171" i="3"/>
  <c r="BR172" i="3"/>
  <c r="BR173" i="3"/>
  <c r="BR174" i="3"/>
  <c r="BR175" i="3"/>
  <c r="BR176" i="3"/>
  <c r="BR177" i="3"/>
  <c r="BR178" i="3"/>
  <c r="BR179" i="3"/>
  <c r="BR180" i="3"/>
  <c r="BR181" i="3"/>
  <c r="BR182" i="3"/>
  <c r="BR183" i="3"/>
  <c r="BR184" i="3"/>
  <c r="BR185" i="3"/>
  <c r="BR186" i="3"/>
  <c r="BR187" i="3"/>
  <c r="BR188" i="3"/>
  <c r="BR189" i="3"/>
  <c r="BR190" i="3"/>
  <c r="BR191" i="3"/>
  <c r="BR192" i="3"/>
  <c r="BR193" i="3"/>
  <c r="BR194" i="3"/>
  <c r="BR195" i="3"/>
  <c r="BR196" i="3"/>
  <c r="BR197" i="3"/>
  <c r="BR198" i="3"/>
  <c r="BR199" i="3"/>
  <c r="BR200" i="3"/>
  <c r="BR201" i="3"/>
  <c r="BR202" i="3"/>
  <c r="BR203" i="3"/>
  <c r="BR204" i="3"/>
  <c r="BR205" i="3"/>
  <c r="BR206" i="3"/>
  <c r="BR207" i="3"/>
  <c r="BR208" i="3"/>
  <c r="BR209" i="3"/>
  <c r="BR210" i="3"/>
  <c r="BR211" i="3"/>
  <c r="BR212" i="3"/>
  <c r="BR213" i="3"/>
  <c r="BR214" i="3"/>
  <c r="BR215" i="3"/>
  <c r="BR216" i="3"/>
  <c r="BR217" i="3"/>
  <c r="BR218" i="3"/>
  <c r="BR219" i="3"/>
  <c r="BR220" i="3"/>
  <c r="BR221" i="3"/>
  <c r="BR222" i="3"/>
  <c r="BR223" i="3"/>
  <c r="BR224" i="3"/>
  <c r="BR225" i="3"/>
  <c r="BR226" i="3"/>
  <c r="BR227" i="3"/>
  <c r="BR228" i="3"/>
  <c r="BR229" i="3"/>
  <c r="BR230" i="3"/>
  <c r="BR231" i="3"/>
  <c r="BR232" i="3"/>
  <c r="BR233" i="3"/>
  <c r="BR234" i="3"/>
  <c r="BR235" i="3"/>
  <c r="BR236" i="3"/>
  <c r="BR237" i="3"/>
  <c r="BR238" i="3"/>
  <c r="BR239" i="3"/>
  <c r="BR240" i="3"/>
  <c r="BR241" i="3"/>
  <c r="BR242" i="3"/>
  <c r="BR243" i="3"/>
  <c r="BR244" i="3"/>
  <c r="BR245" i="3"/>
  <c r="BR246" i="3"/>
  <c r="BR247" i="3"/>
  <c r="BR248" i="3"/>
  <c r="BR249" i="3"/>
  <c r="BR250" i="3"/>
  <c r="BR251" i="3"/>
  <c r="BR252" i="3"/>
  <c r="BR253" i="3"/>
  <c r="BR254" i="3"/>
  <c r="BR255" i="3"/>
  <c r="BR256" i="3"/>
  <c r="BR257" i="3"/>
  <c r="BR258" i="3"/>
  <c r="BR259" i="3"/>
  <c r="BR260" i="3"/>
  <c r="BR261" i="3"/>
  <c r="BR262" i="3"/>
  <c r="BR263" i="3"/>
  <c r="BR264" i="3"/>
  <c r="BR265" i="3"/>
  <c r="BR266" i="3"/>
  <c r="BR267" i="3"/>
  <c r="BR268" i="3"/>
  <c r="BR269" i="3"/>
  <c r="BR270" i="3"/>
  <c r="BR271" i="3"/>
  <c r="BR272" i="3"/>
  <c r="BR273" i="3"/>
  <c r="BR274" i="3"/>
  <c r="BR275" i="3"/>
  <c r="BR276" i="3"/>
  <c r="BR277" i="3"/>
  <c r="BR278" i="3"/>
  <c r="BR279" i="3"/>
  <c r="BR280" i="3"/>
  <c r="BR281" i="3"/>
  <c r="BR282" i="3"/>
  <c r="BR283" i="3"/>
  <c r="BR284" i="3"/>
  <c r="BR285" i="3"/>
  <c r="BR286" i="3"/>
  <c r="BR287" i="3"/>
  <c r="BR288" i="3"/>
  <c r="BR289" i="3"/>
  <c r="BR290" i="3"/>
  <c r="BR291" i="3"/>
  <c r="BR292" i="3"/>
  <c r="BR293" i="3"/>
  <c r="BR294" i="3"/>
  <c r="BR295" i="3"/>
  <c r="BR296" i="3"/>
  <c r="BR297" i="3"/>
  <c r="BR298" i="3"/>
  <c r="BR299" i="3"/>
  <c r="BR300" i="3"/>
  <c r="BR301" i="3"/>
  <c r="BR302" i="3"/>
  <c r="BR303" i="3"/>
  <c r="BR304" i="3"/>
  <c r="BR305" i="3"/>
  <c r="BR306" i="3"/>
  <c r="BR307" i="3"/>
  <c r="BR308" i="3"/>
  <c r="BR309" i="3"/>
  <c r="BR310" i="3"/>
  <c r="BR311" i="3"/>
  <c r="BR312" i="3"/>
  <c r="BR313" i="3"/>
  <c r="BR314" i="3"/>
  <c r="BR315" i="3"/>
  <c r="BR316" i="3"/>
  <c r="BR317" i="3"/>
  <c r="BR318" i="3"/>
  <c r="BR319" i="3"/>
  <c r="BR320" i="3"/>
  <c r="BR321" i="3"/>
  <c r="BR322" i="3"/>
  <c r="BR323" i="3"/>
  <c r="BR324" i="3"/>
  <c r="BR325" i="3"/>
  <c r="BR326" i="3"/>
  <c r="BR327" i="3"/>
  <c r="BR328" i="3"/>
  <c r="BR329" i="3"/>
  <c r="BR330" i="3"/>
  <c r="BR331" i="3"/>
  <c r="BR332" i="3"/>
  <c r="BR333" i="3"/>
  <c r="BR334" i="3"/>
  <c r="BR335" i="3"/>
  <c r="BR336" i="3"/>
  <c r="BR337" i="3"/>
  <c r="BR338" i="3"/>
  <c r="BR339" i="3"/>
  <c r="BR340" i="3"/>
  <c r="BR341" i="3"/>
  <c r="BR342" i="3"/>
  <c r="BR343" i="3"/>
  <c r="BR344" i="3"/>
  <c r="BR345" i="3"/>
  <c r="BR346" i="3"/>
  <c r="BR347" i="3"/>
  <c r="BR348" i="3"/>
  <c r="BR349" i="3"/>
  <c r="BR350" i="3"/>
  <c r="BR351" i="3"/>
  <c r="BR352" i="3"/>
  <c r="BR353" i="3"/>
  <c r="BR354" i="3"/>
  <c r="BR355" i="3"/>
  <c r="BR356" i="3"/>
  <c r="BR357" i="3"/>
  <c r="BR358" i="3"/>
  <c r="BR359" i="3"/>
  <c r="BR360" i="3"/>
  <c r="BR361" i="3"/>
  <c r="BR362" i="3"/>
  <c r="BR363" i="3"/>
  <c r="BR364" i="3"/>
  <c r="BR365" i="3"/>
  <c r="BR366" i="3"/>
  <c r="BR367" i="3"/>
  <c r="BR368" i="3"/>
  <c r="BR369" i="3"/>
  <c r="BR370" i="3"/>
  <c r="BR371" i="3"/>
  <c r="BR372" i="3"/>
  <c r="BR373" i="3"/>
  <c r="BR374" i="3"/>
  <c r="BR375" i="3"/>
  <c r="BR376" i="3"/>
  <c r="BR377" i="3"/>
  <c r="BR378" i="3"/>
  <c r="BR379" i="3"/>
  <c r="BR380" i="3"/>
  <c r="BR381" i="3"/>
  <c r="BR382" i="3"/>
  <c r="BR383" i="3"/>
  <c r="BR384" i="3"/>
  <c r="BR385" i="3"/>
  <c r="BR386" i="3"/>
  <c r="BR387" i="3"/>
  <c r="BR388" i="3"/>
  <c r="BR389" i="3"/>
  <c r="BR390" i="3"/>
  <c r="BR391" i="3"/>
  <c r="BR392" i="3"/>
  <c r="BR393" i="3"/>
  <c r="BR394" i="3"/>
  <c r="BR395" i="3"/>
  <c r="BR396" i="3"/>
  <c r="BR397" i="3"/>
  <c r="BR398" i="3"/>
  <c r="BR399" i="3"/>
  <c r="BR400" i="3"/>
  <c r="BR401" i="3"/>
  <c r="BR402" i="3"/>
  <c r="BR403" i="3"/>
  <c r="BR404" i="3"/>
  <c r="BR405" i="3"/>
  <c r="BR406" i="3"/>
  <c r="BR407" i="3"/>
  <c r="BR408" i="3"/>
  <c r="BR409" i="3"/>
  <c r="BR410" i="3"/>
  <c r="BR411" i="3"/>
  <c r="BR412" i="3"/>
  <c r="BR413" i="3"/>
  <c r="BR414" i="3"/>
  <c r="BR415" i="3"/>
  <c r="BR416" i="3"/>
  <c r="BR417" i="3"/>
  <c r="BR418" i="3"/>
  <c r="BR419" i="3"/>
  <c r="BR420" i="3"/>
  <c r="BR421" i="3"/>
  <c r="BR422" i="3"/>
  <c r="BR423" i="3"/>
  <c r="BR424" i="3"/>
  <c r="BR425" i="3"/>
  <c r="BR426" i="3"/>
  <c r="BR427" i="3"/>
  <c r="BR428" i="3"/>
  <c r="BR429" i="3"/>
  <c r="BR430" i="3"/>
  <c r="BR431" i="3"/>
  <c r="BR432" i="3"/>
  <c r="BR433" i="3"/>
  <c r="BR434" i="3"/>
  <c r="BR435" i="3"/>
  <c r="BR436" i="3"/>
  <c r="BR437" i="3"/>
  <c r="BR438" i="3"/>
  <c r="BR439" i="3"/>
  <c r="BR440" i="3"/>
  <c r="BR441" i="3"/>
  <c r="BR442" i="3"/>
  <c r="BR443" i="3"/>
  <c r="BR444" i="3"/>
  <c r="BR445" i="3"/>
  <c r="BR446" i="3"/>
  <c r="BR447" i="3"/>
  <c r="BR448" i="3"/>
  <c r="BR449" i="3"/>
  <c r="BR450" i="3"/>
  <c r="BR451" i="3"/>
  <c r="BR452" i="3"/>
  <c r="BR453" i="3"/>
  <c r="BR454" i="3"/>
  <c r="BR455" i="3"/>
  <c r="BR456" i="3"/>
  <c r="BR457" i="3"/>
  <c r="BR458" i="3"/>
  <c r="BR459" i="3"/>
  <c r="BR460" i="3"/>
  <c r="BR461" i="3"/>
  <c r="BR462" i="3"/>
  <c r="BR463" i="3"/>
  <c r="BR464" i="3"/>
  <c r="BR465" i="3"/>
  <c r="BR466" i="3"/>
  <c r="BR467" i="3"/>
  <c r="BR468" i="3"/>
  <c r="BR469" i="3"/>
  <c r="BR470" i="3"/>
  <c r="BR471" i="3"/>
  <c r="BR472" i="3"/>
  <c r="BR473" i="3"/>
  <c r="BR474" i="3"/>
  <c r="BR475" i="3"/>
  <c r="BR476" i="3"/>
  <c r="BR477" i="3"/>
  <c r="BR478" i="3"/>
  <c r="BR479" i="3"/>
  <c r="BR480" i="3"/>
  <c r="BR481" i="3"/>
  <c r="BR482" i="3"/>
  <c r="BR483" i="3"/>
  <c r="BR484" i="3"/>
  <c r="BR485" i="3"/>
  <c r="BR486" i="3"/>
  <c r="BR487" i="3"/>
  <c r="BR488" i="3"/>
  <c r="BR489" i="3"/>
  <c r="BR490" i="3"/>
  <c r="BR491" i="3"/>
  <c r="BR492" i="3"/>
  <c r="BR493" i="3"/>
  <c r="BR494" i="3"/>
  <c r="BR495" i="3"/>
  <c r="BR496" i="3"/>
  <c r="BR497" i="3"/>
  <c r="BR498" i="3"/>
  <c r="BR499" i="3"/>
  <c r="BR500" i="3"/>
  <c r="BR501" i="3"/>
  <c r="BR502" i="3"/>
  <c r="BR503" i="3"/>
  <c r="BR504" i="3"/>
  <c r="BR505" i="3"/>
  <c r="BR506" i="3"/>
  <c r="BR507" i="3"/>
  <c r="BR508" i="3"/>
  <c r="BR509" i="3"/>
  <c r="BR510" i="3"/>
  <c r="BR511" i="3"/>
  <c r="BR512" i="3"/>
  <c r="BR513" i="3"/>
  <c r="BR514" i="3"/>
  <c r="BR515" i="3"/>
  <c r="BR516" i="3"/>
  <c r="BR517" i="3"/>
  <c r="BR518" i="3"/>
  <c r="BR519" i="3"/>
  <c r="BR520" i="3"/>
  <c r="BR521" i="3"/>
  <c r="BR522" i="3"/>
  <c r="BR523" i="3"/>
  <c r="BR524" i="3"/>
  <c r="BR525" i="3"/>
  <c r="BR526" i="3"/>
  <c r="BR527" i="3"/>
  <c r="BR528" i="3"/>
  <c r="BR529" i="3"/>
  <c r="BR530" i="3"/>
  <c r="BR531" i="3"/>
  <c r="BR532" i="3"/>
  <c r="BR533" i="3"/>
  <c r="BR534" i="3"/>
  <c r="BR535" i="3"/>
  <c r="BR536" i="3"/>
  <c r="BR537" i="3"/>
  <c r="BR538" i="3"/>
  <c r="BR539" i="3"/>
  <c r="BR540" i="3"/>
  <c r="BR541" i="3"/>
  <c r="BR542" i="3"/>
  <c r="BR543" i="3"/>
  <c r="BR544" i="3"/>
  <c r="BR545" i="3"/>
  <c r="BR546" i="3"/>
  <c r="BR547" i="3"/>
  <c r="BR548" i="3"/>
  <c r="BR549" i="3"/>
  <c r="BR550" i="3"/>
  <c r="BR551" i="3"/>
  <c r="BR552" i="3"/>
  <c r="BR553" i="3"/>
  <c r="BR554" i="3"/>
  <c r="BR555" i="3"/>
  <c r="BR556" i="3"/>
  <c r="BR557" i="3"/>
  <c r="BR558" i="3"/>
  <c r="BR559" i="3"/>
  <c r="BR560" i="3"/>
  <c r="BR561" i="3"/>
  <c r="BR562" i="3"/>
  <c r="BR563" i="3"/>
  <c r="BR564" i="3"/>
  <c r="BR565" i="3"/>
  <c r="BR566" i="3"/>
  <c r="BR567" i="3"/>
  <c r="BR568" i="3"/>
  <c r="BR569" i="3"/>
  <c r="BR570" i="3"/>
  <c r="BR571" i="3"/>
  <c r="BR572" i="3"/>
  <c r="BR573" i="3"/>
  <c r="BR574" i="3"/>
  <c r="BR575" i="3"/>
  <c r="BR576" i="3"/>
  <c r="BR577" i="3"/>
  <c r="BR578" i="3"/>
  <c r="BR579" i="3"/>
  <c r="BR580" i="3"/>
  <c r="BR581" i="3"/>
  <c r="BR582" i="3"/>
  <c r="BR583" i="3"/>
  <c r="BR584" i="3"/>
  <c r="BR585" i="3"/>
  <c r="BR586" i="3"/>
  <c r="BR587" i="3"/>
  <c r="BR5" i="3"/>
  <c r="BT13" i="3"/>
  <c r="BT14" i="3"/>
  <c r="BT15" i="3"/>
  <c r="BT16" i="3"/>
  <c r="BT17" i="3"/>
  <c r="BT18" i="3"/>
  <c r="BT19" i="3"/>
  <c r="BT20" i="3"/>
  <c r="BT21" i="3"/>
  <c r="BT22" i="3"/>
  <c r="BT23" i="3"/>
  <c r="BT24" i="3"/>
  <c r="BT25" i="3"/>
  <c r="BT26" i="3"/>
  <c r="BT27" i="3"/>
  <c r="BT28" i="3"/>
  <c r="BT29" i="3"/>
  <c r="BT30" i="3"/>
  <c r="BT31" i="3"/>
  <c r="BT32" i="3"/>
  <c r="BT33" i="3"/>
  <c r="BT34" i="3"/>
  <c r="BT35" i="3"/>
  <c r="BT36" i="3"/>
  <c r="BT37" i="3"/>
  <c r="BT38" i="3"/>
  <c r="BT39" i="3"/>
  <c r="BT40" i="3"/>
  <c r="BT41" i="3"/>
  <c r="BT42" i="3"/>
  <c r="BT43" i="3"/>
  <c r="BT44" i="3"/>
  <c r="BT45" i="3"/>
  <c r="BT46" i="3"/>
  <c r="BT47" i="3"/>
  <c r="BT48" i="3"/>
  <c r="BT49" i="3"/>
  <c r="BT50" i="3"/>
  <c r="BT51" i="3"/>
  <c r="BT52" i="3"/>
  <c r="BT53" i="3"/>
  <c r="BT54" i="3"/>
  <c r="BT55" i="3"/>
  <c r="BT56" i="3"/>
  <c r="BT57" i="3"/>
  <c r="BT58" i="3"/>
  <c r="BT59" i="3"/>
  <c r="BT60" i="3"/>
  <c r="BT61" i="3"/>
  <c r="BT62" i="3"/>
  <c r="BT63" i="3"/>
  <c r="BT64" i="3"/>
  <c r="BT65" i="3"/>
  <c r="BT66" i="3"/>
  <c r="BT67" i="3"/>
  <c r="BT68" i="3"/>
  <c r="BT69" i="3"/>
  <c r="BT70" i="3"/>
  <c r="BT71" i="3"/>
  <c r="BT72" i="3"/>
  <c r="BT73" i="3"/>
  <c r="BT74" i="3"/>
  <c r="BT75" i="3"/>
  <c r="BT76" i="3"/>
  <c r="BT77" i="3"/>
  <c r="BT78" i="3"/>
  <c r="BT79" i="3"/>
  <c r="BT80" i="3"/>
  <c r="BT81" i="3"/>
  <c r="BT82" i="3"/>
  <c r="BT83" i="3"/>
  <c r="BT84" i="3"/>
  <c r="BT85" i="3"/>
  <c r="BT86" i="3"/>
  <c r="BT87" i="3"/>
  <c r="BT88" i="3"/>
  <c r="BT89" i="3"/>
  <c r="BT90" i="3"/>
  <c r="BT91" i="3"/>
  <c r="BT92" i="3"/>
  <c r="BT93" i="3"/>
  <c r="BT94" i="3"/>
  <c r="BT95" i="3"/>
  <c r="BT96" i="3"/>
  <c r="BT97" i="3"/>
  <c r="BT98" i="3"/>
  <c r="BT99" i="3"/>
  <c r="BT100" i="3"/>
  <c r="BT101" i="3"/>
  <c r="BT102" i="3"/>
  <c r="BT103" i="3"/>
  <c r="BT104" i="3"/>
  <c r="BT105" i="3"/>
  <c r="BT106" i="3"/>
  <c r="BT107" i="3"/>
  <c r="BT108" i="3"/>
  <c r="BT109" i="3"/>
  <c r="BT110" i="3"/>
  <c r="BT111" i="3"/>
  <c r="BT112" i="3"/>
  <c r="BT113" i="3"/>
  <c r="BT114" i="3"/>
  <c r="BT115" i="3"/>
  <c r="BT116" i="3"/>
  <c r="BT117" i="3"/>
  <c r="BT118" i="3"/>
  <c r="BT119" i="3"/>
  <c r="BT120" i="3"/>
  <c r="BT121" i="3"/>
  <c r="BT122" i="3"/>
  <c r="BT123" i="3"/>
  <c r="BT124" i="3"/>
  <c r="BT125" i="3"/>
  <c r="BT126" i="3"/>
  <c r="BT127" i="3"/>
  <c r="BT128" i="3"/>
  <c r="BT129" i="3"/>
  <c r="BT130" i="3"/>
  <c r="BT131" i="3"/>
  <c r="BT132" i="3"/>
  <c r="BT133" i="3"/>
  <c r="BT134" i="3"/>
  <c r="BT135" i="3"/>
  <c r="BT136" i="3"/>
  <c r="BT137" i="3"/>
  <c r="BT138" i="3"/>
  <c r="BT139" i="3"/>
  <c r="BT140" i="3"/>
  <c r="BT141" i="3"/>
  <c r="BT142" i="3"/>
  <c r="BT143" i="3"/>
  <c r="BT144" i="3"/>
  <c r="BT145" i="3"/>
  <c r="BT146" i="3"/>
  <c r="BT147" i="3"/>
  <c r="BT148" i="3"/>
  <c r="BT149" i="3"/>
  <c r="BT150" i="3"/>
  <c r="BT151" i="3"/>
  <c r="BT152" i="3"/>
  <c r="BT153" i="3"/>
  <c r="BT154" i="3"/>
  <c r="BT155" i="3"/>
  <c r="BT156" i="3"/>
  <c r="BT157" i="3"/>
  <c r="BT158" i="3"/>
  <c r="BT159" i="3"/>
  <c r="BT160" i="3"/>
  <c r="BT161" i="3"/>
  <c r="BT162" i="3"/>
  <c r="BT163" i="3"/>
  <c r="BT164" i="3"/>
  <c r="BT165" i="3"/>
  <c r="BT166" i="3"/>
  <c r="BT167" i="3"/>
  <c r="BT168" i="3"/>
  <c r="BT169" i="3"/>
  <c r="BT170" i="3"/>
  <c r="BT171" i="3"/>
  <c r="BT172" i="3"/>
  <c r="BT173" i="3"/>
  <c r="BT174" i="3"/>
  <c r="BT175" i="3"/>
  <c r="BT176" i="3"/>
  <c r="BT177" i="3"/>
  <c r="BT178" i="3"/>
  <c r="BT179" i="3"/>
  <c r="BT180" i="3"/>
  <c r="BT181" i="3"/>
  <c r="BT182" i="3"/>
  <c r="BT183" i="3"/>
  <c r="BT184" i="3"/>
  <c r="BT185" i="3"/>
  <c r="BT186" i="3"/>
  <c r="BT187" i="3"/>
  <c r="BT188" i="3"/>
  <c r="BT189" i="3"/>
  <c r="BT190" i="3"/>
  <c r="BT191" i="3"/>
  <c r="BT192" i="3"/>
  <c r="BT193" i="3"/>
  <c r="BT194" i="3"/>
  <c r="BT195" i="3"/>
  <c r="BT196" i="3"/>
  <c r="BT197" i="3"/>
  <c r="BT198" i="3"/>
  <c r="BT199" i="3"/>
  <c r="BT200" i="3"/>
  <c r="BT201" i="3"/>
  <c r="BT202" i="3"/>
  <c r="BT203" i="3"/>
  <c r="BT204" i="3"/>
  <c r="BT205" i="3"/>
  <c r="BT206" i="3"/>
  <c r="BT207" i="3"/>
  <c r="BT208" i="3"/>
  <c r="BT209" i="3"/>
  <c r="BT210" i="3"/>
  <c r="BT211" i="3"/>
  <c r="BT212" i="3"/>
  <c r="BT213" i="3"/>
  <c r="BT214" i="3"/>
  <c r="BT215" i="3"/>
  <c r="BT216" i="3"/>
  <c r="BT217" i="3"/>
  <c r="BT218" i="3"/>
  <c r="BT219" i="3"/>
  <c r="BT220" i="3"/>
  <c r="BT221" i="3"/>
  <c r="BT222" i="3"/>
  <c r="BT223" i="3"/>
  <c r="BT224" i="3"/>
  <c r="BT225" i="3"/>
  <c r="BT226" i="3"/>
  <c r="BT227" i="3"/>
  <c r="BT228" i="3"/>
  <c r="BT229" i="3"/>
  <c r="BT230" i="3"/>
  <c r="BT231" i="3"/>
  <c r="BT232" i="3"/>
  <c r="BT233" i="3"/>
  <c r="BT234" i="3"/>
  <c r="BT235" i="3"/>
  <c r="BT236" i="3"/>
  <c r="BT237" i="3"/>
  <c r="BT238" i="3"/>
  <c r="BT239" i="3"/>
  <c r="BT240" i="3"/>
  <c r="BT241" i="3"/>
  <c r="BT242" i="3"/>
  <c r="BT243" i="3"/>
  <c r="BT244" i="3"/>
  <c r="BT245" i="3"/>
  <c r="BT246" i="3"/>
  <c r="BT247" i="3"/>
  <c r="BT248" i="3"/>
  <c r="BT249" i="3"/>
  <c r="BT250" i="3"/>
  <c r="BT251" i="3"/>
  <c r="BT252" i="3"/>
  <c r="BT253" i="3"/>
  <c r="BT254" i="3"/>
  <c r="BT255" i="3"/>
  <c r="BT256" i="3"/>
  <c r="BT257" i="3"/>
  <c r="BT258" i="3"/>
  <c r="BT259" i="3"/>
  <c r="BT260" i="3"/>
  <c r="BT261" i="3"/>
  <c r="BT262" i="3"/>
  <c r="BT263" i="3"/>
  <c r="BT264" i="3"/>
  <c r="BT265" i="3"/>
  <c r="BT266" i="3"/>
  <c r="BT267" i="3"/>
  <c r="BT268" i="3"/>
  <c r="BT269" i="3"/>
  <c r="BT270" i="3"/>
  <c r="BT271" i="3"/>
  <c r="BT272" i="3"/>
  <c r="BT273" i="3"/>
  <c r="BT274" i="3"/>
  <c r="BT275" i="3"/>
  <c r="BT276" i="3"/>
  <c r="BT277" i="3"/>
  <c r="BT278" i="3"/>
  <c r="BT279" i="3"/>
  <c r="BT280" i="3"/>
  <c r="BT281" i="3"/>
  <c r="BT282" i="3"/>
  <c r="BT283" i="3"/>
  <c r="BT284" i="3"/>
  <c r="BT285" i="3"/>
  <c r="BT286" i="3"/>
  <c r="BT287" i="3"/>
  <c r="BT288" i="3"/>
  <c r="BT289" i="3"/>
  <c r="BT290" i="3"/>
  <c r="BT291" i="3"/>
  <c r="BT292" i="3"/>
  <c r="BT293" i="3"/>
  <c r="BT294" i="3"/>
  <c r="BT295" i="3"/>
  <c r="BT296" i="3"/>
  <c r="BT297" i="3"/>
  <c r="BT298" i="3"/>
  <c r="BT299" i="3"/>
  <c r="BT300" i="3"/>
  <c r="BT301" i="3"/>
  <c r="BT302" i="3"/>
  <c r="BT303" i="3"/>
  <c r="BT304" i="3"/>
  <c r="BT305" i="3"/>
  <c r="BT306" i="3"/>
  <c r="BT307" i="3"/>
  <c r="BT308" i="3"/>
  <c r="BT309" i="3"/>
  <c r="BT310" i="3"/>
  <c r="BT311" i="3"/>
  <c r="BT312" i="3"/>
  <c r="BT313" i="3"/>
  <c r="BT314" i="3"/>
  <c r="BT315" i="3"/>
  <c r="BT316" i="3"/>
  <c r="BT317" i="3"/>
  <c r="BT318" i="3"/>
  <c r="BT319" i="3"/>
  <c r="BT320" i="3"/>
  <c r="BT321" i="3"/>
  <c r="BT322" i="3"/>
  <c r="BT323" i="3"/>
  <c r="BT324" i="3"/>
  <c r="BT325" i="3"/>
  <c r="BT326" i="3"/>
  <c r="BT327" i="3"/>
  <c r="BT328" i="3"/>
  <c r="BT329" i="3"/>
  <c r="BT330" i="3"/>
  <c r="BT331" i="3"/>
  <c r="BT332" i="3"/>
  <c r="BT333" i="3"/>
  <c r="BT334" i="3"/>
  <c r="BT335" i="3"/>
  <c r="BT336" i="3"/>
  <c r="BT337" i="3"/>
  <c r="BT338" i="3"/>
  <c r="BT339" i="3"/>
  <c r="BT340" i="3"/>
  <c r="BT341" i="3"/>
  <c r="BT342" i="3"/>
  <c r="BT343" i="3"/>
  <c r="BT344" i="3"/>
  <c r="BT345" i="3"/>
  <c r="BT346" i="3"/>
  <c r="BT347" i="3"/>
  <c r="BT348" i="3"/>
  <c r="BT349" i="3"/>
  <c r="BT350" i="3"/>
  <c r="BT351" i="3"/>
  <c r="BT352" i="3"/>
  <c r="BT353" i="3"/>
  <c r="BT354" i="3"/>
  <c r="BT355" i="3"/>
  <c r="BT356" i="3"/>
  <c r="BT357" i="3"/>
  <c r="BT358" i="3"/>
  <c r="BT359" i="3"/>
  <c r="BT360" i="3"/>
  <c r="BT361" i="3"/>
  <c r="BT362" i="3"/>
  <c r="BT363" i="3"/>
  <c r="BT364" i="3"/>
  <c r="BT365" i="3"/>
  <c r="BT366" i="3"/>
  <c r="BT367" i="3"/>
  <c r="BT368" i="3"/>
  <c r="BT369" i="3"/>
  <c r="BT370" i="3"/>
  <c r="BT371" i="3"/>
  <c r="BT372" i="3"/>
  <c r="BT373" i="3"/>
  <c r="BT374" i="3"/>
  <c r="BT375" i="3"/>
  <c r="BT376" i="3"/>
  <c r="BT377" i="3"/>
  <c r="BT378" i="3"/>
  <c r="BT379" i="3"/>
  <c r="BT380" i="3"/>
  <c r="BT381" i="3"/>
  <c r="BT382" i="3"/>
  <c r="BT383" i="3"/>
  <c r="BT384" i="3"/>
  <c r="BT385" i="3"/>
  <c r="BT386" i="3"/>
  <c r="BT387" i="3"/>
  <c r="BT388" i="3"/>
  <c r="BT389" i="3"/>
  <c r="BT390" i="3"/>
  <c r="BT391" i="3"/>
  <c r="BT392" i="3"/>
  <c r="BT393" i="3"/>
  <c r="BT394" i="3"/>
  <c r="BT395" i="3"/>
  <c r="BT396" i="3"/>
  <c r="BT397" i="3"/>
  <c r="BT398" i="3"/>
  <c r="BT399" i="3"/>
  <c r="BT400" i="3"/>
  <c r="BT401" i="3"/>
  <c r="BT402" i="3"/>
  <c r="BT403" i="3"/>
  <c r="BT404" i="3"/>
  <c r="BT405" i="3"/>
  <c r="BT406" i="3"/>
  <c r="BT407" i="3"/>
  <c r="BT408" i="3"/>
  <c r="BT409" i="3"/>
  <c r="BT410" i="3"/>
  <c r="BT411" i="3"/>
  <c r="BT412" i="3"/>
  <c r="BT413" i="3"/>
  <c r="BT414" i="3"/>
  <c r="BT415" i="3"/>
  <c r="BT416" i="3"/>
  <c r="BT417" i="3"/>
  <c r="BT418" i="3"/>
  <c r="BT419" i="3"/>
  <c r="BT420" i="3"/>
  <c r="BT421" i="3"/>
  <c r="BT422" i="3"/>
  <c r="BT423" i="3"/>
  <c r="BT424" i="3"/>
  <c r="BT425" i="3"/>
  <c r="BT426" i="3"/>
  <c r="BT427" i="3"/>
  <c r="BT428" i="3"/>
  <c r="BT429" i="3"/>
  <c r="BT430" i="3"/>
  <c r="BT431" i="3"/>
  <c r="BT432" i="3"/>
  <c r="BT433" i="3"/>
  <c r="BT434" i="3"/>
  <c r="BT435" i="3"/>
  <c r="BT436" i="3"/>
  <c r="BT437" i="3"/>
  <c r="BT438" i="3"/>
  <c r="BT439" i="3"/>
  <c r="BT440" i="3"/>
  <c r="BT441" i="3"/>
  <c r="BT442" i="3"/>
  <c r="BT443" i="3"/>
  <c r="BT444" i="3"/>
  <c r="BT445" i="3"/>
  <c r="BT446" i="3"/>
  <c r="BT447" i="3"/>
  <c r="BT448" i="3"/>
  <c r="BT449" i="3"/>
  <c r="BT450" i="3"/>
  <c r="BT451" i="3"/>
  <c r="BT452" i="3"/>
  <c r="BT453" i="3"/>
  <c r="BT454" i="3"/>
  <c r="BT455" i="3"/>
  <c r="BT456" i="3"/>
  <c r="BT457" i="3"/>
  <c r="BT458" i="3"/>
  <c r="BT459" i="3"/>
  <c r="BT460" i="3"/>
  <c r="BT461" i="3"/>
  <c r="BT462" i="3"/>
  <c r="BT463" i="3"/>
  <c r="BT464" i="3"/>
  <c r="BT465" i="3"/>
  <c r="BT466" i="3"/>
  <c r="BT467" i="3"/>
  <c r="BT468" i="3"/>
  <c r="BT469" i="3"/>
  <c r="BT470" i="3"/>
  <c r="BT471" i="3"/>
  <c r="BT472" i="3"/>
  <c r="BT473" i="3"/>
  <c r="BT474" i="3"/>
  <c r="BT475" i="3"/>
  <c r="BT476" i="3"/>
  <c r="BT477" i="3"/>
  <c r="BT478" i="3"/>
  <c r="BT479" i="3"/>
  <c r="BT480" i="3"/>
  <c r="BT481" i="3"/>
  <c r="BT482" i="3"/>
  <c r="BT483" i="3"/>
  <c r="BT484" i="3"/>
  <c r="BT485" i="3"/>
  <c r="BT486" i="3"/>
  <c r="BT487" i="3"/>
  <c r="BT488" i="3"/>
  <c r="BT489" i="3"/>
  <c r="BT490" i="3"/>
  <c r="BT491" i="3"/>
  <c r="BT492" i="3"/>
  <c r="BT493" i="3"/>
  <c r="BT494" i="3"/>
  <c r="BT495" i="3"/>
  <c r="BT496" i="3"/>
  <c r="BT497" i="3"/>
  <c r="BT498" i="3"/>
  <c r="BT499" i="3"/>
  <c r="BT500" i="3"/>
  <c r="BT501" i="3"/>
  <c r="BT502" i="3"/>
  <c r="BT503" i="3"/>
  <c r="BT504" i="3"/>
  <c r="BT505" i="3"/>
  <c r="BT506" i="3"/>
  <c r="BT507" i="3"/>
  <c r="BT508" i="3"/>
  <c r="BT509" i="3"/>
  <c r="BT510" i="3"/>
  <c r="BT511" i="3"/>
  <c r="BT512" i="3"/>
  <c r="BT513" i="3"/>
  <c r="BT514" i="3"/>
  <c r="BT515" i="3"/>
  <c r="BT516" i="3"/>
  <c r="BT517" i="3"/>
  <c r="BT518" i="3"/>
  <c r="BT519" i="3"/>
  <c r="BT520" i="3"/>
  <c r="BT521" i="3"/>
  <c r="BT522" i="3"/>
  <c r="BT523" i="3"/>
  <c r="BT524" i="3"/>
  <c r="BT525" i="3"/>
  <c r="BT526" i="3"/>
  <c r="BT527" i="3"/>
  <c r="BT528" i="3"/>
  <c r="BT529" i="3"/>
  <c r="BT530" i="3"/>
  <c r="BT531" i="3"/>
  <c r="BT532" i="3"/>
  <c r="BT533" i="3"/>
  <c r="BT534" i="3"/>
  <c r="BT535" i="3"/>
  <c r="BT536" i="3"/>
  <c r="BT537" i="3"/>
  <c r="BT538" i="3"/>
  <c r="BT539" i="3"/>
  <c r="BT540" i="3"/>
  <c r="BT541" i="3"/>
  <c r="BT542" i="3"/>
  <c r="BT543" i="3"/>
  <c r="BT544" i="3"/>
  <c r="BT545" i="3"/>
  <c r="BT546" i="3"/>
  <c r="BT547" i="3"/>
  <c r="BT548" i="3"/>
  <c r="BT549" i="3"/>
  <c r="BT550" i="3"/>
  <c r="BT551" i="3"/>
  <c r="BT552" i="3"/>
  <c r="BT553" i="3"/>
  <c r="BT554" i="3"/>
  <c r="BT555" i="3"/>
  <c r="BT556" i="3"/>
  <c r="BT557" i="3"/>
  <c r="BT558" i="3"/>
  <c r="BT559" i="3"/>
  <c r="BT560" i="3"/>
  <c r="BT561" i="3"/>
  <c r="BT562" i="3"/>
  <c r="BT563" i="3"/>
  <c r="BT564" i="3"/>
  <c r="BT565" i="3"/>
  <c r="BT566" i="3"/>
  <c r="BT567" i="3"/>
  <c r="BT568" i="3"/>
  <c r="BT569" i="3"/>
  <c r="BT570" i="3"/>
  <c r="BT571" i="3"/>
  <c r="BT572" i="3"/>
  <c r="BT573" i="3"/>
  <c r="BT574" i="3"/>
  <c r="BT575" i="3"/>
  <c r="BT576" i="3"/>
  <c r="BT577" i="3"/>
  <c r="BT578" i="3"/>
  <c r="BT579" i="3"/>
  <c r="BT580" i="3"/>
  <c r="BT581" i="3"/>
  <c r="BT582" i="3"/>
  <c r="BT583" i="3"/>
  <c r="BT584" i="3"/>
  <c r="BT585" i="3"/>
  <c r="BT586" i="3"/>
  <c r="BT587" i="3"/>
  <c r="BT5" i="3"/>
  <c r="G28" i="6"/>
  <c r="E28" i="6"/>
  <c r="E20" i="6"/>
  <c r="E21" i="6"/>
  <c r="E22" i="6"/>
  <c r="E23" i="6"/>
  <c r="E24" i="6"/>
  <c r="E25" i="6"/>
  <c r="E26" i="6"/>
  <c r="BB13" i="3"/>
  <c r="BC13" i="3"/>
  <c r="BD13" i="3"/>
  <c r="BE13" i="3"/>
  <c r="BF13" i="3"/>
  <c r="BG13" i="3"/>
  <c r="BH13" i="3"/>
  <c r="BI13" i="3"/>
  <c r="BJ13" i="3"/>
  <c r="BK13" i="3"/>
  <c r="BA13" i="3"/>
  <c r="BB14" i="3"/>
  <c r="BC14" i="3"/>
  <c r="BD14" i="3"/>
  <c r="BE14" i="3"/>
  <c r="BF14" i="3"/>
  <c r="BG14" i="3"/>
  <c r="BH14" i="3"/>
  <c r="BI14" i="3"/>
  <c r="BJ14" i="3"/>
  <c r="BK14" i="3"/>
  <c r="BA14" i="3"/>
  <c r="BB15" i="3"/>
  <c r="BC15" i="3"/>
  <c r="BD15" i="3"/>
  <c r="BE15" i="3"/>
  <c r="BF15" i="3"/>
  <c r="BG15" i="3"/>
  <c r="BH15" i="3"/>
  <c r="BI15" i="3"/>
  <c r="BJ15" i="3"/>
  <c r="BK15" i="3"/>
  <c r="BA15" i="3"/>
  <c r="BB16" i="3"/>
  <c r="BC16" i="3"/>
  <c r="BD16" i="3"/>
  <c r="BE16" i="3"/>
  <c r="BF16" i="3"/>
  <c r="BG16" i="3"/>
  <c r="BH16" i="3"/>
  <c r="BI16" i="3"/>
  <c r="BJ16" i="3"/>
  <c r="BK16" i="3"/>
  <c r="BA16" i="3"/>
  <c r="BB17" i="3"/>
  <c r="BC17" i="3"/>
  <c r="BD17" i="3"/>
  <c r="BE17" i="3"/>
  <c r="BF17" i="3"/>
  <c r="BG17" i="3"/>
  <c r="BH17" i="3"/>
  <c r="BI17" i="3"/>
  <c r="BJ17" i="3"/>
  <c r="BK17" i="3"/>
  <c r="BA17" i="3"/>
  <c r="BB18" i="3"/>
  <c r="BC18" i="3"/>
  <c r="BD18" i="3"/>
  <c r="BE18" i="3"/>
  <c r="BF18" i="3"/>
  <c r="BG18" i="3"/>
  <c r="BH18" i="3"/>
  <c r="BI18" i="3"/>
  <c r="BJ18" i="3"/>
  <c r="BK18" i="3"/>
  <c r="BA18" i="3"/>
  <c r="BB19" i="3"/>
  <c r="BC19" i="3"/>
  <c r="BD19" i="3"/>
  <c r="BE19" i="3"/>
  <c r="BF19" i="3"/>
  <c r="BG19" i="3"/>
  <c r="BH19" i="3"/>
  <c r="BI19" i="3"/>
  <c r="BJ19" i="3"/>
  <c r="BK19" i="3"/>
  <c r="BA19" i="3"/>
  <c r="BB20" i="3"/>
  <c r="BC20" i="3"/>
  <c r="BD20" i="3"/>
  <c r="BE20" i="3"/>
  <c r="BF20" i="3"/>
  <c r="BG20" i="3"/>
  <c r="BH20" i="3"/>
  <c r="BI20" i="3"/>
  <c r="BJ20" i="3"/>
  <c r="BK20" i="3"/>
  <c r="BA20" i="3"/>
  <c r="BB21" i="3"/>
  <c r="BC21" i="3"/>
  <c r="BD21" i="3"/>
  <c r="BE21" i="3"/>
  <c r="BF21" i="3"/>
  <c r="BG21" i="3"/>
  <c r="BH21" i="3"/>
  <c r="BI21" i="3"/>
  <c r="BJ21" i="3"/>
  <c r="BK21" i="3"/>
  <c r="BA21" i="3"/>
  <c r="BB22" i="3"/>
  <c r="BC22" i="3"/>
  <c r="BD22" i="3"/>
  <c r="BE22" i="3"/>
  <c r="BF22" i="3"/>
  <c r="BG22" i="3"/>
  <c r="BH22" i="3"/>
  <c r="BI22" i="3"/>
  <c r="BJ22" i="3"/>
  <c r="BK22" i="3"/>
  <c r="BA22" i="3"/>
  <c r="BB23" i="3"/>
  <c r="BC23" i="3"/>
  <c r="BD23" i="3"/>
  <c r="BE23" i="3"/>
  <c r="BF23" i="3"/>
  <c r="BG23" i="3"/>
  <c r="BH23" i="3"/>
  <c r="BI23" i="3"/>
  <c r="BJ23" i="3"/>
  <c r="BK23" i="3"/>
  <c r="BA23" i="3"/>
  <c r="BB24" i="3"/>
  <c r="BC24" i="3"/>
  <c r="BD24" i="3"/>
  <c r="BE24" i="3"/>
  <c r="BF24" i="3"/>
  <c r="BG24" i="3"/>
  <c r="BH24" i="3"/>
  <c r="BI24" i="3"/>
  <c r="BJ24" i="3"/>
  <c r="BK24" i="3"/>
  <c r="BA24" i="3"/>
  <c r="BB25" i="3"/>
  <c r="BC25" i="3"/>
  <c r="BD25" i="3"/>
  <c r="BE25" i="3"/>
  <c r="BF25" i="3"/>
  <c r="BG25" i="3"/>
  <c r="BH25" i="3"/>
  <c r="BI25" i="3"/>
  <c r="BJ25" i="3"/>
  <c r="BK25" i="3"/>
  <c r="BA25" i="3"/>
  <c r="BB26" i="3"/>
  <c r="BC26" i="3"/>
  <c r="BD26" i="3"/>
  <c r="BE26" i="3"/>
  <c r="BF26" i="3"/>
  <c r="BG26" i="3"/>
  <c r="BH26" i="3"/>
  <c r="BI26" i="3"/>
  <c r="BJ26" i="3"/>
  <c r="BK26" i="3"/>
  <c r="BA26" i="3"/>
  <c r="BB27" i="3"/>
  <c r="BC27" i="3"/>
  <c r="BD27" i="3"/>
  <c r="BE27" i="3"/>
  <c r="BF27" i="3"/>
  <c r="BG27" i="3"/>
  <c r="BH27" i="3"/>
  <c r="BI27" i="3"/>
  <c r="BJ27" i="3"/>
  <c r="BK27" i="3"/>
  <c r="BA27" i="3"/>
  <c r="BB28" i="3"/>
  <c r="BC28" i="3"/>
  <c r="BD28" i="3"/>
  <c r="BE28" i="3"/>
  <c r="BF28" i="3"/>
  <c r="BG28" i="3"/>
  <c r="BH28" i="3"/>
  <c r="BI28" i="3"/>
  <c r="BJ28" i="3"/>
  <c r="BK28" i="3"/>
  <c r="BA28" i="3"/>
  <c r="BB29" i="3"/>
  <c r="BC29" i="3"/>
  <c r="BD29" i="3"/>
  <c r="BE29" i="3"/>
  <c r="BF29" i="3"/>
  <c r="BG29" i="3"/>
  <c r="BH29" i="3"/>
  <c r="BI29" i="3"/>
  <c r="BJ29" i="3"/>
  <c r="BK29" i="3"/>
  <c r="BA29" i="3"/>
  <c r="BB30" i="3"/>
  <c r="BC30" i="3"/>
  <c r="BD30" i="3"/>
  <c r="BE30" i="3"/>
  <c r="BF30" i="3"/>
  <c r="BG30" i="3"/>
  <c r="BH30" i="3"/>
  <c r="BI30" i="3"/>
  <c r="BJ30" i="3"/>
  <c r="BK30" i="3"/>
  <c r="BA30" i="3"/>
  <c r="BB31" i="3"/>
  <c r="BC31" i="3"/>
  <c r="BD31" i="3"/>
  <c r="BE31" i="3"/>
  <c r="BF31" i="3"/>
  <c r="BG31" i="3"/>
  <c r="BH31" i="3"/>
  <c r="BI31" i="3"/>
  <c r="BJ31" i="3"/>
  <c r="BK31" i="3"/>
  <c r="BA31" i="3"/>
  <c r="BB32" i="3"/>
  <c r="BC32" i="3"/>
  <c r="BD32" i="3"/>
  <c r="BE32" i="3"/>
  <c r="BF32" i="3"/>
  <c r="BG32" i="3"/>
  <c r="BH32" i="3"/>
  <c r="BI32" i="3"/>
  <c r="BJ32" i="3"/>
  <c r="BK32" i="3"/>
  <c r="BA32" i="3"/>
  <c r="BB33" i="3"/>
  <c r="BC33" i="3"/>
  <c r="BD33" i="3"/>
  <c r="BE33" i="3"/>
  <c r="BF33" i="3"/>
  <c r="BG33" i="3"/>
  <c r="BH33" i="3"/>
  <c r="BI33" i="3"/>
  <c r="BJ33" i="3"/>
  <c r="BK33" i="3"/>
  <c r="BA33" i="3"/>
  <c r="BB34" i="3"/>
  <c r="BC34" i="3"/>
  <c r="BD34" i="3"/>
  <c r="BE34" i="3"/>
  <c r="BF34" i="3"/>
  <c r="BG34" i="3"/>
  <c r="BH34" i="3"/>
  <c r="BI34" i="3"/>
  <c r="BJ34" i="3"/>
  <c r="BK34" i="3"/>
  <c r="BA34" i="3"/>
  <c r="BB35" i="3"/>
  <c r="BC35" i="3"/>
  <c r="BD35" i="3"/>
  <c r="BE35" i="3"/>
  <c r="BF35" i="3"/>
  <c r="BG35" i="3"/>
  <c r="BH35" i="3"/>
  <c r="BI35" i="3"/>
  <c r="BJ35" i="3"/>
  <c r="BK35" i="3"/>
  <c r="BA35" i="3"/>
  <c r="BB36" i="3"/>
  <c r="BC36" i="3"/>
  <c r="BD36" i="3"/>
  <c r="BE36" i="3"/>
  <c r="BF36" i="3"/>
  <c r="BG36" i="3"/>
  <c r="BH36" i="3"/>
  <c r="BI36" i="3"/>
  <c r="BJ36" i="3"/>
  <c r="BK36" i="3"/>
  <c r="BA36" i="3"/>
  <c r="BB37" i="3"/>
  <c r="BC37" i="3"/>
  <c r="BD37" i="3"/>
  <c r="BE37" i="3"/>
  <c r="BF37" i="3"/>
  <c r="BG37" i="3"/>
  <c r="BH37" i="3"/>
  <c r="BI37" i="3"/>
  <c r="BJ37" i="3"/>
  <c r="BK37" i="3"/>
  <c r="BA37" i="3"/>
  <c r="BB38" i="3"/>
  <c r="BC38" i="3"/>
  <c r="BD38" i="3"/>
  <c r="BE38" i="3"/>
  <c r="BF38" i="3"/>
  <c r="BG38" i="3"/>
  <c r="BH38" i="3"/>
  <c r="BI38" i="3"/>
  <c r="BJ38" i="3"/>
  <c r="BK38" i="3"/>
  <c r="BA38" i="3"/>
  <c r="BB39" i="3"/>
  <c r="BC39" i="3"/>
  <c r="BD39" i="3"/>
  <c r="BE39" i="3"/>
  <c r="BF39" i="3"/>
  <c r="BG39" i="3"/>
  <c r="BH39" i="3"/>
  <c r="BI39" i="3"/>
  <c r="BJ39" i="3"/>
  <c r="BK39" i="3"/>
  <c r="BA39" i="3"/>
  <c r="BB40" i="3"/>
  <c r="BC40" i="3"/>
  <c r="BD40" i="3"/>
  <c r="BE40" i="3"/>
  <c r="BF40" i="3"/>
  <c r="BG40" i="3"/>
  <c r="BH40" i="3"/>
  <c r="BI40" i="3"/>
  <c r="BJ40" i="3"/>
  <c r="BK40" i="3"/>
  <c r="BA40" i="3"/>
  <c r="BB41" i="3"/>
  <c r="BC41" i="3"/>
  <c r="BD41" i="3"/>
  <c r="BE41" i="3"/>
  <c r="BF41" i="3"/>
  <c r="BG41" i="3"/>
  <c r="BH41" i="3"/>
  <c r="BI41" i="3"/>
  <c r="BJ41" i="3"/>
  <c r="BK41" i="3"/>
  <c r="BA41" i="3"/>
  <c r="BB42" i="3"/>
  <c r="BC42" i="3"/>
  <c r="BD42" i="3"/>
  <c r="BE42" i="3"/>
  <c r="BF42" i="3"/>
  <c r="BG42" i="3"/>
  <c r="BH42" i="3"/>
  <c r="BI42" i="3"/>
  <c r="BJ42" i="3"/>
  <c r="BK42" i="3"/>
  <c r="BA42" i="3"/>
  <c r="BB43" i="3"/>
  <c r="BC43" i="3"/>
  <c r="BD43" i="3"/>
  <c r="BE43" i="3"/>
  <c r="BF43" i="3"/>
  <c r="BG43" i="3"/>
  <c r="BH43" i="3"/>
  <c r="BI43" i="3"/>
  <c r="BJ43" i="3"/>
  <c r="BK43" i="3"/>
  <c r="BA43" i="3"/>
  <c r="BB44" i="3"/>
  <c r="BC44" i="3"/>
  <c r="BD44" i="3"/>
  <c r="BE44" i="3"/>
  <c r="BF44" i="3"/>
  <c r="BG44" i="3"/>
  <c r="BH44" i="3"/>
  <c r="BI44" i="3"/>
  <c r="BJ44" i="3"/>
  <c r="BK44" i="3"/>
  <c r="BA44" i="3"/>
  <c r="BB45" i="3"/>
  <c r="BC45" i="3"/>
  <c r="BD45" i="3"/>
  <c r="BE45" i="3"/>
  <c r="BF45" i="3"/>
  <c r="BG45" i="3"/>
  <c r="BH45" i="3"/>
  <c r="BI45" i="3"/>
  <c r="BJ45" i="3"/>
  <c r="BK45" i="3"/>
  <c r="BA45" i="3"/>
  <c r="BB46" i="3"/>
  <c r="BC46" i="3"/>
  <c r="BD46" i="3"/>
  <c r="BE46" i="3"/>
  <c r="BF46" i="3"/>
  <c r="BG46" i="3"/>
  <c r="BH46" i="3"/>
  <c r="BI46" i="3"/>
  <c r="BJ46" i="3"/>
  <c r="BK46" i="3"/>
  <c r="BA46" i="3"/>
  <c r="BB47" i="3"/>
  <c r="BC47" i="3"/>
  <c r="BD47" i="3"/>
  <c r="BE47" i="3"/>
  <c r="BF47" i="3"/>
  <c r="BG47" i="3"/>
  <c r="BH47" i="3"/>
  <c r="BI47" i="3"/>
  <c r="BJ47" i="3"/>
  <c r="BK47" i="3"/>
  <c r="BA47" i="3"/>
  <c r="BB48" i="3"/>
  <c r="BC48" i="3"/>
  <c r="BD48" i="3"/>
  <c r="BE48" i="3"/>
  <c r="BF48" i="3"/>
  <c r="BG48" i="3"/>
  <c r="BH48" i="3"/>
  <c r="BI48" i="3"/>
  <c r="BJ48" i="3"/>
  <c r="BK48" i="3"/>
  <c r="BA48" i="3"/>
  <c r="BB49" i="3"/>
  <c r="BC49" i="3"/>
  <c r="BD49" i="3"/>
  <c r="BE49" i="3"/>
  <c r="BF49" i="3"/>
  <c r="BG49" i="3"/>
  <c r="BH49" i="3"/>
  <c r="BI49" i="3"/>
  <c r="BJ49" i="3"/>
  <c r="BK49" i="3"/>
  <c r="BA49" i="3"/>
  <c r="BB50" i="3"/>
  <c r="BC50" i="3"/>
  <c r="BD50" i="3"/>
  <c r="BE50" i="3"/>
  <c r="BF50" i="3"/>
  <c r="BG50" i="3"/>
  <c r="BH50" i="3"/>
  <c r="BI50" i="3"/>
  <c r="BJ50" i="3"/>
  <c r="BK50" i="3"/>
  <c r="BA50" i="3"/>
  <c r="BB51" i="3"/>
  <c r="BC51" i="3"/>
  <c r="BD51" i="3"/>
  <c r="BE51" i="3"/>
  <c r="BF51" i="3"/>
  <c r="BG51" i="3"/>
  <c r="BH51" i="3"/>
  <c r="BI51" i="3"/>
  <c r="BJ51" i="3"/>
  <c r="BK51" i="3"/>
  <c r="BA51" i="3"/>
  <c r="BB52" i="3"/>
  <c r="BC52" i="3"/>
  <c r="BD52" i="3"/>
  <c r="BE52" i="3"/>
  <c r="BF52" i="3"/>
  <c r="BG52" i="3"/>
  <c r="BH52" i="3"/>
  <c r="BI52" i="3"/>
  <c r="BJ52" i="3"/>
  <c r="BK52" i="3"/>
  <c r="BA52" i="3"/>
  <c r="BB53" i="3"/>
  <c r="BC53" i="3"/>
  <c r="BD53" i="3"/>
  <c r="BE53" i="3"/>
  <c r="BF53" i="3"/>
  <c r="BG53" i="3"/>
  <c r="BH53" i="3"/>
  <c r="BI53" i="3"/>
  <c r="BJ53" i="3"/>
  <c r="BK53" i="3"/>
  <c r="BA53" i="3"/>
  <c r="BB54" i="3"/>
  <c r="BC54" i="3"/>
  <c r="BD54" i="3"/>
  <c r="BE54" i="3"/>
  <c r="BF54" i="3"/>
  <c r="BG54" i="3"/>
  <c r="BH54" i="3"/>
  <c r="BI54" i="3"/>
  <c r="BJ54" i="3"/>
  <c r="BK54" i="3"/>
  <c r="BA54" i="3"/>
  <c r="BB55" i="3"/>
  <c r="BC55" i="3"/>
  <c r="BD55" i="3"/>
  <c r="BE55" i="3"/>
  <c r="BF55" i="3"/>
  <c r="BG55" i="3"/>
  <c r="BH55" i="3"/>
  <c r="BI55" i="3"/>
  <c r="BJ55" i="3"/>
  <c r="BK55" i="3"/>
  <c r="BA55" i="3"/>
  <c r="BB56" i="3"/>
  <c r="BC56" i="3"/>
  <c r="BD56" i="3"/>
  <c r="BE56" i="3"/>
  <c r="BF56" i="3"/>
  <c r="BG56" i="3"/>
  <c r="BH56" i="3"/>
  <c r="BI56" i="3"/>
  <c r="BJ56" i="3"/>
  <c r="BK56" i="3"/>
  <c r="BA56" i="3"/>
  <c r="BB57" i="3"/>
  <c r="BC57" i="3"/>
  <c r="BD57" i="3"/>
  <c r="BE57" i="3"/>
  <c r="BF57" i="3"/>
  <c r="BG57" i="3"/>
  <c r="BH57" i="3"/>
  <c r="BI57" i="3"/>
  <c r="BJ57" i="3"/>
  <c r="BK57" i="3"/>
  <c r="BA57" i="3"/>
  <c r="BB58" i="3"/>
  <c r="BC58" i="3"/>
  <c r="BD58" i="3"/>
  <c r="BE58" i="3"/>
  <c r="BF58" i="3"/>
  <c r="BG58" i="3"/>
  <c r="BH58" i="3"/>
  <c r="BI58" i="3"/>
  <c r="BJ58" i="3"/>
  <c r="BK58" i="3"/>
  <c r="BA58" i="3"/>
  <c r="BB59" i="3"/>
  <c r="BC59" i="3"/>
  <c r="BD59" i="3"/>
  <c r="BE59" i="3"/>
  <c r="BF59" i="3"/>
  <c r="BG59" i="3"/>
  <c r="BH59" i="3"/>
  <c r="BI59" i="3"/>
  <c r="BJ59" i="3"/>
  <c r="BK59" i="3"/>
  <c r="BA59" i="3"/>
  <c r="BB60" i="3"/>
  <c r="BC60" i="3"/>
  <c r="BD60" i="3"/>
  <c r="BE60" i="3"/>
  <c r="BF60" i="3"/>
  <c r="BG60" i="3"/>
  <c r="BH60" i="3"/>
  <c r="BI60" i="3"/>
  <c r="BJ60" i="3"/>
  <c r="BK60" i="3"/>
  <c r="BA60" i="3"/>
  <c r="BB61" i="3"/>
  <c r="BC61" i="3"/>
  <c r="BD61" i="3"/>
  <c r="BE61" i="3"/>
  <c r="BF61" i="3"/>
  <c r="BG61" i="3"/>
  <c r="BH61" i="3"/>
  <c r="BI61" i="3"/>
  <c r="BJ61" i="3"/>
  <c r="BK61" i="3"/>
  <c r="BA61" i="3"/>
  <c r="BB62" i="3"/>
  <c r="BC62" i="3"/>
  <c r="BD62" i="3"/>
  <c r="BE62" i="3"/>
  <c r="BF62" i="3"/>
  <c r="BG62" i="3"/>
  <c r="BH62" i="3"/>
  <c r="BI62" i="3"/>
  <c r="BJ62" i="3"/>
  <c r="BK62" i="3"/>
  <c r="BA62" i="3"/>
  <c r="BB63" i="3"/>
  <c r="BC63" i="3"/>
  <c r="BD63" i="3"/>
  <c r="BE63" i="3"/>
  <c r="BF63" i="3"/>
  <c r="BG63" i="3"/>
  <c r="BH63" i="3"/>
  <c r="BI63" i="3"/>
  <c r="BJ63" i="3"/>
  <c r="BK63" i="3"/>
  <c r="BA63" i="3"/>
  <c r="BB64" i="3"/>
  <c r="BC64" i="3"/>
  <c r="BD64" i="3"/>
  <c r="BE64" i="3"/>
  <c r="BF64" i="3"/>
  <c r="BG64" i="3"/>
  <c r="BH64" i="3"/>
  <c r="BI64" i="3"/>
  <c r="BJ64" i="3"/>
  <c r="BK64" i="3"/>
  <c r="BA64" i="3"/>
  <c r="BB65" i="3"/>
  <c r="BC65" i="3"/>
  <c r="BD65" i="3"/>
  <c r="BE65" i="3"/>
  <c r="BF65" i="3"/>
  <c r="BG65" i="3"/>
  <c r="BH65" i="3"/>
  <c r="BI65" i="3"/>
  <c r="BJ65" i="3"/>
  <c r="BK65" i="3"/>
  <c r="BA65" i="3"/>
  <c r="BB66" i="3"/>
  <c r="BC66" i="3"/>
  <c r="BD66" i="3"/>
  <c r="BE66" i="3"/>
  <c r="BF66" i="3"/>
  <c r="BG66" i="3"/>
  <c r="BH66" i="3"/>
  <c r="BI66" i="3"/>
  <c r="BJ66" i="3"/>
  <c r="BK66" i="3"/>
  <c r="BA66" i="3"/>
  <c r="BB67" i="3"/>
  <c r="BC67" i="3"/>
  <c r="BD67" i="3"/>
  <c r="BE67" i="3"/>
  <c r="BF67" i="3"/>
  <c r="BG67" i="3"/>
  <c r="BH67" i="3"/>
  <c r="BI67" i="3"/>
  <c r="BJ67" i="3"/>
  <c r="BK67" i="3"/>
  <c r="BA67" i="3"/>
  <c r="BB68" i="3"/>
  <c r="BC68" i="3"/>
  <c r="BD68" i="3"/>
  <c r="BE68" i="3"/>
  <c r="BF68" i="3"/>
  <c r="BG68" i="3"/>
  <c r="BH68" i="3"/>
  <c r="BI68" i="3"/>
  <c r="BJ68" i="3"/>
  <c r="BK68" i="3"/>
  <c r="BA68" i="3"/>
  <c r="BB69" i="3"/>
  <c r="BC69" i="3"/>
  <c r="BD69" i="3"/>
  <c r="BE69" i="3"/>
  <c r="BF69" i="3"/>
  <c r="BG69" i="3"/>
  <c r="BH69" i="3"/>
  <c r="BI69" i="3"/>
  <c r="BJ69" i="3"/>
  <c r="BK69" i="3"/>
  <c r="BA69" i="3"/>
  <c r="BB70" i="3"/>
  <c r="BC70" i="3"/>
  <c r="BD70" i="3"/>
  <c r="BE70" i="3"/>
  <c r="BF70" i="3"/>
  <c r="BG70" i="3"/>
  <c r="BH70" i="3"/>
  <c r="BI70" i="3"/>
  <c r="BJ70" i="3"/>
  <c r="BK70" i="3"/>
  <c r="BA70" i="3"/>
  <c r="BB71" i="3"/>
  <c r="BC71" i="3"/>
  <c r="BD71" i="3"/>
  <c r="BE71" i="3"/>
  <c r="BF71" i="3"/>
  <c r="BG71" i="3"/>
  <c r="BH71" i="3"/>
  <c r="BI71" i="3"/>
  <c r="BJ71" i="3"/>
  <c r="BK71" i="3"/>
  <c r="BA71" i="3"/>
  <c r="BB72" i="3"/>
  <c r="BC72" i="3"/>
  <c r="BD72" i="3"/>
  <c r="BE72" i="3"/>
  <c r="BF72" i="3"/>
  <c r="BG72" i="3"/>
  <c r="BH72" i="3"/>
  <c r="BI72" i="3"/>
  <c r="BJ72" i="3"/>
  <c r="BK72" i="3"/>
  <c r="BA72" i="3"/>
  <c r="BB73" i="3"/>
  <c r="BC73" i="3"/>
  <c r="BD73" i="3"/>
  <c r="BE73" i="3"/>
  <c r="BF73" i="3"/>
  <c r="BG73" i="3"/>
  <c r="BH73" i="3"/>
  <c r="BI73" i="3"/>
  <c r="BJ73" i="3"/>
  <c r="BK73" i="3"/>
  <c r="BA73" i="3"/>
  <c r="BB74" i="3"/>
  <c r="BC74" i="3"/>
  <c r="BD74" i="3"/>
  <c r="BE74" i="3"/>
  <c r="BF74" i="3"/>
  <c r="BG74" i="3"/>
  <c r="BH74" i="3"/>
  <c r="BI74" i="3"/>
  <c r="BJ74" i="3"/>
  <c r="BK74" i="3"/>
  <c r="BA74" i="3"/>
  <c r="BB75" i="3"/>
  <c r="BC75" i="3"/>
  <c r="BD75" i="3"/>
  <c r="BE75" i="3"/>
  <c r="BF75" i="3"/>
  <c r="BG75" i="3"/>
  <c r="BH75" i="3"/>
  <c r="BI75" i="3"/>
  <c r="BJ75" i="3"/>
  <c r="BK75" i="3"/>
  <c r="BA75" i="3"/>
  <c r="BB76" i="3"/>
  <c r="BC76" i="3"/>
  <c r="BD76" i="3"/>
  <c r="BE76" i="3"/>
  <c r="BF76" i="3"/>
  <c r="BG76" i="3"/>
  <c r="BH76" i="3"/>
  <c r="BI76" i="3"/>
  <c r="BJ76" i="3"/>
  <c r="BK76" i="3"/>
  <c r="BA76" i="3"/>
  <c r="BB77" i="3"/>
  <c r="BC77" i="3"/>
  <c r="BD77" i="3"/>
  <c r="BE77" i="3"/>
  <c r="BF77" i="3"/>
  <c r="BG77" i="3"/>
  <c r="BH77" i="3"/>
  <c r="BI77" i="3"/>
  <c r="BJ77" i="3"/>
  <c r="BK77" i="3"/>
  <c r="BA77" i="3"/>
  <c r="BB78" i="3"/>
  <c r="BC78" i="3"/>
  <c r="BD78" i="3"/>
  <c r="BE78" i="3"/>
  <c r="BF78" i="3"/>
  <c r="BG78" i="3"/>
  <c r="BH78" i="3"/>
  <c r="BI78" i="3"/>
  <c r="BJ78" i="3"/>
  <c r="BK78" i="3"/>
  <c r="BA78" i="3"/>
  <c r="BB79" i="3"/>
  <c r="BC79" i="3"/>
  <c r="BD79" i="3"/>
  <c r="BE79" i="3"/>
  <c r="BF79" i="3"/>
  <c r="BG79" i="3"/>
  <c r="BH79" i="3"/>
  <c r="BI79" i="3"/>
  <c r="BJ79" i="3"/>
  <c r="BK79" i="3"/>
  <c r="BA79" i="3"/>
  <c r="BB80" i="3"/>
  <c r="BC80" i="3"/>
  <c r="BD80" i="3"/>
  <c r="BE80" i="3"/>
  <c r="BF80" i="3"/>
  <c r="BG80" i="3"/>
  <c r="BH80" i="3"/>
  <c r="BI80" i="3"/>
  <c r="BJ80" i="3"/>
  <c r="BK80" i="3"/>
  <c r="BA80" i="3"/>
  <c r="BB81" i="3"/>
  <c r="BC81" i="3"/>
  <c r="BD81" i="3"/>
  <c r="BE81" i="3"/>
  <c r="BF81" i="3"/>
  <c r="BG81" i="3"/>
  <c r="BH81" i="3"/>
  <c r="BI81" i="3"/>
  <c r="BJ81" i="3"/>
  <c r="BK81" i="3"/>
  <c r="BA81" i="3"/>
  <c r="BB82" i="3"/>
  <c r="BC82" i="3"/>
  <c r="BD82" i="3"/>
  <c r="BE82" i="3"/>
  <c r="BF82" i="3"/>
  <c r="BG82" i="3"/>
  <c r="BH82" i="3"/>
  <c r="BI82" i="3"/>
  <c r="BJ82" i="3"/>
  <c r="BK82" i="3"/>
  <c r="BA82" i="3"/>
  <c r="BB83" i="3"/>
  <c r="BC83" i="3"/>
  <c r="BD83" i="3"/>
  <c r="BE83" i="3"/>
  <c r="BF83" i="3"/>
  <c r="BG83" i="3"/>
  <c r="BH83" i="3"/>
  <c r="BI83" i="3"/>
  <c r="BJ83" i="3"/>
  <c r="BK83" i="3"/>
  <c r="BA83" i="3"/>
  <c r="BB84" i="3"/>
  <c r="BC84" i="3"/>
  <c r="BD84" i="3"/>
  <c r="BE84" i="3"/>
  <c r="BF84" i="3"/>
  <c r="BG84" i="3"/>
  <c r="BH84" i="3"/>
  <c r="BI84" i="3"/>
  <c r="BJ84" i="3"/>
  <c r="BK84" i="3"/>
  <c r="BA84" i="3"/>
  <c r="BB85" i="3"/>
  <c r="BC85" i="3"/>
  <c r="BD85" i="3"/>
  <c r="BE85" i="3"/>
  <c r="BF85" i="3"/>
  <c r="BG85" i="3"/>
  <c r="BH85" i="3"/>
  <c r="BI85" i="3"/>
  <c r="BJ85" i="3"/>
  <c r="BK85" i="3"/>
  <c r="BA85" i="3"/>
  <c r="BB86" i="3"/>
  <c r="BC86" i="3"/>
  <c r="BD86" i="3"/>
  <c r="BE86" i="3"/>
  <c r="BF86" i="3"/>
  <c r="BG86" i="3"/>
  <c r="BH86" i="3"/>
  <c r="BI86" i="3"/>
  <c r="BJ86" i="3"/>
  <c r="BK86" i="3"/>
  <c r="BA86" i="3"/>
  <c r="BB87" i="3"/>
  <c r="BC87" i="3"/>
  <c r="BD87" i="3"/>
  <c r="BE87" i="3"/>
  <c r="BF87" i="3"/>
  <c r="BG87" i="3"/>
  <c r="BH87" i="3"/>
  <c r="BI87" i="3"/>
  <c r="BJ87" i="3"/>
  <c r="BK87" i="3"/>
  <c r="BA87" i="3"/>
  <c r="BB88" i="3"/>
  <c r="BC88" i="3"/>
  <c r="BD88" i="3"/>
  <c r="BE88" i="3"/>
  <c r="BF88" i="3"/>
  <c r="BG88" i="3"/>
  <c r="BH88" i="3"/>
  <c r="BI88" i="3"/>
  <c r="BJ88" i="3"/>
  <c r="BK88" i="3"/>
  <c r="BA88" i="3"/>
  <c r="BB89" i="3"/>
  <c r="BC89" i="3"/>
  <c r="BD89" i="3"/>
  <c r="BE89" i="3"/>
  <c r="BF89" i="3"/>
  <c r="BG89" i="3"/>
  <c r="BH89" i="3"/>
  <c r="BI89" i="3"/>
  <c r="BJ89" i="3"/>
  <c r="BK89" i="3"/>
  <c r="BA89" i="3"/>
  <c r="BB90" i="3"/>
  <c r="BC90" i="3"/>
  <c r="BD90" i="3"/>
  <c r="BE90" i="3"/>
  <c r="BF90" i="3"/>
  <c r="BG90" i="3"/>
  <c r="BH90" i="3"/>
  <c r="BI90" i="3"/>
  <c r="BJ90" i="3"/>
  <c r="BK90" i="3"/>
  <c r="BA90" i="3"/>
  <c r="BB91" i="3"/>
  <c r="BC91" i="3"/>
  <c r="BD91" i="3"/>
  <c r="BE91" i="3"/>
  <c r="BF91" i="3"/>
  <c r="BG91" i="3"/>
  <c r="BH91" i="3"/>
  <c r="BI91" i="3"/>
  <c r="BJ91" i="3"/>
  <c r="BK91" i="3"/>
  <c r="BA91" i="3"/>
  <c r="BB92" i="3"/>
  <c r="BC92" i="3"/>
  <c r="BD92" i="3"/>
  <c r="BE92" i="3"/>
  <c r="BF92" i="3"/>
  <c r="BG92" i="3"/>
  <c r="BH92" i="3"/>
  <c r="BI92" i="3"/>
  <c r="BJ92" i="3"/>
  <c r="BK92" i="3"/>
  <c r="BA92" i="3"/>
  <c r="BB93" i="3"/>
  <c r="BC93" i="3"/>
  <c r="BD93" i="3"/>
  <c r="BE93" i="3"/>
  <c r="BF93" i="3"/>
  <c r="BG93" i="3"/>
  <c r="BH93" i="3"/>
  <c r="BI93" i="3"/>
  <c r="BJ93" i="3"/>
  <c r="BK93" i="3"/>
  <c r="BA93" i="3"/>
  <c r="BB94" i="3"/>
  <c r="BC94" i="3"/>
  <c r="BD94" i="3"/>
  <c r="BE94" i="3"/>
  <c r="BF94" i="3"/>
  <c r="BG94" i="3"/>
  <c r="BH94" i="3"/>
  <c r="BI94" i="3"/>
  <c r="BJ94" i="3"/>
  <c r="BK94" i="3"/>
  <c r="BA94" i="3"/>
  <c r="BB95" i="3"/>
  <c r="BC95" i="3"/>
  <c r="BD95" i="3"/>
  <c r="BE95" i="3"/>
  <c r="BF95" i="3"/>
  <c r="BG95" i="3"/>
  <c r="BH95" i="3"/>
  <c r="BI95" i="3"/>
  <c r="BJ95" i="3"/>
  <c r="BK95" i="3"/>
  <c r="BA95" i="3"/>
  <c r="BB96" i="3"/>
  <c r="BC96" i="3"/>
  <c r="BD96" i="3"/>
  <c r="BE96" i="3"/>
  <c r="BF96" i="3"/>
  <c r="BG96" i="3"/>
  <c r="BH96" i="3"/>
  <c r="BI96" i="3"/>
  <c r="BJ96" i="3"/>
  <c r="BK96" i="3"/>
  <c r="BA96" i="3"/>
  <c r="BB97" i="3"/>
  <c r="BC97" i="3"/>
  <c r="BD97" i="3"/>
  <c r="BE97" i="3"/>
  <c r="BF97" i="3"/>
  <c r="BG97" i="3"/>
  <c r="BH97" i="3"/>
  <c r="BI97" i="3"/>
  <c r="BJ97" i="3"/>
  <c r="BK97" i="3"/>
  <c r="BA97" i="3"/>
  <c r="BB98" i="3"/>
  <c r="BC98" i="3"/>
  <c r="BD98" i="3"/>
  <c r="BE98" i="3"/>
  <c r="BF98" i="3"/>
  <c r="BG98" i="3"/>
  <c r="BH98" i="3"/>
  <c r="BI98" i="3"/>
  <c r="BJ98" i="3"/>
  <c r="BK98" i="3"/>
  <c r="BA98" i="3"/>
  <c r="BB99" i="3"/>
  <c r="BC99" i="3"/>
  <c r="BD99" i="3"/>
  <c r="BE99" i="3"/>
  <c r="BF99" i="3"/>
  <c r="BG99" i="3"/>
  <c r="BH99" i="3"/>
  <c r="BI99" i="3"/>
  <c r="BJ99" i="3"/>
  <c r="BK99" i="3"/>
  <c r="BA99" i="3"/>
  <c r="BB100" i="3"/>
  <c r="BC100" i="3"/>
  <c r="BD100" i="3"/>
  <c r="BE100" i="3"/>
  <c r="BF100" i="3"/>
  <c r="BG100" i="3"/>
  <c r="BH100" i="3"/>
  <c r="BI100" i="3"/>
  <c r="BJ100" i="3"/>
  <c r="BK100" i="3"/>
  <c r="BA100" i="3"/>
  <c r="BB101" i="3"/>
  <c r="BC101" i="3"/>
  <c r="BD101" i="3"/>
  <c r="BE101" i="3"/>
  <c r="BF101" i="3"/>
  <c r="BG101" i="3"/>
  <c r="BH101" i="3"/>
  <c r="BI101" i="3"/>
  <c r="BJ101" i="3"/>
  <c r="BK101" i="3"/>
  <c r="BA101" i="3"/>
  <c r="BB102" i="3"/>
  <c r="BC102" i="3"/>
  <c r="BD102" i="3"/>
  <c r="BE102" i="3"/>
  <c r="BF102" i="3"/>
  <c r="BG102" i="3"/>
  <c r="BH102" i="3"/>
  <c r="BI102" i="3"/>
  <c r="BJ102" i="3"/>
  <c r="BK102" i="3"/>
  <c r="BA102" i="3"/>
  <c r="BB103" i="3"/>
  <c r="BC103" i="3"/>
  <c r="BD103" i="3"/>
  <c r="BE103" i="3"/>
  <c r="BF103" i="3"/>
  <c r="BG103" i="3"/>
  <c r="BH103" i="3"/>
  <c r="BI103" i="3"/>
  <c r="BJ103" i="3"/>
  <c r="BK103" i="3"/>
  <c r="BA103" i="3"/>
  <c r="BB104" i="3"/>
  <c r="BC104" i="3"/>
  <c r="BD104" i="3"/>
  <c r="BE104" i="3"/>
  <c r="BF104" i="3"/>
  <c r="BG104" i="3"/>
  <c r="BH104" i="3"/>
  <c r="BI104" i="3"/>
  <c r="BJ104" i="3"/>
  <c r="BK104" i="3"/>
  <c r="BA104" i="3"/>
  <c r="BB105" i="3"/>
  <c r="BC105" i="3"/>
  <c r="BD105" i="3"/>
  <c r="BE105" i="3"/>
  <c r="BF105" i="3"/>
  <c r="BG105" i="3"/>
  <c r="BH105" i="3"/>
  <c r="BI105" i="3"/>
  <c r="BJ105" i="3"/>
  <c r="BK105" i="3"/>
  <c r="BA105" i="3"/>
  <c r="BB106" i="3"/>
  <c r="BC106" i="3"/>
  <c r="BD106" i="3"/>
  <c r="BE106" i="3"/>
  <c r="BF106" i="3"/>
  <c r="BG106" i="3"/>
  <c r="BH106" i="3"/>
  <c r="BI106" i="3"/>
  <c r="BJ106" i="3"/>
  <c r="BK106" i="3"/>
  <c r="BA106" i="3"/>
  <c r="BB107" i="3"/>
  <c r="BC107" i="3"/>
  <c r="BD107" i="3"/>
  <c r="BE107" i="3"/>
  <c r="BF107" i="3"/>
  <c r="BG107" i="3"/>
  <c r="BH107" i="3"/>
  <c r="BI107" i="3"/>
  <c r="BJ107" i="3"/>
  <c r="BK107" i="3"/>
  <c r="BA107" i="3"/>
  <c r="BB108" i="3"/>
  <c r="BC108" i="3"/>
  <c r="BD108" i="3"/>
  <c r="BE108" i="3"/>
  <c r="BF108" i="3"/>
  <c r="BG108" i="3"/>
  <c r="BH108" i="3"/>
  <c r="BI108" i="3"/>
  <c r="BJ108" i="3"/>
  <c r="BK108" i="3"/>
  <c r="BA108" i="3"/>
  <c r="BB109" i="3"/>
  <c r="BC109" i="3"/>
  <c r="BD109" i="3"/>
  <c r="BE109" i="3"/>
  <c r="BF109" i="3"/>
  <c r="BG109" i="3"/>
  <c r="BH109" i="3"/>
  <c r="BI109" i="3"/>
  <c r="BJ109" i="3"/>
  <c r="BK109" i="3"/>
  <c r="BA109" i="3"/>
  <c r="BB110" i="3"/>
  <c r="BC110" i="3"/>
  <c r="BD110" i="3"/>
  <c r="BE110" i="3"/>
  <c r="BF110" i="3"/>
  <c r="BG110" i="3"/>
  <c r="BH110" i="3"/>
  <c r="BI110" i="3"/>
  <c r="BJ110" i="3"/>
  <c r="BK110" i="3"/>
  <c r="BA110" i="3"/>
  <c r="BB111" i="3"/>
  <c r="BC111" i="3"/>
  <c r="BD111" i="3"/>
  <c r="BE111" i="3"/>
  <c r="BF111" i="3"/>
  <c r="BG111" i="3"/>
  <c r="BH111" i="3"/>
  <c r="BI111" i="3"/>
  <c r="BJ111" i="3"/>
  <c r="BK111" i="3"/>
  <c r="BA111" i="3"/>
  <c r="BB112" i="3"/>
  <c r="BC112" i="3"/>
  <c r="BD112" i="3"/>
  <c r="BE112" i="3"/>
  <c r="BF112" i="3"/>
  <c r="BG112" i="3"/>
  <c r="BH112" i="3"/>
  <c r="BI112" i="3"/>
  <c r="BJ112" i="3"/>
  <c r="BK112" i="3"/>
  <c r="BA112" i="3"/>
  <c r="BB113" i="3"/>
  <c r="BC113" i="3"/>
  <c r="BD113" i="3"/>
  <c r="BE113" i="3"/>
  <c r="BF113" i="3"/>
  <c r="BG113" i="3"/>
  <c r="BH113" i="3"/>
  <c r="BI113" i="3"/>
  <c r="BJ113" i="3"/>
  <c r="BK113" i="3"/>
  <c r="BA113" i="3"/>
  <c r="BB114" i="3"/>
  <c r="BC114" i="3"/>
  <c r="BD114" i="3"/>
  <c r="BE114" i="3"/>
  <c r="BF114" i="3"/>
  <c r="BG114" i="3"/>
  <c r="BH114" i="3"/>
  <c r="BI114" i="3"/>
  <c r="BJ114" i="3"/>
  <c r="BK114" i="3"/>
  <c r="BA114" i="3"/>
  <c r="BB115" i="3"/>
  <c r="BC115" i="3"/>
  <c r="BD115" i="3"/>
  <c r="BE115" i="3"/>
  <c r="BF115" i="3"/>
  <c r="BG115" i="3"/>
  <c r="BH115" i="3"/>
  <c r="BI115" i="3"/>
  <c r="BJ115" i="3"/>
  <c r="BK115" i="3"/>
  <c r="BA115" i="3"/>
  <c r="BB116" i="3"/>
  <c r="BC116" i="3"/>
  <c r="BD116" i="3"/>
  <c r="BE116" i="3"/>
  <c r="BF116" i="3"/>
  <c r="BG116" i="3"/>
  <c r="BH116" i="3"/>
  <c r="BI116" i="3"/>
  <c r="BJ116" i="3"/>
  <c r="BK116" i="3"/>
  <c r="BA116" i="3"/>
  <c r="BB117" i="3"/>
  <c r="BC117" i="3"/>
  <c r="BD117" i="3"/>
  <c r="BE117" i="3"/>
  <c r="BF117" i="3"/>
  <c r="BG117" i="3"/>
  <c r="BH117" i="3"/>
  <c r="BI117" i="3"/>
  <c r="BJ117" i="3"/>
  <c r="BK117" i="3"/>
  <c r="BA117" i="3"/>
  <c r="BB118" i="3"/>
  <c r="BC118" i="3"/>
  <c r="BD118" i="3"/>
  <c r="BE118" i="3"/>
  <c r="BF118" i="3"/>
  <c r="BG118" i="3"/>
  <c r="BH118" i="3"/>
  <c r="BI118" i="3"/>
  <c r="BJ118" i="3"/>
  <c r="BK118" i="3"/>
  <c r="BA118" i="3"/>
  <c r="BB119" i="3"/>
  <c r="BC119" i="3"/>
  <c r="BD119" i="3"/>
  <c r="BE119" i="3"/>
  <c r="BF119" i="3"/>
  <c r="BG119" i="3"/>
  <c r="BH119" i="3"/>
  <c r="BI119" i="3"/>
  <c r="BJ119" i="3"/>
  <c r="BK119" i="3"/>
  <c r="BA119" i="3"/>
  <c r="BB120" i="3"/>
  <c r="BC120" i="3"/>
  <c r="BD120" i="3"/>
  <c r="BE120" i="3"/>
  <c r="BF120" i="3"/>
  <c r="BG120" i="3"/>
  <c r="BH120" i="3"/>
  <c r="BI120" i="3"/>
  <c r="BJ120" i="3"/>
  <c r="BK120" i="3"/>
  <c r="BA120" i="3"/>
  <c r="BB121" i="3"/>
  <c r="BC121" i="3"/>
  <c r="BD121" i="3"/>
  <c r="BE121" i="3"/>
  <c r="BF121" i="3"/>
  <c r="BG121" i="3"/>
  <c r="BH121" i="3"/>
  <c r="BI121" i="3"/>
  <c r="BJ121" i="3"/>
  <c r="BK121" i="3"/>
  <c r="BA121" i="3"/>
  <c r="BB122" i="3"/>
  <c r="BC122" i="3"/>
  <c r="BD122" i="3"/>
  <c r="BE122" i="3"/>
  <c r="BF122" i="3"/>
  <c r="BG122" i="3"/>
  <c r="BH122" i="3"/>
  <c r="BI122" i="3"/>
  <c r="BJ122" i="3"/>
  <c r="BK122" i="3"/>
  <c r="BA122" i="3"/>
  <c r="BB123" i="3"/>
  <c r="BC123" i="3"/>
  <c r="BD123" i="3"/>
  <c r="BE123" i="3"/>
  <c r="BF123" i="3"/>
  <c r="BG123" i="3"/>
  <c r="BH123" i="3"/>
  <c r="BI123" i="3"/>
  <c r="BJ123" i="3"/>
  <c r="BK123" i="3"/>
  <c r="BA123" i="3"/>
  <c r="BB124" i="3"/>
  <c r="BC124" i="3"/>
  <c r="BD124" i="3"/>
  <c r="BE124" i="3"/>
  <c r="BF124" i="3"/>
  <c r="BG124" i="3"/>
  <c r="BH124" i="3"/>
  <c r="BI124" i="3"/>
  <c r="BJ124" i="3"/>
  <c r="BK124" i="3"/>
  <c r="BA124" i="3"/>
  <c r="BB125" i="3"/>
  <c r="BC125" i="3"/>
  <c r="BD125" i="3"/>
  <c r="BE125" i="3"/>
  <c r="BF125" i="3"/>
  <c r="BG125" i="3"/>
  <c r="BH125" i="3"/>
  <c r="BI125" i="3"/>
  <c r="BJ125" i="3"/>
  <c r="BK125" i="3"/>
  <c r="BA125" i="3"/>
  <c r="BB126" i="3"/>
  <c r="BC126" i="3"/>
  <c r="BD126" i="3"/>
  <c r="BE126" i="3"/>
  <c r="BF126" i="3"/>
  <c r="BG126" i="3"/>
  <c r="BH126" i="3"/>
  <c r="BI126" i="3"/>
  <c r="BJ126" i="3"/>
  <c r="BK126" i="3"/>
  <c r="BA126" i="3"/>
  <c r="BB127" i="3"/>
  <c r="BC127" i="3"/>
  <c r="BD127" i="3"/>
  <c r="BE127" i="3"/>
  <c r="BF127" i="3"/>
  <c r="BG127" i="3"/>
  <c r="BH127" i="3"/>
  <c r="BI127" i="3"/>
  <c r="BJ127" i="3"/>
  <c r="BK127" i="3"/>
  <c r="BA127" i="3"/>
  <c r="BB128" i="3"/>
  <c r="BC128" i="3"/>
  <c r="BD128" i="3"/>
  <c r="BE128" i="3"/>
  <c r="BF128" i="3"/>
  <c r="BG128" i="3"/>
  <c r="BH128" i="3"/>
  <c r="BI128" i="3"/>
  <c r="BJ128" i="3"/>
  <c r="BK128" i="3"/>
  <c r="BA128" i="3"/>
  <c r="BB129" i="3"/>
  <c r="BC129" i="3"/>
  <c r="BD129" i="3"/>
  <c r="BE129" i="3"/>
  <c r="BF129" i="3"/>
  <c r="BG129" i="3"/>
  <c r="BH129" i="3"/>
  <c r="BI129" i="3"/>
  <c r="BJ129" i="3"/>
  <c r="BK129" i="3"/>
  <c r="BA129" i="3"/>
  <c r="BB130" i="3"/>
  <c r="BC130" i="3"/>
  <c r="BD130" i="3"/>
  <c r="BE130" i="3"/>
  <c r="BF130" i="3"/>
  <c r="BG130" i="3"/>
  <c r="BH130" i="3"/>
  <c r="BI130" i="3"/>
  <c r="BJ130" i="3"/>
  <c r="BK130" i="3"/>
  <c r="BA130" i="3"/>
  <c r="BB131" i="3"/>
  <c r="BC131" i="3"/>
  <c r="BD131" i="3"/>
  <c r="BE131" i="3"/>
  <c r="BF131" i="3"/>
  <c r="BG131" i="3"/>
  <c r="BH131" i="3"/>
  <c r="BI131" i="3"/>
  <c r="BJ131" i="3"/>
  <c r="BK131" i="3"/>
  <c r="BA131" i="3"/>
  <c r="BB132" i="3"/>
  <c r="BC132" i="3"/>
  <c r="BD132" i="3"/>
  <c r="BE132" i="3"/>
  <c r="BF132" i="3"/>
  <c r="BG132" i="3"/>
  <c r="BH132" i="3"/>
  <c r="BI132" i="3"/>
  <c r="BJ132" i="3"/>
  <c r="BK132" i="3"/>
  <c r="BA132" i="3"/>
  <c r="BB133" i="3"/>
  <c r="BC133" i="3"/>
  <c r="BD133" i="3"/>
  <c r="BE133" i="3"/>
  <c r="BF133" i="3"/>
  <c r="BG133" i="3"/>
  <c r="BH133" i="3"/>
  <c r="BI133" i="3"/>
  <c r="BJ133" i="3"/>
  <c r="BK133" i="3"/>
  <c r="BA133" i="3"/>
  <c r="BB134" i="3"/>
  <c r="BC134" i="3"/>
  <c r="BD134" i="3"/>
  <c r="BE134" i="3"/>
  <c r="BF134" i="3"/>
  <c r="BG134" i="3"/>
  <c r="BH134" i="3"/>
  <c r="BI134" i="3"/>
  <c r="BJ134" i="3"/>
  <c r="BK134" i="3"/>
  <c r="BA134" i="3"/>
  <c r="BB135" i="3"/>
  <c r="BC135" i="3"/>
  <c r="BD135" i="3"/>
  <c r="BE135" i="3"/>
  <c r="BF135" i="3"/>
  <c r="BG135" i="3"/>
  <c r="BH135" i="3"/>
  <c r="BI135" i="3"/>
  <c r="BJ135" i="3"/>
  <c r="BK135" i="3"/>
  <c r="BA135" i="3"/>
  <c r="BB136" i="3"/>
  <c r="BC136" i="3"/>
  <c r="BD136" i="3"/>
  <c r="BE136" i="3"/>
  <c r="BF136" i="3"/>
  <c r="BG136" i="3"/>
  <c r="BH136" i="3"/>
  <c r="BI136" i="3"/>
  <c r="BJ136" i="3"/>
  <c r="BK136" i="3"/>
  <c r="BA136" i="3"/>
  <c r="BB137" i="3"/>
  <c r="BC137" i="3"/>
  <c r="BD137" i="3"/>
  <c r="BE137" i="3"/>
  <c r="BF137" i="3"/>
  <c r="BG137" i="3"/>
  <c r="BH137" i="3"/>
  <c r="BI137" i="3"/>
  <c r="BJ137" i="3"/>
  <c r="BK137" i="3"/>
  <c r="BA137" i="3"/>
  <c r="BB138" i="3"/>
  <c r="BC138" i="3"/>
  <c r="BD138" i="3"/>
  <c r="BE138" i="3"/>
  <c r="BF138" i="3"/>
  <c r="BG138" i="3"/>
  <c r="BH138" i="3"/>
  <c r="BI138" i="3"/>
  <c r="BJ138" i="3"/>
  <c r="BK138" i="3"/>
  <c r="BA138" i="3"/>
  <c r="BB139" i="3"/>
  <c r="BC139" i="3"/>
  <c r="BD139" i="3"/>
  <c r="BE139" i="3"/>
  <c r="BF139" i="3"/>
  <c r="BG139" i="3"/>
  <c r="BH139" i="3"/>
  <c r="BI139" i="3"/>
  <c r="BJ139" i="3"/>
  <c r="BK139" i="3"/>
  <c r="BA139" i="3"/>
  <c r="BB140" i="3"/>
  <c r="BC140" i="3"/>
  <c r="BD140" i="3"/>
  <c r="BE140" i="3"/>
  <c r="BF140" i="3"/>
  <c r="BG140" i="3"/>
  <c r="BH140" i="3"/>
  <c r="BI140" i="3"/>
  <c r="BJ140" i="3"/>
  <c r="BK140" i="3"/>
  <c r="BA140" i="3"/>
  <c r="BB141" i="3"/>
  <c r="BC141" i="3"/>
  <c r="BD141" i="3"/>
  <c r="BE141" i="3"/>
  <c r="BF141" i="3"/>
  <c r="BG141" i="3"/>
  <c r="BH141" i="3"/>
  <c r="BI141" i="3"/>
  <c r="BJ141" i="3"/>
  <c r="BK141" i="3"/>
  <c r="BA141" i="3"/>
  <c r="BB142" i="3"/>
  <c r="BC142" i="3"/>
  <c r="BD142" i="3"/>
  <c r="BE142" i="3"/>
  <c r="BF142" i="3"/>
  <c r="BG142" i="3"/>
  <c r="BH142" i="3"/>
  <c r="BI142" i="3"/>
  <c r="BJ142" i="3"/>
  <c r="BK142" i="3"/>
  <c r="BA142" i="3"/>
  <c r="BB143" i="3"/>
  <c r="BC143" i="3"/>
  <c r="BD143" i="3"/>
  <c r="BE143" i="3"/>
  <c r="BF143" i="3"/>
  <c r="BG143" i="3"/>
  <c r="BH143" i="3"/>
  <c r="BI143" i="3"/>
  <c r="BJ143" i="3"/>
  <c r="BK143" i="3"/>
  <c r="BA143" i="3"/>
  <c r="BB144" i="3"/>
  <c r="BC144" i="3"/>
  <c r="BD144" i="3"/>
  <c r="BE144" i="3"/>
  <c r="BF144" i="3"/>
  <c r="BG144" i="3"/>
  <c r="BH144" i="3"/>
  <c r="BI144" i="3"/>
  <c r="BJ144" i="3"/>
  <c r="BK144" i="3"/>
  <c r="BA144" i="3"/>
  <c r="BB145" i="3"/>
  <c r="BC145" i="3"/>
  <c r="BD145" i="3"/>
  <c r="BE145" i="3"/>
  <c r="BF145" i="3"/>
  <c r="BG145" i="3"/>
  <c r="BH145" i="3"/>
  <c r="BI145" i="3"/>
  <c r="BJ145" i="3"/>
  <c r="BK145" i="3"/>
  <c r="BA145" i="3"/>
  <c r="BB146" i="3"/>
  <c r="BC146" i="3"/>
  <c r="BD146" i="3"/>
  <c r="BE146" i="3"/>
  <c r="BF146" i="3"/>
  <c r="BG146" i="3"/>
  <c r="BH146" i="3"/>
  <c r="BI146" i="3"/>
  <c r="BJ146" i="3"/>
  <c r="BK146" i="3"/>
  <c r="BA146" i="3"/>
  <c r="BB147" i="3"/>
  <c r="BC147" i="3"/>
  <c r="BD147" i="3"/>
  <c r="BE147" i="3"/>
  <c r="BF147" i="3"/>
  <c r="BG147" i="3"/>
  <c r="BH147" i="3"/>
  <c r="BI147" i="3"/>
  <c r="BJ147" i="3"/>
  <c r="BK147" i="3"/>
  <c r="BA147" i="3"/>
  <c r="BB148" i="3"/>
  <c r="BC148" i="3"/>
  <c r="BD148" i="3"/>
  <c r="BE148" i="3"/>
  <c r="BF148" i="3"/>
  <c r="BG148" i="3"/>
  <c r="BH148" i="3"/>
  <c r="BI148" i="3"/>
  <c r="BJ148" i="3"/>
  <c r="BK148" i="3"/>
  <c r="BA148" i="3"/>
  <c r="BB149" i="3"/>
  <c r="BC149" i="3"/>
  <c r="BD149" i="3"/>
  <c r="BE149" i="3"/>
  <c r="BF149" i="3"/>
  <c r="BG149" i="3"/>
  <c r="BH149" i="3"/>
  <c r="BI149" i="3"/>
  <c r="BJ149" i="3"/>
  <c r="BK149" i="3"/>
  <c r="BA149" i="3"/>
  <c r="BB150" i="3"/>
  <c r="BC150" i="3"/>
  <c r="BD150" i="3"/>
  <c r="BE150" i="3"/>
  <c r="BF150" i="3"/>
  <c r="BG150" i="3"/>
  <c r="BH150" i="3"/>
  <c r="BI150" i="3"/>
  <c r="BJ150" i="3"/>
  <c r="BK150" i="3"/>
  <c r="BA150" i="3"/>
  <c r="BB151" i="3"/>
  <c r="BC151" i="3"/>
  <c r="BD151" i="3"/>
  <c r="BE151" i="3"/>
  <c r="BF151" i="3"/>
  <c r="BG151" i="3"/>
  <c r="BH151" i="3"/>
  <c r="BI151" i="3"/>
  <c r="BJ151" i="3"/>
  <c r="BK151" i="3"/>
  <c r="BA151" i="3"/>
  <c r="BB152" i="3"/>
  <c r="BC152" i="3"/>
  <c r="BD152" i="3"/>
  <c r="BE152" i="3"/>
  <c r="BF152" i="3"/>
  <c r="BG152" i="3"/>
  <c r="BH152" i="3"/>
  <c r="BI152" i="3"/>
  <c r="BJ152" i="3"/>
  <c r="BK152" i="3"/>
  <c r="BA152" i="3"/>
  <c r="BB153" i="3"/>
  <c r="BC153" i="3"/>
  <c r="BD153" i="3"/>
  <c r="BE153" i="3"/>
  <c r="BF153" i="3"/>
  <c r="BG153" i="3"/>
  <c r="BH153" i="3"/>
  <c r="BI153" i="3"/>
  <c r="BJ153" i="3"/>
  <c r="BK153" i="3"/>
  <c r="BA153" i="3"/>
  <c r="BB154" i="3"/>
  <c r="BC154" i="3"/>
  <c r="BD154" i="3"/>
  <c r="BE154" i="3"/>
  <c r="BF154" i="3"/>
  <c r="BG154" i="3"/>
  <c r="BH154" i="3"/>
  <c r="BI154" i="3"/>
  <c r="BJ154" i="3"/>
  <c r="BK154" i="3"/>
  <c r="BA154" i="3"/>
  <c r="BB155" i="3"/>
  <c r="BC155" i="3"/>
  <c r="BD155" i="3"/>
  <c r="BE155" i="3"/>
  <c r="BF155" i="3"/>
  <c r="BG155" i="3"/>
  <c r="BH155" i="3"/>
  <c r="BI155" i="3"/>
  <c r="BJ155" i="3"/>
  <c r="BK155" i="3"/>
  <c r="BA155" i="3"/>
  <c r="BB156" i="3"/>
  <c r="BC156" i="3"/>
  <c r="BD156" i="3"/>
  <c r="BE156" i="3"/>
  <c r="BF156" i="3"/>
  <c r="BG156" i="3"/>
  <c r="BH156" i="3"/>
  <c r="BI156" i="3"/>
  <c r="BJ156" i="3"/>
  <c r="BK156" i="3"/>
  <c r="BA156" i="3"/>
  <c r="BB157" i="3"/>
  <c r="BC157" i="3"/>
  <c r="BD157" i="3"/>
  <c r="BE157" i="3"/>
  <c r="BF157" i="3"/>
  <c r="BG157" i="3"/>
  <c r="BH157" i="3"/>
  <c r="BI157" i="3"/>
  <c r="BJ157" i="3"/>
  <c r="BK157" i="3"/>
  <c r="BA157" i="3"/>
  <c r="BB158" i="3"/>
  <c r="BC158" i="3"/>
  <c r="BD158" i="3"/>
  <c r="BE158" i="3"/>
  <c r="BF158" i="3"/>
  <c r="BG158" i="3"/>
  <c r="BH158" i="3"/>
  <c r="BI158" i="3"/>
  <c r="BJ158" i="3"/>
  <c r="BK158" i="3"/>
  <c r="BA158" i="3"/>
  <c r="BB159" i="3"/>
  <c r="BC159" i="3"/>
  <c r="BD159" i="3"/>
  <c r="BE159" i="3"/>
  <c r="BF159" i="3"/>
  <c r="BG159" i="3"/>
  <c r="BH159" i="3"/>
  <c r="BI159" i="3"/>
  <c r="BJ159" i="3"/>
  <c r="BK159" i="3"/>
  <c r="BA159" i="3"/>
  <c r="BB160" i="3"/>
  <c r="BC160" i="3"/>
  <c r="BD160" i="3"/>
  <c r="BE160" i="3"/>
  <c r="BF160" i="3"/>
  <c r="BG160" i="3"/>
  <c r="BH160" i="3"/>
  <c r="BI160" i="3"/>
  <c r="BJ160" i="3"/>
  <c r="BK160" i="3"/>
  <c r="BA160" i="3"/>
  <c r="BB161" i="3"/>
  <c r="BC161" i="3"/>
  <c r="BD161" i="3"/>
  <c r="BE161" i="3"/>
  <c r="BF161" i="3"/>
  <c r="BG161" i="3"/>
  <c r="BH161" i="3"/>
  <c r="BI161" i="3"/>
  <c r="BJ161" i="3"/>
  <c r="BK161" i="3"/>
  <c r="BA161" i="3"/>
  <c r="BB162" i="3"/>
  <c r="BC162" i="3"/>
  <c r="BD162" i="3"/>
  <c r="BE162" i="3"/>
  <c r="BF162" i="3"/>
  <c r="BG162" i="3"/>
  <c r="BH162" i="3"/>
  <c r="BI162" i="3"/>
  <c r="BJ162" i="3"/>
  <c r="BK162" i="3"/>
  <c r="BA162" i="3"/>
  <c r="BB163" i="3"/>
  <c r="BC163" i="3"/>
  <c r="BD163" i="3"/>
  <c r="BE163" i="3"/>
  <c r="BF163" i="3"/>
  <c r="BG163" i="3"/>
  <c r="BH163" i="3"/>
  <c r="BI163" i="3"/>
  <c r="BJ163" i="3"/>
  <c r="BK163" i="3"/>
  <c r="BA163" i="3"/>
  <c r="BB164" i="3"/>
  <c r="BC164" i="3"/>
  <c r="BD164" i="3"/>
  <c r="BE164" i="3"/>
  <c r="BF164" i="3"/>
  <c r="BG164" i="3"/>
  <c r="BH164" i="3"/>
  <c r="BI164" i="3"/>
  <c r="BJ164" i="3"/>
  <c r="BK164" i="3"/>
  <c r="BA164" i="3"/>
  <c r="BB165" i="3"/>
  <c r="BC165" i="3"/>
  <c r="BD165" i="3"/>
  <c r="BE165" i="3"/>
  <c r="BF165" i="3"/>
  <c r="BG165" i="3"/>
  <c r="BH165" i="3"/>
  <c r="BI165" i="3"/>
  <c r="BJ165" i="3"/>
  <c r="BK165" i="3"/>
  <c r="BA165" i="3"/>
  <c r="BB166" i="3"/>
  <c r="BC166" i="3"/>
  <c r="BD166" i="3"/>
  <c r="BE166" i="3"/>
  <c r="BF166" i="3"/>
  <c r="BG166" i="3"/>
  <c r="BH166" i="3"/>
  <c r="BI166" i="3"/>
  <c r="BJ166" i="3"/>
  <c r="BK166" i="3"/>
  <c r="BA166" i="3"/>
  <c r="BB167" i="3"/>
  <c r="BC167" i="3"/>
  <c r="BD167" i="3"/>
  <c r="BE167" i="3"/>
  <c r="BF167" i="3"/>
  <c r="BG167" i="3"/>
  <c r="BH167" i="3"/>
  <c r="BI167" i="3"/>
  <c r="BJ167" i="3"/>
  <c r="BK167" i="3"/>
  <c r="BA167" i="3"/>
  <c r="BB168" i="3"/>
  <c r="BC168" i="3"/>
  <c r="BD168" i="3"/>
  <c r="BE168" i="3"/>
  <c r="BF168" i="3"/>
  <c r="BG168" i="3"/>
  <c r="BH168" i="3"/>
  <c r="BI168" i="3"/>
  <c r="BJ168" i="3"/>
  <c r="BK168" i="3"/>
  <c r="BA168" i="3"/>
  <c r="BB169" i="3"/>
  <c r="BC169" i="3"/>
  <c r="BD169" i="3"/>
  <c r="BE169" i="3"/>
  <c r="BF169" i="3"/>
  <c r="BG169" i="3"/>
  <c r="BH169" i="3"/>
  <c r="BI169" i="3"/>
  <c r="BJ169" i="3"/>
  <c r="BK169" i="3"/>
  <c r="BA169" i="3"/>
  <c r="BB170" i="3"/>
  <c r="BC170" i="3"/>
  <c r="BD170" i="3"/>
  <c r="BE170" i="3"/>
  <c r="BF170" i="3"/>
  <c r="BG170" i="3"/>
  <c r="BH170" i="3"/>
  <c r="BI170" i="3"/>
  <c r="BJ170" i="3"/>
  <c r="BK170" i="3"/>
  <c r="BA170" i="3"/>
  <c r="BB171" i="3"/>
  <c r="BC171" i="3"/>
  <c r="BD171" i="3"/>
  <c r="BE171" i="3"/>
  <c r="BF171" i="3"/>
  <c r="BG171" i="3"/>
  <c r="BH171" i="3"/>
  <c r="BI171" i="3"/>
  <c r="BJ171" i="3"/>
  <c r="BK171" i="3"/>
  <c r="BA171" i="3"/>
  <c r="BB172" i="3"/>
  <c r="BC172" i="3"/>
  <c r="BD172" i="3"/>
  <c r="BE172" i="3"/>
  <c r="BF172" i="3"/>
  <c r="BG172" i="3"/>
  <c r="BH172" i="3"/>
  <c r="BI172" i="3"/>
  <c r="BJ172" i="3"/>
  <c r="BK172" i="3"/>
  <c r="BA172" i="3"/>
  <c r="BB173" i="3"/>
  <c r="BC173" i="3"/>
  <c r="BD173" i="3"/>
  <c r="BE173" i="3"/>
  <c r="BF173" i="3"/>
  <c r="BG173" i="3"/>
  <c r="BH173" i="3"/>
  <c r="BI173" i="3"/>
  <c r="BJ173" i="3"/>
  <c r="BK173" i="3"/>
  <c r="BA173" i="3"/>
  <c r="BB174" i="3"/>
  <c r="BC174" i="3"/>
  <c r="BD174" i="3"/>
  <c r="BE174" i="3"/>
  <c r="BF174" i="3"/>
  <c r="BG174" i="3"/>
  <c r="BH174" i="3"/>
  <c r="BI174" i="3"/>
  <c r="BJ174" i="3"/>
  <c r="BK174" i="3"/>
  <c r="BA174" i="3"/>
  <c r="BB175" i="3"/>
  <c r="BC175" i="3"/>
  <c r="BD175" i="3"/>
  <c r="BE175" i="3"/>
  <c r="BF175" i="3"/>
  <c r="BG175" i="3"/>
  <c r="BH175" i="3"/>
  <c r="BI175" i="3"/>
  <c r="BJ175" i="3"/>
  <c r="BK175" i="3"/>
  <c r="BA175" i="3"/>
  <c r="BB176" i="3"/>
  <c r="BC176" i="3"/>
  <c r="BD176" i="3"/>
  <c r="BE176" i="3"/>
  <c r="BF176" i="3"/>
  <c r="BG176" i="3"/>
  <c r="BH176" i="3"/>
  <c r="BI176" i="3"/>
  <c r="BJ176" i="3"/>
  <c r="BK176" i="3"/>
  <c r="BA176" i="3"/>
  <c r="BB177" i="3"/>
  <c r="BC177" i="3"/>
  <c r="BD177" i="3"/>
  <c r="BE177" i="3"/>
  <c r="BF177" i="3"/>
  <c r="BG177" i="3"/>
  <c r="BH177" i="3"/>
  <c r="BI177" i="3"/>
  <c r="BJ177" i="3"/>
  <c r="BK177" i="3"/>
  <c r="BA177" i="3"/>
  <c r="BB178" i="3"/>
  <c r="BC178" i="3"/>
  <c r="BD178" i="3"/>
  <c r="BE178" i="3"/>
  <c r="BF178" i="3"/>
  <c r="BG178" i="3"/>
  <c r="BH178" i="3"/>
  <c r="BI178" i="3"/>
  <c r="BJ178" i="3"/>
  <c r="BK178" i="3"/>
  <c r="BA178" i="3"/>
  <c r="BB179" i="3"/>
  <c r="BC179" i="3"/>
  <c r="BD179" i="3"/>
  <c r="BE179" i="3"/>
  <c r="BF179" i="3"/>
  <c r="BG179" i="3"/>
  <c r="BH179" i="3"/>
  <c r="BI179" i="3"/>
  <c r="BJ179" i="3"/>
  <c r="BK179" i="3"/>
  <c r="BA179" i="3"/>
  <c r="BB180" i="3"/>
  <c r="BC180" i="3"/>
  <c r="BD180" i="3"/>
  <c r="BE180" i="3"/>
  <c r="BF180" i="3"/>
  <c r="BG180" i="3"/>
  <c r="BH180" i="3"/>
  <c r="BI180" i="3"/>
  <c r="BJ180" i="3"/>
  <c r="BK180" i="3"/>
  <c r="BA180" i="3"/>
  <c r="BB181" i="3"/>
  <c r="BC181" i="3"/>
  <c r="BD181" i="3"/>
  <c r="BE181" i="3"/>
  <c r="BF181" i="3"/>
  <c r="BG181" i="3"/>
  <c r="BH181" i="3"/>
  <c r="BI181" i="3"/>
  <c r="BJ181" i="3"/>
  <c r="BK181" i="3"/>
  <c r="BA181" i="3"/>
  <c r="BB182" i="3"/>
  <c r="BC182" i="3"/>
  <c r="BD182" i="3"/>
  <c r="BE182" i="3"/>
  <c r="BF182" i="3"/>
  <c r="BG182" i="3"/>
  <c r="BH182" i="3"/>
  <c r="BI182" i="3"/>
  <c r="BJ182" i="3"/>
  <c r="BK182" i="3"/>
  <c r="BA182" i="3"/>
  <c r="BB183" i="3"/>
  <c r="BC183" i="3"/>
  <c r="BD183" i="3"/>
  <c r="BE183" i="3"/>
  <c r="BF183" i="3"/>
  <c r="BG183" i="3"/>
  <c r="BH183" i="3"/>
  <c r="BI183" i="3"/>
  <c r="BJ183" i="3"/>
  <c r="BK183" i="3"/>
  <c r="BA183" i="3"/>
  <c r="BB184" i="3"/>
  <c r="BC184" i="3"/>
  <c r="BD184" i="3"/>
  <c r="BE184" i="3"/>
  <c r="BF184" i="3"/>
  <c r="BG184" i="3"/>
  <c r="BH184" i="3"/>
  <c r="BI184" i="3"/>
  <c r="BJ184" i="3"/>
  <c r="BK184" i="3"/>
  <c r="BA184" i="3"/>
  <c r="BB185" i="3"/>
  <c r="BC185" i="3"/>
  <c r="BD185" i="3"/>
  <c r="BE185" i="3"/>
  <c r="BF185" i="3"/>
  <c r="BG185" i="3"/>
  <c r="BH185" i="3"/>
  <c r="BI185" i="3"/>
  <c r="BJ185" i="3"/>
  <c r="BK185" i="3"/>
  <c r="BA185" i="3"/>
  <c r="BB186" i="3"/>
  <c r="BC186" i="3"/>
  <c r="BD186" i="3"/>
  <c r="BE186" i="3"/>
  <c r="BF186" i="3"/>
  <c r="BG186" i="3"/>
  <c r="BH186" i="3"/>
  <c r="BI186" i="3"/>
  <c r="BJ186" i="3"/>
  <c r="BK186" i="3"/>
  <c r="BA186" i="3"/>
  <c r="BB187" i="3"/>
  <c r="BC187" i="3"/>
  <c r="BD187" i="3"/>
  <c r="BE187" i="3"/>
  <c r="BF187" i="3"/>
  <c r="BG187" i="3"/>
  <c r="BH187" i="3"/>
  <c r="BI187" i="3"/>
  <c r="BJ187" i="3"/>
  <c r="BK187" i="3"/>
  <c r="BA187" i="3"/>
  <c r="BB188" i="3"/>
  <c r="BC188" i="3"/>
  <c r="BD188" i="3"/>
  <c r="BE188" i="3"/>
  <c r="BF188" i="3"/>
  <c r="BG188" i="3"/>
  <c r="BH188" i="3"/>
  <c r="BI188" i="3"/>
  <c r="BJ188" i="3"/>
  <c r="BK188" i="3"/>
  <c r="BA188" i="3"/>
  <c r="BB189" i="3"/>
  <c r="BC189" i="3"/>
  <c r="BD189" i="3"/>
  <c r="BE189" i="3"/>
  <c r="BF189" i="3"/>
  <c r="BG189" i="3"/>
  <c r="BH189" i="3"/>
  <c r="BI189" i="3"/>
  <c r="BJ189" i="3"/>
  <c r="BK189" i="3"/>
  <c r="BA189" i="3"/>
  <c r="BB190" i="3"/>
  <c r="BC190" i="3"/>
  <c r="BD190" i="3"/>
  <c r="BE190" i="3"/>
  <c r="BF190" i="3"/>
  <c r="BG190" i="3"/>
  <c r="BH190" i="3"/>
  <c r="BI190" i="3"/>
  <c r="BJ190" i="3"/>
  <c r="BK190" i="3"/>
  <c r="BA190" i="3"/>
  <c r="BB191" i="3"/>
  <c r="BC191" i="3"/>
  <c r="BD191" i="3"/>
  <c r="BE191" i="3"/>
  <c r="BF191" i="3"/>
  <c r="BG191" i="3"/>
  <c r="BH191" i="3"/>
  <c r="BI191" i="3"/>
  <c r="BJ191" i="3"/>
  <c r="BK191" i="3"/>
  <c r="BA191" i="3"/>
  <c r="BB192" i="3"/>
  <c r="BC192" i="3"/>
  <c r="BD192" i="3"/>
  <c r="BE192" i="3"/>
  <c r="BF192" i="3"/>
  <c r="BG192" i="3"/>
  <c r="BH192" i="3"/>
  <c r="BI192" i="3"/>
  <c r="BJ192" i="3"/>
  <c r="BK192" i="3"/>
  <c r="BA192" i="3"/>
  <c r="BB193" i="3"/>
  <c r="BC193" i="3"/>
  <c r="BD193" i="3"/>
  <c r="BE193" i="3"/>
  <c r="BF193" i="3"/>
  <c r="BG193" i="3"/>
  <c r="BH193" i="3"/>
  <c r="BI193" i="3"/>
  <c r="BJ193" i="3"/>
  <c r="BK193" i="3"/>
  <c r="BA193" i="3"/>
  <c r="BB194" i="3"/>
  <c r="BC194" i="3"/>
  <c r="BD194" i="3"/>
  <c r="BE194" i="3"/>
  <c r="BF194" i="3"/>
  <c r="BG194" i="3"/>
  <c r="BH194" i="3"/>
  <c r="BI194" i="3"/>
  <c r="BJ194" i="3"/>
  <c r="BK194" i="3"/>
  <c r="BA194" i="3"/>
  <c r="BB195" i="3"/>
  <c r="BC195" i="3"/>
  <c r="BD195" i="3"/>
  <c r="BE195" i="3"/>
  <c r="BF195" i="3"/>
  <c r="BG195" i="3"/>
  <c r="BH195" i="3"/>
  <c r="BI195" i="3"/>
  <c r="BJ195" i="3"/>
  <c r="BK195" i="3"/>
  <c r="BA195" i="3"/>
  <c r="BB196" i="3"/>
  <c r="BC196" i="3"/>
  <c r="BD196" i="3"/>
  <c r="BE196" i="3"/>
  <c r="BF196" i="3"/>
  <c r="BG196" i="3"/>
  <c r="BH196" i="3"/>
  <c r="BI196" i="3"/>
  <c r="BJ196" i="3"/>
  <c r="BK196" i="3"/>
  <c r="BA196" i="3"/>
  <c r="BB197" i="3"/>
  <c r="BC197" i="3"/>
  <c r="BD197" i="3"/>
  <c r="BE197" i="3"/>
  <c r="BF197" i="3"/>
  <c r="BG197" i="3"/>
  <c r="BH197" i="3"/>
  <c r="BI197" i="3"/>
  <c r="BJ197" i="3"/>
  <c r="BK197" i="3"/>
  <c r="BA197" i="3"/>
  <c r="BB198" i="3"/>
  <c r="BC198" i="3"/>
  <c r="BD198" i="3"/>
  <c r="BE198" i="3"/>
  <c r="BF198" i="3"/>
  <c r="BG198" i="3"/>
  <c r="BH198" i="3"/>
  <c r="BI198" i="3"/>
  <c r="BJ198" i="3"/>
  <c r="BK198" i="3"/>
  <c r="BA198" i="3"/>
  <c r="BB199" i="3"/>
  <c r="BC199" i="3"/>
  <c r="BD199" i="3"/>
  <c r="BE199" i="3"/>
  <c r="BF199" i="3"/>
  <c r="BG199" i="3"/>
  <c r="BH199" i="3"/>
  <c r="BI199" i="3"/>
  <c r="BJ199" i="3"/>
  <c r="BK199" i="3"/>
  <c r="BA199" i="3"/>
  <c r="BB200" i="3"/>
  <c r="BC200" i="3"/>
  <c r="BD200" i="3"/>
  <c r="BE200" i="3"/>
  <c r="BF200" i="3"/>
  <c r="BG200" i="3"/>
  <c r="BH200" i="3"/>
  <c r="BI200" i="3"/>
  <c r="BJ200" i="3"/>
  <c r="BK200" i="3"/>
  <c r="BA200" i="3"/>
  <c r="BB201" i="3"/>
  <c r="BC201" i="3"/>
  <c r="BD201" i="3"/>
  <c r="BE201" i="3"/>
  <c r="BF201" i="3"/>
  <c r="BG201" i="3"/>
  <c r="BH201" i="3"/>
  <c r="BI201" i="3"/>
  <c r="BJ201" i="3"/>
  <c r="BK201" i="3"/>
  <c r="BA201" i="3"/>
  <c r="BB202" i="3"/>
  <c r="BC202" i="3"/>
  <c r="BD202" i="3"/>
  <c r="BE202" i="3"/>
  <c r="BF202" i="3"/>
  <c r="BG202" i="3"/>
  <c r="BH202" i="3"/>
  <c r="BI202" i="3"/>
  <c r="BJ202" i="3"/>
  <c r="BK202" i="3"/>
  <c r="BA202" i="3"/>
  <c r="BB203" i="3"/>
  <c r="BC203" i="3"/>
  <c r="BD203" i="3"/>
  <c r="BE203" i="3"/>
  <c r="BF203" i="3"/>
  <c r="BG203" i="3"/>
  <c r="BH203" i="3"/>
  <c r="BI203" i="3"/>
  <c r="BJ203" i="3"/>
  <c r="BK203" i="3"/>
  <c r="BA203" i="3"/>
  <c r="BB204" i="3"/>
  <c r="BC204" i="3"/>
  <c r="BD204" i="3"/>
  <c r="BE204" i="3"/>
  <c r="BF204" i="3"/>
  <c r="BG204" i="3"/>
  <c r="BH204" i="3"/>
  <c r="BI204" i="3"/>
  <c r="BJ204" i="3"/>
  <c r="BK204" i="3"/>
  <c r="BA204" i="3"/>
  <c r="BB205" i="3"/>
  <c r="BC205" i="3"/>
  <c r="BD205" i="3"/>
  <c r="BE205" i="3"/>
  <c r="BF205" i="3"/>
  <c r="BG205" i="3"/>
  <c r="BH205" i="3"/>
  <c r="BI205" i="3"/>
  <c r="BJ205" i="3"/>
  <c r="BK205" i="3"/>
  <c r="BA205" i="3"/>
  <c r="BB206" i="3"/>
  <c r="BC206" i="3"/>
  <c r="BD206" i="3"/>
  <c r="BE206" i="3"/>
  <c r="BF206" i="3"/>
  <c r="BG206" i="3"/>
  <c r="BH206" i="3"/>
  <c r="BI206" i="3"/>
  <c r="BJ206" i="3"/>
  <c r="BK206" i="3"/>
  <c r="BA206" i="3"/>
  <c r="BB207" i="3"/>
  <c r="BC207" i="3"/>
  <c r="BD207" i="3"/>
  <c r="BE207" i="3"/>
  <c r="BF207" i="3"/>
  <c r="BG207" i="3"/>
  <c r="BH207" i="3"/>
  <c r="BI207" i="3"/>
  <c r="BJ207" i="3"/>
  <c r="BK207" i="3"/>
  <c r="BA207" i="3"/>
  <c r="BB208" i="3"/>
  <c r="BC208" i="3"/>
  <c r="BD208" i="3"/>
  <c r="BE208" i="3"/>
  <c r="BF208" i="3"/>
  <c r="BG208" i="3"/>
  <c r="BH208" i="3"/>
  <c r="BI208" i="3"/>
  <c r="BJ208" i="3"/>
  <c r="BK208" i="3"/>
  <c r="BA208" i="3"/>
  <c r="BB209" i="3"/>
  <c r="BC209" i="3"/>
  <c r="BD209" i="3"/>
  <c r="BE209" i="3"/>
  <c r="BF209" i="3"/>
  <c r="BG209" i="3"/>
  <c r="BH209" i="3"/>
  <c r="BI209" i="3"/>
  <c r="BJ209" i="3"/>
  <c r="BK209" i="3"/>
  <c r="BA209" i="3"/>
  <c r="BB210" i="3"/>
  <c r="BC210" i="3"/>
  <c r="BD210" i="3"/>
  <c r="BE210" i="3"/>
  <c r="BF210" i="3"/>
  <c r="BG210" i="3"/>
  <c r="BH210" i="3"/>
  <c r="BI210" i="3"/>
  <c r="BJ210" i="3"/>
  <c r="BK210" i="3"/>
  <c r="BA210" i="3"/>
  <c r="BB211" i="3"/>
  <c r="BC211" i="3"/>
  <c r="BD211" i="3"/>
  <c r="BE211" i="3"/>
  <c r="BF211" i="3"/>
  <c r="BG211" i="3"/>
  <c r="BH211" i="3"/>
  <c r="BI211" i="3"/>
  <c r="BJ211" i="3"/>
  <c r="BK211" i="3"/>
  <c r="BA211" i="3"/>
  <c r="BB212" i="3"/>
  <c r="BC212" i="3"/>
  <c r="BD212" i="3"/>
  <c r="BE212" i="3"/>
  <c r="BF212" i="3"/>
  <c r="BG212" i="3"/>
  <c r="BH212" i="3"/>
  <c r="BI212" i="3"/>
  <c r="BJ212" i="3"/>
  <c r="BK212" i="3"/>
  <c r="BA212" i="3"/>
  <c r="BB213" i="3"/>
  <c r="BC213" i="3"/>
  <c r="BD213" i="3"/>
  <c r="BE213" i="3"/>
  <c r="BF213" i="3"/>
  <c r="BG213" i="3"/>
  <c r="BH213" i="3"/>
  <c r="BI213" i="3"/>
  <c r="BJ213" i="3"/>
  <c r="BK213" i="3"/>
  <c r="BA213" i="3"/>
  <c r="BB214" i="3"/>
  <c r="BC214" i="3"/>
  <c r="BD214" i="3"/>
  <c r="BE214" i="3"/>
  <c r="BF214" i="3"/>
  <c r="BG214" i="3"/>
  <c r="BH214" i="3"/>
  <c r="BI214" i="3"/>
  <c r="BJ214" i="3"/>
  <c r="BK214" i="3"/>
  <c r="BA214" i="3"/>
  <c r="BB215" i="3"/>
  <c r="BC215" i="3"/>
  <c r="BD215" i="3"/>
  <c r="BE215" i="3"/>
  <c r="BF215" i="3"/>
  <c r="BG215" i="3"/>
  <c r="BH215" i="3"/>
  <c r="BI215" i="3"/>
  <c r="BJ215" i="3"/>
  <c r="BK215" i="3"/>
  <c r="BA215" i="3"/>
  <c r="BB216" i="3"/>
  <c r="BC216" i="3"/>
  <c r="BD216" i="3"/>
  <c r="BE216" i="3"/>
  <c r="BF216" i="3"/>
  <c r="BG216" i="3"/>
  <c r="BH216" i="3"/>
  <c r="BI216" i="3"/>
  <c r="BJ216" i="3"/>
  <c r="BK216" i="3"/>
  <c r="BA216" i="3"/>
  <c r="BB217" i="3"/>
  <c r="BC217" i="3"/>
  <c r="BD217" i="3"/>
  <c r="BE217" i="3"/>
  <c r="BF217" i="3"/>
  <c r="BG217" i="3"/>
  <c r="BH217" i="3"/>
  <c r="BI217" i="3"/>
  <c r="BJ217" i="3"/>
  <c r="BK217" i="3"/>
  <c r="BA217" i="3"/>
  <c r="BB218" i="3"/>
  <c r="BC218" i="3"/>
  <c r="BD218" i="3"/>
  <c r="BE218" i="3"/>
  <c r="BF218" i="3"/>
  <c r="BG218" i="3"/>
  <c r="BH218" i="3"/>
  <c r="BI218" i="3"/>
  <c r="BJ218" i="3"/>
  <c r="BK218" i="3"/>
  <c r="BA218" i="3"/>
  <c r="BB219" i="3"/>
  <c r="BC219" i="3"/>
  <c r="BD219" i="3"/>
  <c r="BE219" i="3"/>
  <c r="BF219" i="3"/>
  <c r="BG219" i="3"/>
  <c r="BH219" i="3"/>
  <c r="BI219" i="3"/>
  <c r="BJ219" i="3"/>
  <c r="BK219" i="3"/>
  <c r="BA219" i="3"/>
  <c r="BB220" i="3"/>
  <c r="BC220" i="3"/>
  <c r="BD220" i="3"/>
  <c r="BE220" i="3"/>
  <c r="BF220" i="3"/>
  <c r="BG220" i="3"/>
  <c r="BH220" i="3"/>
  <c r="BI220" i="3"/>
  <c r="BJ220" i="3"/>
  <c r="BK220" i="3"/>
  <c r="BA220" i="3"/>
  <c r="BB221" i="3"/>
  <c r="BC221" i="3"/>
  <c r="BD221" i="3"/>
  <c r="BE221" i="3"/>
  <c r="BF221" i="3"/>
  <c r="BG221" i="3"/>
  <c r="BH221" i="3"/>
  <c r="BI221" i="3"/>
  <c r="BJ221" i="3"/>
  <c r="BK221" i="3"/>
  <c r="BA221" i="3"/>
  <c r="BB222" i="3"/>
  <c r="BC222" i="3"/>
  <c r="BD222" i="3"/>
  <c r="BE222" i="3"/>
  <c r="BF222" i="3"/>
  <c r="BG222" i="3"/>
  <c r="BH222" i="3"/>
  <c r="BI222" i="3"/>
  <c r="BJ222" i="3"/>
  <c r="BK222" i="3"/>
  <c r="BA222" i="3"/>
  <c r="BB223" i="3"/>
  <c r="BC223" i="3"/>
  <c r="BD223" i="3"/>
  <c r="BE223" i="3"/>
  <c r="BF223" i="3"/>
  <c r="BG223" i="3"/>
  <c r="BH223" i="3"/>
  <c r="BI223" i="3"/>
  <c r="BJ223" i="3"/>
  <c r="BK223" i="3"/>
  <c r="BA223" i="3"/>
  <c r="BB224" i="3"/>
  <c r="BC224" i="3"/>
  <c r="BD224" i="3"/>
  <c r="BE224" i="3"/>
  <c r="BF224" i="3"/>
  <c r="BG224" i="3"/>
  <c r="BH224" i="3"/>
  <c r="BI224" i="3"/>
  <c r="BJ224" i="3"/>
  <c r="BK224" i="3"/>
  <c r="BA224" i="3"/>
  <c r="BB225" i="3"/>
  <c r="BC225" i="3"/>
  <c r="BD225" i="3"/>
  <c r="BE225" i="3"/>
  <c r="BF225" i="3"/>
  <c r="BG225" i="3"/>
  <c r="BH225" i="3"/>
  <c r="BI225" i="3"/>
  <c r="BJ225" i="3"/>
  <c r="BK225" i="3"/>
  <c r="BA225" i="3"/>
  <c r="BB226" i="3"/>
  <c r="BC226" i="3"/>
  <c r="BD226" i="3"/>
  <c r="BE226" i="3"/>
  <c r="BF226" i="3"/>
  <c r="BG226" i="3"/>
  <c r="BH226" i="3"/>
  <c r="BI226" i="3"/>
  <c r="BJ226" i="3"/>
  <c r="BK226" i="3"/>
  <c r="BA226" i="3"/>
  <c r="BB227" i="3"/>
  <c r="BC227" i="3"/>
  <c r="BD227" i="3"/>
  <c r="BE227" i="3"/>
  <c r="BF227" i="3"/>
  <c r="BG227" i="3"/>
  <c r="BH227" i="3"/>
  <c r="BI227" i="3"/>
  <c r="BJ227" i="3"/>
  <c r="BK227" i="3"/>
  <c r="BA227" i="3"/>
  <c r="BB228" i="3"/>
  <c r="BC228" i="3"/>
  <c r="BD228" i="3"/>
  <c r="BE228" i="3"/>
  <c r="BF228" i="3"/>
  <c r="BG228" i="3"/>
  <c r="BH228" i="3"/>
  <c r="BI228" i="3"/>
  <c r="BJ228" i="3"/>
  <c r="BK228" i="3"/>
  <c r="BA228" i="3"/>
  <c r="BB229" i="3"/>
  <c r="BC229" i="3"/>
  <c r="BD229" i="3"/>
  <c r="BE229" i="3"/>
  <c r="BF229" i="3"/>
  <c r="BG229" i="3"/>
  <c r="BH229" i="3"/>
  <c r="BI229" i="3"/>
  <c r="BJ229" i="3"/>
  <c r="BK229" i="3"/>
  <c r="BA229" i="3"/>
  <c r="BB230" i="3"/>
  <c r="BC230" i="3"/>
  <c r="BD230" i="3"/>
  <c r="BE230" i="3"/>
  <c r="BF230" i="3"/>
  <c r="BG230" i="3"/>
  <c r="BH230" i="3"/>
  <c r="BI230" i="3"/>
  <c r="BJ230" i="3"/>
  <c r="BK230" i="3"/>
  <c r="BA230" i="3"/>
  <c r="BB231" i="3"/>
  <c r="BC231" i="3"/>
  <c r="BD231" i="3"/>
  <c r="BE231" i="3"/>
  <c r="BF231" i="3"/>
  <c r="BG231" i="3"/>
  <c r="BH231" i="3"/>
  <c r="BI231" i="3"/>
  <c r="BJ231" i="3"/>
  <c r="BK231" i="3"/>
  <c r="BA231" i="3"/>
  <c r="BB232" i="3"/>
  <c r="BC232" i="3"/>
  <c r="BD232" i="3"/>
  <c r="BE232" i="3"/>
  <c r="BF232" i="3"/>
  <c r="BG232" i="3"/>
  <c r="BH232" i="3"/>
  <c r="BI232" i="3"/>
  <c r="BJ232" i="3"/>
  <c r="BK232" i="3"/>
  <c r="BA232" i="3"/>
  <c r="BB233" i="3"/>
  <c r="BC233" i="3"/>
  <c r="BD233" i="3"/>
  <c r="BE233" i="3"/>
  <c r="BF233" i="3"/>
  <c r="BG233" i="3"/>
  <c r="BH233" i="3"/>
  <c r="BI233" i="3"/>
  <c r="BJ233" i="3"/>
  <c r="BK233" i="3"/>
  <c r="BA233" i="3"/>
  <c r="BB234" i="3"/>
  <c r="BC234" i="3"/>
  <c r="BD234" i="3"/>
  <c r="BE234" i="3"/>
  <c r="BF234" i="3"/>
  <c r="BG234" i="3"/>
  <c r="BH234" i="3"/>
  <c r="BI234" i="3"/>
  <c r="BJ234" i="3"/>
  <c r="BK234" i="3"/>
  <c r="BA234" i="3"/>
  <c r="BB235" i="3"/>
  <c r="BC235" i="3"/>
  <c r="BD235" i="3"/>
  <c r="BE235" i="3"/>
  <c r="BF235" i="3"/>
  <c r="BG235" i="3"/>
  <c r="BH235" i="3"/>
  <c r="BI235" i="3"/>
  <c r="BJ235" i="3"/>
  <c r="BK235" i="3"/>
  <c r="BA235" i="3"/>
  <c r="BB236" i="3"/>
  <c r="BC236" i="3"/>
  <c r="BD236" i="3"/>
  <c r="BE236" i="3"/>
  <c r="BF236" i="3"/>
  <c r="BG236" i="3"/>
  <c r="BH236" i="3"/>
  <c r="BI236" i="3"/>
  <c r="BJ236" i="3"/>
  <c r="BK236" i="3"/>
  <c r="BA236" i="3"/>
  <c r="BB237" i="3"/>
  <c r="BC237" i="3"/>
  <c r="BD237" i="3"/>
  <c r="BE237" i="3"/>
  <c r="BF237" i="3"/>
  <c r="BG237" i="3"/>
  <c r="BH237" i="3"/>
  <c r="BI237" i="3"/>
  <c r="BJ237" i="3"/>
  <c r="BK237" i="3"/>
  <c r="BA237" i="3"/>
  <c r="BB238" i="3"/>
  <c r="BC238" i="3"/>
  <c r="BD238" i="3"/>
  <c r="BE238" i="3"/>
  <c r="BF238" i="3"/>
  <c r="BG238" i="3"/>
  <c r="BH238" i="3"/>
  <c r="BI238" i="3"/>
  <c r="BJ238" i="3"/>
  <c r="BK238" i="3"/>
  <c r="BA238" i="3"/>
  <c r="BB239" i="3"/>
  <c r="BC239" i="3"/>
  <c r="BD239" i="3"/>
  <c r="BE239" i="3"/>
  <c r="BF239" i="3"/>
  <c r="BG239" i="3"/>
  <c r="BH239" i="3"/>
  <c r="BI239" i="3"/>
  <c r="BJ239" i="3"/>
  <c r="BK239" i="3"/>
  <c r="BA239" i="3"/>
  <c r="BB240" i="3"/>
  <c r="BC240" i="3"/>
  <c r="BD240" i="3"/>
  <c r="BE240" i="3"/>
  <c r="BF240" i="3"/>
  <c r="BG240" i="3"/>
  <c r="BH240" i="3"/>
  <c r="BI240" i="3"/>
  <c r="BJ240" i="3"/>
  <c r="BK240" i="3"/>
  <c r="BA240" i="3"/>
  <c r="BB241" i="3"/>
  <c r="BC241" i="3"/>
  <c r="BD241" i="3"/>
  <c r="BE241" i="3"/>
  <c r="BF241" i="3"/>
  <c r="BG241" i="3"/>
  <c r="BH241" i="3"/>
  <c r="BI241" i="3"/>
  <c r="BJ241" i="3"/>
  <c r="BK241" i="3"/>
  <c r="BA241" i="3"/>
  <c r="BB242" i="3"/>
  <c r="BC242" i="3"/>
  <c r="BD242" i="3"/>
  <c r="BE242" i="3"/>
  <c r="BF242" i="3"/>
  <c r="BG242" i="3"/>
  <c r="BH242" i="3"/>
  <c r="BI242" i="3"/>
  <c r="BJ242" i="3"/>
  <c r="BK242" i="3"/>
  <c r="BA242" i="3"/>
  <c r="BB243" i="3"/>
  <c r="BC243" i="3"/>
  <c r="BD243" i="3"/>
  <c r="BE243" i="3"/>
  <c r="BF243" i="3"/>
  <c r="BG243" i="3"/>
  <c r="BH243" i="3"/>
  <c r="BI243" i="3"/>
  <c r="BJ243" i="3"/>
  <c r="BK243" i="3"/>
  <c r="BA243" i="3"/>
  <c r="BB244" i="3"/>
  <c r="BC244" i="3"/>
  <c r="BD244" i="3"/>
  <c r="BE244" i="3"/>
  <c r="BF244" i="3"/>
  <c r="BG244" i="3"/>
  <c r="BH244" i="3"/>
  <c r="BI244" i="3"/>
  <c r="BJ244" i="3"/>
  <c r="BK244" i="3"/>
  <c r="BA244" i="3"/>
  <c r="BB245" i="3"/>
  <c r="BC245" i="3"/>
  <c r="BD245" i="3"/>
  <c r="BE245" i="3"/>
  <c r="BF245" i="3"/>
  <c r="BG245" i="3"/>
  <c r="BH245" i="3"/>
  <c r="BI245" i="3"/>
  <c r="BJ245" i="3"/>
  <c r="BK245" i="3"/>
  <c r="BA245" i="3"/>
  <c r="BB246" i="3"/>
  <c r="BC246" i="3"/>
  <c r="BD246" i="3"/>
  <c r="BE246" i="3"/>
  <c r="BF246" i="3"/>
  <c r="BG246" i="3"/>
  <c r="BH246" i="3"/>
  <c r="BI246" i="3"/>
  <c r="BJ246" i="3"/>
  <c r="BK246" i="3"/>
  <c r="BA246" i="3"/>
  <c r="BB247" i="3"/>
  <c r="BC247" i="3"/>
  <c r="BD247" i="3"/>
  <c r="BE247" i="3"/>
  <c r="BF247" i="3"/>
  <c r="BG247" i="3"/>
  <c r="BH247" i="3"/>
  <c r="BI247" i="3"/>
  <c r="BJ247" i="3"/>
  <c r="BK247" i="3"/>
  <c r="BA247" i="3"/>
  <c r="BB248" i="3"/>
  <c r="BC248" i="3"/>
  <c r="BD248" i="3"/>
  <c r="BE248" i="3"/>
  <c r="BF248" i="3"/>
  <c r="BG248" i="3"/>
  <c r="BH248" i="3"/>
  <c r="BI248" i="3"/>
  <c r="BJ248" i="3"/>
  <c r="BK248" i="3"/>
  <c r="BA248" i="3"/>
  <c r="BB249" i="3"/>
  <c r="BC249" i="3"/>
  <c r="BD249" i="3"/>
  <c r="BE249" i="3"/>
  <c r="BF249" i="3"/>
  <c r="BG249" i="3"/>
  <c r="BH249" i="3"/>
  <c r="BI249" i="3"/>
  <c r="BJ249" i="3"/>
  <c r="BK249" i="3"/>
  <c r="BA249" i="3"/>
  <c r="BB250" i="3"/>
  <c r="BC250" i="3"/>
  <c r="BD250" i="3"/>
  <c r="BE250" i="3"/>
  <c r="BF250" i="3"/>
  <c r="BG250" i="3"/>
  <c r="BH250" i="3"/>
  <c r="BI250" i="3"/>
  <c r="BJ250" i="3"/>
  <c r="BK250" i="3"/>
  <c r="BA250" i="3"/>
  <c r="BB251" i="3"/>
  <c r="BC251" i="3"/>
  <c r="BD251" i="3"/>
  <c r="BE251" i="3"/>
  <c r="BF251" i="3"/>
  <c r="BG251" i="3"/>
  <c r="BH251" i="3"/>
  <c r="BI251" i="3"/>
  <c r="BJ251" i="3"/>
  <c r="BK251" i="3"/>
  <c r="BA251" i="3"/>
  <c r="BB252" i="3"/>
  <c r="BC252" i="3"/>
  <c r="BD252" i="3"/>
  <c r="BE252" i="3"/>
  <c r="BF252" i="3"/>
  <c r="BG252" i="3"/>
  <c r="BH252" i="3"/>
  <c r="BI252" i="3"/>
  <c r="BJ252" i="3"/>
  <c r="BK252" i="3"/>
  <c r="BA252" i="3"/>
  <c r="BB253" i="3"/>
  <c r="BC253" i="3"/>
  <c r="BD253" i="3"/>
  <c r="BE253" i="3"/>
  <c r="BF253" i="3"/>
  <c r="BG253" i="3"/>
  <c r="BH253" i="3"/>
  <c r="BI253" i="3"/>
  <c r="BJ253" i="3"/>
  <c r="BK253" i="3"/>
  <c r="BA253" i="3"/>
  <c r="BB254" i="3"/>
  <c r="BC254" i="3"/>
  <c r="BD254" i="3"/>
  <c r="BE254" i="3"/>
  <c r="BF254" i="3"/>
  <c r="BG254" i="3"/>
  <c r="BH254" i="3"/>
  <c r="BI254" i="3"/>
  <c r="BJ254" i="3"/>
  <c r="BK254" i="3"/>
  <c r="BA254" i="3"/>
  <c r="BB255" i="3"/>
  <c r="BC255" i="3"/>
  <c r="BD255" i="3"/>
  <c r="BE255" i="3"/>
  <c r="BF255" i="3"/>
  <c r="BG255" i="3"/>
  <c r="BH255" i="3"/>
  <c r="BI255" i="3"/>
  <c r="BJ255" i="3"/>
  <c r="BK255" i="3"/>
  <c r="BA255" i="3"/>
  <c r="BB256" i="3"/>
  <c r="BC256" i="3"/>
  <c r="BD256" i="3"/>
  <c r="BE256" i="3"/>
  <c r="BF256" i="3"/>
  <c r="BG256" i="3"/>
  <c r="BH256" i="3"/>
  <c r="BI256" i="3"/>
  <c r="BJ256" i="3"/>
  <c r="BK256" i="3"/>
  <c r="BA256" i="3"/>
  <c r="BB257" i="3"/>
  <c r="BC257" i="3"/>
  <c r="BD257" i="3"/>
  <c r="BE257" i="3"/>
  <c r="BF257" i="3"/>
  <c r="BG257" i="3"/>
  <c r="BH257" i="3"/>
  <c r="BI257" i="3"/>
  <c r="BJ257" i="3"/>
  <c r="BK257" i="3"/>
  <c r="BA257" i="3"/>
  <c r="BB258" i="3"/>
  <c r="BC258" i="3"/>
  <c r="BD258" i="3"/>
  <c r="BE258" i="3"/>
  <c r="BF258" i="3"/>
  <c r="BG258" i="3"/>
  <c r="BH258" i="3"/>
  <c r="BI258" i="3"/>
  <c r="BJ258" i="3"/>
  <c r="BK258" i="3"/>
  <c r="BA258" i="3"/>
  <c r="BB259" i="3"/>
  <c r="BC259" i="3"/>
  <c r="BD259" i="3"/>
  <c r="BE259" i="3"/>
  <c r="BF259" i="3"/>
  <c r="BG259" i="3"/>
  <c r="BH259" i="3"/>
  <c r="BI259" i="3"/>
  <c r="BJ259" i="3"/>
  <c r="BK259" i="3"/>
  <c r="BA259" i="3"/>
  <c r="BB260" i="3"/>
  <c r="BC260" i="3"/>
  <c r="BD260" i="3"/>
  <c r="BE260" i="3"/>
  <c r="BF260" i="3"/>
  <c r="BG260" i="3"/>
  <c r="BH260" i="3"/>
  <c r="BI260" i="3"/>
  <c r="BJ260" i="3"/>
  <c r="BK260" i="3"/>
  <c r="BA260" i="3"/>
  <c r="BB261" i="3"/>
  <c r="BC261" i="3"/>
  <c r="BD261" i="3"/>
  <c r="BE261" i="3"/>
  <c r="BF261" i="3"/>
  <c r="BG261" i="3"/>
  <c r="BH261" i="3"/>
  <c r="BI261" i="3"/>
  <c r="BJ261" i="3"/>
  <c r="BK261" i="3"/>
  <c r="BA261" i="3"/>
  <c r="BB262" i="3"/>
  <c r="BC262" i="3"/>
  <c r="BD262" i="3"/>
  <c r="BE262" i="3"/>
  <c r="BF262" i="3"/>
  <c r="BG262" i="3"/>
  <c r="BH262" i="3"/>
  <c r="BI262" i="3"/>
  <c r="BJ262" i="3"/>
  <c r="BK262" i="3"/>
  <c r="BA262" i="3"/>
  <c r="BB263" i="3"/>
  <c r="BC263" i="3"/>
  <c r="BD263" i="3"/>
  <c r="BE263" i="3"/>
  <c r="BF263" i="3"/>
  <c r="BG263" i="3"/>
  <c r="BH263" i="3"/>
  <c r="BI263" i="3"/>
  <c r="BJ263" i="3"/>
  <c r="BK263" i="3"/>
  <c r="BA263" i="3"/>
  <c r="BB264" i="3"/>
  <c r="BC264" i="3"/>
  <c r="BD264" i="3"/>
  <c r="BE264" i="3"/>
  <c r="BF264" i="3"/>
  <c r="BG264" i="3"/>
  <c r="BH264" i="3"/>
  <c r="BI264" i="3"/>
  <c r="BJ264" i="3"/>
  <c r="BK264" i="3"/>
  <c r="BA264" i="3"/>
  <c r="BB265" i="3"/>
  <c r="BC265" i="3"/>
  <c r="BD265" i="3"/>
  <c r="BE265" i="3"/>
  <c r="BF265" i="3"/>
  <c r="BG265" i="3"/>
  <c r="BH265" i="3"/>
  <c r="BI265" i="3"/>
  <c r="BJ265" i="3"/>
  <c r="BK265" i="3"/>
  <c r="BA265" i="3"/>
  <c r="BB266" i="3"/>
  <c r="BC266" i="3"/>
  <c r="BD266" i="3"/>
  <c r="BE266" i="3"/>
  <c r="BF266" i="3"/>
  <c r="BG266" i="3"/>
  <c r="BH266" i="3"/>
  <c r="BI266" i="3"/>
  <c r="BJ266" i="3"/>
  <c r="BK266" i="3"/>
  <c r="BA266" i="3"/>
  <c r="BB267" i="3"/>
  <c r="BC267" i="3"/>
  <c r="BD267" i="3"/>
  <c r="BE267" i="3"/>
  <c r="BF267" i="3"/>
  <c r="BG267" i="3"/>
  <c r="BH267" i="3"/>
  <c r="BI267" i="3"/>
  <c r="BJ267" i="3"/>
  <c r="BK267" i="3"/>
  <c r="BA267" i="3"/>
  <c r="BB268" i="3"/>
  <c r="BC268" i="3"/>
  <c r="BD268" i="3"/>
  <c r="BE268" i="3"/>
  <c r="BF268" i="3"/>
  <c r="BG268" i="3"/>
  <c r="BH268" i="3"/>
  <c r="BI268" i="3"/>
  <c r="BJ268" i="3"/>
  <c r="BK268" i="3"/>
  <c r="BA268" i="3"/>
  <c r="BB269" i="3"/>
  <c r="BC269" i="3"/>
  <c r="BD269" i="3"/>
  <c r="BE269" i="3"/>
  <c r="BF269" i="3"/>
  <c r="BG269" i="3"/>
  <c r="BH269" i="3"/>
  <c r="BI269" i="3"/>
  <c r="BJ269" i="3"/>
  <c r="BK269" i="3"/>
  <c r="BA269" i="3"/>
  <c r="BB270" i="3"/>
  <c r="BC270" i="3"/>
  <c r="BD270" i="3"/>
  <c r="BE270" i="3"/>
  <c r="BF270" i="3"/>
  <c r="BG270" i="3"/>
  <c r="BH270" i="3"/>
  <c r="BI270" i="3"/>
  <c r="BJ270" i="3"/>
  <c r="BK270" i="3"/>
  <c r="BA270" i="3"/>
  <c r="BB271" i="3"/>
  <c r="BC271" i="3"/>
  <c r="BD271" i="3"/>
  <c r="BE271" i="3"/>
  <c r="BF271" i="3"/>
  <c r="BG271" i="3"/>
  <c r="BH271" i="3"/>
  <c r="BI271" i="3"/>
  <c r="BJ271" i="3"/>
  <c r="BK271" i="3"/>
  <c r="BA271" i="3"/>
  <c r="BB272" i="3"/>
  <c r="BC272" i="3"/>
  <c r="BD272" i="3"/>
  <c r="BE272" i="3"/>
  <c r="BF272" i="3"/>
  <c r="BG272" i="3"/>
  <c r="BH272" i="3"/>
  <c r="BI272" i="3"/>
  <c r="BJ272" i="3"/>
  <c r="BK272" i="3"/>
  <c r="BA272" i="3"/>
  <c r="BB273" i="3"/>
  <c r="BC273" i="3"/>
  <c r="BD273" i="3"/>
  <c r="BE273" i="3"/>
  <c r="BF273" i="3"/>
  <c r="BG273" i="3"/>
  <c r="BH273" i="3"/>
  <c r="BI273" i="3"/>
  <c r="BJ273" i="3"/>
  <c r="BK273" i="3"/>
  <c r="BA273" i="3"/>
  <c r="BB274" i="3"/>
  <c r="BC274" i="3"/>
  <c r="BD274" i="3"/>
  <c r="BE274" i="3"/>
  <c r="BF274" i="3"/>
  <c r="BG274" i="3"/>
  <c r="BH274" i="3"/>
  <c r="BI274" i="3"/>
  <c r="BJ274" i="3"/>
  <c r="BK274" i="3"/>
  <c r="BA274" i="3"/>
  <c r="BB275" i="3"/>
  <c r="BC275" i="3"/>
  <c r="BD275" i="3"/>
  <c r="BE275" i="3"/>
  <c r="BF275" i="3"/>
  <c r="BG275" i="3"/>
  <c r="BH275" i="3"/>
  <c r="BI275" i="3"/>
  <c r="BJ275" i="3"/>
  <c r="BK275" i="3"/>
  <c r="BA275" i="3"/>
  <c r="BB276" i="3"/>
  <c r="BC276" i="3"/>
  <c r="BD276" i="3"/>
  <c r="BE276" i="3"/>
  <c r="BF276" i="3"/>
  <c r="BG276" i="3"/>
  <c r="BH276" i="3"/>
  <c r="BI276" i="3"/>
  <c r="BJ276" i="3"/>
  <c r="BK276" i="3"/>
  <c r="BA276" i="3"/>
  <c r="BB277" i="3"/>
  <c r="BC277" i="3"/>
  <c r="BD277" i="3"/>
  <c r="BE277" i="3"/>
  <c r="BF277" i="3"/>
  <c r="BG277" i="3"/>
  <c r="BH277" i="3"/>
  <c r="BI277" i="3"/>
  <c r="BJ277" i="3"/>
  <c r="BK277" i="3"/>
  <c r="BA277" i="3"/>
  <c r="BB278" i="3"/>
  <c r="BC278" i="3"/>
  <c r="BD278" i="3"/>
  <c r="BE278" i="3"/>
  <c r="BF278" i="3"/>
  <c r="BG278" i="3"/>
  <c r="BH278" i="3"/>
  <c r="BI278" i="3"/>
  <c r="BJ278" i="3"/>
  <c r="BK278" i="3"/>
  <c r="BA278" i="3"/>
  <c r="BB279" i="3"/>
  <c r="BC279" i="3"/>
  <c r="BD279" i="3"/>
  <c r="BE279" i="3"/>
  <c r="BF279" i="3"/>
  <c r="BG279" i="3"/>
  <c r="BH279" i="3"/>
  <c r="BI279" i="3"/>
  <c r="BJ279" i="3"/>
  <c r="BK279" i="3"/>
  <c r="BA279" i="3"/>
  <c r="BB280" i="3"/>
  <c r="BC280" i="3"/>
  <c r="BD280" i="3"/>
  <c r="BE280" i="3"/>
  <c r="BF280" i="3"/>
  <c r="BG280" i="3"/>
  <c r="BH280" i="3"/>
  <c r="BI280" i="3"/>
  <c r="BJ280" i="3"/>
  <c r="BK280" i="3"/>
  <c r="BA280" i="3"/>
  <c r="BB281" i="3"/>
  <c r="BC281" i="3"/>
  <c r="BD281" i="3"/>
  <c r="BE281" i="3"/>
  <c r="BF281" i="3"/>
  <c r="BG281" i="3"/>
  <c r="BH281" i="3"/>
  <c r="BI281" i="3"/>
  <c r="BJ281" i="3"/>
  <c r="BK281" i="3"/>
  <c r="BA281" i="3"/>
  <c r="BB282" i="3"/>
  <c r="BC282" i="3"/>
  <c r="BD282" i="3"/>
  <c r="BE282" i="3"/>
  <c r="BF282" i="3"/>
  <c r="BG282" i="3"/>
  <c r="BH282" i="3"/>
  <c r="BI282" i="3"/>
  <c r="BJ282" i="3"/>
  <c r="BK282" i="3"/>
  <c r="BA282" i="3"/>
  <c r="BB283" i="3"/>
  <c r="BC283" i="3"/>
  <c r="BD283" i="3"/>
  <c r="BE283" i="3"/>
  <c r="BF283" i="3"/>
  <c r="BG283" i="3"/>
  <c r="BH283" i="3"/>
  <c r="BI283" i="3"/>
  <c r="BJ283" i="3"/>
  <c r="BK283" i="3"/>
  <c r="BA283" i="3"/>
  <c r="BB284" i="3"/>
  <c r="BC284" i="3"/>
  <c r="BD284" i="3"/>
  <c r="BE284" i="3"/>
  <c r="BF284" i="3"/>
  <c r="BG284" i="3"/>
  <c r="BH284" i="3"/>
  <c r="BI284" i="3"/>
  <c r="BJ284" i="3"/>
  <c r="BK284" i="3"/>
  <c r="BA284" i="3"/>
  <c r="BB285" i="3"/>
  <c r="BC285" i="3"/>
  <c r="BD285" i="3"/>
  <c r="BE285" i="3"/>
  <c r="BF285" i="3"/>
  <c r="BG285" i="3"/>
  <c r="BH285" i="3"/>
  <c r="BI285" i="3"/>
  <c r="BJ285" i="3"/>
  <c r="BK285" i="3"/>
  <c r="BA285" i="3"/>
  <c r="BB286" i="3"/>
  <c r="BC286" i="3"/>
  <c r="BD286" i="3"/>
  <c r="BE286" i="3"/>
  <c r="BF286" i="3"/>
  <c r="BG286" i="3"/>
  <c r="BH286" i="3"/>
  <c r="BI286" i="3"/>
  <c r="BJ286" i="3"/>
  <c r="BK286" i="3"/>
  <c r="BA286" i="3"/>
  <c r="BB287" i="3"/>
  <c r="BC287" i="3"/>
  <c r="BD287" i="3"/>
  <c r="BE287" i="3"/>
  <c r="BF287" i="3"/>
  <c r="BG287" i="3"/>
  <c r="BH287" i="3"/>
  <c r="BI287" i="3"/>
  <c r="BJ287" i="3"/>
  <c r="BK287" i="3"/>
  <c r="BA287" i="3"/>
  <c r="BB288" i="3"/>
  <c r="BC288" i="3"/>
  <c r="BD288" i="3"/>
  <c r="BE288" i="3"/>
  <c r="BF288" i="3"/>
  <c r="BG288" i="3"/>
  <c r="BH288" i="3"/>
  <c r="BI288" i="3"/>
  <c r="BJ288" i="3"/>
  <c r="BK288" i="3"/>
  <c r="BA288" i="3"/>
  <c r="BB289" i="3"/>
  <c r="BC289" i="3"/>
  <c r="BD289" i="3"/>
  <c r="BE289" i="3"/>
  <c r="BF289" i="3"/>
  <c r="BG289" i="3"/>
  <c r="BH289" i="3"/>
  <c r="BI289" i="3"/>
  <c r="BJ289" i="3"/>
  <c r="BK289" i="3"/>
  <c r="BA289" i="3"/>
  <c r="BB290" i="3"/>
  <c r="BC290" i="3"/>
  <c r="BD290" i="3"/>
  <c r="BE290" i="3"/>
  <c r="BF290" i="3"/>
  <c r="BG290" i="3"/>
  <c r="BH290" i="3"/>
  <c r="BI290" i="3"/>
  <c r="BJ290" i="3"/>
  <c r="BK290" i="3"/>
  <c r="BA290" i="3"/>
  <c r="BB291" i="3"/>
  <c r="BC291" i="3"/>
  <c r="BD291" i="3"/>
  <c r="BE291" i="3"/>
  <c r="BF291" i="3"/>
  <c r="BG291" i="3"/>
  <c r="BH291" i="3"/>
  <c r="BI291" i="3"/>
  <c r="BJ291" i="3"/>
  <c r="BK291" i="3"/>
  <c r="BA291" i="3"/>
  <c r="BB292" i="3"/>
  <c r="BC292" i="3"/>
  <c r="BD292" i="3"/>
  <c r="BE292" i="3"/>
  <c r="BF292" i="3"/>
  <c r="BG292" i="3"/>
  <c r="BH292" i="3"/>
  <c r="BI292" i="3"/>
  <c r="BJ292" i="3"/>
  <c r="BK292" i="3"/>
  <c r="BA292" i="3"/>
  <c r="BB293" i="3"/>
  <c r="BC293" i="3"/>
  <c r="BD293" i="3"/>
  <c r="BE293" i="3"/>
  <c r="BF293" i="3"/>
  <c r="BG293" i="3"/>
  <c r="BH293" i="3"/>
  <c r="BI293" i="3"/>
  <c r="BJ293" i="3"/>
  <c r="BK293" i="3"/>
  <c r="BA293" i="3"/>
  <c r="BB294" i="3"/>
  <c r="BC294" i="3"/>
  <c r="BD294" i="3"/>
  <c r="BE294" i="3"/>
  <c r="BF294" i="3"/>
  <c r="BG294" i="3"/>
  <c r="BH294" i="3"/>
  <c r="BI294" i="3"/>
  <c r="BJ294" i="3"/>
  <c r="BK294" i="3"/>
  <c r="BA294" i="3"/>
  <c r="BB295" i="3"/>
  <c r="BC295" i="3"/>
  <c r="BD295" i="3"/>
  <c r="BE295" i="3"/>
  <c r="BF295" i="3"/>
  <c r="BG295" i="3"/>
  <c r="BH295" i="3"/>
  <c r="BI295" i="3"/>
  <c r="BJ295" i="3"/>
  <c r="BK295" i="3"/>
  <c r="BA295" i="3"/>
  <c r="BB296" i="3"/>
  <c r="BC296" i="3"/>
  <c r="BD296" i="3"/>
  <c r="BE296" i="3"/>
  <c r="BF296" i="3"/>
  <c r="BG296" i="3"/>
  <c r="BH296" i="3"/>
  <c r="BI296" i="3"/>
  <c r="BJ296" i="3"/>
  <c r="BK296" i="3"/>
  <c r="BA296" i="3"/>
  <c r="BB297" i="3"/>
  <c r="BC297" i="3"/>
  <c r="BD297" i="3"/>
  <c r="BE297" i="3"/>
  <c r="BF297" i="3"/>
  <c r="BG297" i="3"/>
  <c r="BH297" i="3"/>
  <c r="BI297" i="3"/>
  <c r="BJ297" i="3"/>
  <c r="BK297" i="3"/>
  <c r="BA297" i="3"/>
  <c r="BB298" i="3"/>
  <c r="BC298" i="3"/>
  <c r="BD298" i="3"/>
  <c r="BE298" i="3"/>
  <c r="BF298" i="3"/>
  <c r="BG298" i="3"/>
  <c r="BH298" i="3"/>
  <c r="BI298" i="3"/>
  <c r="BJ298" i="3"/>
  <c r="BK298" i="3"/>
  <c r="BA298" i="3"/>
  <c r="BB299" i="3"/>
  <c r="BC299" i="3"/>
  <c r="BD299" i="3"/>
  <c r="BE299" i="3"/>
  <c r="BF299" i="3"/>
  <c r="BG299" i="3"/>
  <c r="BH299" i="3"/>
  <c r="BI299" i="3"/>
  <c r="BJ299" i="3"/>
  <c r="BK299" i="3"/>
  <c r="BA299" i="3"/>
  <c r="BB300" i="3"/>
  <c r="BC300" i="3"/>
  <c r="BD300" i="3"/>
  <c r="BE300" i="3"/>
  <c r="BF300" i="3"/>
  <c r="BG300" i="3"/>
  <c r="BH300" i="3"/>
  <c r="BI300" i="3"/>
  <c r="BJ300" i="3"/>
  <c r="BK300" i="3"/>
  <c r="BA300" i="3"/>
  <c r="BB301" i="3"/>
  <c r="BC301" i="3"/>
  <c r="BD301" i="3"/>
  <c r="BE301" i="3"/>
  <c r="BF301" i="3"/>
  <c r="BG301" i="3"/>
  <c r="BH301" i="3"/>
  <c r="BI301" i="3"/>
  <c r="BJ301" i="3"/>
  <c r="BK301" i="3"/>
  <c r="BA301" i="3"/>
  <c r="BB302" i="3"/>
  <c r="BC302" i="3"/>
  <c r="BD302" i="3"/>
  <c r="BE302" i="3"/>
  <c r="BF302" i="3"/>
  <c r="BG302" i="3"/>
  <c r="BH302" i="3"/>
  <c r="BI302" i="3"/>
  <c r="BJ302" i="3"/>
  <c r="BK302" i="3"/>
  <c r="BA302" i="3"/>
  <c r="BB303" i="3"/>
  <c r="BC303" i="3"/>
  <c r="BD303" i="3"/>
  <c r="BE303" i="3"/>
  <c r="BF303" i="3"/>
  <c r="BG303" i="3"/>
  <c r="BH303" i="3"/>
  <c r="BI303" i="3"/>
  <c r="BJ303" i="3"/>
  <c r="BK303" i="3"/>
  <c r="BA303" i="3"/>
  <c r="BB304" i="3"/>
  <c r="BC304" i="3"/>
  <c r="BD304" i="3"/>
  <c r="BE304" i="3"/>
  <c r="BF304" i="3"/>
  <c r="BG304" i="3"/>
  <c r="BH304" i="3"/>
  <c r="BI304" i="3"/>
  <c r="BJ304" i="3"/>
  <c r="BK304" i="3"/>
  <c r="BA304" i="3"/>
  <c r="BB305" i="3"/>
  <c r="BC305" i="3"/>
  <c r="BD305" i="3"/>
  <c r="BE305" i="3"/>
  <c r="BF305" i="3"/>
  <c r="BG305" i="3"/>
  <c r="BH305" i="3"/>
  <c r="BI305" i="3"/>
  <c r="BJ305" i="3"/>
  <c r="BK305" i="3"/>
  <c r="BA305" i="3"/>
  <c r="BB306" i="3"/>
  <c r="BC306" i="3"/>
  <c r="BD306" i="3"/>
  <c r="BE306" i="3"/>
  <c r="BF306" i="3"/>
  <c r="BG306" i="3"/>
  <c r="BH306" i="3"/>
  <c r="BI306" i="3"/>
  <c r="BJ306" i="3"/>
  <c r="BK306" i="3"/>
  <c r="BA306" i="3"/>
  <c r="BB307" i="3"/>
  <c r="BC307" i="3"/>
  <c r="BD307" i="3"/>
  <c r="BE307" i="3"/>
  <c r="BF307" i="3"/>
  <c r="BG307" i="3"/>
  <c r="BH307" i="3"/>
  <c r="BI307" i="3"/>
  <c r="BJ307" i="3"/>
  <c r="BK307" i="3"/>
  <c r="BA307" i="3"/>
  <c r="BB308" i="3"/>
  <c r="BC308" i="3"/>
  <c r="BD308" i="3"/>
  <c r="BE308" i="3"/>
  <c r="BF308" i="3"/>
  <c r="BG308" i="3"/>
  <c r="BH308" i="3"/>
  <c r="BI308" i="3"/>
  <c r="BJ308" i="3"/>
  <c r="BK308" i="3"/>
  <c r="BA308" i="3"/>
  <c r="BB309" i="3"/>
  <c r="BC309" i="3"/>
  <c r="BD309" i="3"/>
  <c r="BE309" i="3"/>
  <c r="BF309" i="3"/>
  <c r="BG309" i="3"/>
  <c r="BH309" i="3"/>
  <c r="BI309" i="3"/>
  <c r="BJ309" i="3"/>
  <c r="BK309" i="3"/>
  <c r="BA309" i="3"/>
  <c r="BB310" i="3"/>
  <c r="BC310" i="3"/>
  <c r="BD310" i="3"/>
  <c r="BE310" i="3"/>
  <c r="BF310" i="3"/>
  <c r="BG310" i="3"/>
  <c r="BH310" i="3"/>
  <c r="BI310" i="3"/>
  <c r="BJ310" i="3"/>
  <c r="BK310" i="3"/>
  <c r="BA310" i="3"/>
  <c r="BB311" i="3"/>
  <c r="BC311" i="3"/>
  <c r="BD311" i="3"/>
  <c r="BE311" i="3"/>
  <c r="BF311" i="3"/>
  <c r="BG311" i="3"/>
  <c r="BH311" i="3"/>
  <c r="BI311" i="3"/>
  <c r="BJ311" i="3"/>
  <c r="BK311" i="3"/>
  <c r="BA311" i="3"/>
  <c r="BB312" i="3"/>
  <c r="BC312" i="3"/>
  <c r="BD312" i="3"/>
  <c r="BE312" i="3"/>
  <c r="BF312" i="3"/>
  <c r="BG312" i="3"/>
  <c r="BH312" i="3"/>
  <c r="BI312" i="3"/>
  <c r="BJ312" i="3"/>
  <c r="BK312" i="3"/>
  <c r="BA312" i="3"/>
  <c r="BB313" i="3"/>
  <c r="BC313" i="3"/>
  <c r="BD313" i="3"/>
  <c r="BE313" i="3"/>
  <c r="BF313" i="3"/>
  <c r="BG313" i="3"/>
  <c r="BH313" i="3"/>
  <c r="BI313" i="3"/>
  <c r="BJ313" i="3"/>
  <c r="BK313" i="3"/>
  <c r="BA313" i="3"/>
  <c r="BB314" i="3"/>
  <c r="BC314" i="3"/>
  <c r="BD314" i="3"/>
  <c r="BE314" i="3"/>
  <c r="BF314" i="3"/>
  <c r="BG314" i="3"/>
  <c r="BH314" i="3"/>
  <c r="BI314" i="3"/>
  <c r="BJ314" i="3"/>
  <c r="BK314" i="3"/>
  <c r="BA314" i="3"/>
  <c r="BB315" i="3"/>
  <c r="BC315" i="3"/>
  <c r="BD315" i="3"/>
  <c r="BE315" i="3"/>
  <c r="BF315" i="3"/>
  <c r="BG315" i="3"/>
  <c r="BH315" i="3"/>
  <c r="BI315" i="3"/>
  <c r="BJ315" i="3"/>
  <c r="BK315" i="3"/>
  <c r="BA315" i="3"/>
  <c r="BB316" i="3"/>
  <c r="BC316" i="3"/>
  <c r="BD316" i="3"/>
  <c r="BE316" i="3"/>
  <c r="BF316" i="3"/>
  <c r="BG316" i="3"/>
  <c r="BH316" i="3"/>
  <c r="BI316" i="3"/>
  <c r="BJ316" i="3"/>
  <c r="BK316" i="3"/>
  <c r="BA316" i="3"/>
  <c r="BB317" i="3"/>
  <c r="BC317" i="3"/>
  <c r="BD317" i="3"/>
  <c r="BE317" i="3"/>
  <c r="BF317" i="3"/>
  <c r="BG317" i="3"/>
  <c r="BH317" i="3"/>
  <c r="BI317" i="3"/>
  <c r="BJ317" i="3"/>
  <c r="BK317" i="3"/>
  <c r="BA317" i="3"/>
  <c r="BB318" i="3"/>
  <c r="BC318" i="3"/>
  <c r="BD318" i="3"/>
  <c r="BE318" i="3"/>
  <c r="BF318" i="3"/>
  <c r="BG318" i="3"/>
  <c r="BH318" i="3"/>
  <c r="BI318" i="3"/>
  <c r="BJ318" i="3"/>
  <c r="BK318" i="3"/>
  <c r="BA318" i="3"/>
  <c r="BB319" i="3"/>
  <c r="BC319" i="3"/>
  <c r="BD319" i="3"/>
  <c r="BE319" i="3"/>
  <c r="BF319" i="3"/>
  <c r="BG319" i="3"/>
  <c r="BH319" i="3"/>
  <c r="BI319" i="3"/>
  <c r="BJ319" i="3"/>
  <c r="BK319" i="3"/>
  <c r="BA319" i="3"/>
  <c r="BB320" i="3"/>
  <c r="BC320" i="3"/>
  <c r="BD320" i="3"/>
  <c r="BE320" i="3"/>
  <c r="BF320" i="3"/>
  <c r="BG320" i="3"/>
  <c r="BH320" i="3"/>
  <c r="BI320" i="3"/>
  <c r="BJ320" i="3"/>
  <c r="BK320" i="3"/>
  <c r="BA320" i="3"/>
  <c r="BB321" i="3"/>
  <c r="BC321" i="3"/>
  <c r="BD321" i="3"/>
  <c r="BE321" i="3"/>
  <c r="BF321" i="3"/>
  <c r="BG321" i="3"/>
  <c r="BH321" i="3"/>
  <c r="BI321" i="3"/>
  <c r="BJ321" i="3"/>
  <c r="BK321" i="3"/>
  <c r="BA321" i="3"/>
  <c r="BB322" i="3"/>
  <c r="BC322" i="3"/>
  <c r="BD322" i="3"/>
  <c r="BE322" i="3"/>
  <c r="BF322" i="3"/>
  <c r="BG322" i="3"/>
  <c r="BH322" i="3"/>
  <c r="BI322" i="3"/>
  <c r="BJ322" i="3"/>
  <c r="BK322" i="3"/>
  <c r="BA322" i="3"/>
  <c r="BB323" i="3"/>
  <c r="BC323" i="3"/>
  <c r="BD323" i="3"/>
  <c r="BE323" i="3"/>
  <c r="BF323" i="3"/>
  <c r="BG323" i="3"/>
  <c r="BH323" i="3"/>
  <c r="BI323" i="3"/>
  <c r="BJ323" i="3"/>
  <c r="BK323" i="3"/>
  <c r="BA323" i="3"/>
  <c r="BB324" i="3"/>
  <c r="BC324" i="3"/>
  <c r="BD324" i="3"/>
  <c r="BE324" i="3"/>
  <c r="BF324" i="3"/>
  <c r="BG324" i="3"/>
  <c r="BH324" i="3"/>
  <c r="BI324" i="3"/>
  <c r="BJ324" i="3"/>
  <c r="BK324" i="3"/>
  <c r="BA324" i="3"/>
  <c r="BB325" i="3"/>
  <c r="BC325" i="3"/>
  <c r="BD325" i="3"/>
  <c r="BE325" i="3"/>
  <c r="BF325" i="3"/>
  <c r="BG325" i="3"/>
  <c r="BH325" i="3"/>
  <c r="BI325" i="3"/>
  <c r="BJ325" i="3"/>
  <c r="BK325" i="3"/>
  <c r="BA325" i="3"/>
  <c r="BB326" i="3"/>
  <c r="BC326" i="3"/>
  <c r="BD326" i="3"/>
  <c r="BE326" i="3"/>
  <c r="BF326" i="3"/>
  <c r="BG326" i="3"/>
  <c r="BH326" i="3"/>
  <c r="BI326" i="3"/>
  <c r="BJ326" i="3"/>
  <c r="BK326" i="3"/>
  <c r="BA326" i="3"/>
  <c r="BB327" i="3"/>
  <c r="BC327" i="3"/>
  <c r="BD327" i="3"/>
  <c r="BE327" i="3"/>
  <c r="BF327" i="3"/>
  <c r="BG327" i="3"/>
  <c r="BH327" i="3"/>
  <c r="BI327" i="3"/>
  <c r="BJ327" i="3"/>
  <c r="BK327" i="3"/>
  <c r="BA327" i="3"/>
  <c r="BB328" i="3"/>
  <c r="BC328" i="3"/>
  <c r="BD328" i="3"/>
  <c r="BE328" i="3"/>
  <c r="BF328" i="3"/>
  <c r="BG328" i="3"/>
  <c r="BH328" i="3"/>
  <c r="BI328" i="3"/>
  <c r="BJ328" i="3"/>
  <c r="BK328" i="3"/>
  <c r="BA328" i="3"/>
  <c r="BB329" i="3"/>
  <c r="BC329" i="3"/>
  <c r="BD329" i="3"/>
  <c r="BE329" i="3"/>
  <c r="BF329" i="3"/>
  <c r="BG329" i="3"/>
  <c r="BH329" i="3"/>
  <c r="BI329" i="3"/>
  <c r="BJ329" i="3"/>
  <c r="BK329" i="3"/>
  <c r="BA329" i="3"/>
  <c r="BB330" i="3"/>
  <c r="BC330" i="3"/>
  <c r="BD330" i="3"/>
  <c r="BE330" i="3"/>
  <c r="BF330" i="3"/>
  <c r="BG330" i="3"/>
  <c r="BH330" i="3"/>
  <c r="BI330" i="3"/>
  <c r="BJ330" i="3"/>
  <c r="BK330" i="3"/>
  <c r="BA330" i="3"/>
  <c r="BB331" i="3"/>
  <c r="BC331" i="3"/>
  <c r="BD331" i="3"/>
  <c r="BE331" i="3"/>
  <c r="BF331" i="3"/>
  <c r="BG331" i="3"/>
  <c r="BH331" i="3"/>
  <c r="BI331" i="3"/>
  <c r="BJ331" i="3"/>
  <c r="BK331" i="3"/>
  <c r="BA331" i="3"/>
  <c r="BB332" i="3"/>
  <c r="BC332" i="3"/>
  <c r="BD332" i="3"/>
  <c r="BE332" i="3"/>
  <c r="BF332" i="3"/>
  <c r="BG332" i="3"/>
  <c r="BH332" i="3"/>
  <c r="BI332" i="3"/>
  <c r="BJ332" i="3"/>
  <c r="BK332" i="3"/>
  <c r="BA332" i="3"/>
  <c r="BB333" i="3"/>
  <c r="BC333" i="3"/>
  <c r="BD333" i="3"/>
  <c r="BE333" i="3"/>
  <c r="BF333" i="3"/>
  <c r="BG333" i="3"/>
  <c r="BH333" i="3"/>
  <c r="BI333" i="3"/>
  <c r="BJ333" i="3"/>
  <c r="BK333" i="3"/>
  <c r="BA333" i="3"/>
  <c r="BB334" i="3"/>
  <c r="BC334" i="3"/>
  <c r="BD334" i="3"/>
  <c r="BE334" i="3"/>
  <c r="BF334" i="3"/>
  <c r="BG334" i="3"/>
  <c r="BH334" i="3"/>
  <c r="BI334" i="3"/>
  <c r="BJ334" i="3"/>
  <c r="BK334" i="3"/>
  <c r="BA334" i="3"/>
  <c r="BB335" i="3"/>
  <c r="BC335" i="3"/>
  <c r="BD335" i="3"/>
  <c r="BE335" i="3"/>
  <c r="BF335" i="3"/>
  <c r="BG335" i="3"/>
  <c r="BH335" i="3"/>
  <c r="BI335" i="3"/>
  <c r="BJ335" i="3"/>
  <c r="BK335" i="3"/>
  <c r="BA335" i="3"/>
  <c r="BB336" i="3"/>
  <c r="BC336" i="3"/>
  <c r="BD336" i="3"/>
  <c r="BE336" i="3"/>
  <c r="BF336" i="3"/>
  <c r="BG336" i="3"/>
  <c r="BH336" i="3"/>
  <c r="BI336" i="3"/>
  <c r="BJ336" i="3"/>
  <c r="BK336" i="3"/>
  <c r="BA336" i="3"/>
  <c r="BB337" i="3"/>
  <c r="BC337" i="3"/>
  <c r="BD337" i="3"/>
  <c r="BE337" i="3"/>
  <c r="BF337" i="3"/>
  <c r="BG337" i="3"/>
  <c r="BH337" i="3"/>
  <c r="BI337" i="3"/>
  <c r="BJ337" i="3"/>
  <c r="BK337" i="3"/>
  <c r="BA337" i="3"/>
  <c r="BB338" i="3"/>
  <c r="BC338" i="3"/>
  <c r="BD338" i="3"/>
  <c r="BE338" i="3"/>
  <c r="BF338" i="3"/>
  <c r="BG338" i="3"/>
  <c r="BH338" i="3"/>
  <c r="BI338" i="3"/>
  <c r="BJ338" i="3"/>
  <c r="BK338" i="3"/>
  <c r="BA338" i="3"/>
  <c r="BB339" i="3"/>
  <c r="BC339" i="3"/>
  <c r="BD339" i="3"/>
  <c r="BE339" i="3"/>
  <c r="BF339" i="3"/>
  <c r="BG339" i="3"/>
  <c r="BH339" i="3"/>
  <c r="BI339" i="3"/>
  <c r="BJ339" i="3"/>
  <c r="BK339" i="3"/>
  <c r="BA339" i="3"/>
  <c r="BB340" i="3"/>
  <c r="BC340" i="3"/>
  <c r="BD340" i="3"/>
  <c r="BE340" i="3"/>
  <c r="BF340" i="3"/>
  <c r="BG340" i="3"/>
  <c r="BH340" i="3"/>
  <c r="BI340" i="3"/>
  <c r="BJ340" i="3"/>
  <c r="BK340" i="3"/>
  <c r="BA340" i="3"/>
  <c r="BB341" i="3"/>
  <c r="BC341" i="3"/>
  <c r="BD341" i="3"/>
  <c r="BE341" i="3"/>
  <c r="BF341" i="3"/>
  <c r="BG341" i="3"/>
  <c r="BH341" i="3"/>
  <c r="BI341" i="3"/>
  <c r="BJ341" i="3"/>
  <c r="BK341" i="3"/>
  <c r="BA341" i="3"/>
  <c r="BB342" i="3"/>
  <c r="BC342" i="3"/>
  <c r="BD342" i="3"/>
  <c r="BE342" i="3"/>
  <c r="BF342" i="3"/>
  <c r="BG342" i="3"/>
  <c r="BH342" i="3"/>
  <c r="BI342" i="3"/>
  <c r="BJ342" i="3"/>
  <c r="BK342" i="3"/>
  <c r="BA342" i="3"/>
  <c r="BB343" i="3"/>
  <c r="BC343" i="3"/>
  <c r="BD343" i="3"/>
  <c r="BE343" i="3"/>
  <c r="BF343" i="3"/>
  <c r="BG343" i="3"/>
  <c r="BH343" i="3"/>
  <c r="BI343" i="3"/>
  <c r="BJ343" i="3"/>
  <c r="BK343" i="3"/>
  <c r="BA343" i="3"/>
  <c r="BB344" i="3"/>
  <c r="BC344" i="3"/>
  <c r="BD344" i="3"/>
  <c r="BE344" i="3"/>
  <c r="BF344" i="3"/>
  <c r="BG344" i="3"/>
  <c r="BH344" i="3"/>
  <c r="BI344" i="3"/>
  <c r="BJ344" i="3"/>
  <c r="BK344" i="3"/>
  <c r="BA344" i="3"/>
  <c r="BB345" i="3"/>
  <c r="BC345" i="3"/>
  <c r="BD345" i="3"/>
  <c r="BE345" i="3"/>
  <c r="BF345" i="3"/>
  <c r="BG345" i="3"/>
  <c r="BH345" i="3"/>
  <c r="BI345" i="3"/>
  <c r="BJ345" i="3"/>
  <c r="BK345" i="3"/>
  <c r="BA345" i="3"/>
  <c r="BB346" i="3"/>
  <c r="BC346" i="3"/>
  <c r="BD346" i="3"/>
  <c r="BE346" i="3"/>
  <c r="BF346" i="3"/>
  <c r="BG346" i="3"/>
  <c r="BH346" i="3"/>
  <c r="BI346" i="3"/>
  <c r="BJ346" i="3"/>
  <c r="BK346" i="3"/>
  <c r="BA346" i="3"/>
  <c r="BB347" i="3"/>
  <c r="BC347" i="3"/>
  <c r="BD347" i="3"/>
  <c r="BE347" i="3"/>
  <c r="BF347" i="3"/>
  <c r="BG347" i="3"/>
  <c r="BH347" i="3"/>
  <c r="BI347" i="3"/>
  <c r="BJ347" i="3"/>
  <c r="BK347" i="3"/>
  <c r="BA347" i="3"/>
  <c r="BB348" i="3"/>
  <c r="BC348" i="3"/>
  <c r="BD348" i="3"/>
  <c r="BE348" i="3"/>
  <c r="BF348" i="3"/>
  <c r="BG348" i="3"/>
  <c r="BH348" i="3"/>
  <c r="BI348" i="3"/>
  <c r="BJ348" i="3"/>
  <c r="BK348" i="3"/>
  <c r="BA348" i="3"/>
  <c r="BB349" i="3"/>
  <c r="BC349" i="3"/>
  <c r="BD349" i="3"/>
  <c r="BE349" i="3"/>
  <c r="BF349" i="3"/>
  <c r="BG349" i="3"/>
  <c r="BH349" i="3"/>
  <c r="BI349" i="3"/>
  <c r="BJ349" i="3"/>
  <c r="BK349" i="3"/>
  <c r="BA349" i="3"/>
  <c r="BB350" i="3"/>
  <c r="BC350" i="3"/>
  <c r="BD350" i="3"/>
  <c r="BE350" i="3"/>
  <c r="BF350" i="3"/>
  <c r="BG350" i="3"/>
  <c r="BH350" i="3"/>
  <c r="BI350" i="3"/>
  <c r="BJ350" i="3"/>
  <c r="BK350" i="3"/>
  <c r="BA350" i="3"/>
  <c r="BB351" i="3"/>
  <c r="BC351" i="3"/>
  <c r="BD351" i="3"/>
  <c r="BE351" i="3"/>
  <c r="BF351" i="3"/>
  <c r="BG351" i="3"/>
  <c r="BH351" i="3"/>
  <c r="BI351" i="3"/>
  <c r="BJ351" i="3"/>
  <c r="BK351" i="3"/>
  <c r="BA351" i="3"/>
  <c r="BB352" i="3"/>
  <c r="BC352" i="3"/>
  <c r="BD352" i="3"/>
  <c r="BE352" i="3"/>
  <c r="BF352" i="3"/>
  <c r="BG352" i="3"/>
  <c r="BH352" i="3"/>
  <c r="BI352" i="3"/>
  <c r="BJ352" i="3"/>
  <c r="BK352" i="3"/>
  <c r="BA352" i="3"/>
  <c r="BB353" i="3"/>
  <c r="BC353" i="3"/>
  <c r="BD353" i="3"/>
  <c r="BE353" i="3"/>
  <c r="BF353" i="3"/>
  <c r="BG353" i="3"/>
  <c r="BH353" i="3"/>
  <c r="BI353" i="3"/>
  <c r="BJ353" i="3"/>
  <c r="BK353" i="3"/>
  <c r="BA353" i="3"/>
  <c r="BB354" i="3"/>
  <c r="BC354" i="3"/>
  <c r="BD354" i="3"/>
  <c r="BE354" i="3"/>
  <c r="BF354" i="3"/>
  <c r="BG354" i="3"/>
  <c r="BH354" i="3"/>
  <c r="BI354" i="3"/>
  <c r="BJ354" i="3"/>
  <c r="BK354" i="3"/>
  <c r="BA354" i="3"/>
  <c r="BB355" i="3"/>
  <c r="BC355" i="3"/>
  <c r="BD355" i="3"/>
  <c r="BE355" i="3"/>
  <c r="BF355" i="3"/>
  <c r="BG355" i="3"/>
  <c r="BH355" i="3"/>
  <c r="BI355" i="3"/>
  <c r="BJ355" i="3"/>
  <c r="BK355" i="3"/>
  <c r="BA355" i="3"/>
  <c r="BB356" i="3"/>
  <c r="BC356" i="3"/>
  <c r="BD356" i="3"/>
  <c r="BE356" i="3"/>
  <c r="BF356" i="3"/>
  <c r="BG356" i="3"/>
  <c r="BH356" i="3"/>
  <c r="BI356" i="3"/>
  <c r="BJ356" i="3"/>
  <c r="BK356" i="3"/>
  <c r="BA356" i="3"/>
  <c r="BB357" i="3"/>
  <c r="BC357" i="3"/>
  <c r="BD357" i="3"/>
  <c r="BE357" i="3"/>
  <c r="BF357" i="3"/>
  <c r="BG357" i="3"/>
  <c r="BH357" i="3"/>
  <c r="BI357" i="3"/>
  <c r="BJ357" i="3"/>
  <c r="BK357" i="3"/>
  <c r="BA357" i="3"/>
  <c r="BB358" i="3"/>
  <c r="BC358" i="3"/>
  <c r="BD358" i="3"/>
  <c r="BE358" i="3"/>
  <c r="BF358" i="3"/>
  <c r="BG358" i="3"/>
  <c r="BH358" i="3"/>
  <c r="BI358" i="3"/>
  <c r="BJ358" i="3"/>
  <c r="BK358" i="3"/>
  <c r="BA358" i="3"/>
  <c r="BB359" i="3"/>
  <c r="BC359" i="3"/>
  <c r="BD359" i="3"/>
  <c r="BE359" i="3"/>
  <c r="BF359" i="3"/>
  <c r="BG359" i="3"/>
  <c r="BH359" i="3"/>
  <c r="BI359" i="3"/>
  <c r="BJ359" i="3"/>
  <c r="BK359" i="3"/>
  <c r="BA359" i="3"/>
  <c r="BB360" i="3"/>
  <c r="BC360" i="3"/>
  <c r="BD360" i="3"/>
  <c r="BE360" i="3"/>
  <c r="BF360" i="3"/>
  <c r="BG360" i="3"/>
  <c r="BH360" i="3"/>
  <c r="BI360" i="3"/>
  <c r="BJ360" i="3"/>
  <c r="BK360" i="3"/>
  <c r="BA360" i="3"/>
  <c r="BB361" i="3"/>
  <c r="BC361" i="3"/>
  <c r="BD361" i="3"/>
  <c r="BE361" i="3"/>
  <c r="BF361" i="3"/>
  <c r="BG361" i="3"/>
  <c r="BH361" i="3"/>
  <c r="BI361" i="3"/>
  <c r="BJ361" i="3"/>
  <c r="BK361" i="3"/>
  <c r="BA361" i="3"/>
  <c r="BB362" i="3"/>
  <c r="BC362" i="3"/>
  <c r="BD362" i="3"/>
  <c r="BE362" i="3"/>
  <c r="BF362" i="3"/>
  <c r="BG362" i="3"/>
  <c r="BH362" i="3"/>
  <c r="BI362" i="3"/>
  <c r="BJ362" i="3"/>
  <c r="BK362" i="3"/>
  <c r="BA362" i="3"/>
  <c r="BB363" i="3"/>
  <c r="BC363" i="3"/>
  <c r="BD363" i="3"/>
  <c r="BE363" i="3"/>
  <c r="BF363" i="3"/>
  <c r="BG363" i="3"/>
  <c r="BH363" i="3"/>
  <c r="BI363" i="3"/>
  <c r="BJ363" i="3"/>
  <c r="BK363" i="3"/>
  <c r="BA363" i="3"/>
  <c r="BB364" i="3"/>
  <c r="BC364" i="3"/>
  <c r="BD364" i="3"/>
  <c r="BE364" i="3"/>
  <c r="BF364" i="3"/>
  <c r="BG364" i="3"/>
  <c r="BH364" i="3"/>
  <c r="BI364" i="3"/>
  <c r="BJ364" i="3"/>
  <c r="BK364" i="3"/>
  <c r="BA364" i="3"/>
  <c r="BB365" i="3"/>
  <c r="BC365" i="3"/>
  <c r="BD365" i="3"/>
  <c r="BE365" i="3"/>
  <c r="BF365" i="3"/>
  <c r="BG365" i="3"/>
  <c r="BH365" i="3"/>
  <c r="BI365" i="3"/>
  <c r="BJ365" i="3"/>
  <c r="BK365" i="3"/>
  <c r="BA365" i="3"/>
  <c r="BB366" i="3"/>
  <c r="BC366" i="3"/>
  <c r="BD366" i="3"/>
  <c r="BE366" i="3"/>
  <c r="BF366" i="3"/>
  <c r="BG366" i="3"/>
  <c r="BH366" i="3"/>
  <c r="BI366" i="3"/>
  <c r="BJ366" i="3"/>
  <c r="BK366" i="3"/>
  <c r="BA366" i="3"/>
  <c r="BB367" i="3"/>
  <c r="BC367" i="3"/>
  <c r="BD367" i="3"/>
  <c r="BE367" i="3"/>
  <c r="BF367" i="3"/>
  <c r="BG367" i="3"/>
  <c r="BH367" i="3"/>
  <c r="BI367" i="3"/>
  <c r="BJ367" i="3"/>
  <c r="BK367" i="3"/>
  <c r="BA367" i="3"/>
  <c r="BB368" i="3"/>
  <c r="BC368" i="3"/>
  <c r="BD368" i="3"/>
  <c r="BE368" i="3"/>
  <c r="BF368" i="3"/>
  <c r="BG368" i="3"/>
  <c r="BH368" i="3"/>
  <c r="BI368" i="3"/>
  <c r="BJ368" i="3"/>
  <c r="BK368" i="3"/>
  <c r="BA368" i="3"/>
  <c r="BB369" i="3"/>
  <c r="BC369" i="3"/>
  <c r="BD369" i="3"/>
  <c r="BE369" i="3"/>
  <c r="BF369" i="3"/>
  <c r="BG369" i="3"/>
  <c r="BH369" i="3"/>
  <c r="BI369" i="3"/>
  <c r="BJ369" i="3"/>
  <c r="BK369" i="3"/>
  <c r="BA369" i="3"/>
  <c r="BB370" i="3"/>
  <c r="BC370" i="3"/>
  <c r="BD370" i="3"/>
  <c r="BE370" i="3"/>
  <c r="BF370" i="3"/>
  <c r="BG370" i="3"/>
  <c r="BH370" i="3"/>
  <c r="BI370" i="3"/>
  <c r="BJ370" i="3"/>
  <c r="BK370" i="3"/>
  <c r="BA370" i="3"/>
  <c r="BB371" i="3"/>
  <c r="BC371" i="3"/>
  <c r="BD371" i="3"/>
  <c r="BE371" i="3"/>
  <c r="BF371" i="3"/>
  <c r="BG371" i="3"/>
  <c r="BH371" i="3"/>
  <c r="BI371" i="3"/>
  <c r="BJ371" i="3"/>
  <c r="BK371" i="3"/>
  <c r="BA371" i="3"/>
  <c r="BB372" i="3"/>
  <c r="BC372" i="3"/>
  <c r="BD372" i="3"/>
  <c r="BE372" i="3"/>
  <c r="BF372" i="3"/>
  <c r="BG372" i="3"/>
  <c r="BH372" i="3"/>
  <c r="BI372" i="3"/>
  <c r="BJ372" i="3"/>
  <c r="BK372" i="3"/>
  <c r="BA372" i="3"/>
  <c r="BB373" i="3"/>
  <c r="BC373" i="3"/>
  <c r="BD373" i="3"/>
  <c r="BE373" i="3"/>
  <c r="BF373" i="3"/>
  <c r="BG373" i="3"/>
  <c r="BH373" i="3"/>
  <c r="BI373" i="3"/>
  <c r="BJ373" i="3"/>
  <c r="BK373" i="3"/>
  <c r="BA373" i="3"/>
  <c r="BB374" i="3"/>
  <c r="BC374" i="3"/>
  <c r="BD374" i="3"/>
  <c r="BE374" i="3"/>
  <c r="BF374" i="3"/>
  <c r="BG374" i="3"/>
  <c r="BH374" i="3"/>
  <c r="BI374" i="3"/>
  <c r="BJ374" i="3"/>
  <c r="BK374" i="3"/>
  <c r="BA374" i="3"/>
  <c r="BB375" i="3"/>
  <c r="BC375" i="3"/>
  <c r="BD375" i="3"/>
  <c r="BE375" i="3"/>
  <c r="BF375" i="3"/>
  <c r="BG375" i="3"/>
  <c r="BH375" i="3"/>
  <c r="BI375" i="3"/>
  <c r="BJ375" i="3"/>
  <c r="BK375" i="3"/>
  <c r="BA375" i="3"/>
  <c r="BB376" i="3"/>
  <c r="BC376" i="3"/>
  <c r="BD376" i="3"/>
  <c r="BE376" i="3"/>
  <c r="BF376" i="3"/>
  <c r="BG376" i="3"/>
  <c r="BH376" i="3"/>
  <c r="BI376" i="3"/>
  <c r="BJ376" i="3"/>
  <c r="BK376" i="3"/>
  <c r="BA376" i="3"/>
  <c r="BB377" i="3"/>
  <c r="BC377" i="3"/>
  <c r="BD377" i="3"/>
  <c r="BE377" i="3"/>
  <c r="BF377" i="3"/>
  <c r="BG377" i="3"/>
  <c r="BH377" i="3"/>
  <c r="BI377" i="3"/>
  <c r="BJ377" i="3"/>
  <c r="BK377" i="3"/>
  <c r="BA377" i="3"/>
  <c r="BB378" i="3"/>
  <c r="BC378" i="3"/>
  <c r="BD378" i="3"/>
  <c r="BE378" i="3"/>
  <c r="BF378" i="3"/>
  <c r="BG378" i="3"/>
  <c r="BH378" i="3"/>
  <c r="BI378" i="3"/>
  <c r="BJ378" i="3"/>
  <c r="BK378" i="3"/>
  <c r="BA378" i="3"/>
  <c r="BB379" i="3"/>
  <c r="BC379" i="3"/>
  <c r="BD379" i="3"/>
  <c r="BE379" i="3"/>
  <c r="BF379" i="3"/>
  <c r="BG379" i="3"/>
  <c r="BH379" i="3"/>
  <c r="BI379" i="3"/>
  <c r="BJ379" i="3"/>
  <c r="BK379" i="3"/>
  <c r="BA379" i="3"/>
  <c r="BB380" i="3"/>
  <c r="BC380" i="3"/>
  <c r="BD380" i="3"/>
  <c r="BE380" i="3"/>
  <c r="BF380" i="3"/>
  <c r="BG380" i="3"/>
  <c r="BH380" i="3"/>
  <c r="BI380" i="3"/>
  <c r="BJ380" i="3"/>
  <c r="BK380" i="3"/>
  <c r="BA380" i="3"/>
  <c r="BB381" i="3"/>
  <c r="BC381" i="3"/>
  <c r="BD381" i="3"/>
  <c r="BE381" i="3"/>
  <c r="BF381" i="3"/>
  <c r="BG381" i="3"/>
  <c r="BH381" i="3"/>
  <c r="BI381" i="3"/>
  <c r="BJ381" i="3"/>
  <c r="BK381" i="3"/>
  <c r="BA381" i="3"/>
  <c r="BB382" i="3"/>
  <c r="BC382" i="3"/>
  <c r="BD382" i="3"/>
  <c r="BE382" i="3"/>
  <c r="BF382" i="3"/>
  <c r="BG382" i="3"/>
  <c r="BH382" i="3"/>
  <c r="BI382" i="3"/>
  <c r="BJ382" i="3"/>
  <c r="BK382" i="3"/>
  <c r="BA382" i="3"/>
  <c r="BB383" i="3"/>
  <c r="BC383" i="3"/>
  <c r="BD383" i="3"/>
  <c r="BE383" i="3"/>
  <c r="BF383" i="3"/>
  <c r="BG383" i="3"/>
  <c r="BH383" i="3"/>
  <c r="BI383" i="3"/>
  <c r="BJ383" i="3"/>
  <c r="BK383" i="3"/>
  <c r="BA383" i="3"/>
  <c r="BB384" i="3"/>
  <c r="BC384" i="3"/>
  <c r="BD384" i="3"/>
  <c r="BE384" i="3"/>
  <c r="BF384" i="3"/>
  <c r="BG384" i="3"/>
  <c r="BH384" i="3"/>
  <c r="BI384" i="3"/>
  <c r="BJ384" i="3"/>
  <c r="BK384" i="3"/>
  <c r="BA384" i="3"/>
  <c r="BB385" i="3"/>
  <c r="BC385" i="3"/>
  <c r="BD385" i="3"/>
  <c r="BE385" i="3"/>
  <c r="BF385" i="3"/>
  <c r="BG385" i="3"/>
  <c r="BH385" i="3"/>
  <c r="BI385" i="3"/>
  <c r="BJ385" i="3"/>
  <c r="BK385" i="3"/>
  <c r="BA385" i="3"/>
  <c r="BB386" i="3"/>
  <c r="BC386" i="3"/>
  <c r="BD386" i="3"/>
  <c r="BE386" i="3"/>
  <c r="BF386" i="3"/>
  <c r="BG386" i="3"/>
  <c r="BH386" i="3"/>
  <c r="BI386" i="3"/>
  <c r="BJ386" i="3"/>
  <c r="BK386" i="3"/>
  <c r="BA386" i="3"/>
  <c r="BB387" i="3"/>
  <c r="BC387" i="3"/>
  <c r="BD387" i="3"/>
  <c r="BE387" i="3"/>
  <c r="BF387" i="3"/>
  <c r="BG387" i="3"/>
  <c r="BH387" i="3"/>
  <c r="BI387" i="3"/>
  <c r="BJ387" i="3"/>
  <c r="BK387" i="3"/>
  <c r="BA387" i="3"/>
  <c r="BB388" i="3"/>
  <c r="BC388" i="3"/>
  <c r="BD388" i="3"/>
  <c r="BE388" i="3"/>
  <c r="BF388" i="3"/>
  <c r="BG388" i="3"/>
  <c r="BH388" i="3"/>
  <c r="BI388" i="3"/>
  <c r="BJ388" i="3"/>
  <c r="BK388" i="3"/>
  <c r="BA388" i="3"/>
  <c r="BB389" i="3"/>
  <c r="BC389" i="3"/>
  <c r="BD389" i="3"/>
  <c r="BE389" i="3"/>
  <c r="BF389" i="3"/>
  <c r="BG389" i="3"/>
  <c r="BH389" i="3"/>
  <c r="BI389" i="3"/>
  <c r="BJ389" i="3"/>
  <c r="BK389" i="3"/>
  <c r="BA389" i="3"/>
  <c r="BB390" i="3"/>
  <c r="BC390" i="3"/>
  <c r="BD390" i="3"/>
  <c r="BE390" i="3"/>
  <c r="BF390" i="3"/>
  <c r="BG390" i="3"/>
  <c r="BH390" i="3"/>
  <c r="BI390" i="3"/>
  <c r="BJ390" i="3"/>
  <c r="BK390" i="3"/>
  <c r="BA390" i="3"/>
  <c r="BB391" i="3"/>
  <c r="BC391" i="3"/>
  <c r="BD391" i="3"/>
  <c r="BE391" i="3"/>
  <c r="BF391" i="3"/>
  <c r="BG391" i="3"/>
  <c r="BH391" i="3"/>
  <c r="BI391" i="3"/>
  <c r="BJ391" i="3"/>
  <c r="BK391" i="3"/>
  <c r="BA391" i="3"/>
  <c r="BB392" i="3"/>
  <c r="BC392" i="3"/>
  <c r="BD392" i="3"/>
  <c r="BE392" i="3"/>
  <c r="BF392" i="3"/>
  <c r="BG392" i="3"/>
  <c r="BH392" i="3"/>
  <c r="BI392" i="3"/>
  <c r="BJ392" i="3"/>
  <c r="BK392" i="3"/>
  <c r="BA392" i="3"/>
  <c r="BB393" i="3"/>
  <c r="BC393" i="3"/>
  <c r="BD393" i="3"/>
  <c r="BE393" i="3"/>
  <c r="BF393" i="3"/>
  <c r="BG393" i="3"/>
  <c r="BH393" i="3"/>
  <c r="BI393" i="3"/>
  <c r="BJ393" i="3"/>
  <c r="BK393" i="3"/>
  <c r="BA393" i="3"/>
  <c r="BB394" i="3"/>
  <c r="BC394" i="3"/>
  <c r="BD394" i="3"/>
  <c r="BE394" i="3"/>
  <c r="BF394" i="3"/>
  <c r="BG394" i="3"/>
  <c r="BH394" i="3"/>
  <c r="BI394" i="3"/>
  <c r="BJ394" i="3"/>
  <c r="BK394" i="3"/>
  <c r="BA394" i="3"/>
  <c r="BB395" i="3"/>
  <c r="BC395" i="3"/>
  <c r="BD395" i="3"/>
  <c r="BE395" i="3"/>
  <c r="BF395" i="3"/>
  <c r="BG395" i="3"/>
  <c r="BH395" i="3"/>
  <c r="BI395" i="3"/>
  <c r="BJ395" i="3"/>
  <c r="BK395" i="3"/>
  <c r="BA395" i="3"/>
  <c r="BB396" i="3"/>
  <c r="BC396" i="3"/>
  <c r="BD396" i="3"/>
  <c r="BE396" i="3"/>
  <c r="BF396" i="3"/>
  <c r="BG396" i="3"/>
  <c r="BH396" i="3"/>
  <c r="BI396" i="3"/>
  <c r="BJ396" i="3"/>
  <c r="BK396" i="3"/>
  <c r="BA396" i="3"/>
  <c r="BB397" i="3"/>
  <c r="BC397" i="3"/>
  <c r="BD397" i="3"/>
  <c r="BE397" i="3"/>
  <c r="BF397" i="3"/>
  <c r="BG397" i="3"/>
  <c r="BH397" i="3"/>
  <c r="BI397" i="3"/>
  <c r="BJ397" i="3"/>
  <c r="BK397" i="3"/>
  <c r="BA397" i="3"/>
  <c r="BB398" i="3"/>
  <c r="BC398" i="3"/>
  <c r="BD398" i="3"/>
  <c r="BE398" i="3"/>
  <c r="BF398" i="3"/>
  <c r="BG398" i="3"/>
  <c r="BH398" i="3"/>
  <c r="BI398" i="3"/>
  <c r="BJ398" i="3"/>
  <c r="BK398" i="3"/>
  <c r="BA398" i="3"/>
  <c r="BB399" i="3"/>
  <c r="BC399" i="3"/>
  <c r="BD399" i="3"/>
  <c r="BE399" i="3"/>
  <c r="BF399" i="3"/>
  <c r="BG399" i="3"/>
  <c r="BH399" i="3"/>
  <c r="BI399" i="3"/>
  <c r="BJ399" i="3"/>
  <c r="BK399" i="3"/>
  <c r="BA399" i="3"/>
  <c r="BB400" i="3"/>
  <c r="BC400" i="3"/>
  <c r="BD400" i="3"/>
  <c r="BE400" i="3"/>
  <c r="BF400" i="3"/>
  <c r="BG400" i="3"/>
  <c r="BH400" i="3"/>
  <c r="BI400" i="3"/>
  <c r="BJ400" i="3"/>
  <c r="BK400" i="3"/>
  <c r="BA400" i="3"/>
  <c r="BB401" i="3"/>
  <c r="BC401" i="3"/>
  <c r="BD401" i="3"/>
  <c r="BE401" i="3"/>
  <c r="BF401" i="3"/>
  <c r="BG401" i="3"/>
  <c r="BH401" i="3"/>
  <c r="BI401" i="3"/>
  <c r="BJ401" i="3"/>
  <c r="BK401" i="3"/>
  <c r="BA401" i="3"/>
  <c r="BB402" i="3"/>
  <c r="BC402" i="3"/>
  <c r="BD402" i="3"/>
  <c r="BE402" i="3"/>
  <c r="BF402" i="3"/>
  <c r="BG402" i="3"/>
  <c r="BH402" i="3"/>
  <c r="BI402" i="3"/>
  <c r="BJ402" i="3"/>
  <c r="BK402" i="3"/>
  <c r="BA402" i="3"/>
  <c r="BB403" i="3"/>
  <c r="BC403" i="3"/>
  <c r="BD403" i="3"/>
  <c r="BE403" i="3"/>
  <c r="BF403" i="3"/>
  <c r="BG403" i="3"/>
  <c r="BH403" i="3"/>
  <c r="BI403" i="3"/>
  <c r="BJ403" i="3"/>
  <c r="BK403" i="3"/>
  <c r="BA403" i="3"/>
  <c r="BB404" i="3"/>
  <c r="BC404" i="3"/>
  <c r="BD404" i="3"/>
  <c r="BE404" i="3"/>
  <c r="BF404" i="3"/>
  <c r="BG404" i="3"/>
  <c r="BH404" i="3"/>
  <c r="BI404" i="3"/>
  <c r="BJ404" i="3"/>
  <c r="BK404" i="3"/>
  <c r="BA404" i="3"/>
  <c r="BB405" i="3"/>
  <c r="BC405" i="3"/>
  <c r="BD405" i="3"/>
  <c r="BE405" i="3"/>
  <c r="BF405" i="3"/>
  <c r="BG405" i="3"/>
  <c r="BH405" i="3"/>
  <c r="BI405" i="3"/>
  <c r="BJ405" i="3"/>
  <c r="BK405" i="3"/>
  <c r="BA405" i="3"/>
  <c r="BB406" i="3"/>
  <c r="BC406" i="3"/>
  <c r="BD406" i="3"/>
  <c r="BE406" i="3"/>
  <c r="BF406" i="3"/>
  <c r="BG406" i="3"/>
  <c r="BH406" i="3"/>
  <c r="BI406" i="3"/>
  <c r="BJ406" i="3"/>
  <c r="BK406" i="3"/>
  <c r="BA406" i="3"/>
  <c r="BB407" i="3"/>
  <c r="BC407" i="3"/>
  <c r="BD407" i="3"/>
  <c r="BE407" i="3"/>
  <c r="BF407" i="3"/>
  <c r="BG407" i="3"/>
  <c r="BH407" i="3"/>
  <c r="BI407" i="3"/>
  <c r="BJ407" i="3"/>
  <c r="BK407" i="3"/>
  <c r="BA407" i="3"/>
  <c r="BB408" i="3"/>
  <c r="BC408" i="3"/>
  <c r="BD408" i="3"/>
  <c r="BE408" i="3"/>
  <c r="BF408" i="3"/>
  <c r="BG408" i="3"/>
  <c r="BH408" i="3"/>
  <c r="BI408" i="3"/>
  <c r="BJ408" i="3"/>
  <c r="BK408" i="3"/>
  <c r="BA408" i="3"/>
  <c r="BB409" i="3"/>
  <c r="BC409" i="3"/>
  <c r="BD409" i="3"/>
  <c r="BE409" i="3"/>
  <c r="BF409" i="3"/>
  <c r="BG409" i="3"/>
  <c r="BH409" i="3"/>
  <c r="BI409" i="3"/>
  <c r="BJ409" i="3"/>
  <c r="BK409" i="3"/>
  <c r="BA409" i="3"/>
  <c r="BB410" i="3"/>
  <c r="BC410" i="3"/>
  <c r="BD410" i="3"/>
  <c r="BE410" i="3"/>
  <c r="BF410" i="3"/>
  <c r="BG410" i="3"/>
  <c r="BH410" i="3"/>
  <c r="BI410" i="3"/>
  <c r="BJ410" i="3"/>
  <c r="BK410" i="3"/>
  <c r="BA410" i="3"/>
  <c r="BB411" i="3"/>
  <c r="BC411" i="3"/>
  <c r="BD411" i="3"/>
  <c r="BE411" i="3"/>
  <c r="BF411" i="3"/>
  <c r="BG411" i="3"/>
  <c r="BH411" i="3"/>
  <c r="BI411" i="3"/>
  <c r="BJ411" i="3"/>
  <c r="BK411" i="3"/>
  <c r="BA411" i="3"/>
  <c r="BB412" i="3"/>
  <c r="BC412" i="3"/>
  <c r="BD412" i="3"/>
  <c r="BE412" i="3"/>
  <c r="BF412" i="3"/>
  <c r="BG412" i="3"/>
  <c r="BH412" i="3"/>
  <c r="BI412" i="3"/>
  <c r="BJ412" i="3"/>
  <c r="BK412" i="3"/>
  <c r="BA412" i="3"/>
  <c r="BB413" i="3"/>
  <c r="BC413" i="3"/>
  <c r="BD413" i="3"/>
  <c r="BE413" i="3"/>
  <c r="BF413" i="3"/>
  <c r="BG413" i="3"/>
  <c r="BH413" i="3"/>
  <c r="BI413" i="3"/>
  <c r="BJ413" i="3"/>
  <c r="BK413" i="3"/>
  <c r="BA413" i="3"/>
  <c r="BB414" i="3"/>
  <c r="BC414" i="3"/>
  <c r="BD414" i="3"/>
  <c r="BE414" i="3"/>
  <c r="BF414" i="3"/>
  <c r="BG414" i="3"/>
  <c r="BH414" i="3"/>
  <c r="BI414" i="3"/>
  <c r="BJ414" i="3"/>
  <c r="BK414" i="3"/>
  <c r="BA414" i="3"/>
  <c r="BB415" i="3"/>
  <c r="BC415" i="3"/>
  <c r="BD415" i="3"/>
  <c r="BE415" i="3"/>
  <c r="BF415" i="3"/>
  <c r="BG415" i="3"/>
  <c r="BH415" i="3"/>
  <c r="BI415" i="3"/>
  <c r="BJ415" i="3"/>
  <c r="BK415" i="3"/>
  <c r="BA415" i="3"/>
  <c r="BB416" i="3"/>
  <c r="BC416" i="3"/>
  <c r="BD416" i="3"/>
  <c r="BE416" i="3"/>
  <c r="BF416" i="3"/>
  <c r="BG416" i="3"/>
  <c r="BH416" i="3"/>
  <c r="BI416" i="3"/>
  <c r="BJ416" i="3"/>
  <c r="BK416" i="3"/>
  <c r="BA416" i="3"/>
  <c r="BB417" i="3"/>
  <c r="BC417" i="3"/>
  <c r="BD417" i="3"/>
  <c r="BE417" i="3"/>
  <c r="BF417" i="3"/>
  <c r="BG417" i="3"/>
  <c r="BH417" i="3"/>
  <c r="BI417" i="3"/>
  <c r="BJ417" i="3"/>
  <c r="BK417" i="3"/>
  <c r="BA417" i="3"/>
  <c r="BB418" i="3"/>
  <c r="BC418" i="3"/>
  <c r="BD418" i="3"/>
  <c r="BE418" i="3"/>
  <c r="BF418" i="3"/>
  <c r="BG418" i="3"/>
  <c r="BH418" i="3"/>
  <c r="BI418" i="3"/>
  <c r="BJ418" i="3"/>
  <c r="BK418" i="3"/>
  <c r="BA418" i="3"/>
  <c r="BB419" i="3"/>
  <c r="BC419" i="3"/>
  <c r="BD419" i="3"/>
  <c r="BE419" i="3"/>
  <c r="BF419" i="3"/>
  <c r="BG419" i="3"/>
  <c r="BH419" i="3"/>
  <c r="BI419" i="3"/>
  <c r="BJ419" i="3"/>
  <c r="BK419" i="3"/>
  <c r="BA419" i="3"/>
  <c r="BB420" i="3"/>
  <c r="BC420" i="3"/>
  <c r="BD420" i="3"/>
  <c r="BE420" i="3"/>
  <c r="BF420" i="3"/>
  <c r="BG420" i="3"/>
  <c r="BH420" i="3"/>
  <c r="BI420" i="3"/>
  <c r="BJ420" i="3"/>
  <c r="BK420" i="3"/>
  <c r="BA420" i="3"/>
  <c r="BB421" i="3"/>
  <c r="BC421" i="3"/>
  <c r="BD421" i="3"/>
  <c r="BE421" i="3"/>
  <c r="BF421" i="3"/>
  <c r="BG421" i="3"/>
  <c r="BH421" i="3"/>
  <c r="BI421" i="3"/>
  <c r="BJ421" i="3"/>
  <c r="BK421" i="3"/>
  <c r="BA421" i="3"/>
  <c r="BB422" i="3"/>
  <c r="BC422" i="3"/>
  <c r="BD422" i="3"/>
  <c r="BE422" i="3"/>
  <c r="BF422" i="3"/>
  <c r="BG422" i="3"/>
  <c r="BH422" i="3"/>
  <c r="BI422" i="3"/>
  <c r="BJ422" i="3"/>
  <c r="BK422" i="3"/>
  <c r="BA422" i="3"/>
  <c r="BB423" i="3"/>
  <c r="BC423" i="3"/>
  <c r="BD423" i="3"/>
  <c r="BE423" i="3"/>
  <c r="BF423" i="3"/>
  <c r="BG423" i="3"/>
  <c r="BH423" i="3"/>
  <c r="BI423" i="3"/>
  <c r="BJ423" i="3"/>
  <c r="BK423" i="3"/>
  <c r="BA423" i="3"/>
  <c r="BB424" i="3"/>
  <c r="BC424" i="3"/>
  <c r="BD424" i="3"/>
  <c r="BE424" i="3"/>
  <c r="BF424" i="3"/>
  <c r="BG424" i="3"/>
  <c r="BH424" i="3"/>
  <c r="BI424" i="3"/>
  <c r="BJ424" i="3"/>
  <c r="BK424" i="3"/>
  <c r="BA424" i="3"/>
  <c r="BB425" i="3"/>
  <c r="BC425" i="3"/>
  <c r="BD425" i="3"/>
  <c r="BE425" i="3"/>
  <c r="BF425" i="3"/>
  <c r="BG425" i="3"/>
  <c r="BH425" i="3"/>
  <c r="BI425" i="3"/>
  <c r="BJ425" i="3"/>
  <c r="BK425" i="3"/>
  <c r="BA425" i="3"/>
  <c r="BB426" i="3"/>
  <c r="BC426" i="3"/>
  <c r="BD426" i="3"/>
  <c r="BE426" i="3"/>
  <c r="BF426" i="3"/>
  <c r="BG426" i="3"/>
  <c r="BH426" i="3"/>
  <c r="BI426" i="3"/>
  <c r="BJ426" i="3"/>
  <c r="BK426" i="3"/>
  <c r="BA426" i="3"/>
  <c r="BB427" i="3"/>
  <c r="BC427" i="3"/>
  <c r="BD427" i="3"/>
  <c r="BE427" i="3"/>
  <c r="BF427" i="3"/>
  <c r="BG427" i="3"/>
  <c r="BH427" i="3"/>
  <c r="BI427" i="3"/>
  <c r="BJ427" i="3"/>
  <c r="BK427" i="3"/>
  <c r="BA427" i="3"/>
  <c r="BB428" i="3"/>
  <c r="BC428" i="3"/>
  <c r="BD428" i="3"/>
  <c r="BE428" i="3"/>
  <c r="BF428" i="3"/>
  <c r="BG428" i="3"/>
  <c r="BH428" i="3"/>
  <c r="BI428" i="3"/>
  <c r="BJ428" i="3"/>
  <c r="BK428" i="3"/>
  <c r="BA428" i="3"/>
  <c r="BB429" i="3"/>
  <c r="BC429" i="3"/>
  <c r="BD429" i="3"/>
  <c r="BE429" i="3"/>
  <c r="BF429" i="3"/>
  <c r="BG429" i="3"/>
  <c r="BH429" i="3"/>
  <c r="BI429" i="3"/>
  <c r="BJ429" i="3"/>
  <c r="BK429" i="3"/>
  <c r="BA429" i="3"/>
  <c r="BB430" i="3"/>
  <c r="BC430" i="3"/>
  <c r="BD430" i="3"/>
  <c r="BE430" i="3"/>
  <c r="BF430" i="3"/>
  <c r="BG430" i="3"/>
  <c r="BH430" i="3"/>
  <c r="BI430" i="3"/>
  <c r="BJ430" i="3"/>
  <c r="BK430" i="3"/>
  <c r="BA430" i="3"/>
  <c r="BB431" i="3"/>
  <c r="BC431" i="3"/>
  <c r="BD431" i="3"/>
  <c r="BE431" i="3"/>
  <c r="BF431" i="3"/>
  <c r="BG431" i="3"/>
  <c r="BH431" i="3"/>
  <c r="BI431" i="3"/>
  <c r="BJ431" i="3"/>
  <c r="BK431" i="3"/>
  <c r="BA431" i="3"/>
  <c r="BB432" i="3"/>
  <c r="BC432" i="3"/>
  <c r="BD432" i="3"/>
  <c r="BE432" i="3"/>
  <c r="BF432" i="3"/>
  <c r="BG432" i="3"/>
  <c r="BH432" i="3"/>
  <c r="BI432" i="3"/>
  <c r="BJ432" i="3"/>
  <c r="BK432" i="3"/>
  <c r="BA432" i="3"/>
  <c r="BB433" i="3"/>
  <c r="BC433" i="3"/>
  <c r="BD433" i="3"/>
  <c r="BE433" i="3"/>
  <c r="BF433" i="3"/>
  <c r="BG433" i="3"/>
  <c r="BH433" i="3"/>
  <c r="BI433" i="3"/>
  <c r="BJ433" i="3"/>
  <c r="BK433" i="3"/>
  <c r="BA433" i="3"/>
  <c r="BB434" i="3"/>
  <c r="BC434" i="3"/>
  <c r="BD434" i="3"/>
  <c r="BE434" i="3"/>
  <c r="BF434" i="3"/>
  <c r="BG434" i="3"/>
  <c r="BH434" i="3"/>
  <c r="BI434" i="3"/>
  <c r="BJ434" i="3"/>
  <c r="BK434" i="3"/>
  <c r="BA434" i="3"/>
  <c r="BB435" i="3"/>
  <c r="BC435" i="3"/>
  <c r="BD435" i="3"/>
  <c r="BE435" i="3"/>
  <c r="BF435" i="3"/>
  <c r="BG435" i="3"/>
  <c r="BH435" i="3"/>
  <c r="BI435" i="3"/>
  <c r="BJ435" i="3"/>
  <c r="BK435" i="3"/>
  <c r="BA435" i="3"/>
  <c r="BB436" i="3"/>
  <c r="BC436" i="3"/>
  <c r="BD436" i="3"/>
  <c r="BE436" i="3"/>
  <c r="BF436" i="3"/>
  <c r="BG436" i="3"/>
  <c r="BH436" i="3"/>
  <c r="BI436" i="3"/>
  <c r="BJ436" i="3"/>
  <c r="BK436" i="3"/>
  <c r="BA436" i="3"/>
  <c r="BB437" i="3"/>
  <c r="BC437" i="3"/>
  <c r="BD437" i="3"/>
  <c r="BE437" i="3"/>
  <c r="BF437" i="3"/>
  <c r="BG437" i="3"/>
  <c r="BH437" i="3"/>
  <c r="BI437" i="3"/>
  <c r="BJ437" i="3"/>
  <c r="BK437" i="3"/>
  <c r="BA437" i="3"/>
  <c r="BB438" i="3"/>
  <c r="BC438" i="3"/>
  <c r="BD438" i="3"/>
  <c r="BE438" i="3"/>
  <c r="BF438" i="3"/>
  <c r="BG438" i="3"/>
  <c r="BH438" i="3"/>
  <c r="BI438" i="3"/>
  <c r="BJ438" i="3"/>
  <c r="BK438" i="3"/>
  <c r="BA438" i="3"/>
  <c r="BB439" i="3"/>
  <c r="BC439" i="3"/>
  <c r="BD439" i="3"/>
  <c r="BE439" i="3"/>
  <c r="BF439" i="3"/>
  <c r="BG439" i="3"/>
  <c r="BH439" i="3"/>
  <c r="BI439" i="3"/>
  <c r="BJ439" i="3"/>
  <c r="BK439" i="3"/>
  <c r="BA439" i="3"/>
  <c r="BB440" i="3"/>
  <c r="BC440" i="3"/>
  <c r="BD440" i="3"/>
  <c r="BE440" i="3"/>
  <c r="BF440" i="3"/>
  <c r="BG440" i="3"/>
  <c r="BH440" i="3"/>
  <c r="BI440" i="3"/>
  <c r="BJ440" i="3"/>
  <c r="BK440" i="3"/>
  <c r="BA440" i="3"/>
  <c r="BB441" i="3"/>
  <c r="BC441" i="3"/>
  <c r="BD441" i="3"/>
  <c r="BE441" i="3"/>
  <c r="BF441" i="3"/>
  <c r="BG441" i="3"/>
  <c r="BH441" i="3"/>
  <c r="BI441" i="3"/>
  <c r="BJ441" i="3"/>
  <c r="BK441" i="3"/>
  <c r="BA441" i="3"/>
  <c r="BB442" i="3"/>
  <c r="BC442" i="3"/>
  <c r="BD442" i="3"/>
  <c r="BE442" i="3"/>
  <c r="BF442" i="3"/>
  <c r="BG442" i="3"/>
  <c r="BH442" i="3"/>
  <c r="BI442" i="3"/>
  <c r="BJ442" i="3"/>
  <c r="BK442" i="3"/>
  <c r="BA442" i="3"/>
  <c r="BB443" i="3"/>
  <c r="BC443" i="3"/>
  <c r="BD443" i="3"/>
  <c r="BE443" i="3"/>
  <c r="BF443" i="3"/>
  <c r="BG443" i="3"/>
  <c r="BH443" i="3"/>
  <c r="BI443" i="3"/>
  <c r="BJ443" i="3"/>
  <c r="BK443" i="3"/>
  <c r="BA443" i="3"/>
  <c r="BB444" i="3"/>
  <c r="BC444" i="3"/>
  <c r="BD444" i="3"/>
  <c r="BE444" i="3"/>
  <c r="BF444" i="3"/>
  <c r="BG444" i="3"/>
  <c r="BH444" i="3"/>
  <c r="BI444" i="3"/>
  <c r="BJ444" i="3"/>
  <c r="BK444" i="3"/>
  <c r="BA444" i="3"/>
  <c r="BB445" i="3"/>
  <c r="BC445" i="3"/>
  <c r="BD445" i="3"/>
  <c r="BE445" i="3"/>
  <c r="BF445" i="3"/>
  <c r="BG445" i="3"/>
  <c r="BH445" i="3"/>
  <c r="BI445" i="3"/>
  <c r="BJ445" i="3"/>
  <c r="BK445" i="3"/>
  <c r="BA445" i="3"/>
  <c r="BB446" i="3"/>
  <c r="BC446" i="3"/>
  <c r="BD446" i="3"/>
  <c r="BE446" i="3"/>
  <c r="BF446" i="3"/>
  <c r="BG446" i="3"/>
  <c r="BH446" i="3"/>
  <c r="BI446" i="3"/>
  <c r="BJ446" i="3"/>
  <c r="BK446" i="3"/>
  <c r="BA446" i="3"/>
  <c r="BB447" i="3"/>
  <c r="BC447" i="3"/>
  <c r="BD447" i="3"/>
  <c r="BE447" i="3"/>
  <c r="BF447" i="3"/>
  <c r="BG447" i="3"/>
  <c r="BH447" i="3"/>
  <c r="BI447" i="3"/>
  <c r="BJ447" i="3"/>
  <c r="BK447" i="3"/>
  <c r="BA447" i="3"/>
  <c r="BB448" i="3"/>
  <c r="BC448" i="3"/>
  <c r="BD448" i="3"/>
  <c r="BE448" i="3"/>
  <c r="BF448" i="3"/>
  <c r="BG448" i="3"/>
  <c r="BH448" i="3"/>
  <c r="BI448" i="3"/>
  <c r="BJ448" i="3"/>
  <c r="BK448" i="3"/>
  <c r="BA448" i="3"/>
  <c r="BB449" i="3"/>
  <c r="BC449" i="3"/>
  <c r="BD449" i="3"/>
  <c r="BE449" i="3"/>
  <c r="BF449" i="3"/>
  <c r="BG449" i="3"/>
  <c r="BH449" i="3"/>
  <c r="BI449" i="3"/>
  <c r="BJ449" i="3"/>
  <c r="BK449" i="3"/>
  <c r="BA449" i="3"/>
  <c r="BB450" i="3"/>
  <c r="BC450" i="3"/>
  <c r="BD450" i="3"/>
  <c r="BE450" i="3"/>
  <c r="BF450" i="3"/>
  <c r="BG450" i="3"/>
  <c r="BH450" i="3"/>
  <c r="BI450" i="3"/>
  <c r="BJ450" i="3"/>
  <c r="BK450" i="3"/>
  <c r="BA450" i="3"/>
  <c r="BB451" i="3"/>
  <c r="BC451" i="3"/>
  <c r="BD451" i="3"/>
  <c r="BE451" i="3"/>
  <c r="BF451" i="3"/>
  <c r="BG451" i="3"/>
  <c r="BH451" i="3"/>
  <c r="BI451" i="3"/>
  <c r="BJ451" i="3"/>
  <c r="BK451" i="3"/>
  <c r="BA451" i="3"/>
  <c r="BB452" i="3"/>
  <c r="BC452" i="3"/>
  <c r="BD452" i="3"/>
  <c r="BE452" i="3"/>
  <c r="BF452" i="3"/>
  <c r="BG452" i="3"/>
  <c r="BH452" i="3"/>
  <c r="BI452" i="3"/>
  <c r="BJ452" i="3"/>
  <c r="BK452" i="3"/>
  <c r="BA452" i="3"/>
  <c r="BB453" i="3"/>
  <c r="BC453" i="3"/>
  <c r="BD453" i="3"/>
  <c r="BE453" i="3"/>
  <c r="BF453" i="3"/>
  <c r="BG453" i="3"/>
  <c r="BH453" i="3"/>
  <c r="BI453" i="3"/>
  <c r="BJ453" i="3"/>
  <c r="BK453" i="3"/>
  <c r="BA453" i="3"/>
  <c r="BB454" i="3"/>
  <c r="BC454" i="3"/>
  <c r="BD454" i="3"/>
  <c r="BE454" i="3"/>
  <c r="BF454" i="3"/>
  <c r="BG454" i="3"/>
  <c r="BH454" i="3"/>
  <c r="BI454" i="3"/>
  <c r="BJ454" i="3"/>
  <c r="BK454" i="3"/>
  <c r="BA454" i="3"/>
  <c r="BB455" i="3"/>
  <c r="BC455" i="3"/>
  <c r="BD455" i="3"/>
  <c r="BE455" i="3"/>
  <c r="BF455" i="3"/>
  <c r="BG455" i="3"/>
  <c r="BH455" i="3"/>
  <c r="BI455" i="3"/>
  <c r="BJ455" i="3"/>
  <c r="BK455" i="3"/>
  <c r="BA455" i="3"/>
  <c r="BB456" i="3"/>
  <c r="BC456" i="3"/>
  <c r="BD456" i="3"/>
  <c r="BE456" i="3"/>
  <c r="BF456" i="3"/>
  <c r="BG456" i="3"/>
  <c r="BH456" i="3"/>
  <c r="BI456" i="3"/>
  <c r="BJ456" i="3"/>
  <c r="BK456" i="3"/>
  <c r="BA456" i="3"/>
  <c r="BB457" i="3"/>
  <c r="BC457" i="3"/>
  <c r="BD457" i="3"/>
  <c r="BE457" i="3"/>
  <c r="BF457" i="3"/>
  <c r="BG457" i="3"/>
  <c r="BH457" i="3"/>
  <c r="BI457" i="3"/>
  <c r="BJ457" i="3"/>
  <c r="BK457" i="3"/>
  <c r="BA457" i="3"/>
  <c r="BB458" i="3"/>
  <c r="BC458" i="3"/>
  <c r="BD458" i="3"/>
  <c r="BE458" i="3"/>
  <c r="BF458" i="3"/>
  <c r="BG458" i="3"/>
  <c r="BH458" i="3"/>
  <c r="BI458" i="3"/>
  <c r="BJ458" i="3"/>
  <c r="BK458" i="3"/>
  <c r="BA458" i="3"/>
  <c r="BB459" i="3"/>
  <c r="BC459" i="3"/>
  <c r="BD459" i="3"/>
  <c r="BE459" i="3"/>
  <c r="BF459" i="3"/>
  <c r="BG459" i="3"/>
  <c r="BH459" i="3"/>
  <c r="BI459" i="3"/>
  <c r="BJ459" i="3"/>
  <c r="BK459" i="3"/>
  <c r="BA459" i="3"/>
  <c r="BB460" i="3"/>
  <c r="BC460" i="3"/>
  <c r="BD460" i="3"/>
  <c r="BE460" i="3"/>
  <c r="BF460" i="3"/>
  <c r="BG460" i="3"/>
  <c r="BH460" i="3"/>
  <c r="BI460" i="3"/>
  <c r="BJ460" i="3"/>
  <c r="BK460" i="3"/>
  <c r="BA460" i="3"/>
  <c r="BB461" i="3"/>
  <c r="BC461" i="3"/>
  <c r="BD461" i="3"/>
  <c r="BE461" i="3"/>
  <c r="BF461" i="3"/>
  <c r="BG461" i="3"/>
  <c r="BH461" i="3"/>
  <c r="BI461" i="3"/>
  <c r="BJ461" i="3"/>
  <c r="BK461" i="3"/>
  <c r="BA461" i="3"/>
  <c r="BB462" i="3"/>
  <c r="BC462" i="3"/>
  <c r="BD462" i="3"/>
  <c r="BE462" i="3"/>
  <c r="BF462" i="3"/>
  <c r="BG462" i="3"/>
  <c r="BH462" i="3"/>
  <c r="BI462" i="3"/>
  <c r="BJ462" i="3"/>
  <c r="BK462" i="3"/>
  <c r="BA462" i="3"/>
  <c r="BB463" i="3"/>
  <c r="BC463" i="3"/>
  <c r="BD463" i="3"/>
  <c r="BE463" i="3"/>
  <c r="BF463" i="3"/>
  <c r="BG463" i="3"/>
  <c r="BH463" i="3"/>
  <c r="BI463" i="3"/>
  <c r="BJ463" i="3"/>
  <c r="BK463" i="3"/>
  <c r="BA463" i="3"/>
  <c r="BB464" i="3"/>
  <c r="BC464" i="3"/>
  <c r="BD464" i="3"/>
  <c r="BE464" i="3"/>
  <c r="BF464" i="3"/>
  <c r="BG464" i="3"/>
  <c r="BH464" i="3"/>
  <c r="BI464" i="3"/>
  <c r="BJ464" i="3"/>
  <c r="BK464" i="3"/>
  <c r="BA464" i="3"/>
  <c r="BB465" i="3"/>
  <c r="BC465" i="3"/>
  <c r="BD465" i="3"/>
  <c r="BE465" i="3"/>
  <c r="BF465" i="3"/>
  <c r="BG465" i="3"/>
  <c r="BH465" i="3"/>
  <c r="BI465" i="3"/>
  <c r="BJ465" i="3"/>
  <c r="BK465" i="3"/>
  <c r="BA465" i="3"/>
  <c r="BB466" i="3"/>
  <c r="BC466" i="3"/>
  <c r="BD466" i="3"/>
  <c r="BE466" i="3"/>
  <c r="BF466" i="3"/>
  <c r="BG466" i="3"/>
  <c r="BH466" i="3"/>
  <c r="BI466" i="3"/>
  <c r="BJ466" i="3"/>
  <c r="BK466" i="3"/>
  <c r="BA466" i="3"/>
  <c r="BB467" i="3"/>
  <c r="BC467" i="3"/>
  <c r="BD467" i="3"/>
  <c r="BE467" i="3"/>
  <c r="BF467" i="3"/>
  <c r="BG467" i="3"/>
  <c r="BH467" i="3"/>
  <c r="BI467" i="3"/>
  <c r="BJ467" i="3"/>
  <c r="BK467" i="3"/>
  <c r="BA467" i="3"/>
  <c r="BB468" i="3"/>
  <c r="BC468" i="3"/>
  <c r="BD468" i="3"/>
  <c r="BE468" i="3"/>
  <c r="BF468" i="3"/>
  <c r="BG468" i="3"/>
  <c r="BH468" i="3"/>
  <c r="BI468" i="3"/>
  <c r="BJ468" i="3"/>
  <c r="BK468" i="3"/>
  <c r="BA468" i="3"/>
  <c r="BB469" i="3"/>
  <c r="BC469" i="3"/>
  <c r="BD469" i="3"/>
  <c r="BE469" i="3"/>
  <c r="BF469" i="3"/>
  <c r="BG469" i="3"/>
  <c r="BH469" i="3"/>
  <c r="BI469" i="3"/>
  <c r="BJ469" i="3"/>
  <c r="BK469" i="3"/>
  <c r="BA469" i="3"/>
  <c r="BB470" i="3"/>
  <c r="BC470" i="3"/>
  <c r="BD470" i="3"/>
  <c r="BE470" i="3"/>
  <c r="BF470" i="3"/>
  <c r="BG470" i="3"/>
  <c r="BH470" i="3"/>
  <c r="BI470" i="3"/>
  <c r="BJ470" i="3"/>
  <c r="BK470" i="3"/>
  <c r="BA470" i="3"/>
  <c r="BB471" i="3"/>
  <c r="BC471" i="3"/>
  <c r="BD471" i="3"/>
  <c r="BE471" i="3"/>
  <c r="BF471" i="3"/>
  <c r="BG471" i="3"/>
  <c r="BH471" i="3"/>
  <c r="BI471" i="3"/>
  <c r="BJ471" i="3"/>
  <c r="BK471" i="3"/>
  <c r="BA471" i="3"/>
  <c r="BB472" i="3"/>
  <c r="BC472" i="3"/>
  <c r="BD472" i="3"/>
  <c r="BE472" i="3"/>
  <c r="BF472" i="3"/>
  <c r="BG472" i="3"/>
  <c r="BH472" i="3"/>
  <c r="BI472" i="3"/>
  <c r="BJ472" i="3"/>
  <c r="BK472" i="3"/>
  <c r="BA472" i="3"/>
  <c r="BB473" i="3"/>
  <c r="BC473" i="3"/>
  <c r="BD473" i="3"/>
  <c r="BE473" i="3"/>
  <c r="BF473" i="3"/>
  <c r="BG473" i="3"/>
  <c r="BH473" i="3"/>
  <c r="BI473" i="3"/>
  <c r="BJ473" i="3"/>
  <c r="BK473" i="3"/>
  <c r="BA473" i="3"/>
  <c r="BB474" i="3"/>
  <c r="BC474" i="3"/>
  <c r="BD474" i="3"/>
  <c r="BE474" i="3"/>
  <c r="BF474" i="3"/>
  <c r="BG474" i="3"/>
  <c r="BH474" i="3"/>
  <c r="BI474" i="3"/>
  <c r="BJ474" i="3"/>
  <c r="BK474" i="3"/>
  <c r="BA474" i="3"/>
  <c r="BB475" i="3"/>
  <c r="BC475" i="3"/>
  <c r="BD475" i="3"/>
  <c r="BE475" i="3"/>
  <c r="BF475" i="3"/>
  <c r="BG475" i="3"/>
  <c r="BH475" i="3"/>
  <c r="BI475" i="3"/>
  <c r="BJ475" i="3"/>
  <c r="BK475" i="3"/>
  <c r="BA475" i="3"/>
  <c r="BB476" i="3"/>
  <c r="BC476" i="3"/>
  <c r="BD476" i="3"/>
  <c r="BE476" i="3"/>
  <c r="BF476" i="3"/>
  <c r="BG476" i="3"/>
  <c r="BH476" i="3"/>
  <c r="BI476" i="3"/>
  <c r="BJ476" i="3"/>
  <c r="BK476" i="3"/>
  <c r="BA476" i="3"/>
  <c r="BB477" i="3"/>
  <c r="BC477" i="3"/>
  <c r="BD477" i="3"/>
  <c r="BE477" i="3"/>
  <c r="BF477" i="3"/>
  <c r="BG477" i="3"/>
  <c r="BH477" i="3"/>
  <c r="BI477" i="3"/>
  <c r="BJ477" i="3"/>
  <c r="BK477" i="3"/>
  <c r="BA477" i="3"/>
  <c r="BB478" i="3"/>
  <c r="BC478" i="3"/>
  <c r="BD478" i="3"/>
  <c r="BE478" i="3"/>
  <c r="BF478" i="3"/>
  <c r="BG478" i="3"/>
  <c r="BH478" i="3"/>
  <c r="BI478" i="3"/>
  <c r="BJ478" i="3"/>
  <c r="BK478" i="3"/>
  <c r="BA478" i="3"/>
  <c r="BB479" i="3"/>
  <c r="BC479" i="3"/>
  <c r="BD479" i="3"/>
  <c r="BE479" i="3"/>
  <c r="BF479" i="3"/>
  <c r="BG479" i="3"/>
  <c r="BH479" i="3"/>
  <c r="BI479" i="3"/>
  <c r="BJ479" i="3"/>
  <c r="BK479" i="3"/>
  <c r="BA479" i="3"/>
  <c r="BB480" i="3"/>
  <c r="BC480" i="3"/>
  <c r="BD480" i="3"/>
  <c r="BE480" i="3"/>
  <c r="BF480" i="3"/>
  <c r="BG480" i="3"/>
  <c r="BH480" i="3"/>
  <c r="BI480" i="3"/>
  <c r="BJ480" i="3"/>
  <c r="BK480" i="3"/>
  <c r="BA480" i="3"/>
  <c r="BB481" i="3"/>
  <c r="BC481" i="3"/>
  <c r="BD481" i="3"/>
  <c r="BE481" i="3"/>
  <c r="BF481" i="3"/>
  <c r="BG481" i="3"/>
  <c r="BH481" i="3"/>
  <c r="BI481" i="3"/>
  <c r="BJ481" i="3"/>
  <c r="BK481" i="3"/>
  <c r="BA481" i="3"/>
  <c r="BB482" i="3"/>
  <c r="BC482" i="3"/>
  <c r="BD482" i="3"/>
  <c r="BE482" i="3"/>
  <c r="BF482" i="3"/>
  <c r="BG482" i="3"/>
  <c r="BH482" i="3"/>
  <c r="BI482" i="3"/>
  <c r="BJ482" i="3"/>
  <c r="BK482" i="3"/>
  <c r="BA482" i="3"/>
  <c r="BB483" i="3"/>
  <c r="BC483" i="3"/>
  <c r="BD483" i="3"/>
  <c r="BE483" i="3"/>
  <c r="BF483" i="3"/>
  <c r="BG483" i="3"/>
  <c r="BH483" i="3"/>
  <c r="BI483" i="3"/>
  <c r="BJ483" i="3"/>
  <c r="BK483" i="3"/>
  <c r="BA483" i="3"/>
  <c r="BB484" i="3"/>
  <c r="BC484" i="3"/>
  <c r="BD484" i="3"/>
  <c r="BE484" i="3"/>
  <c r="BF484" i="3"/>
  <c r="BG484" i="3"/>
  <c r="BH484" i="3"/>
  <c r="BI484" i="3"/>
  <c r="BJ484" i="3"/>
  <c r="BK484" i="3"/>
  <c r="BA484" i="3"/>
  <c r="BB485" i="3"/>
  <c r="BC485" i="3"/>
  <c r="BD485" i="3"/>
  <c r="BE485" i="3"/>
  <c r="BF485" i="3"/>
  <c r="BG485" i="3"/>
  <c r="BH485" i="3"/>
  <c r="BI485" i="3"/>
  <c r="BJ485" i="3"/>
  <c r="BK485" i="3"/>
  <c r="BA485" i="3"/>
  <c r="BB486" i="3"/>
  <c r="BC486" i="3"/>
  <c r="BD486" i="3"/>
  <c r="BE486" i="3"/>
  <c r="BF486" i="3"/>
  <c r="BG486" i="3"/>
  <c r="BH486" i="3"/>
  <c r="BI486" i="3"/>
  <c r="BJ486" i="3"/>
  <c r="BK486" i="3"/>
  <c r="BA486" i="3"/>
  <c r="BB487" i="3"/>
  <c r="BC487" i="3"/>
  <c r="BD487" i="3"/>
  <c r="BE487" i="3"/>
  <c r="BF487" i="3"/>
  <c r="BG487" i="3"/>
  <c r="BH487" i="3"/>
  <c r="BI487" i="3"/>
  <c r="BJ487" i="3"/>
  <c r="BK487" i="3"/>
  <c r="BA487" i="3"/>
  <c r="BB488" i="3"/>
  <c r="BC488" i="3"/>
  <c r="BD488" i="3"/>
  <c r="BE488" i="3"/>
  <c r="BF488" i="3"/>
  <c r="BG488" i="3"/>
  <c r="BH488" i="3"/>
  <c r="BI488" i="3"/>
  <c r="BJ488" i="3"/>
  <c r="BK488" i="3"/>
  <c r="BA488" i="3"/>
  <c r="BB489" i="3"/>
  <c r="BC489" i="3"/>
  <c r="BD489" i="3"/>
  <c r="BE489" i="3"/>
  <c r="BF489" i="3"/>
  <c r="BG489" i="3"/>
  <c r="BH489" i="3"/>
  <c r="BI489" i="3"/>
  <c r="BJ489" i="3"/>
  <c r="BK489" i="3"/>
  <c r="BA489" i="3"/>
  <c r="BB490" i="3"/>
  <c r="BC490" i="3"/>
  <c r="BD490" i="3"/>
  <c r="BE490" i="3"/>
  <c r="BF490" i="3"/>
  <c r="BG490" i="3"/>
  <c r="BH490" i="3"/>
  <c r="BI490" i="3"/>
  <c r="BJ490" i="3"/>
  <c r="BK490" i="3"/>
  <c r="BA490" i="3"/>
  <c r="BB491" i="3"/>
  <c r="BC491" i="3"/>
  <c r="BD491" i="3"/>
  <c r="BE491" i="3"/>
  <c r="BF491" i="3"/>
  <c r="BG491" i="3"/>
  <c r="BH491" i="3"/>
  <c r="BI491" i="3"/>
  <c r="BJ491" i="3"/>
  <c r="BK491" i="3"/>
  <c r="BA491" i="3"/>
  <c r="BB492" i="3"/>
  <c r="BC492" i="3"/>
  <c r="BD492" i="3"/>
  <c r="BE492" i="3"/>
  <c r="BF492" i="3"/>
  <c r="BG492" i="3"/>
  <c r="BH492" i="3"/>
  <c r="BI492" i="3"/>
  <c r="BJ492" i="3"/>
  <c r="BK492" i="3"/>
  <c r="BA492" i="3"/>
  <c r="BB493" i="3"/>
  <c r="BC493" i="3"/>
  <c r="BD493" i="3"/>
  <c r="BE493" i="3"/>
  <c r="BF493" i="3"/>
  <c r="BG493" i="3"/>
  <c r="BH493" i="3"/>
  <c r="BI493" i="3"/>
  <c r="BJ493" i="3"/>
  <c r="BK493" i="3"/>
  <c r="BA493" i="3"/>
  <c r="BB494" i="3"/>
  <c r="BC494" i="3"/>
  <c r="BD494" i="3"/>
  <c r="BE494" i="3"/>
  <c r="BF494" i="3"/>
  <c r="BG494" i="3"/>
  <c r="BH494" i="3"/>
  <c r="BI494" i="3"/>
  <c r="BJ494" i="3"/>
  <c r="BK494" i="3"/>
  <c r="BA494" i="3"/>
  <c r="BB495" i="3"/>
  <c r="BC495" i="3"/>
  <c r="BD495" i="3"/>
  <c r="BE495" i="3"/>
  <c r="BF495" i="3"/>
  <c r="BG495" i="3"/>
  <c r="BH495" i="3"/>
  <c r="BI495" i="3"/>
  <c r="BJ495" i="3"/>
  <c r="BK495" i="3"/>
  <c r="BA495" i="3"/>
  <c r="BB496" i="3"/>
  <c r="BC496" i="3"/>
  <c r="BD496" i="3"/>
  <c r="BE496" i="3"/>
  <c r="BF496" i="3"/>
  <c r="BG496" i="3"/>
  <c r="BH496" i="3"/>
  <c r="BI496" i="3"/>
  <c r="BJ496" i="3"/>
  <c r="BK496" i="3"/>
  <c r="BA496" i="3"/>
  <c r="BB497" i="3"/>
  <c r="BC497" i="3"/>
  <c r="BD497" i="3"/>
  <c r="BE497" i="3"/>
  <c r="BF497" i="3"/>
  <c r="BG497" i="3"/>
  <c r="BH497" i="3"/>
  <c r="BI497" i="3"/>
  <c r="BJ497" i="3"/>
  <c r="BK497" i="3"/>
  <c r="BA497" i="3"/>
  <c r="BB498" i="3"/>
  <c r="BC498" i="3"/>
  <c r="BD498" i="3"/>
  <c r="BE498" i="3"/>
  <c r="BF498" i="3"/>
  <c r="BG498" i="3"/>
  <c r="BH498" i="3"/>
  <c r="BI498" i="3"/>
  <c r="BJ498" i="3"/>
  <c r="BK498" i="3"/>
  <c r="BA498" i="3"/>
  <c r="BB499" i="3"/>
  <c r="BC499" i="3"/>
  <c r="BD499" i="3"/>
  <c r="BE499" i="3"/>
  <c r="BF499" i="3"/>
  <c r="BG499" i="3"/>
  <c r="BH499" i="3"/>
  <c r="BI499" i="3"/>
  <c r="BJ499" i="3"/>
  <c r="BK499" i="3"/>
  <c r="BA499" i="3"/>
  <c r="BB500" i="3"/>
  <c r="BC500" i="3"/>
  <c r="BD500" i="3"/>
  <c r="BE500" i="3"/>
  <c r="BF500" i="3"/>
  <c r="BG500" i="3"/>
  <c r="BH500" i="3"/>
  <c r="BI500" i="3"/>
  <c r="BJ500" i="3"/>
  <c r="BK500" i="3"/>
  <c r="BA500" i="3"/>
  <c r="BB501" i="3"/>
  <c r="BC501" i="3"/>
  <c r="BD501" i="3"/>
  <c r="BE501" i="3"/>
  <c r="BF501" i="3"/>
  <c r="BG501" i="3"/>
  <c r="BH501" i="3"/>
  <c r="BI501" i="3"/>
  <c r="BJ501" i="3"/>
  <c r="BK501" i="3"/>
  <c r="BA501" i="3"/>
  <c r="BB502" i="3"/>
  <c r="BC502" i="3"/>
  <c r="BD502" i="3"/>
  <c r="BE502" i="3"/>
  <c r="BF502" i="3"/>
  <c r="BG502" i="3"/>
  <c r="BH502" i="3"/>
  <c r="BI502" i="3"/>
  <c r="BJ502" i="3"/>
  <c r="BK502" i="3"/>
  <c r="BA502" i="3"/>
  <c r="BB503" i="3"/>
  <c r="BC503" i="3"/>
  <c r="BD503" i="3"/>
  <c r="BE503" i="3"/>
  <c r="BF503" i="3"/>
  <c r="BG503" i="3"/>
  <c r="BH503" i="3"/>
  <c r="BI503" i="3"/>
  <c r="BJ503" i="3"/>
  <c r="BK503" i="3"/>
  <c r="BA503" i="3"/>
  <c r="BB504" i="3"/>
  <c r="BC504" i="3"/>
  <c r="BD504" i="3"/>
  <c r="BE504" i="3"/>
  <c r="BF504" i="3"/>
  <c r="BG504" i="3"/>
  <c r="BH504" i="3"/>
  <c r="BI504" i="3"/>
  <c r="BJ504" i="3"/>
  <c r="BK504" i="3"/>
  <c r="BA504" i="3"/>
  <c r="BB505" i="3"/>
  <c r="BC505" i="3"/>
  <c r="BD505" i="3"/>
  <c r="BE505" i="3"/>
  <c r="BF505" i="3"/>
  <c r="BG505" i="3"/>
  <c r="BH505" i="3"/>
  <c r="BI505" i="3"/>
  <c r="BJ505" i="3"/>
  <c r="BK505" i="3"/>
  <c r="BA505" i="3"/>
  <c r="BB506" i="3"/>
  <c r="BC506" i="3"/>
  <c r="BD506" i="3"/>
  <c r="BE506" i="3"/>
  <c r="BF506" i="3"/>
  <c r="BG506" i="3"/>
  <c r="BH506" i="3"/>
  <c r="BI506" i="3"/>
  <c r="BJ506" i="3"/>
  <c r="BK506" i="3"/>
  <c r="BA506" i="3"/>
  <c r="BB507" i="3"/>
  <c r="BC507" i="3"/>
  <c r="BD507" i="3"/>
  <c r="BE507" i="3"/>
  <c r="BF507" i="3"/>
  <c r="BG507" i="3"/>
  <c r="BH507" i="3"/>
  <c r="BI507" i="3"/>
  <c r="BJ507" i="3"/>
  <c r="BK507" i="3"/>
  <c r="BA507" i="3"/>
  <c r="BB508" i="3"/>
  <c r="BC508" i="3"/>
  <c r="BD508" i="3"/>
  <c r="BE508" i="3"/>
  <c r="BF508" i="3"/>
  <c r="BG508" i="3"/>
  <c r="BH508" i="3"/>
  <c r="BI508" i="3"/>
  <c r="BJ508" i="3"/>
  <c r="BK508" i="3"/>
  <c r="BA508" i="3"/>
  <c r="BB509" i="3"/>
  <c r="BC509" i="3"/>
  <c r="BD509" i="3"/>
  <c r="BE509" i="3"/>
  <c r="BF509" i="3"/>
  <c r="BG509" i="3"/>
  <c r="BH509" i="3"/>
  <c r="BI509" i="3"/>
  <c r="BJ509" i="3"/>
  <c r="BK509" i="3"/>
  <c r="BA509" i="3"/>
  <c r="BB510" i="3"/>
  <c r="BC510" i="3"/>
  <c r="BD510" i="3"/>
  <c r="BE510" i="3"/>
  <c r="BF510" i="3"/>
  <c r="BG510" i="3"/>
  <c r="BH510" i="3"/>
  <c r="BI510" i="3"/>
  <c r="BJ510" i="3"/>
  <c r="BK510" i="3"/>
  <c r="BA510" i="3"/>
  <c r="BB511" i="3"/>
  <c r="BC511" i="3"/>
  <c r="BD511" i="3"/>
  <c r="BE511" i="3"/>
  <c r="BF511" i="3"/>
  <c r="BG511" i="3"/>
  <c r="BH511" i="3"/>
  <c r="BI511" i="3"/>
  <c r="BJ511" i="3"/>
  <c r="BK511" i="3"/>
  <c r="BA511" i="3"/>
  <c r="BB512" i="3"/>
  <c r="BC512" i="3"/>
  <c r="BD512" i="3"/>
  <c r="BE512" i="3"/>
  <c r="BF512" i="3"/>
  <c r="BG512" i="3"/>
  <c r="BH512" i="3"/>
  <c r="BI512" i="3"/>
  <c r="BJ512" i="3"/>
  <c r="BK512" i="3"/>
  <c r="BA512" i="3"/>
  <c r="BB513" i="3"/>
  <c r="BC513" i="3"/>
  <c r="BD513" i="3"/>
  <c r="BE513" i="3"/>
  <c r="BF513" i="3"/>
  <c r="BG513" i="3"/>
  <c r="BH513" i="3"/>
  <c r="BI513" i="3"/>
  <c r="BJ513" i="3"/>
  <c r="BK513" i="3"/>
  <c r="BA513" i="3"/>
  <c r="BB514" i="3"/>
  <c r="BC514" i="3"/>
  <c r="BD514" i="3"/>
  <c r="BE514" i="3"/>
  <c r="BF514" i="3"/>
  <c r="BG514" i="3"/>
  <c r="BH514" i="3"/>
  <c r="BI514" i="3"/>
  <c r="BJ514" i="3"/>
  <c r="BK514" i="3"/>
  <c r="BA514" i="3"/>
  <c r="BB515" i="3"/>
  <c r="BC515" i="3"/>
  <c r="BD515" i="3"/>
  <c r="BE515" i="3"/>
  <c r="BF515" i="3"/>
  <c r="BG515" i="3"/>
  <c r="BH515" i="3"/>
  <c r="BI515" i="3"/>
  <c r="BJ515" i="3"/>
  <c r="BK515" i="3"/>
  <c r="BA515" i="3"/>
  <c r="BB516" i="3"/>
  <c r="BC516" i="3"/>
  <c r="BD516" i="3"/>
  <c r="BE516" i="3"/>
  <c r="BF516" i="3"/>
  <c r="BG516" i="3"/>
  <c r="BH516" i="3"/>
  <c r="BI516" i="3"/>
  <c r="BJ516" i="3"/>
  <c r="BK516" i="3"/>
  <c r="BA516" i="3"/>
  <c r="BB517" i="3"/>
  <c r="BC517" i="3"/>
  <c r="BD517" i="3"/>
  <c r="BE517" i="3"/>
  <c r="BF517" i="3"/>
  <c r="BG517" i="3"/>
  <c r="BH517" i="3"/>
  <c r="BI517" i="3"/>
  <c r="BJ517" i="3"/>
  <c r="BK517" i="3"/>
  <c r="BA517" i="3"/>
  <c r="BB518" i="3"/>
  <c r="BC518" i="3"/>
  <c r="BD518" i="3"/>
  <c r="BE518" i="3"/>
  <c r="BF518" i="3"/>
  <c r="BG518" i="3"/>
  <c r="BH518" i="3"/>
  <c r="BI518" i="3"/>
  <c r="BJ518" i="3"/>
  <c r="BK518" i="3"/>
  <c r="BA518" i="3"/>
  <c r="BB519" i="3"/>
  <c r="BC519" i="3"/>
  <c r="BD519" i="3"/>
  <c r="BE519" i="3"/>
  <c r="BF519" i="3"/>
  <c r="BG519" i="3"/>
  <c r="BH519" i="3"/>
  <c r="BI519" i="3"/>
  <c r="BJ519" i="3"/>
  <c r="BK519" i="3"/>
  <c r="BA519" i="3"/>
  <c r="BB520" i="3"/>
  <c r="BC520" i="3"/>
  <c r="BD520" i="3"/>
  <c r="BE520" i="3"/>
  <c r="BF520" i="3"/>
  <c r="BG520" i="3"/>
  <c r="BH520" i="3"/>
  <c r="BI520" i="3"/>
  <c r="BJ520" i="3"/>
  <c r="BK520" i="3"/>
  <c r="BA520" i="3"/>
  <c r="BB521" i="3"/>
  <c r="BC521" i="3"/>
  <c r="BD521" i="3"/>
  <c r="BE521" i="3"/>
  <c r="BF521" i="3"/>
  <c r="BG521" i="3"/>
  <c r="BH521" i="3"/>
  <c r="BI521" i="3"/>
  <c r="BJ521" i="3"/>
  <c r="BK521" i="3"/>
  <c r="BA521" i="3"/>
  <c r="BB522" i="3"/>
  <c r="BC522" i="3"/>
  <c r="BD522" i="3"/>
  <c r="BE522" i="3"/>
  <c r="BF522" i="3"/>
  <c r="BG522" i="3"/>
  <c r="BH522" i="3"/>
  <c r="BI522" i="3"/>
  <c r="BJ522" i="3"/>
  <c r="BK522" i="3"/>
  <c r="BA522" i="3"/>
  <c r="BB523" i="3"/>
  <c r="BC523" i="3"/>
  <c r="BD523" i="3"/>
  <c r="BE523" i="3"/>
  <c r="BF523" i="3"/>
  <c r="BG523" i="3"/>
  <c r="BH523" i="3"/>
  <c r="BI523" i="3"/>
  <c r="BJ523" i="3"/>
  <c r="BK523" i="3"/>
  <c r="BA523" i="3"/>
  <c r="BB524" i="3"/>
  <c r="BC524" i="3"/>
  <c r="BD524" i="3"/>
  <c r="BE524" i="3"/>
  <c r="BF524" i="3"/>
  <c r="BG524" i="3"/>
  <c r="BH524" i="3"/>
  <c r="BI524" i="3"/>
  <c r="BJ524" i="3"/>
  <c r="BK524" i="3"/>
  <c r="BA524" i="3"/>
  <c r="BB525" i="3"/>
  <c r="BC525" i="3"/>
  <c r="BD525" i="3"/>
  <c r="BE525" i="3"/>
  <c r="BF525" i="3"/>
  <c r="BG525" i="3"/>
  <c r="BH525" i="3"/>
  <c r="BI525" i="3"/>
  <c r="BJ525" i="3"/>
  <c r="BK525" i="3"/>
  <c r="BA525" i="3"/>
  <c r="BB526" i="3"/>
  <c r="BC526" i="3"/>
  <c r="BD526" i="3"/>
  <c r="BE526" i="3"/>
  <c r="BF526" i="3"/>
  <c r="BG526" i="3"/>
  <c r="BH526" i="3"/>
  <c r="BI526" i="3"/>
  <c r="BJ526" i="3"/>
  <c r="BK526" i="3"/>
  <c r="BA526" i="3"/>
  <c r="BB527" i="3"/>
  <c r="BC527" i="3"/>
  <c r="BD527" i="3"/>
  <c r="BE527" i="3"/>
  <c r="BF527" i="3"/>
  <c r="BG527" i="3"/>
  <c r="BH527" i="3"/>
  <c r="BI527" i="3"/>
  <c r="BJ527" i="3"/>
  <c r="BK527" i="3"/>
  <c r="BA527" i="3"/>
  <c r="BB528" i="3"/>
  <c r="BC528" i="3"/>
  <c r="BD528" i="3"/>
  <c r="BE528" i="3"/>
  <c r="BF528" i="3"/>
  <c r="BG528" i="3"/>
  <c r="BH528" i="3"/>
  <c r="BI528" i="3"/>
  <c r="BJ528" i="3"/>
  <c r="BK528" i="3"/>
  <c r="BA528" i="3"/>
  <c r="BB529" i="3"/>
  <c r="BC529" i="3"/>
  <c r="BD529" i="3"/>
  <c r="BE529" i="3"/>
  <c r="BF529" i="3"/>
  <c r="BG529" i="3"/>
  <c r="BH529" i="3"/>
  <c r="BI529" i="3"/>
  <c r="BJ529" i="3"/>
  <c r="BK529" i="3"/>
  <c r="BA529" i="3"/>
  <c r="BB530" i="3"/>
  <c r="BC530" i="3"/>
  <c r="BD530" i="3"/>
  <c r="BE530" i="3"/>
  <c r="BF530" i="3"/>
  <c r="BG530" i="3"/>
  <c r="BH530" i="3"/>
  <c r="BI530" i="3"/>
  <c r="BJ530" i="3"/>
  <c r="BK530" i="3"/>
  <c r="BA530" i="3"/>
  <c r="BB531" i="3"/>
  <c r="BC531" i="3"/>
  <c r="BD531" i="3"/>
  <c r="BE531" i="3"/>
  <c r="BF531" i="3"/>
  <c r="BG531" i="3"/>
  <c r="BH531" i="3"/>
  <c r="BI531" i="3"/>
  <c r="BJ531" i="3"/>
  <c r="BK531" i="3"/>
  <c r="BA531" i="3"/>
  <c r="BB532" i="3"/>
  <c r="BC532" i="3"/>
  <c r="BD532" i="3"/>
  <c r="BE532" i="3"/>
  <c r="BF532" i="3"/>
  <c r="BG532" i="3"/>
  <c r="BH532" i="3"/>
  <c r="BI532" i="3"/>
  <c r="BJ532" i="3"/>
  <c r="BK532" i="3"/>
  <c r="BA532" i="3"/>
  <c r="BB533" i="3"/>
  <c r="BC533" i="3"/>
  <c r="BD533" i="3"/>
  <c r="BE533" i="3"/>
  <c r="BF533" i="3"/>
  <c r="BG533" i="3"/>
  <c r="BH533" i="3"/>
  <c r="BI533" i="3"/>
  <c r="BJ533" i="3"/>
  <c r="BK533" i="3"/>
  <c r="BA533" i="3"/>
  <c r="BB534" i="3"/>
  <c r="BC534" i="3"/>
  <c r="BD534" i="3"/>
  <c r="BE534" i="3"/>
  <c r="BF534" i="3"/>
  <c r="BG534" i="3"/>
  <c r="BH534" i="3"/>
  <c r="BI534" i="3"/>
  <c r="BJ534" i="3"/>
  <c r="BK534" i="3"/>
  <c r="BA534" i="3"/>
  <c r="BB535" i="3"/>
  <c r="BC535" i="3"/>
  <c r="BD535" i="3"/>
  <c r="BE535" i="3"/>
  <c r="BF535" i="3"/>
  <c r="BG535" i="3"/>
  <c r="BH535" i="3"/>
  <c r="BI535" i="3"/>
  <c r="BJ535" i="3"/>
  <c r="BK535" i="3"/>
  <c r="BA535" i="3"/>
  <c r="BB536" i="3"/>
  <c r="BC536" i="3"/>
  <c r="BD536" i="3"/>
  <c r="BE536" i="3"/>
  <c r="BF536" i="3"/>
  <c r="BG536" i="3"/>
  <c r="BH536" i="3"/>
  <c r="BI536" i="3"/>
  <c r="BJ536" i="3"/>
  <c r="BK536" i="3"/>
  <c r="BA536" i="3"/>
  <c r="BB537" i="3"/>
  <c r="BC537" i="3"/>
  <c r="BD537" i="3"/>
  <c r="BE537" i="3"/>
  <c r="BF537" i="3"/>
  <c r="BG537" i="3"/>
  <c r="BH537" i="3"/>
  <c r="BI537" i="3"/>
  <c r="BJ537" i="3"/>
  <c r="BK537" i="3"/>
  <c r="BA537" i="3"/>
  <c r="BB538" i="3"/>
  <c r="BC538" i="3"/>
  <c r="BD538" i="3"/>
  <c r="BE538" i="3"/>
  <c r="BF538" i="3"/>
  <c r="BG538" i="3"/>
  <c r="BH538" i="3"/>
  <c r="BI538" i="3"/>
  <c r="BJ538" i="3"/>
  <c r="BK538" i="3"/>
  <c r="BA538" i="3"/>
  <c r="BB539" i="3"/>
  <c r="BC539" i="3"/>
  <c r="BD539" i="3"/>
  <c r="BE539" i="3"/>
  <c r="BF539" i="3"/>
  <c r="BG539" i="3"/>
  <c r="BH539" i="3"/>
  <c r="BI539" i="3"/>
  <c r="BJ539" i="3"/>
  <c r="BK539" i="3"/>
  <c r="BA539" i="3"/>
  <c r="BB540" i="3"/>
  <c r="BC540" i="3"/>
  <c r="BD540" i="3"/>
  <c r="BE540" i="3"/>
  <c r="BF540" i="3"/>
  <c r="BG540" i="3"/>
  <c r="BH540" i="3"/>
  <c r="BI540" i="3"/>
  <c r="BJ540" i="3"/>
  <c r="BK540" i="3"/>
  <c r="BA540" i="3"/>
  <c r="BB541" i="3"/>
  <c r="BC541" i="3"/>
  <c r="BD541" i="3"/>
  <c r="BE541" i="3"/>
  <c r="BF541" i="3"/>
  <c r="BG541" i="3"/>
  <c r="BH541" i="3"/>
  <c r="BI541" i="3"/>
  <c r="BJ541" i="3"/>
  <c r="BK541" i="3"/>
  <c r="BA541" i="3"/>
  <c r="BB542" i="3"/>
  <c r="BC542" i="3"/>
  <c r="BD542" i="3"/>
  <c r="BE542" i="3"/>
  <c r="BF542" i="3"/>
  <c r="BG542" i="3"/>
  <c r="BH542" i="3"/>
  <c r="BI542" i="3"/>
  <c r="BJ542" i="3"/>
  <c r="BK542" i="3"/>
  <c r="BA542" i="3"/>
  <c r="BB543" i="3"/>
  <c r="BC543" i="3"/>
  <c r="BD543" i="3"/>
  <c r="BE543" i="3"/>
  <c r="BF543" i="3"/>
  <c r="BG543" i="3"/>
  <c r="BH543" i="3"/>
  <c r="BI543" i="3"/>
  <c r="BJ543" i="3"/>
  <c r="BK543" i="3"/>
  <c r="BA543" i="3"/>
  <c r="BB544" i="3"/>
  <c r="BC544" i="3"/>
  <c r="BD544" i="3"/>
  <c r="BE544" i="3"/>
  <c r="BF544" i="3"/>
  <c r="BG544" i="3"/>
  <c r="BH544" i="3"/>
  <c r="BI544" i="3"/>
  <c r="BJ544" i="3"/>
  <c r="BK544" i="3"/>
  <c r="BA544" i="3"/>
  <c r="BB545" i="3"/>
  <c r="BC545" i="3"/>
  <c r="BD545" i="3"/>
  <c r="BE545" i="3"/>
  <c r="BF545" i="3"/>
  <c r="BG545" i="3"/>
  <c r="BH545" i="3"/>
  <c r="BI545" i="3"/>
  <c r="BJ545" i="3"/>
  <c r="BK545" i="3"/>
  <c r="BA545" i="3"/>
  <c r="BB546" i="3"/>
  <c r="BC546" i="3"/>
  <c r="BD546" i="3"/>
  <c r="BE546" i="3"/>
  <c r="BF546" i="3"/>
  <c r="BG546" i="3"/>
  <c r="BH546" i="3"/>
  <c r="BI546" i="3"/>
  <c r="BJ546" i="3"/>
  <c r="BK546" i="3"/>
  <c r="BA546" i="3"/>
  <c r="BB547" i="3"/>
  <c r="BC547" i="3"/>
  <c r="BD547" i="3"/>
  <c r="BE547" i="3"/>
  <c r="BF547" i="3"/>
  <c r="BG547" i="3"/>
  <c r="BH547" i="3"/>
  <c r="BI547" i="3"/>
  <c r="BJ547" i="3"/>
  <c r="BK547" i="3"/>
  <c r="BA547" i="3"/>
  <c r="BB548" i="3"/>
  <c r="BC548" i="3"/>
  <c r="BD548" i="3"/>
  <c r="BE548" i="3"/>
  <c r="BF548" i="3"/>
  <c r="BG548" i="3"/>
  <c r="BH548" i="3"/>
  <c r="BI548" i="3"/>
  <c r="BJ548" i="3"/>
  <c r="BK548" i="3"/>
  <c r="BA548" i="3"/>
  <c r="BB549" i="3"/>
  <c r="BC549" i="3"/>
  <c r="BD549" i="3"/>
  <c r="BE549" i="3"/>
  <c r="BF549" i="3"/>
  <c r="BG549" i="3"/>
  <c r="BH549" i="3"/>
  <c r="BI549" i="3"/>
  <c r="BJ549" i="3"/>
  <c r="BK549" i="3"/>
  <c r="BA549" i="3"/>
  <c r="BB550" i="3"/>
  <c r="BC550" i="3"/>
  <c r="BD550" i="3"/>
  <c r="BE550" i="3"/>
  <c r="BF550" i="3"/>
  <c r="BG550" i="3"/>
  <c r="BH550" i="3"/>
  <c r="BI550" i="3"/>
  <c r="BJ550" i="3"/>
  <c r="BK550" i="3"/>
  <c r="BA550" i="3"/>
  <c r="BB551" i="3"/>
  <c r="BC551" i="3"/>
  <c r="BD551" i="3"/>
  <c r="BE551" i="3"/>
  <c r="BF551" i="3"/>
  <c r="BG551" i="3"/>
  <c r="BH551" i="3"/>
  <c r="BI551" i="3"/>
  <c r="BJ551" i="3"/>
  <c r="BK551" i="3"/>
  <c r="BA551" i="3"/>
  <c r="BB552" i="3"/>
  <c r="BC552" i="3"/>
  <c r="BD552" i="3"/>
  <c r="BE552" i="3"/>
  <c r="BF552" i="3"/>
  <c r="BG552" i="3"/>
  <c r="BH552" i="3"/>
  <c r="BI552" i="3"/>
  <c r="BJ552" i="3"/>
  <c r="BK552" i="3"/>
  <c r="BA552" i="3"/>
  <c r="BB553" i="3"/>
  <c r="BC553" i="3"/>
  <c r="BD553" i="3"/>
  <c r="BE553" i="3"/>
  <c r="BF553" i="3"/>
  <c r="BG553" i="3"/>
  <c r="BH553" i="3"/>
  <c r="BI553" i="3"/>
  <c r="BJ553" i="3"/>
  <c r="BK553" i="3"/>
  <c r="BA553" i="3"/>
  <c r="BB554" i="3"/>
  <c r="BC554" i="3"/>
  <c r="BD554" i="3"/>
  <c r="BE554" i="3"/>
  <c r="BF554" i="3"/>
  <c r="BG554" i="3"/>
  <c r="BH554" i="3"/>
  <c r="BI554" i="3"/>
  <c r="BJ554" i="3"/>
  <c r="BK554" i="3"/>
  <c r="BA554" i="3"/>
  <c r="BB555" i="3"/>
  <c r="BC555" i="3"/>
  <c r="BD555" i="3"/>
  <c r="BE555" i="3"/>
  <c r="BF555" i="3"/>
  <c r="BG555" i="3"/>
  <c r="BH555" i="3"/>
  <c r="BI555" i="3"/>
  <c r="BJ555" i="3"/>
  <c r="BK555" i="3"/>
  <c r="BA555" i="3"/>
  <c r="BB556" i="3"/>
  <c r="BC556" i="3"/>
  <c r="BD556" i="3"/>
  <c r="BE556" i="3"/>
  <c r="BF556" i="3"/>
  <c r="BG556" i="3"/>
  <c r="BH556" i="3"/>
  <c r="BI556" i="3"/>
  <c r="BJ556" i="3"/>
  <c r="BK556" i="3"/>
  <c r="BA556" i="3"/>
  <c r="BB557" i="3"/>
  <c r="BC557" i="3"/>
  <c r="BD557" i="3"/>
  <c r="BE557" i="3"/>
  <c r="BF557" i="3"/>
  <c r="BG557" i="3"/>
  <c r="BH557" i="3"/>
  <c r="BI557" i="3"/>
  <c r="BJ557" i="3"/>
  <c r="BK557" i="3"/>
  <c r="BA557" i="3"/>
  <c r="BB558" i="3"/>
  <c r="BC558" i="3"/>
  <c r="BD558" i="3"/>
  <c r="BE558" i="3"/>
  <c r="BF558" i="3"/>
  <c r="BG558" i="3"/>
  <c r="BH558" i="3"/>
  <c r="BI558" i="3"/>
  <c r="BJ558" i="3"/>
  <c r="BK558" i="3"/>
  <c r="BA558" i="3"/>
  <c r="BB559" i="3"/>
  <c r="BC559" i="3"/>
  <c r="BD559" i="3"/>
  <c r="BE559" i="3"/>
  <c r="BF559" i="3"/>
  <c r="BG559" i="3"/>
  <c r="BH559" i="3"/>
  <c r="BI559" i="3"/>
  <c r="BJ559" i="3"/>
  <c r="BK559" i="3"/>
  <c r="BA559" i="3"/>
  <c r="BB560" i="3"/>
  <c r="BC560" i="3"/>
  <c r="BD560" i="3"/>
  <c r="BE560" i="3"/>
  <c r="BF560" i="3"/>
  <c r="BG560" i="3"/>
  <c r="BH560" i="3"/>
  <c r="BI560" i="3"/>
  <c r="BJ560" i="3"/>
  <c r="BK560" i="3"/>
  <c r="BA560" i="3"/>
  <c r="BB561" i="3"/>
  <c r="BC561" i="3"/>
  <c r="BD561" i="3"/>
  <c r="BE561" i="3"/>
  <c r="BF561" i="3"/>
  <c r="BG561" i="3"/>
  <c r="BH561" i="3"/>
  <c r="BI561" i="3"/>
  <c r="BJ561" i="3"/>
  <c r="BK561" i="3"/>
  <c r="BA561" i="3"/>
  <c r="BB562" i="3"/>
  <c r="BC562" i="3"/>
  <c r="BD562" i="3"/>
  <c r="BE562" i="3"/>
  <c r="BF562" i="3"/>
  <c r="BG562" i="3"/>
  <c r="BH562" i="3"/>
  <c r="BI562" i="3"/>
  <c r="BJ562" i="3"/>
  <c r="BK562" i="3"/>
  <c r="BA562" i="3"/>
  <c r="BB563" i="3"/>
  <c r="BC563" i="3"/>
  <c r="BD563" i="3"/>
  <c r="BE563" i="3"/>
  <c r="BF563" i="3"/>
  <c r="BG563" i="3"/>
  <c r="BH563" i="3"/>
  <c r="BI563" i="3"/>
  <c r="BJ563" i="3"/>
  <c r="BK563" i="3"/>
  <c r="BA563" i="3"/>
  <c r="BB564" i="3"/>
  <c r="BC564" i="3"/>
  <c r="BD564" i="3"/>
  <c r="BE564" i="3"/>
  <c r="BF564" i="3"/>
  <c r="BG564" i="3"/>
  <c r="BH564" i="3"/>
  <c r="BI564" i="3"/>
  <c r="BJ564" i="3"/>
  <c r="BK564" i="3"/>
  <c r="BA564" i="3"/>
  <c r="BB565" i="3"/>
  <c r="BC565" i="3"/>
  <c r="BD565" i="3"/>
  <c r="BE565" i="3"/>
  <c r="BF565" i="3"/>
  <c r="BG565" i="3"/>
  <c r="BH565" i="3"/>
  <c r="BI565" i="3"/>
  <c r="BJ565" i="3"/>
  <c r="BK565" i="3"/>
  <c r="BA565" i="3"/>
  <c r="BB566" i="3"/>
  <c r="BC566" i="3"/>
  <c r="BD566" i="3"/>
  <c r="BE566" i="3"/>
  <c r="BF566" i="3"/>
  <c r="BG566" i="3"/>
  <c r="BH566" i="3"/>
  <c r="BI566" i="3"/>
  <c r="BJ566" i="3"/>
  <c r="BK566" i="3"/>
  <c r="BA566" i="3"/>
  <c r="BB567" i="3"/>
  <c r="BC567" i="3"/>
  <c r="BD567" i="3"/>
  <c r="BE567" i="3"/>
  <c r="BF567" i="3"/>
  <c r="BG567" i="3"/>
  <c r="BH567" i="3"/>
  <c r="BI567" i="3"/>
  <c r="BJ567" i="3"/>
  <c r="BK567" i="3"/>
  <c r="BA567" i="3"/>
  <c r="BB568" i="3"/>
  <c r="BC568" i="3"/>
  <c r="BD568" i="3"/>
  <c r="BE568" i="3"/>
  <c r="BF568" i="3"/>
  <c r="BG568" i="3"/>
  <c r="BH568" i="3"/>
  <c r="BI568" i="3"/>
  <c r="BJ568" i="3"/>
  <c r="BK568" i="3"/>
  <c r="BA568" i="3"/>
  <c r="BB569" i="3"/>
  <c r="BC569" i="3"/>
  <c r="BD569" i="3"/>
  <c r="BE569" i="3"/>
  <c r="BF569" i="3"/>
  <c r="BG569" i="3"/>
  <c r="BH569" i="3"/>
  <c r="BI569" i="3"/>
  <c r="BJ569" i="3"/>
  <c r="BK569" i="3"/>
  <c r="BA569" i="3"/>
  <c r="BB570" i="3"/>
  <c r="BC570" i="3"/>
  <c r="BD570" i="3"/>
  <c r="BE570" i="3"/>
  <c r="BF570" i="3"/>
  <c r="BG570" i="3"/>
  <c r="BH570" i="3"/>
  <c r="BI570" i="3"/>
  <c r="BJ570" i="3"/>
  <c r="BK570" i="3"/>
  <c r="BA570" i="3"/>
  <c r="BB571" i="3"/>
  <c r="BC571" i="3"/>
  <c r="BD571" i="3"/>
  <c r="BE571" i="3"/>
  <c r="BF571" i="3"/>
  <c r="BG571" i="3"/>
  <c r="BH571" i="3"/>
  <c r="BI571" i="3"/>
  <c r="BJ571" i="3"/>
  <c r="BK571" i="3"/>
  <c r="BA571" i="3"/>
  <c r="BB572" i="3"/>
  <c r="BC572" i="3"/>
  <c r="BD572" i="3"/>
  <c r="BE572" i="3"/>
  <c r="BF572" i="3"/>
  <c r="BG572" i="3"/>
  <c r="BH572" i="3"/>
  <c r="BI572" i="3"/>
  <c r="BJ572" i="3"/>
  <c r="BK572" i="3"/>
  <c r="BA572" i="3"/>
  <c r="BB573" i="3"/>
  <c r="BC573" i="3"/>
  <c r="BD573" i="3"/>
  <c r="BE573" i="3"/>
  <c r="BF573" i="3"/>
  <c r="BG573" i="3"/>
  <c r="BH573" i="3"/>
  <c r="BI573" i="3"/>
  <c r="BJ573" i="3"/>
  <c r="BK573" i="3"/>
  <c r="BA573" i="3"/>
  <c r="BB574" i="3"/>
  <c r="BC574" i="3"/>
  <c r="BD574" i="3"/>
  <c r="BE574" i="3"/>
  <c r="BF574" i="3"/>
  <c r="BG574" i="3"/>
  <c r="BH574" i="3"/>
  <c r="BI574" i="3"/>
  <c r="BJ574" i="3"/>
  <c r="BK574" i="3"/>
  <c r="BA574" i="3"/>
  <c r="BB575" i="3"/>
  <c r="BC575" i="3"/>
  <c r="BD575" i="3"/>
  <c r="BE575" i="3"/>
  <c r="BF575" i="3"/>
  <c r="BG575" i="3"/>
  <c r="BH575" i="3"/>
  <c r="BI575" i="3"/>
  <c r="BJ575" i="3"/>
  <c r="BK575" i="3"/>
  <c r="BA575" i="3"/>
  <c r="BB576" i="3"/>
  <c r="BC576" i="3"/>
  <c r="BD576" i="3"/>
  <c r="BE576" i="3"/>
  <c r="BF576" i="3"/>
  <c r="BG576" i="3"/>
  <c r="BH576" i="3"/>
  <c r="BI576" i="3"/>
  <c r="BJ576" i="3"/>
  <c r="BK576" i="3"/>
  <c r="BA576" i="3"/>
  <c r="BB577" i="3"/>
  <c r="BC577" i="3"/>
  <c r="BD577" i="3"/>
  <c r="BE577" i="3"/>
  <c r="BF577" i="3"/>
  <c r="BG577" i="3"/>
  <c r="BH577" i="3"/>
  <c r="BI577" i="3"/>
  <c r="BJ577" i="3"/>
  <c r="BK577" i="3"/>
  <c r="BA577" i="3"/>
  <c r="BB578" i="3"/>
  <c r="BC578" i="3"/>
  <c r="BD578" i="3"/>
  <c r="BE578" i="3"/>
  <c r="BF578" i="3"/>
  <c r="BG578" i="3"/>
  <c r="BH578" i="3"/>
  <c r="BI578" i="3"/>
  <c r="BJ578" i="3"/>
  <c r="BK578" i="3"/>
  <c r="BA578" i="3"/>
  <c r="BB579" i="3"/>
  <c r="BC579" i="3"/>
  <c r="BD579" i="3"/>
  <c r="BE579" i="3"/>
  <c r="BF579" i="3"/>
  <c r="BG579" i="3"/>
  <c r="BH579" i="3"/>
  <c r="BI579" i="3"/>
  <c r="BJ579" i="3"/>
  <c r="BK579" i="3"/>
  <c r="BA579" i="3"/>
  <c r="BB580" i="3"/>
  <c r="BC580" i="3"/>
  <c r="BD580" i="3"/>
  <c r="BE580" i="3"/>
  <c r="BF580" i="3"/>
  <c r="BG580" i="3"/>
  <c r="BH580" i="3"/>
  <c r="BI580" i="3"/>
  <c r="BJ580" i="3"/>
  <c r="BK580" i="3"/>
  <c r="BA580" i="3"/>
  <c r="BB581" i="3"/>
  <c r="BC581" i="3"/>
  <c r="BD581" i="3"/>
  <c r="BE581" i="3"/>
  <c r="BF581" i="3"/>
  <c r="BG581" i="3"/>
  <c r="BH581" i="3"/>
  <c r="BI581" i="3"/>
  <c r="BJ581" i="3"/>
  <c r="BK581" i="3"/>
  <c r="BA581" i="3"/>
  <c r="BB582" i="3"/>
  <c r="BC582" i="3"/>
  <c r="BD582" i="3"/>
  <c r="BE582" i="3"/>
  <c r="BF582" i="3"/>
  <c r="BG582" i="3"/>
  <c r="BH582" i="3"/>
  <c r="BI582" i="3"/>
  <c r="BJ582" i="3"/>
  <c r="BK582" i="3"/>
  <c r="BA582" i="3"/>
  <c r="BB583" i="3"/>
  <c r="BC583" i="3"/>
  <c r="BD583" i="3"/>
  <c r="BE583" i="3"/>
  <c r="BF583" i="3"/>
  <c r="BG583" i="3"/>
  <c r="BH583" i="3"/>
  <c r="BI583" i="3"/>
  <c r="BJ583" i="3"/>
  <c r="BK583" i="3"/>
  <c r="BA583" i="3"/>
  <c r="BB584" i="3"/>
  <c r="BC584" i="3"/>
  <c r="BD584" i="3"/>
  <c r="BE584" i="3"/>
  <c r="BF584" i="3"/>
  <c r="BG584" i="3"/>
  <c r="BH584" i="3"/>
  <c r="BI584" i="3"/>
  <c r="BJ584" i="3"/>
  <c r="BK584" i="3"/>
  <c r="BA584" i="3"/>
  <c r="BB585" i="3"/>
  <c r="BC585" i="3"/>
  <c r="BD585" i="3"/>
  <c r="BE585" i="3"/>
  <c r="BF585" i="3"/>
  <c r="BG585" i="3"/>
  <c r="BH585" i="3"/>
  <c r="BI585" i="3"/>
  <c r="BJ585" i="3"/>
  <c r="BK585" i="3"/>
  <c r="BA585" i="3"/>
  <c r="BB586" i="3"/>
  <c r="BC586" i="3"/>
  <c r="BD586" i="3"/>
  <c r="BE586" i="3"/>
  <c r="BF586" i="3"/>
  <c r="BG586" i="3"/>
  <c r="BH586" i="3"/>
  <c r="BI586" i="3"/>
  <c r="BJ586" i="3"/>
  <c r="BK586" i="3"/>
  <c r="BA586" i="3"/>
  <c r="BB587" i="3"/>
  <c r="BC587" i="3"/>
  <c r="BD587" i="3"/>
  <c r="BE587" i="3"/>
  <c r="BF587" i="3"/>
  <c r="BG587" i="3"/>
  <c r="BH587" i="3"/>
  <c r="BI587" i="3"/>
  <c r="BJ587" i="3"/>
  <c r="BK587" i="3"/>
  <c r="BA587" i="3"/>
  <c r="BA5" i="3"/>
  <c r="E27" i="6"/>
  <c r="K19" i="6"/>
  <c r="S6" i="1"/>
  <c r="F38" i="69"/>
  <c r="C1" i="73"/>
  <c r="J1" i="73"/>
  <c r="G13" i="73"/>
  <c r="B22" i="1"/>
  <c r="E1" i="73"/>
  <c r="F13" i="73"/>
  <c r="D5" i="9"/>
  <c r="H13" i="3"/>
  <c r="AC13" i="3"/>
  <c r="G13" i="3"/>
  <c r="H14" i="3"/>
  <c r="AC14" i="3"/>
  <c r="G14" i="3"/>
  <c r="H15" i="3"/>
  <c r="AC15" i="3"/>
  <c r="G15" i="3"/>
  <c r="H16" i="3"/>
  <c r="AC16" i="3"/>
  <c r="G16" i="3"/>
  <c r="H17" i="3"/>
  <c r="AC17" i="3"/>
  <c r="G17" i="3"/>
  <c r="H18" i="3"/>
  <c r="AC18" i="3"/>
  <c r="G18" i="3"/>
  <c r="H19" i="3"/>
  <c r="AC19" i="3"/>
  <c r="G19" i="3"/>
  <c r="H20" i="3"/>
  <c r="AC20" i="3"/>
  <c r="G20" i="3"/>
  <c r="H21" i="3"/>
  <c r="AC21" i="3"/>
  <c r="G21" i="3"/>
  <c r="H22" i="3"/>
  <c r="AC22" i="3"/>
  <c r="G22" i="3"/>
  <c r="H23" i="3"/>
  <c r="AC23" i="3"/>
  <c r="G23" i="3"/>
  <c r="H24" i="3"/>
  <c r="AC24" i="3"/>
  <c r="G24" i="3"/>
  <c r="H25" i="3"/>
  <c r="AC25" i="3"/>
  <c r="G25" i="3"/>
  <c r="H26" i="3"/>
  <c r="AC26" i="3"/>
  <c r="G26" i="3"/>
  <c r="H27" i="3"/>
  <c r="AC27" i="3"/>
  <c r="G27" i="3"/>
  <c r="H28" i="3"/>
  <c r="AC28" i="3"/>
  <c r="G28" i="3"/>
  <c r="H29" i="3"/>
  <c r="AC29" i="3"/>
  <c r="G29" i="3"/>
  <c r="H30" i="3"/>
  <c r="AC30" i="3"/>
  <c r="G30" i="3"/>
  <c r="H31" i="3"/>
  <c r="AC31" i="3"/>
  <c r="G31" i="3"/>
  <c r="H32" i="3"/>
  <c r="AC32" i="3"/>
  <c r="G32" i="3"/>
  <c r="H33" i="3"/>
  <c r="AC33" i="3"/>
  <c r="G33" i="3"/>
  <c r="H34" i="3"/>
  <c r="AC34" i="3"/>
  <c r="G34" i="3"/>
  <c r="H35" i="3"/>
  <c r="AC35" i="3"/>
  <c r="G35" i="3"/>
  <c r="H36" i="3"/>
  <c r="AC36" i="3"/>
  <c r="G36" i="3"/>
  <c r="H37" i="3"/>
  <c r="AC37" i="3"/>
  <c r="G37" i="3"/>
  <c r="H38" i="3"/>
  <c r="AC38" i="3"/>
  <c r="G38" i="3"/>
  <c r="H39" i="3"/>
  <c r="AC39" i="3"/>
  <c r="G39" i="3"/>
  <c r="H40" i="3"/>
  <c r="AC40" i="3"/>
  <c r="G40" i="3"/>
  <c r="H41" i="3"/>
  <c r="AC41" i="3"/>
  <c r="G41" i="3"/>
  <c r="H42" i="3"/>
  <c r="AC42" i="3"/>
  <c r="G42" i="3"/>
  <c r="H43" i="3"/>
  <c r="AC43" i="3"/>
  <c r="G43" i="3"/>
  <c r="H44" i="3"/>
  <c r="AC44" i="3"/>
  <c r="G44" i="3"/>
  <c r="H45" i="3"/>
  <c r="AC45" i="3"/>
  <c r="G45" i="3"/>
  <c r="H46" i="3"/>
  <c r="AC46" i="3"/>
  <c r="G46" i="3"/>
  <c r="H47" i="3"/>
  <c r="AC47" i="3"/>
  <c r="G47" i="3"/>
  <c r="H48" i="3"/>
  <c r="AC48" i="3"/>
  <c r="G48" i="3"/>
  <c r="H49" i="3"/>
  <c r="AC49" i="3"/>
  <c r="G49" i="3"/>
  <c r="H50" i="3"/>
  <c r="AC50" i="3"/>
  <c r="G50" i="3"/>
  <c r="H51" i="3"/>
  <c r="AC51" i="3"/>
  <c r="G51" i="3"/>
  <c r="H52" i="3"/>
  <c r="AC52" i="3"/>
  <c r="G52" i="3"/>
  <c r="H53" i="3"/>
  <c r="AC53" i="3"/>
  <c r="G53" i="3"/>
  <c r="H54" i="3"/>
  <c r="AC54" i="3"/>
  <c r="G54" i="3"/>
  <c r="H55" i="3"/>
  <c r="AC55" i="3"/>
  <c r="G55" i="3"/>
  <c r="H56" i="3"/>
  <c r="AC56" i="3"/>
  <c r="G56" i="3"/>
  <c r="H57" i="3"/>
  <c r="AC57" i="3"/>
  <c r="G57" i="3"/>
  <c r="H58" i="3"/>
  <c r="AC58" i="3"/>
  <c r="G58" i="3"/>
  <c r="H59" i="3"/>
  <c r="AC59" i="3"/>
  <c r="G59" i="3"/>
  <c r="H60" i="3"/>
  <c r="AC60" i="3"/>
  <c r="G60" i="3"/>
  <c r="H61" i="3"/>
  <c r="AC61" i="3"/>
  <c r="G61" i="3"/>
  <c r="H62" i="3"/>
  <c r="AC62" i="3"/>
  <c r="G62" i="3"/>
  <c r="H63" i="3"/>
  <c r="AC63" i="3"/>
  <c r="G63" i="3"/>
  <c r="H64" i="3"/>
  <c r="AC64" i="3"/>
  <c r="G64" i="3"/>
  <c r="H65" i="3"/>
  <c r="AC65" i="3"/>
  <c r="G65" i="3"/>
  <c r="H66" i="3"/>
  <c r="AC66" i="3"/>
  <c r="G66" i="3"/>
  <c r="H67" i="3"/>
  <c r="AC67" i="3"/>
  <c r="G67" i="3"/>
  <c r="H68" i="3"/>
  <c r="AC68" i="3"/>
  <c r="G68" i="3"/>
  <c r="H69" i="3"/>
  <c r="AC69" i="3"/>
  <c r="G69" i="3"/>
  <c r="H70" i="3"/>
  <c r="AC70" i="3"/>
  <c r="G70" i="3"/>
  <c r="H71" i="3"/>
  <c r="AC71" i="3"/>
  <c r="G71" i="3"/>
  <c r="H72" i="3"/>
  <c r="AC72" i="3"/>
  <c r="G72" i="3"/>
  <c r="H73" i="3"/>
  <c r="AC73" i="3"/>
  <c r="G73" i="3"/>
  <c r="H74" i="3"/>
  <c r="AC74" i="3"/>
  <c r="G74" i="3"/>
  <c r="H75" i="3"/>
  <c r="AC75" i="3"/>
  <c r="G75" i="3"/>
  <c r="H76" i="3"/>
  <c r="AC76" i="3"/>
  <c r="G76" i="3"/>
  <c r="H77" i="3"/>
  <c r="AC77" i="3"/>
  <c r="G77" i="3"/>
  <c r="H78" i="3"/>
  <c r="AC78" i="3"/>
  <c r="G78" i="3"/>
  <c r="H79" i="3"/>
  <c r="AC79" i="3"/>
  <c r="G79" i="3"/>
  <c r="H80" i="3"/>
  <c r="AC80" i="3"/>
  <c r="G80" i="3"/>
  <c r="H81" i="3"/>
  <c r="AC81" i="3"/>
  <c r="G81" i="3"/>
  <c r="H82" i="3"/>
  <c r="AC82" i="3"/>
  <c r="G82" i="3"/>
  <c r="H83" i="3"/>
  <c r="AC83" i="3"/>
  <c r="G83" i="3"/>
  <c r="H84" i="3"/>
  <c r="AC84" i="3"/>
  <c r="G84" i="3"/>
  <c r="H85" i="3"/>
  <c r="AC85" i="3"/>
  <c r="G85" i="3"/>
  <c r="H86" i="3"/>
  <c r="AC86" i="3"/>
  <c r="G86" i="3"/>
  <c r="H87" i="3"/>
  <c r="AC87" i="3"/>
  <c r="G87" i="3"/>
  <c r="H88" i="3"/>
  <c r="AC88" i="3"/>
  <c r="G88" i="3"/>
  <c r="H89" i="3"/>
  <c r="AC89" i="3"/>
  <c r="G89" i="3"/>
  <c r="H90" i="3"/>
  <c r="AC90" i="3"/>
  <c r="G90" i="3"/>
  <c r="H91" i="3"/>
  <c r="AC91" i="3"/>
  <c r="G91" i="3"/>
  <c r="H92" i="3"/>
  <c r="AC92" i="3"/>
  <c r="G92" i="3"/>
  <c r="H93" i="3"/>
  <c r="AC93" i="3"/>
  <c r="G93" i="3"/>
  <c r="H94" i="3"/>
  <c r="AC94" i="3"/>
  <c r="G94" i="3"/>
  <c r="H95" i="3"/>
  <c r="AC95" i="3"/>
  <c r="G95" i="3"/>
  <c r="H96" i="3"/>
  <c r="AC96" i="3"/>
  <c r="G96" i="3"/>
  <c r="H97" i="3"/>
  <c r="AC97" i="3"/>
  <c r="G97" i="3"/>
  <c r="H98" i="3"/>
  <c r="AC98" i="3"/>
  <c r="G98" i="3"/>
  <c r="H99" i="3"/>
  <c r="AC99" i="3"/>
  <c r="G99" i="3"/>
  <c r="H100" i="3"/>
  <c r="AC100" i="3"/>
  <c r="G100" i="3"/>
  <c r="H101" i="3"/>
  <c r="AC101" i="3"/>
  <c r="G101" i="3"/>
  <c r="H102" i="3"/>
  <c r="AC102" i="3"/>
  <c r="G102" i="3"/>
  <c r="H103" i="3"/>
  <c r="AC103" i="3"/>
  <c r="G103" i="3"/>
  <c r="H104" i="3"/>
  <c r="AC104" i="3"/>
  <c r="G104" i="3"/>
  <c r="H105" i="3"/>
  <c r="AC105" i="3"/>
  <c r="G105" i="3"/>
  <c r="H106" i="3"/>
  <c r="AC106" i="3"/>
  <c r="G106" i="3"/>
  <c r="H107" i="3"/>
  <c r="AC107" i="3"/>
  <c r="G107" i="3"/>
  <c r="H108" i="3"/>
  <c r="AC108" i="3"/>
  <c r="G108" i="3"/>
  <c r="H109" i="3"/>
  <c r="AC109" i="3"/>
  <c r="G109" i="3"/>
  <c r="H110" i="3"/>
  <c r="AC110" i="3"/>
  <c r="G110" i="3"/>
  <c r="H111" i="3"/>
  <c r="AC111" i="3"/>
  <c r="G111" i="3"/>
  <c r="H112" i="3"/>
  <c r="AC112" i="3"/>
  <c r="G112" i="3"/>
  <c r="H113" i="3"/>
  <c r="AC113" i="3"/>
  <c r="G113" i="3"/>
  <c r="H114" i="3"/>
  <c r="AC114" i="3"/>
  <c r="G114" i="3"/>
  <c r="H115" i="3"/>
  <c r="AC115" i="3"/>
  <c r="G115" i="3"/>
  <c r="H116" i="3"/>
  <c r="AC116" i="3"/>
  <c r="G116" i="3"/>
  <c r="H117" i="3"/>
  <c r="AC117" i="3"/>
  <c r="G117" i="3"/>
  <c r="H118" i="3"/>
  <c r="AC118" i="3"/>
  <c r="G118" i="3"/>
  <c r="H119" i="3"/>
  <c r="AC119" i="3"/>
  <c r="G119" i="3"/>
  <c r="H120" i="3"/>
  <c r="AC120" i="3"/>
  <c r="G120" i="3"/>
  <c r="H121" i="3"/>
  <c r="AC121" i="3"/>
  <c r="G121" i="3"/>
  <c r="H122" i="3"/>
  <c r="AC122" i="3"/>
  <c r="G122" i="3"/>
  <c r="H123" i="3"/>
  <c r="AC123" i="3"/>
  <c r="G123" i="3"/>
  <c r="H124" i="3"/>
  <c r="AC124" i="3"/>
  <c r="G124" i="3"/>
  <c r="H125" i="3"/>
  <c r="AC125" i="3"/>
  <c r="G125" i="3"/>
  <c r="H126" i="3"/>
  <c r="AC126" i="3"/>
  <c r="G126" i="3"/>
  <c r="H127" i="3"/>
  <c r="AC127" i="3"/>
  <c r="G127" i="3"/>
  <c r="H128" i="3"/>
  <c r="AC128" i="3"/>
  <c r="G128" i="3"/>
  <c r="H129" i="3"/>
  <c r="AC129" i="3"/>
  <c r="G129" i="3"/>
  <c r="H130" i="3"/>
  <c r="AC130" i="3"/>
  <c r="G130" i="3"/>
  <c r="H131" i="3"/>
  <c r="AC131" i="3"/>
  <c r="G131" i="3"/>
  <c r="H132" i="3"/>
  <c r="AC132" i="3"/>
  <c r="G132" i="3"/>
  <c r="H133" i="3"/>
  <c r="AC133" i="3"/>
  <c r="G133" i="3"/>
  <c r="H134" i="3"/>
  <c r="AC134" i="3"/>
  <c r="G134" i="3"/>
  <c r="H135" i="3"/>
  <c r="AC135" i="3"/>
  <c r="G135" i="3"/>
  <c r="H136" i="3"/>
  <c r="AC136" i="3"/>
  <c r="G136" i="3"/>
  <c r="H137" i="3"/>
  <c r="AC137" i="3"/>
  <c r="G137" i="3"/>
  <c r="H138" i="3"/>
  <c r="AC138" i="3"/>
  <c r="G138" i="3"/>
  <c r="H139" i="3"/>
  <c r="AC139" i="3"/>
  <c r="G139" i="3"/>
  <c r="H140" i="3"/>
  <c r="AC140" i="3"/>
  <c r="G140" i="3"/>
  <c r="H141" i="3"/>
  <c r="AC141" i="3"/>
  <c r="G141" i="3"/>
  <c r="H142" i="3"/>
  <c r="AC142" i="3"/>
  <c r="G142" i="3"/>
  <c r="H143" i="3"/>
  <c r="AC143" i="3"/>
  <c r="G143" i="3"/>
  <c r="H144" i="3"/>
  <c r="AC144" i="3"/>
  <c r="G144" i="3"/>
  <c r="H145" i="3"/>
  <c r="AC145" i="3"/>
  <c r="G145" i="3"/>
  <c r="H146" i="3"/>
  <c r="AC146" i="3"/>
  <c r="G146" i="3"/>
  <c r="H147" i="3"/>
  <c r="AC147" i="3"/>
  <c r="G147" i="3"/>
  <c r="H148" i="3"/>
  <c r="AC148" i="3"/>
  <c r="G148" i="3"/>
  <c r="H149" i="3"/>
  <c r="AC149" i="3"/>
  <c r="G149" i="3"/>
  <c r="H150" i="3"/>
  <c r="AC150" i="3"/>
  <c r="G150" i="3"/>
  <c r="H151" i="3"/>
  <c r="AC151" i="3"/>
  <c r="G151" i="3"/>
  <c r="H152" i="3"/>
  <c r="AC152" i="3"/>
  <c r="G152" i="3"/>
  <c r="H153" i="3"/>
  <c r="AC153" i="3"/>
  <c r="G153" i="3"/>
  <c r="H154" i="3"/>
  <c r="AC154" i="3"/>
  <c r="G154" i="3"/>
  <c r="H155" i="3"/>
  <c r="AC155" i="3"/>
  <c r="G155" i="3"/>
  <c r="H156" i="3"/>
  <c r="AC156" i="3"/>
  <c r="G156" i="3"/>
  <c r="H157" i="3"/>
  <c r="AC157" i="3"/>
  <c r="G157" i="3"/>
  <c r="H158" i="3"/>
  <c r="AC158" i="3"/>
  <c r="G158" i="3"/>
  <c r="H159" i="3"/>
  <c r="AC159" i="3"/>
  <c r="G159" i="3"/>
  <c r="H160" i="3"/>
  <c r="AC160" i="3"/>
  <c r="G160" i="3"/>
  <c r="H161" i="3"/>
  <c r="AC161" i="3"/>
  <c r="G161" i="3"/>
  <c r="H162" i="3"/>
  <c r="AC162" i="3"/>
  <c r="G162" i="3"/>
  <c r="H163" i="3"/>
  <c r="AC163" i="3"/>
  <c r="G163" i="3"/>
  <c r="H164" i="3"/>
  <c r="AC164" i="3"/>
  <c r="G164" i="3"/>
  <c r="H165" i="3"/>
  <c r="AC165" i="3"/>
  <c r="G165" i="3"/>
  <c r="H166" i="3"/>
  <c r="AC166" i="3"/>
  <c r="G166" i="3"/>
  <c r="H167" i="3"/>
  <c r="AC167" i="3"/>
  <c r="G167" i="3"/>
  <c r="H168" i="3"/>
  <c r="AC168" i="3"/>
  <c r="G168" i="3"/>
  <c r="H169" i="3"/>
  <c r="AC169" i="3"/>
  <c r="G169" i="3"/>
  <c r="H170" i="3"/>
  <c r="AC170" i="3"/>
  <c r="G170" i="3"/>
  <c r="H171" i="3"/>
  <c r="AC171" i="3"/>
  <c r="G171" i="3"/>
  <c r="H172" i="3"/>
  <c r="AC172" i="3"/>
  <c r="G172" i="3"/>
  <c r="H173" i="3"/>
  <c r="AC173" i="3"/>
  <c r="G173" i="3"/>
  <c r="H174" i="3"/>
  <c r="AC174" i="3"/>
  <c r="G174" i="3"/>
  <c r="H175" i="3"/>
  <c r="AC175" i="3"/>
  <c r="G175" i="3"/>
  <c r="H176" i="3"/>
  <c r="AC176" i="3"/>
  <c r="G176" i="3"/>
  <c r="H177" i="3"/>
  <c r="AC177" i="3"/>
  <c r="G177" i="3"/>
  <c r="H178" i="3"/>
  <c r="AC178" i="3"/>
  <c r="G178" i="3"/>
  <c r="H179" i="3"/>
  <c r="AC179" i="3"/>
  <c r="G179" i="3"/>
  <c r="H180" i="3"/>
  <c r="AC180" i="3"/>
  <c r="G180" i="3"/>
  <c r="H181" i="3"/>
  <c r="AC181" i="3"/>
  <c r="G181" i="3"/>
  <c r="H182" i="3"/>
  <c r="AC182" i="3"/>
  <c r="G182" i="3"/>
  <c r="H183" i="3"/>
  <c r="AC183" i="3"/>
  <c r="G183" i="3"/>
  <c r="H184" i="3"/>
  <c r="AC184" i="3"/>
  <c r="G184" i="3"/>
  <c r="H185" i="3"/>
  <c r="AC185" i="3"/>
  <c r="G185" i="3"/>
  <c r="H186" i="3"/>
  <c r="AC186" i="3"/>
  <c r="G186" i="3"/>
  <c r="H187" i="3"/>
  <c r="AC187" i="3"/>
  <c r="G187" i="3"/>
  <c r="H188" i="3"/>
  <c r="AC188" i="3"/>
  <c r="G188" i="3"/>
  <c r="H189" i="3"/>
  <c r="AC189" i="3"/>
  <c r="G189" i="3"/>
  <c r="H190" i="3"/>
  <c r="AC190" i="3"/>
  <c r="G190" i="3"/>
  <c r="H191" i="3"/>
  <c r="AC191" i="3"/>
  <c r="G191" i="3"/>
  <c r="H192" i="3"/>
  <c r="AC192" i="3"/>
  <c r="G192" i="3"/>
  <c r="H193" i="3"/>
  <c r="AC193" i="3"/>
  <c r="G193" i="3"/>
  <c r="H194" i="3"/>
  <c r="AC194" i="3"/>
  <c r="G194" i="3"/>
  <c r="H195" i="3"/>
  <c r="AC195" i="3"/>
  <c r="G195" i="3"/>
  <c r="H196" i="3"/>
  <c r="AC196" i="3"/>
  <c r="G196" i="3"/>
  <c r="H197" i="3"/>
  <c r="AC197" i="3"/>
  <c r="G197" i="3"/>
  <c r="H198" i="3"/>
  <c r="AC198" i="3"/>
  <c r="G198" i="3"/>
  <c r="H199" i="3"/>
  <c r="AC199" i="3"/>
  <c r="G199" i="3"/>
  <c r="H200" i="3"/>
  <c r="AC200" i="3"/>
  <c r="G200" i="3"/>
  <c r="H201" i="3"/>
  <c r="AC201" i="3"/>
  <c r="G201" i="3"/>
  <c r="H202" i="3"/>
  <c r="AC202" i="3"/>
  <c r="G202" i="3"/>
  <c r="H203" i="3"/>
  <c r="AC203" i="3"/>
  <c r="G203" i="3"/>
  <c r="H204" i="3"/>
  <c r="AC204" i="3"/>
  <c r="G204" i="3"/>
  <c r="H205" i="3"/>
  <c r="AC205" i="3"/>
  <c r="G205" i="3"/>
  <c r="H206" i="3"/>
  <c r="AC206" i="3"/>
  <c r="G206" i="3"/>
  <c r="H207" i="3"/>
  <c r="AC207" i="3"/>
  <c r="G207" i="3"/>
  <c r="H208" i="3"/>
  <c r="AC208" i="3"/>
  <c r="G208" i="3"/>
  <c r="H209" i="3"/>
  <c r="AC209" i="3"/>
  <c r="G209" i="3"/>
  <c r="H210" i="3"/>
  <c r="AC210" i="3"/>
  <c r="G210" i="3"/>
  <c r="H211" i="3"/>
  <c r="AC211" i="3"/>
  <c r="G211" i="3"/>
  <c r="H212" i="3"/>
  <c r="AC212" i="3"/>
  <c r="G212" i="3"/>
  <c r="H213" i="3"/>
  <c r="AC213" i="3"/>
  <c r="G213" i="3"/>
  <c r="H214" i="3"/>
  <c r="AC214" i="3"/>
  <c r="G214" i="3"/>
  <c r="H215" i="3"/>
  <c r="AC215" i="3"/>
  <c r="G215" i="3"/>
  <c r="H216" i="3"/>
  <c r="AC216" i="3"/>
  <c r="G216" i="3"/>
  <c r="H217" i="3"/>
  <c r="AC217" i="3"/>
  <c r="G217" i="3"/>
  <c r="H218" i="3"/>
  <c r="AC218" i="3"/>
  <c r="G218" i="3"/>
  <c r="H219" i="3"/>
  <c r="AC219" i="3"/>
  <c r="G219" i="3"/>
  <c r="H220" i="3"/>
  <c r="AC220" i="3"/>
  <c r="G220" i="3"/>
  <c r="H221" i="3"/>
  <c r="AC221" i="3"/>
  <c r="G221" i="3"/>
  <c r="H222" i="3"/>
  <c r="AC222" i="3"/>
  <c r="G222" i="3"/>
  <c r="H223" i="3"/>
  <c r="AC223" i="3"/>
  <c r="G223" i="3"/>
  <c r="H224" i="3"/>
  <c r="AC224" i="3"/>
  <c r="G224" i="3"/>
  <c r="H225" i="3"/>
  <c r="AC225" i="3"/>
  <c r="G225" i="3"/>
  <c r="H226" i="3"/>
  <c r="AC226" i="3"/>
  <c r="G226" i="3"/>
  <c r="H227" i="3"/>
  <c r="AC227" i="3"/>
  <c r="G227" i="3"/>
  <c r="H228" i="3"/>
  <c r="AC228" i="3"/>
  <c r="G228" i="3"/>
  <c r="H229" i="3"/>
  <c r="AC229" i="3"/>
  <c r="G229" i="3"/>
  <c r="H230" i="3"/>
  <c r="AC230" i="3"/>
  <c r="G230" i="3"/>
  <c r="H231" i="3"/>
  <c r="AC231" i="3"/>
  <c r="G231" i="3"/>
  <c r="H232" i="3"/>
  <c r="AC232" i="3"/>
  <c r="G232" i="3"/>
  <c r="H233" i="3"/>
  <c r="AC233" i="3"/>
  <c r="G233" i="3"/>
  <c r="H234" i="3"/>
  <c r="AC234" i="3"/>
  <c r="G234" i="3"/>
  <c r="H235" i="3"/>
  <c r="AC235" i="3"/>
  <c r="G235" i="3"/>
  <c r="H236" i="3"/>
  <c r="AC236" i="3"/>
  <c r="G236" i="3"/>
  <c r="H237" i="3"/>
  <c r="AC237" i="3"/>
  <c r="G237" i="3"/>
  <c r="H238" i="3"/>
  <c r="AC238" i="3"/>
  <c r="G238" i="3"/>
  <c r="H239" i="3"/>
  <c r="AC239" i="3"/>
  <c r="G239" i="3"/>
  <c r="H240" i="3"/>
  <c r="AC240" i="3"/>
  <c r="G240" i="3"/>
  <c r="H241" i="3"/>
  <c r="AC241" i="3"/>
  <c r="G241" i="3"/>
  <c r="H242" i="3"/>
  <c r="AC242" i="3"/>
  <c r="G242" i="3"/>
  <c r="H243" i="3"/>
  <c r="AC243" i="3"/>
  <c r="G243" i="3"/>
  <c r="H244" i="3"/>
  <c r="AC244" i="3"/>
  <c r="G244" i="3"/>
  <c r="H245" i="3"/>
  <c r="AC245" i="3"/>
  <c r="G245" i="3"/>
  <c r="H246" i="3"/>
  <c r="AC246" i="3"/>
  <c r="G246" i="3"/>
  <c r="H247" i="3"/>
  <c r="AC247" i="3"/>
  <c r="G247" i="3"/>
  <c r="H248" i="3"/>
  <c r="AC248" i="3"/>
  <c r="G248" i="3"/>
  <c r="H249" i="3"/>
  <c r="AC249" i="3"/>
  <c r="G249" i="3"/>
  <c r="H250" i="3"/>
  <c r="AC250" i="3"/>
  <c r="G250" i="3"/>
  <c r="H251" i="3"/>
  <c r="AC251" i="3"/>
  <c r="G251" i="3"/>
  <c r="H252" i="3"/>
  <c r="AC252" i="3"/>
  <c r="G252" i="3"/>
  <c r="H253" i="3"/>
  <c r="AC253" i="3"/>
  <c r="G253" i="3"/>
  <c r="H254" i="3"/>
  <c r="AC254" i="3"/>
  <c r="G254" i="3"/>
  <c r="H255" i="3"/>
  <c r="AC255" i="3"/>
  <c r="G255" i="3"/>
  <c r="H256" i="3"/>
  <c r="AC256" i="3"/>
  <c r="G256" i="3"/>
  <c r="H257" i="3"/>
  <c r="AC257" i="3"/>
  <c r="G257" i="3"/>
  <c r="H258" i="3"/>
  <c r="AC258" i="3"/>
  <c r="G258" i="3"/>
  <c r="H259" i="3"/>
  <c r="AC259" i="3"/>
  <c r="G259" i="3"/>
  <c r="H260" i="3"/>
  <c r="AC260" i="3"/>
  <c r="G260" i="3"/>
  <c r="H261" i="3"/>
  <c r="AC261" i="3"/>
  <c r="G261" i="3"/>
  <c r="H262" i="3"/>
  <c r="AC262" i="3"/>
  <c r="G262" i="3"/>
  <c r="H263" i="3"/>
  <c r="AC263" i="3"/>
  <c r="G263" i="3"/>
  <c r="H264" i="3"/>
  <c r="AC264" i="3"/>
  <c r="G264" i="3"/>
  <c r="H265" i="3"/>
  <c r="AC265" i="3"/>
  <c r="G265" i="3"/>
  <c r="H266" i="3"/>
  <c r="AC266" i="3"/>
  <c r="G266" i="3"/>
  <c r="H267" i="3"/>
  <c r="AC267" i="3"/>
  <c r="G267" i="3"/>
  <c r="H268" i="3"/>
  <c r="AC268" i="3"/>
  <c r="G268" i="3"/>
  <c r="H269" i="3"/>
  <c r="AC269" i="3"/>
  <c r="G269" i="3"/>
  <c r="H270" i="3"/>
  <c r="AC270" i="3"/>
  <c r="G270" i="3"/>
  <c r="H271" i="3"/>
  <c r="AC271" i="3"/>
  <c r="G271" i="3"/>
  <c r="H272" i="3"/>
  <c r="AC272" i="3"/>
  <c r="G272" i="3"/>
  <c r="H273" i="3"/>
  <c r="AC273" i="3"/>
  <c r="G273" i="3"/>
  <c r="H274" i="3"/>
  <c r="AC274" i="3"/>
  <c r="G274" i="3"/>
  <c r="H275" i="3"/>
  <c r="AC275" i="3"/>
  <c r="G275" i="3"/>
  <c r="H276" i="3"/>
  <c r="AC276" i="3"/>
  <c r="G276" i="3"/>
  <c r="H277" i="3"/>
  <c r="AC277" i="3"/>
  <c r="G277" i="3"/>
  <c r="H278" i="3"/>
  <c r="AC278" i="3"/>
  <c r="G278" i="3"/>
  <c r="H279" i="3"/>
  <c r="AC279" i="3"/>
  <c r="G279" i="3"/>
  <c r="H280" i="3"/>
  <c r="AC280" i="3"/>
  <c r="G280" i="3"/>
  <c r="H281" i="3"/>
  <c r="AC281" i="3"/>
  <c r="G281" i="3"/>
  <c r="H282" i="3"/>
  <c r="AC282" i="3"/>
  <c r="G282" i="3"/>
  <c r="H283" i="3"/>
  <c r="AC283" i="3"/>
  <c r="G283" i="3"/>
  <c r="H284" i="3"/>
  <c r="AC284" i="3"/>
  <c r="G284" i="3"/>
  <c r="H285" i="3"/>
  <c r="AC285" i="3"/>
  <c r="G285" i="3"/>
  <c r="H286" i="3"/>
  <c r="AC286" i="3"/>
  <c r="G286" i="3"/>
  <c r="H287" i="3"/>
  <c r="AC287" i="3"/>
  <c r="G287" i="3"/>
  <c r="H288" i="3"/>
  <c r="AC288" i="3"/>
  <c r="G288" i="3"/>
  <c r="H289" i="3"/>
  <c r="AC289" i="3"/>
  <c r="G289" i="3"/>
  <c r="H290" i="3"/>
  <c r="AC290" i="3"/>
  <c r="G290" i="3"/>
  <c r="H291" i="3"/>
  <c r="AC291" i="3"/>
  <c r="G291" i="3"/>
  <c r="H292" i="3"/>
  <c r="AC292" i="3"/>
  <c r="G292" i="3"/>
  <c r="H293" i="3"/>
  <c r="AC293" i="3"/>
  <c r="G293" i="3"/>
  <c r="H294" i="3"/>
  <c r="AC294" i="3"/>
  <c r="G294" i="3"/>
  <c r="H295" i="3"/>
  <c r="AC295" i="3"/>
  <c r="G295" i="3"/>
  <c r="H296" i="3"/>
  <c r="AC296" i="3"/>
  <c r="G296" i="3"/>
  <c r="H297" i="3"/>
  <c r="AC297" i="3"/>
  <c r="G297" i="3"/>
  <c r="H298" i="3"/>
  <c r="AC298" i="3"/>
  <c r="G298" i="3"/>
  <c r="H299" i="3"/>
  <c r="AC299" i="3"/>
  <c r="G299" i="3"/>
  <c r="H300" i="3"/>
  <c r="AC300" i="3"/>
  <c r="G300" i="3"/>
  <c r="H301" i="3"/>
  <c r="AC301" i="3"/>
  <c r="G301" i="3"/>
  <c r="H302" i="3"/>
  <c r="AC302" i="3"/>
  <c r="G302" i="3"/>
  <c r="H303" i="3"/>
  <c r="AC303" i="3"/>
  <c r="G303" i="3"/>
  <c r="H304" i="3"/>
  <c r="AC304" i="3"/>
  <c r="G304" i="3"/>
  <c r="H305" i="3"/>
  <c r="AC305" i="3"/>
  <c r="G305" i="3"/>
  <c r="H306" i="3"/>
  <c r="AC306" i="3"/>
  <c r="G306" i="3"/>
  <c r="H307" i="3"/>
  <c r="AC307" i="3"/>
  <c r="G307" i="3"/>
  <c r="H308" i="3"/>
  <c r="AC308" i="3"/>
  <c r="G308" i="3"/>
  <c r="H309" i="3"/>
  <c r="AC309" i="3"/>
  <c r="G309" i="3"/>
  <c r="H310" i="3"/>
  <c r="AC310" i="3"/>
  <c r="G310" i="3"/>
  <c r="H311" i="3"/>
  <c r="AC311" i="3"/>
  <c r="G311" i="3"/>
  <c r="H312" i="3"/>
  <c r="AC312" i="3"/>
  <c r="G312" i="3"/>
  <c r="H313" i="3"/>
  <c r="AC313" i="3"/>
  <c r="G313" i="3"/>
  <c r="H314" i="3"/>
  <c r="AC314" i="3"/>
  <c r="G314" i="3"/>
  <c r="H315" i="3"/>
  <c r="AC315" i="3"/>
  <c r="G315" i="3"/>
  <c r="H316" i="3"/>
  <c r="AC316" i="3"/>
  <c r="G316" i="3"/>
  <c r="H317" i="3"/>
  <c r="AC317" i="3"/>
  <c r="G317" i="3"/>
  <c r="H318" i="3"/>
  <c r="AC318" i="3"/>
  <c r="G318" i="3"/>
  <c r="H319" i="3"/>
  <c r="AC319" i="3"/>
  <c r="G319" i="3"/>
  <c r="H320" i="3"/>
  <c r="AC320" i="3"/>
  <c r="G320" i="3"/>
  <c r="H321" i="3"/>
  <c r="AC321" i="3"/>
  <c r="G321" i="3"/>
  <c r="H322" i="3"/>
  <c r="AC322" i="3"/>
  <c r="G322" i="3"/>
  <c r="H323" i="3"/>
  <c r="AC323" i="3"/>
  <c r="G323" i="3"/>
  <c r="H324" i="3"/>
  <c r="AC324" i="3"/>
  <c r="G324" i="3"/>
  <c r="H325" i="3"/>
  <c r="AC325" i="3"/>
  <c r="G325" i="3"/>
  <c r="H326" i="3"/>
  <c r="AC326" i="3"/>
  <c r="G326" i="3"/>
  <c r="H327" i="3"/>
  <c r="AC327" i="3"/>
  <c r="G327" i="3"/>
  <c r="H328" i="3"/>
  <c r="AC328" i="3"/>
  <c r="G328" i="3"/>
  <c r="H329" i="3"/>
  <c r="AC329" i="3"/>
  <c r="G329" i="3"/>
  <c r="H330" i="3"/>
  <c r="AC330" i="3"/>
  <c r="G330" i="3"/>
  <c r="H331" i="3"/>
  <c r="AC331" i="3"/>
  <c r="G331" i="3"/>
  <c r="H332" i="3"/>
  <c r="AC332" i="3"/>
  <c r="G332" i="3"/>
  <c r="H333" i="3"/>
  <c r="AC333" i="3"/>
  <c r="G333" i="3"/>
  <c r="H334" i="3"/>
  <c r="AC334" i="3"/>
  <c r="G334" i="3"/>
  <c r="H335" i="3"/>
  <c r="AC335" i="3"/>
  <c r="G335" i="3"/>
  <c r="H336" i="3"/>
  <c r="AC336" i="3"/>
  <c r="G336" i="3"/>
  <c r="H337" i="3"/>
  <c r="AC337" i="3"/>
  <c r="G337" i="3"/>
  <c r="H338" i="3"/>
  <c r="AC338" i="3"/>
  <c r="G338" i="3"/>
  <c r="H339" i="3"/>
  <c r="AC339" i="3"/>
  <c r="G339" i="3"/>
  <c r="H340" i="3"/>
  <c r="AC340" i="3"/>
  <c r="G340" i="3"/>
  <c r="H341" i="3"/>
  <c r="AC341" i="3"/>
  <c r="G341" i="3"/>
  <c r="H342" i="3"/>
  <c r="AC342" i="3"/>
  <c r="G342" i="3"/>
  <c r="H343" i="3"/>
  <c r="AC343" i="3"/>
  <c r="G343" i="3"/>
  <c r="H344" i="3"/>
  <c r="AC344" i="3"/>
  <c r="G344" i="3"/>
  <c r="H345" i="3"/>
  <c r="AC345" i="3"/>
  <c r="G345" i="3"/>
  <c r="H346" i="3"/>
  <c r="AC346" i="3"/>
  <c r="G346" i="3"/>
  <c r="H347" i="3"/>
  <c r="AC347" i="3"/>
  <c r="G347" i="3"/>
  <c r="H348" i="3"/>
  <c r="AC348" i="3"/>
  <c r="G348" i="3"/>
  <c r="H349" i="3"/>
  <c r="AC349" i="3"/>
  <c r="G349" i="3"/>
  <c r="H350" i="3"/>
  <c r="AC350" i="3"/>
  <c r="G350" i="3"/>
  <c r="H351" i="3"/>
  <c r="AC351" i="3"/>
  <c r="G351" i="3"/>
  <c r="H352" i="3"/>
  <c r="AC352" i="3"/>
  <c r="G352" i="3"/>
  <c r="H353" i="3"/>
  <c r="AC353" i="3"/>
  <c r="G353" i="3"/>
  <c r="H354" i="3"/>
  <c r="AC354" i="3"/>
  <c r="G354" i="3"/>
  <c r="H355" i="3"/>
  <c r="AC355" i="3"/>
  <c r="G355" i="3"/>
  <c r="H356" i="3"/>
  <c r="AC356" i="3"/>
  <c r="G356" i="3"/>
  <c r="H357" i="3"/>
  <c r="AC357" i="3"/>
  <c r="G357" i="3"/>
  <c r="H358" i="3"/>
  <c r="AC358" i="3"/>
  <c r="G358" i="3"/>
  <c r="H359" i="3"/>
  <c r="AC359" i="3"/>
  <c r="G359" i="3"/>
  <c r="H360" i="3"/>
  <c r="AC360" i="3"/>
  <c r="G360" i="3"/>
  <c r="H361" i="3"/>
  <c r="AC361" i="3"/>
  <c r="G361" i="3"/>
  <c r="H362" i="3"/>
  <c r="AC362" i="3"/>
  <c r="G362" i="3"/>
  <c r="H363" i="3"/>
  <c r="AC363" i="3"/>
  <c r="G363" i="3"/>
  <c r="H364" i="3"/>
  <c r="AC364" i="3"/>
  <c r="G364" i="3"/>
  <c r="H365" i="3"/>
  <c r="AC365" i="3"/>
  <c r="G365" i="3"/>
  <c r="H366" i="3"/>
  <c r="AC366" i="3"/>
  <c r="G366" i="3"/>
  <c r="H367" i="3"/>
  <c r="AC367" i="3"/>
  <c r="G367" i="3"/>
  <c r="H368" i="3"/>
  <c r="AC368" i="3"/>
  <c r="G368" i="3"/>
  <c r="H369" i="3"/>
  <c r="AC369" i="3"/>
  <c r="G369" i="3"/>
  <c r="H370" i="3"/>
  <c r="AC370" i="3"/>
  <c r="G370" i="3"/>
  <c r="H371" i="3"/>
  <c r="AC371" i="3"/>
  <c r="G371" i="3"/>
  <c r="H372" i="3"/>
  <c r="AC372" i="3"/>
  <c r="G372" i="3"/>
  <c r="H373" i="3"/>
  <c r="AC373" i="3"/>
  <c r="G373" i="3"/>
  <c r="H374" i="3"/>
  <c r="AC374" i="3"/>
  <c r="G374" i="3"/>
  <c r="H375" i="3"/>
  <c r="AC375" i="3"/>
  <c r="G375" i="3"/>
  <c r="H376" i="3"/>
  <c r="AC376" i="3"/>
  <c r="G376" i="3"/>
  <c r="H377" i="3"/>
  <c r="AC377" i="3"/>
  <c r="G377" i="3"/>
  <c r="H378" i="3"/>
  <c r="AC378" i="3"/>
  <c r="G378" i="3"/>
  <c r="H379" i="3"/>
  <c r="AC379" i="3"/>
  <c r="G379" i="3"/>
  <c r="H380" i="3"/>
  <c r="AC380" i="3"/>
  <c r="G380" i="3"/>
  <c r="H381" i="3"/>
  <c r="AC381" i="3"/>
  <c r="G381" i="3"/>
  <c r="H382" i="3"/>
  <c r="AC382" i="3"/>
  <c r="G382" i="3"/>
  <c r="H383" i="3"/>
  <c r="AC383" i="3"/>
  <c r="G383" i="3"/>
  <c r="H384" i="3"/>
  <c r="AC384" i="3"/>
  <c r="G384" i="3"/>
  <c r="H385" i="3"/>
  <c r="AC385" i="3"/>
  <c r="G385" i="3"/>
  <c r="H386" i="3"/>
  <c r="AC386" i="3"/>
  <c r="G386" i="3"/>
  <c r="H387" i="3"/>
  <c r="AC387" i="3"/>
  <c r="G387" i="3"/>
  <c r="H388" i="3"/>
  <c r="AC388" i="3"/>
  <c r="G388" i="3"/>
  <c r="H389" i="3"/>
  <c r="AC389" i="3"/>
  <c r="G389" i="3"/>
  <c r="H390" i="3"/>
  <c r="AC390" i="3"/>
  <c r="G390" i="3"/>
  <c r="H391" i="3"/>
  <c r="AC391" i="3"/>
  <c r="G391" i="3"/>
  <c r="H392" i="3"/>
  <c r="AC392" i="3"/>
  <c r="G392" i="3"/>
  <c r="H393" i="3"/>
  <c r="AC393" i="3"/>
  <c r="G393" i="3"/>
  <c r="H394" i="3"/>
  <c r="AC394" i="3"/>
  <c r="G394" i="3"/>
  <c r="H395" i="3"/>
  <c r="AC395" i="3"/>
  <c r="G395" i="3"/>
  <c r="H396" i="3"/>
  <c r="AC396" i="3"/>
  <c r="G396" i="3"/>
  <c r="H397" i="3"/>
  <c r="AC397" i="3"/>
  <c r="G397" i="3"/>
  <c r="H398" i="3"/>
  <c r="AC398" i="3"/>
  <c r="G398" i="3"/>
  <c r="H399" i="3"/>
  <c r="AC399" i="3"/>
  <c r="G399" i="3"/>
  <c r="H400" i="3"/>
  <c r="AC400" i="3"/>
  <c r="G400" i="3"/>
  <c r="H401" i="3"/>
  <c r="AC401" i="3"/>
  <c r="G401" i="3"/>
  <c r="H402" i="3"/>
  <c r="AC402" i="3"/>
  <c r="G402" i="3"/>
  <c r="H403" i="3"/>
  <c r="AC403" i="3"/>
  <c r="G403" i="3"/>
  <c r="H404" i="3"/>
  <c r="AC404" i="3"/>
  <c r="G404" i="3"/>
  <c r="H405" i="3"/>
  <c r="AC405" i="3"/>
  <c r="G405" i="3"/>
  <c r="H406" i="3"/>
  <c r="AC406" i="3"/>
  <c r="G406" i="3"/>
  <c r="H407" i="3"/>
  <c r="AC407" i="3"/>
  <c r="G407" i="3"/>
  <c r="H408" i="3"/>
  <c r="AC408" i="3"/>
  <c r="G408" i="3"/>
  <c r="H409" i="3"/>
  <c r="AC409" i="3"/>
  <c r="G409" i="3"/>
  <c r="H410" i="3"/>
  <c r="AC410" i="3"/>
  <c r="G410" i="3"/>
  <c r="H411" i="3"/>
  <c r="AC411" i="3"/>
  <c r="G411" i="3"/>
  <c r="H412" i="3"/>
  <c r="AC412" i="3"/>
  <c r="G412" i="3"/>
  <c r="H413" i="3"/>
  <c r="AC413" i="3"/>
  <c r="G413" i="3"/>
  <c r="H414" i="3"/>
  <c r="AC414" i="3"/>
  <c r="G414" i="3"/>
  <c r="H415" i="3"/>
  <c r="AC415" i="3"/>
  <c r="G415" i="3"/>
  <c r="H416" i="3"/>
  <c r="AC416" i="3"/>
  <c r="G416" i="3"/>
  <c r="H417" i="3"/>
  <c r="AC417" i="3"/>
  <c r="G417" i="3"/>
  <c r="H418" i="3"/>
  <c r="AC418" i="3"/>
  <c r="G418" i="3"/>
  <c r="H419" i="3"/>
  <c r="AC419" i="3"/>
  <c r="G419" i="3"/>
  <c r="H420" i="3"/>
  <c r="AC420" i="3"/>
  <c r="G420" i="3"/>
  <c r="H421" i="3"/>
  <c r="AC421" i="3"/>
  <c r="G421" i="3"/>
  <c r="H422" i="3"/>
  <c r="AC422" i="3"/>
  <c r="G422" i="3"/>
  <c r="H423" i="3"/>
  <c r="AC423" i="3"/>
  <c r="G423" i="3"/>
  <c r="H424" i="3"/>
  <c r="AC424" i="3"/>
  <c r="G424" i="3"/>
  <c r="H425" i="3"/>
  <c r="AC425" i="3"/>
  <c r="G425" i="3"/>
  <c r="H426" i="3"/>
  <c r="AC426" i="3"/>
  <c r="G426" i="3"/>
  <c r="H427" i="3"/>
  <c r="AC427" i="3"/>
  <c r="G427" i="3"/>
  <c r="H428" i="3"/>
  <c r="AC428" i="3"/>
  <c r="G428" i="3"/>
  <c r="H429" i="3"/>
  <c r="AC429" i="3"/>
  <c r="G429" i="3"/>
  <c r="H430" i="3"/>
  <c r="AC430" i="3"/>
  <c r="G430" i="3"/>
  <c r="H431" i="3"/>
  <c r="AC431" i="3"/>
  <c r="G431" i="3"/>
  <c r="H432" i="3"/>
  <c r="AC432" i="3"/>
  <c r="G432" i="3"/>
  <c r="H433" i="3"/>
  <c r="AC433" i="3"/>
  <c r="G433" i="3"/>
  <c r="H434" i="3"/>
  <c r="AC434" i="3"/>
  <c r="G434" i="3"/>
  <c r="H435" i="3"/>
  <c r="AC435" i="3"/>
  <c r="G435" i="3"/>
  <c r="H436" i="3"/>
  <c r="AC436" i="3"/>
  <c r="G436" i="3"/>
  <c r="H437" i="3"/>
  <c r="AC437" i="3"/>
  <c r="G437" i="3"/>
  <c r="H438" i="3"/>
  <c r="AC438" i="3"/>
  <c r="G438" i="3"/>
  <c r="H439" i="3"/>
  <c r="AC439" i="3"/>
  <c r="G439" i="3"/>
  <c r="H440" i="3"/>
  <c r="AC440" i="3"/>
  <c r="G440" i="3"/>
  <c r="H441" i="3"/>
  <c r="AC441" i="3"/>
  <c r="G441" i="3"/>
  <c r="H442" i="3"/>
  <c r="AC442" i="3"/>
  <c r="G442" i="3"/>
  <c r="H443" i="3"/>
  <c r="AC443" i="3"/>
  <c r="G443" i="3"/>
  <c r="H444" i="3"/>
  <c r="AC444" i="3"/>
  <c r="G444" i="3"/>
  <c r="H445" i="3"/>
  <c r="AC445" i="3"/>
  <c r="G445" i="3"/>
  <c r="H446" i="3"/>
  <c r="AC446" i="3"/>
  <c r="G446" i="3"/>
  <c r="H447" i="3"/>
  <c r="AC447" i="3"/>
  <c r="G447" i="3"/>
  <c r="H448" i="3"/>
  <c r="AC448" i="3"/>
  <c r="G448" i="3"/>
  <c r="H449" i="3"/>
  <c r="AC449" i="3"/>
  <c r="G449" i="3"/>
  <c r="H450" i="3"/>
  <c r="AC450" i="3"/>
  <c r="G450" i="3"/>
  <c r="H451" i="3"/>
  <c r="AC451" i="3"/>
  <c r="G451" i="3"/>
  <c r="H452" i="3"/>
  <c r="AC452" i="3"/>
  <c r="G452" i="3"/>
  <c r="H453" i="3"/>
  <c r="AC453" i="3"/>
  <c r="G453" i="3"/>
  <c r="H454" i="3"/>
  <c r="AC454" i="3"/>
  <c r="G454" i="3"/>
  <c r="H455" i="3"/>
  <c r="AC455" i="3"/>
  <c r="G455" i="3"/>
  <c r="H456" i="3"/>
  <c r="AC456" i="3"/>
  <c r="G456" i="3"/>
  <c r="H457" i="3"/>
  <c r="AC457" i="3"/>
  <c r="G457" i="3"/>
  <c r="H458" i="3"/>
  <c r="AC458" i="3"/>
  <c r="G458" i="3"/>
  <c r="H459" i="3"/>
  <c r="AC459" i="3"/>
  <c r="G459" i="3"/>
  <c r="H460" i="3"/>
  <c r="AC460" i="3"/>
  <c r="G460" i="3"/>
  <c r="H461" i="3"/>
  <c r="AC461" i="3"/>
  <c r="G461" i="3"/>
  <c r="H462" i="3"/>
  <c r="AC462" i="3"/>
  <c r="G462" i="3"/>
  <c r="H463" i="3"/>
  <c r="AC463" i="3"/>
  <c r="G463" i="3"/>
  <c r="H464" i="3"/>
  <c r="AC464" i="3"/>
  <c r="G464" i="3"/>
  <c r="H465" i="3"/>
  <c r="AC465" i="3"/>
  <c r="G465" i="3"/>
  <c r="H466" i="3"/>
  <c r="AC466" i="3"/>
  <c r="G466" i="3"/>
  <c r="H467" i="3"/>
  <c r="AC467" i="3"/>
  <c r="G467" i="3"/>
  <c r="H468" i="3"/>
  <c r="AC468" i="3"/>
  <c r="G468" i="3"/>
  <c r="H469" i="3"/>
  <c r="AC469" i="3"/>
  <c r="G469" i="3"/>
  <c r="H470" i="3"/>
  <c r="AC470" i="3"/>
  <c r="G470" i="3"/>
  <c r="H471" i="3"/>
  <c r="AC471" i="3"/>
  <c r="G471" i="3"/>
  <c r="H472" i="3"/>
  <c r="AC472" i="3"/>
  <c r="G472" i="3"/>
  <c r="H473" i="3"/>
  <c r="AC473" i="3"/>
  <c r="G473" i="3"/>
  <c r="H474" i="3"/>
  <c r="AC474" i="3"/>
  <c r="G474" i="3"/>
  <c r="H475" i="3"/>
  <c r="AC475" i="3"/>
  <c r="G475" i="3"/>
  <c r="H476" i="3"/>
  <c r="AC476" i="3"/>
  <c r="G476" i="3"/>
  <c r="H477" i="3"/>
  <c r="AC477" i="3"/>
  <c r="G477" i="3"/>
  <c r="H478" i="3"/>
  <c r="AC478" i="3"/>
  <c r="G478" i="3"/>
  <c r="H479" i="3"/>
  <c r="AC479" i="3"/>
  <c r="G479" i="3"/>
  <c r="H480" i="3"/>
  <c r="AC480" i="3"/>
  <c r="G480" i="3"/>
  <c r="H481" i="3"/>
  <c r="AC481" i="3"/>
  <c r="G481" i="3"/>
  <c r="H482" i="3"/>
  <c r="AC482" i="3"/>
  <c r="G482" i="3"/>
  <c r="H483" i="3"/>
  <c r="AC483" i="3"/>
  <c r="G483" i="3"/>
  <c r="H484" i="3"/>
  <c r="AC484" i="3"/>
  <c r="G484" i="3"/>
  <c r="H485" i="3"/>
  <c r="AC485" i="3"/>
  <c r="G485" i="3"/>
  <c r="H486" i="3"/>
  <c r="AC486" i="3"/>
  <c r="G486" i="3"/>
  <c r="H487" i="3"/>
  <c r="AC487" i="3"/>
  <c r="G487" i="3"/>
  <c r="H488" i="3"/>
  <c r="AC488" i="3"/>
  <c r="G488" i="3"/>
  <c r="H489" i="3"/>
  <c r="AC489" i="3"/>
  <c r="G489" i="3"/>
  <c r="H490" i="3"/>
  <c r="AC490" i="3"/>
  <c r="G490" i="3"/>
  <c r="H491" i="3"/>
  <c r="AC491" i="3"/>
  <c r="G491" i="3"/>
  <c r="H492" i="3"/>
  <c r="AC492" i="3"/>
  <c r="G492" i="3"/>
  <c r="H493" i="3"/>
  <c r="AC493" i="3"/>
  <c r="G493" i="3"/>
  <c r="H494" i="3"/>
  <c r="AC494" i="3"/>
  <c r="G494" i="3"/>
  <c r="H495" i="3"/>
  <c r="AC495" i="3"/>
  <c r="G495" i="3"/>
  <c r="H496" i="3"/>
  <c r="AC496" i="3"/>
  <c r="G496" i="3"/>
  <c r="H497" i="3"/>
  <c r="AC497" i="3"/>
  <c r="G497" i="3"/>
  <c r="H498" i="3"/>
  <c r="AC498" i="3"/>
  <c r="G498" i="3"/>
  <c r="H499" i="3"/>
  <c r="AC499" i="3"/>
  <c r="G499" i="3"/>
  <c r="H500" i="3"/>
  <c r="AC500" i="3"/>
  <c r="G500" i="3"/>
  <c r="H501" i="3"/>
  <c r="AC501" i="3"/>
  <c r="G501" i="3"/>
  <c r="H502" i="3"/>
  <c r="AC502" i="3"/>
  <c r="G502" i="3"/>
  <c r="H503" i="3"/>
  <c r="AC503" i="3"/>
  <c r="G503" i="3"/>
  <c r="H504" i="3"/>
  <c r="AC504" i="3"/>
  <c r="G504" i="3"/>
  <c r="H505" i="3"/>
  <c r="AC505" i="3"/>
  <c r="G505" i="3"/>
  <c r="H506" i="3"/>
  <c r="AC506" i="3"/>
  <c r="G506" i="3"/>
  <c r="H507" i="3"/>
  <c r="AC507" i="3"/>
  <c r="G507" i="3"/>
  <c r="H508" i="3"/>
  <c r="AC508" i="3"/>
  <c r="G508" i="3"/>
  <c r="H509" i="3"/>
  <c r="AC509" i="3"/>
  <c r="G509" i="3"/>
  <c r="H510" i="3"/>
  <c r="AC510" i="3"/>
  <c r="G510" i="3"/>
  <c r="H511" i="3"/>
  <c r="AC511" i="3"/>
  <c r="G511" i="3"/>
  <c r="H512" i="3"/>
  <c r="AC512" i="3"/>
  <c r="G512" i="3"/>
  <c r="H513" i="3"/>
  <c r="AC513" i="3"/>
  <c r="G513" i="3"/>
  <c r="H514" i="3"/>
  <c r="AC514" i="3"/>
  <c r="G514" i="3"/>
  <c r="H515" i="3"/>
  <c r="AC515" i="3"/>
  <c r="G515" i="3"/>
  <c r="H516" i="3"/>
  <c r="AC516" i="3"/>
  <c r="G516" i="3"/>
  <c r="H517" i="3"/>
  <c r="AC517" i="3"/>
  <c r="G517" i="3"/>
  <c r="H518" i="3"/>
  <c r="AC518" i="3"/>
  <c r="G518" i="3"/>
  <c r="H519" i="3"/>
  <c r="AC519" i="3"/>
  <c r="G519" i="3"/>
  <c r="H520" i="3"/>
  <c r="AC520" i="3"/>
  <c r="G520" i="3"/>
  <c r="H521" i="3"/>
  <c r="AC521" i="3"/>
  <c r="G521" i="3"/>
  <c r="H522" i="3"/>
  <c r="AC522" i="3"/>
  <c r="G522" i="3"/>
  <c r="H523" i="3"/>
  <c r="AC523" i="3"/>
  <c r="G523" i="3"/>
  <c r="H524" i="3"/>
  <c r="AC524" i="3"/>
  <c r="G524" i="3"/>
  <c r="H525" i="3"/>
  <c r="AC525" i="3"/>
  <c r="G525" i="3"/>
  <c r="H526" i="3"/>
  <c r="AC526" i="3"/>
  <c r="G526" i="3"/>
  <c r="H527" i="3"/>
  <c r="AC527" i="3"/>
  <c r="G527" i="3"/>
  <c r="H528" i="3"/>
  <c r="AC528" i="3"/>
  <c r="G528" i="3"/>
  <c r="H529" i="3"/>
  <c r="AC529" i="3"/>
  <c r="G529" i="3"/>
  <c r="H530" i="3"/>
  <c r="AC530" i="3"/>
  <c r="G530" i="3"/>
  <c r="H531" i="3"/>
  <c r="AC531" i="3"/>
  <c r="G531" i="3"/>
  <c r="H532" i="3"/>
  <c r="AC532" i="3"/>
  <c r="G532" i="3"/>
  <c r="H533" i="3"/>
  <c r="AC533" i="3"/>
  <c r="G533" i="3"/>
  <c r="H534" i="3"/>
  <c r="AC534" i="3"/>
  <c r="G534" i="3"/>
  <c r="H535" i="3"/>
  <c r="AC535" i="3"/>
  <c r="G535" i="3"/>
  <c r="H536" i="3"/>
  <c r="AC536" i="3"/>
  <c r="G536" i="3"/>
  <c r="H537" i="3"/>
  <c r="AC537" i="3"/>
  <c r="G537" i="3"/>
  <c r="H538" i="3"/>
  <c r="AC538" i="3"/>
  <c r="G538" i="3"/>
  <c r="H539" i="3"/>
  <c r="AC539" i="3"/>
  <c r="G539" i="3"/>
  <c r="H540" i="3"/>
  <c r="AC540" i="3"/>
  <c r="G540" i="3"/>
  <c r="H541" i="3"/>
  <c r="AC541" i="3"/>
  <c r="G541" i="3"/>
  <c r="H542" i="3"/>
  <c r="AC542" i="3"/>
  <c r="G542" i="3"/>
  <c r="H543" i="3"/>
  <c r="AC543" i="3"/>
  <c r="G543" i="3"/>
  <c r="H544" i="3"/>
  <c r="AC544" i="3"/>
  <c r="G544" i="3"/>
  <c r="H545" i="3"/>
  <c r="AC545" i="3"/>
  <c r="G545" i="3"/>
  <c r="H546" i="3"/>
  <c r="AC546" i="3"/>
  <c r="G546" i="3"/>
  <c r="H547" i="3"/>
  <c r="AC547" i="3"/>
  <c r="G547" i="3"/>
  <c r="H548" i="3"/>
  <c r="AC548" i="3"/>
  <c r="G548" i="3"/>
  <c r="H549" i="3"/>
  <c r="AC549" i="3"/>
  <c r="G549" i="3"/>
  <c r="H550" i="3"/>
  <c r="AC550" i="3"/>
  <c r="G550" i="3"/>
  <c r="H551" i="3"/>
  <c r="AC551" i="3"/>
  <c r="G551" i="3"/>
  <c r="H552" i="3"/>
  <c r="AC552" i="3"/>
  <c r="G552" i="3"/>
  <c r="H553" i="3"/>
  <c r="AC553" i="3"/>
  <c r="G553" i="3"/>
  <c r="H554" i="3"/>
  <c r="AC554" i="3"/>
  <c r="G554" i="3"/>
  <c r="H555" i="3"/>
  <c r="AC555" i="3"/>
  <c r="G555" i="3"/>
  <c r="H556" i="3"/>
  <c r="AC556" i="3"/>
  <c r="G556" i="3"/>
  <c r="H557" i="3"/>
  <c r="AC557" i="3"/>
  <c r="G557" i="3"/>
  <c r="H558" i="3"/>
  <c r="AC558" i="3"/>
  <c r="G558" i="3"/>
  <c r="H559" i="3"/>
  <c r="AC559" i="3"/>
  <c r="G559" i="3"/>
  <c r="H560" i="3"/>
  <c r="AC560" i="3"/>
  <c r="G560" i="3"/>
  <c r="H561" i="3"/>
  <c r="AC561" i="3"/>
  <c r="G561" i="3"/>
  <c r="H562" i="3"/>
  <c r="AC562" i="3"/>
  <c r="G562" i="3"/>
  <c r="H563" i="3"/>
  <c r="AC563" i="3"/>
  <c r="G563" i="3"/>
  <c r="H564" i="3"/>
  <c r="AC564" i="3"/>
  <c r="G564" i="3"/>
  <c r="H565" i="3"/>
  <c r="AC565" i="3"/>
  <c r="G565" i="3"/>
  <c r="H566" i="3"/>
  <c r="AC566" i="3"/>
  <c r="G566" i="3"/>
  <c r="H567" i="3"/>
  <c r="AC567" i="3"/>
  <c r="G567" i="3"/>
  <c r="H568" i="3"/>
  <c r="AC568" i="3"/>
  <c r="G568" i="3"/>
  <c r="H569" i="3"/>
  <c r="AC569" i="3"/>
  <c r="G569" i="3"/>
  <c r="H570" i="3"/>
  <c r="AC570" i="3"/>
  <c r="G570" i="3"/>
  <c r="H571" i="3"/>
  <c r="AC571" i="3"/>
  <c r="G571" i="3"/>
  <c r="H572" i="3"/>
  <c r="AC572" i="3"/>
  <c r="G572" i="3"/>
  <c r="H573" i="3"/>
  <c r="AC573" i="3"/>
  <c r="G573" i="3"/>
  <c r="H574" i="3"/>
  <c r="AC574" i="3"/>
  <c r="G574" i="3"/>
  <c r="H575" i="3"/>
  <c r="AC575" i="3"/>
  <c r="G575" i="3"/>
  <c r="H576" i="3"/>
  <c r="AC576" i="3"/>
  <c r="G576" i="3"/>
  <c r="H577" i="3"/>
  <c r="AC577" i="3"/>
  <c r="G577" i="3"/>
  <c r="H578" i="3"/>
  <c r="AC578" i="3"/>
  <c r="G578" i="3"/>
  <c r="H579" i="3"/>
  <c r="AC579" i="3"/>
  <c r="G579" i="3"/>
  <c r="H580" i="3"/>
  <c r="AC580" i="3"/>
  <c r="G580" i="3"/>
  <c r="H581" i="3"/>
  <c r="AC581" i="3"/>
  <c r="G581" i="3"/>
  <c r="H582" i="3"/>
  <c r="AC582" i="3"/>
  <c r="G582" i="3"/>
  <c r="H583" i="3"/>
  <c r="AC583" i="3"/>
  <c r="G583" i="3"/>
  <c r="H584" i="3"/>
  <c r="AC584" i="3"/>
  <c r="G584" i="3"/>
  <c r="H585" i="3"/>
  <c r="AC585" i="3"/>
  <c r="G585" i="3"/>
  <c r="H586" i="3"/>
  <c r="AC586" i="3"/>
  <c r="G586" i="3"/>
  <c r="H587" i="3"/>
  <c r="AC587" i="3"/>
  <c r="G587" i="3"/>
  <c r="G5" i="3"/>
  <c r="AT5" i="3"/>
  <c r="B3" i="3"/>
  <c r="A3" i="3"/>
  <c r="K5" i="80"/>
  <c r="K3" i="80"/>
  <c r="K4" i="80"/>
  <c r="A7" i="1"/>
  <c r="B7" i="1"/>
  <c r="E7" i="1"/>
  <c r="A8" i="1"/>
  <c r="B8" i="1"/>
  <c r="E8" i="1"/>
  <c r="A9" i="1"/>
  <c r="B9" i="1"/>
  <c r="E9" i="1"/>
  <c r="A10" i="1"/>
  <c r="B10" i="1"/>
  <c r="E10" i="1"/>
  <c r="A11" i="1"/>
  <c r="B11" i="1"/>
  <c r="E11" i="1"/>
  <c r="A12" i="1"/>
  <c r="B12" i="1"/>
  <c r="E12" i="1"/>
  <c r="A13" i="1"/>
  <c r="B13" i="1"/>
  <c r="E13" i="1"/>
  <c r="B6" i="1"/>
  <c r="E6" i="1"/>
  <c r="M26" i="79"/>
  <c r="P26" i="79"/>
  <c r="M27" i="79"/>
  <c r="P27" i="79"/>
  <c r="M28" i="79"/>
  <c r="P28" i="79"/>
  <c r="L26" i="79"/>
  <c r="N26" i="79"/>
  <c r="L27" i="79"/>
  <c r="N27" i="79"/>
  <c r="L28" i="79"/>
  <c r="N28" i="79"/>
  <c r="I26" i="79"/>
  <c r="I27" i="79"/>
  <c r="I28" i="79"/>
  <c r="I6" i="79"/>
  <c r="I7" i="79"/>
  <c r="I8" i="79"/>
  <c r="K6" i="79"/>
  <c r="L6" i="79"/>
  <c r="L5" i="79"/>
  <c r="L7" i="79"/>
  <c r="L8" i="79"/>
  <c r="L9" i="79"/>
  <c r="L10" i="79"/>
  <c r="L11" i="79"/>
  <c r="L12" i="79"/>
  <c r="L13" i="79"/>
  <c r="L14" i="79"/>
  <c r="L15" i="79"/>
  <c r="S5" i="79"/>
  <c r="M6" i="79"/>
  <c r="P6" i="79"/>
  <c r="N6" i="79"/>
  <c r="N5" i="79"/>
  <c r="N7" i="79"/>
  <c r="N8" i="79"/>
  <c r="N9" i="79"/>
  <c r="N10" i="79"/>
  <c r="N11" i="79"/>
  <c r="N12" i="79"/>
  <c r="N13" i="79"/>
  <c r="N14" i="79"/>
  <c r="N15" i="79"/>
  <c r="U5" i="79"/>
  <c r="O6" i="79"/>
  <c r="O5" i="79"/>
  <c r="O7" i="79"/>
  <c r="O8" i="79"/>
  <c r="O9" i="79"/>
  <c r="O10" i="79"/>
  <c r="O11" i="79"/>
  <c r="O12" i="79"/>
  <c r="O13" i="79"/>
  <c r="O14" i="79"/>
  <c r="O15" i="79"/>
  <c r="V5" i="79"/>
  <c r="K7" i="79"/>
  <c r="K5" i="79"/>
  <c r="K8" i="79"/>
  <c r="K9" i="79"/>
  <c r="K10" i="79"/>
  <c r="K11" i="79"/>
  <c r="K12" i="79"/>
  <c r="K13" i="79"/>
  <c r="K14" i="79"/>
  <c r="K15" i="79"/>
  <c r="R5" i="79"/>
  <c r="M7" i="79"/>
  <c r="P7" i="79"/>
  <c r="M8" i="79"/>
  <c r="P8" i="79"/>
  <c r="M5" i="79"/>
  <c r="M9" i="79"/>
  <c r="M10" i="79"/>
  <c r="M11" i="79"/>
  <c r="M12" i="79"/>
  <c r="M13" i="79"/>
  <c r="M14" i="79"/>
  <c r="M15" i="79"/>
  <c r="T5" i="79"/>
  <c r="B10" i="74"/>
  <c r="B8" i="74"/>
  <c r="E111" i="9"/>
  <c r="H112" i="9"/>
  <c r="C8" i="74"/>
  <c r="B7" i="74"/>
  <c r="E109" i="9"/>
  <c r="H109" i="9"/>
  <c r="H110" i="9"/>
  <c r="C7" i="74"/>
  <c r="AH5" i="71"/>
  <c r="AG5" i="71"/>
  <c r="AE5" i="71"/>
  <c r="AF5" i="71"/>
  <c r="AD5" i="71"/>
  <c r="AB5" i="71"/>
  <c r="AA5" i="71"/>
  <c r="Y5" i="71"/>
  <c r="Z5" i="71"/>
  <c r="X5" i="71"/>
  <c r="Q5" i="71"/>
  <c r="P5" i="71"/>
  <c r="O5" i="71"/>
  <c r="N5" i="71"/>
  <c r="AH6" i="71"/>
  <c r="AG6" i="71"/>
  <c r="AE6" i="71"/>
  <c r="AF6" i="71"/>
  <c r="AD6" i="71"/>
  <c r="AB6" i="71"/>
  <c r="AA6" i="71"/>
  <c r="Y6" i="71"/>
  <c r="Z6" i="71"/>
  <c r="X6" i="71"/>
  <c r="Q6" i="71"/>
  <c r="P6" i="71"/>
  <c r="O6" i="71"/>
  <c r="N6" i="71"/>
  <c r="AH7" i="71"/>
  <c r="AG7" i="71"/>
  <c r="AE7" i="71"/>
  <c r="AF7" i="71"/>
  <c r="AD7" i="71"/>
  <c r="AB7" i="71"/>
  <c r="AA7" i="71"/>
  <c r="Y7" i="71"/>
  <c r="Z7" i="71"/>
  <c r="X7" i="71"/>
  <c r="Q7" i="71"/>
  <c r="P7" i="71"/>
  <c r="O7" i="71"/>
  <c r="N7" i="71"/>
  <c r="C23" i="77"/>
  <c r="D9" i="77"/>
  <c r="D10" i="77"/>
  <c r="D12" i="77"/>
  <c r="D14" i="77"/>
  <c r="D15" i="77"/>
  <c r="D16" i="77"/>
  <c r="D11" i="77"/>
  <c r="D17" i="77"/>
  <c r="D7" i="77"/>
  <c r="C26" i="77"/>
  <c r="C30" i="77"/>
  <c r="C29" i="77"/>
  <c r="C32" i="77"/>
  <c r="C38" i="77"/>
  <c r="C39" i="77"/>
  <c r="D23" i="77"/>
  <c r="D38" i="77"/>
  <c r="D39" i="77"/>
  <c r="E23" i="77"/>
  <c r="E38" i="77"/>
  <c r="E39" i="77"/>
  <c r="C40" i="77"/>
  <c r="B2" i="77"/>
  <c r="F13" i="1"/>
  <c r="D13" i="1"/>
  <c r="D12" i="1"/>
  <c r="D11" i="1"/>
  <c r="D10" i="1"/>
  <c r="D9" i="1"/>
  <c r="D8" i="1"/>
  <c r="D7" i="1"/>
  <c r="D6" i="1"/>
  <c r="I2" i="43"/>
  <c r="M1" i="43"/>
  <c r="F116" i="43"/>
  <c r="N111" i="43"/>
  <c r="N112" i="43"/>
  <c r="M111" i="43"/>
  <c r="M112" i="43"/>
  <c r="L111" i="43"/>
  <c r="L112" i="43"/>
  <c r="K111" i="43"/>
  <c r="K112" i="43"/>
  <c r="J111" i="43"/>
  <c r="J112" i="43"/>
  <c r="I111" i="43"/>
  <c r="I112" i="43"/>
  <c r="H111" i="43"/>
  <c r="H112" i="43"/>
  <c r="G111" i="43"/>
  <c r="G112" i="43"/>
  <c r="F111" i="43"/>
  <c r="F112" i="43"/>
  <c r="E111" i="43"/>
  <c r="E112" i="43"/>
  <c r="D111" i="43"/>
  <c r="D112" i="43"/>
  <c r="C111" i="43"/>
  <c r="C112" i="43"/>
  <c r="M101" i="43"/>
  <c r="N101" i="43"/>
  <c r="K101" i="43"/>
  <c r="J101" i="43"/>
  <c r="M100" i="43"/>
  <c r="N100" i="43"/>
  <c r="K100" i="43"/>
  <c r="J100" i="43"/>
  <c r="M99" i="43"/>
  <c r="N99" i="43"/>
  <c r="K99" i="43"/>
  <c r="J99" i="43"/>
  <c r="M98" i="43"/>
  <c r="N98" i="43"/>
  <c r="K98" i="43"/>
  <c r="J98" i="43"/>
  <c r="M97" i="43"/>
  <c r="N97" i="43"/>
  <c r="K97" i="43"/>
  <c r="J97" i="43"/>
  <c r="M96" i="43"/>
  <c r="N96" i="43"/>
  <c r="K96" i="43"/>
  <c r="J96" i="43"/>
  <c r="M95" i="43"/>
  <c r="N95" i="43"/>
  <c r="K95" i="43"/>
  <c r="J95" i="43"/>
  <c r="M94" i="43"/>
  <c r="N94" i="43"/>
  <c r="K94" i="43"/>
  <c r="J94" i="43"/>
  <c r="M93" i="43"/>
  <c r="N93" i="43"/>
  <c r="K93" i="43"/>
  <c r="J93" i="43"/>
  <c r="C20" i="20"/>
  <c r="B101" i="43"/>
  <c r="C22" i="20"/>
  <c r="B100" i="43"/>
  <c r="C21" i="20"/>
  <c r="B99" i="43"/>
  <c r="C24" i="20"/>
  <c r="B97" i="43"/>
  <c r="B95" i="43"/>
  <c r="C18" i="20"/>
  <c r="B94" i="43"/>
  <c r="D101" i="43"/>
  <c r="D100" i="43"/>
  <c r="D99" i="43"/>
  <c r="D98" i="43"/>
  <c r="D97" i="43"/>
  <c r="D96" i="43"/>
  <c r="D95" i="43"/>
  <c r="D94" i="43"/>
  <c r="D93" i="43"/>
  <c r="Y10" i="43"/>
  <c r="AJ9" i="43"/>
  <c r="AJ10" i="43"/>
  <c r="AI9" i="43"/>
  <c r="AI10" i="43"/>
  <c r="AH9" i="43"/>
  <c r="AH10" i="43"/>
  <c r="AG9" i="43"/>
  <c r="AG10" i="43"/>
  <c r="AF9" i="43"/>
  <c r="AF10" i="43"/>
  <c r="AE9" i="43"/>
  <c r="AE10" i="43"/>
  <c r="AD9" i="43"/>
  <c r="AD10" i="43"/>
  <c r="AC9" i="43"/>
  <c r="AC10" i="43"/>
  <c r="AB9" i="43"/>
  <c r="AB10" i="43"/>
  <c r="AA9" i="43"/>
  <c r="AA10" i="43"/>
  <c r="Z9" i="43"/>
  <c r="Z10" i="43"/>
  <c r="M23" i="43"/>
  <c r="G24" i="43"/>
  <c r="I23" i="43"/>
  <c r="G17" i="43"/>
  <c r="C13" i="43"/>
  <c r="N12" i="43"/>
  <c r="G2" i="43"/>
  <c r="AB36" i="79"/>
  <c r="AA36" i="79"/>
  <c r="Z36" i="79"/>
  <c r="W36" i="79"/>
  <c r="N36" i="79"/>
  <c r="M36" i="79"/>
  <c r="P36" i="79"/>
  <c r="L36" i="79"/>
  <c r="I36" i="79"/>
  <c r="AD36" i="79"/>
  <c r="AB35" i="79"/>
  <c r="AA35" i="79"/>
  <c r="Z35" i="79"/>
  <c r="N35" i="79"/>
  <c r="U35" i="79"/>
  <c r="M35" i="79"/>
  <c r="T35" i="79"/>
  <c r="W35" i="79"/>
  <c r="L35" i="79"/>
  <c r="S35" i="79"/>
  <c r="I35" i="79"/>
  <c r="AD35" i="79"/>
  <c r="AB34" i="79"/>
  <c r="AA34" i="79"/>
  <c r="Z34" i="79"/>
  <c r="N34" i="79"/>
  <c r="U34" i="79"/>
  <c r="M34" i="79"/>
  <c r="T34" i="79"/>
  <c r="W34" i="79"/>
  <c r="L34" i="79"/>
  <c r="S34" i="79"/>
  <c r="I34" i="79"/>
  <c r="AD34" i="79"/>
  <c r="AB33" i="79"/>
  <c r="AA33" i="79"/>
  <c r="Z33" i="79"/>
  <c r="N33" i="79"/>
  <c r="U33" i="79"/>
  <c r="M33" i="79"/>
  <c r="T33" i="79"/>
  <c r="W33" i="79"/>
  <c r="L33" i="79"/>
  <c r="S33" i="79"/>
  <c r="I33" i="79"/>
  <c r="AD33" i="79"/>
  <c r="AB32" i="79"/>
  <c r="AA32" i="79"/>
  <c r="Z32" i="79"/>
  <c r="N32" i="79"/>
  <c r="U32" i="79"/>
  <c r="M32" i="79"/>
  <c r="T32" i="79"/>
  <c r="W32" i="79"/>
  <c r="L32" i="79"/>
  <c r="S32" i="79"/>
  <c r="I32" i="79"/>
  <c r="AD32" i="79"/>
  <c r="AB31" i="79"/>
  <c r="AA31" i="79"/>
  <c r="Z31" i="79"/>
  <c r="N31" i="79"/>
  <c r="U31" i="79"/>
  <c r="M31" i="79"/>
  <c r="T31" i="79"/>
  <c r="W31" i="79"/>
  <c r="L31" i="79"/>
  <c r="S31" i="79"/>
  <c r="I31" i="79"/>
  <c r="AD31" i="79"/>
  <c r="AB30" i="79"/>
  <c r="AA30" i="79"/>
  <c r="Z30" i="79"/>
  <c r="N30" i="79"/>
  <c r="U30" i="79"/>
  <c r="M30" i="79"/>
  <c r="L30" i="79"/>
  <c r="S30" i="79"/>
  <c r="I30" i="79"/>
  <c r="AD30" i="79"/>
  <c r="AB29" i="79"/>
  <c r="AA29" i="79"/>
  <c r="Z29" i="79"/>
  <c r="N29" i="79"/>
  <c r="U29" i="79"/>
  <c r="M29" i="79"/>
  <c r="L29" i="79"/>
  <c r="I29" i="79"/>
  <c r="AD29" i="79"/>
  <c r="AB25" i="79"/>
  <c r="AA25" i="79"/>
  <c r="Z25" i="79"/>
  <c r="N25" i="79"/>
  <c r="M25" i="79"/>
  <c r="T25" i="79"/>
  <c r="W25" i="79"/>
  <c r="L25" i="79"/>
  <c r="I25" i="79"/>
  <c r="AD25" i="79"/>
  <c r="AB23" i="79"/>
  <c r="AA23" i="79"/>
  <c r="AD23" i="79"/>
  <c r="U23" i="79"/>
  <c r="T23" i="79"/>
  <c r="W23" i="79"/>
  <c r="N23" i="79"/>
  <c r="M23" i="79"/>
  <c r="P23" i="79"/>
  <c r="L23" i="79"/>
  <c r="G23" i="79"/>
  <c r="F23" i="79"/>
  <c r="I23" i="79"/>
  <c r="E23" i="79"/>
  <c r="AC16" i="79"/>
  <c r="AB16" i="79"/>
  <c r="AA16" i="79"/>
  <c r="AD16" i="79"/>
  <c r="Z16" i="79"/>
  <c r="Y16" i="79"/>
  <c r="W16" i="79"/>
  <c r="M16" i="79"/>
  <c r="P16" i="79"/>
  <c r="O16" i="79"/>
  <c r="N16" i="79"/>
  <c r="L16" i="79"/>
  <c r="K16" i="79"/>
  <c r="I16" i="79"/>
  <c r="AC15" i="79"/>
  <c r="AB15" i="79"/>
  <c r="AA15" i="79"/>
  <c r="AD15" i="79"/>
  <c r="Z15" i="79"/>
  <c r="Y15" i="79"/>
  <c r="V15" i="79"/>
  <c r="U15" i="79"/>
  <c r="P15" i="79"/>
  <c r="S15" i="79"/>
  <c r="R15" i="79"/>
  <c r="I15" i="79"/>
  <c r="AA14" i="79"/>
  <c r="AD14" i="79"/>
  <c r="AC14" i="79"/>
  <c r="AB14" i="79"/>
  <c r="Z14" i="79"/>
  <c r="Y14" i="79"/>
  <c r="V14" i="79"/>
  <c r="U14" i="79"/>
  <c r="T14" i="79"/>
  <c r="W14" i="79"/>
  <c r="S14" i="79"/>
  <c r="R14" i="79"/>
  <c r="I14" i="79"/>
  <c r="AC13" i="79"/>
  <c r="AB13" i="79"/>
  <c r="AA13" i="79"/>
  <c r="AD13" i="79"/>
  <c r="Z13" i="79"/>
  <c r="Y13" i="79"/>
  <c r="V13" i="79"/>
  <c r="U13" i="79"/>
  <c r="P13" i="79"/>
  <c r="S13" i="79"/>
  <c r="R13" i="79"/>
  <c r="I13" i="79"/>
  <c r="AA12" i="79"/>
  <c r="AD12" i="79"/>
  <c r="AC12" i="79"/>
  <c r="AB12" i="79"/>
  <c r="Z12" i="79"/>
  <c r="Y12" i="79"/>
  <c r="V12" i="79"/>
  <c r="U12" i="79"/>
  <c r="T12" i="79"/>
  <c r="W12" i="79"/>
  <c r="S12" i="79"/>
  <c r="R12" i="79"/>
  <c r="I12" i="79"/>
  <c r="AC11" i="79"/>
  <c r="AB11" i="79"/>
  <c r="AA11" i="79"/>
  <c r="AD11" i="79"/>
  <c r="Z11" i="79"/>
  <c r="Y11" i="79"/>
  <c r="V11" i="79"/>
  <c r="U11" i="79"/>
  <c r="P11" i="79"/>
  <c r="S11" i="79"/>
  <c r="R11" i="79"/>
  <c r="I11" i="79"/>
  <c r="AC10" i="79"/>
  <c r="AB10" i="79"/>
  <c r="AA10" i="79"/>
  <c r="AD10" i="79"/>
  <c r="Z10" i="79"/>
  <c r="Y10" i="79"/>
  <c r="V10" i="79"/>
  <c r="U10" i="79"/>
  <c r="T10" i="79"/>
  <c r="W10" i="79"/>
  <c r="S10" i="79"/>
  <c r="R10" i="79"/>
  <c r="I10" i="79"/>
  <c r="AC9" i="79"/>
  <c r="AB9" i="79"/>
  <c r="AA9" i="79"/>
  <c r="AD9" i="79"/>
  <c r="Z9" i="79"/>
  <c r="Y9" i="79"/>
  <c r="V9" i="79"/>
  <c r="U9" i="79"/>
  <c r="P9" i="79"/>
  <c r="S9" i="79"/>
  <c r="I9" i="79"/>
  <c r="AC5" i="79"/>
  <c r="AB5" i="79"/>
  <c r="AA5" i="79"/>
  <c r="AD5" i="79"/>
  <c r="Z5" i="79"/>
  <c r="Y5" i="79"/>
  <c r="P5" i="79"/>
  <c r="W5" i="79"/>
  <c r="I5" i="79"/>
  <c r="AC3" i="79"/>
  <c r="AB3" i="79"/>
  <c r="AA3" i="79"/>
  <c r="AD3" i="79"/>
  <c r="Z3" i="79"/>
  <c r="Y3" i="79"/>
  <c r="V3" i="79"/>
  <c r="U3" i="79"/>
  <c r="T3" i="79"/>
  <c r="W3" i="79"/>
  <c r="S3" i="79"/>
  <c r="O3" i="79"/>
  <c r="N3" i="79"/>
  <c r="M3" i="79"/>
  <c r="P3" i="79"/>
  <c r="L3" i="79"/>
  <c r="K3" i="79"/>
  <c r="H3" i="79"/>
  <c r="G3" i="79"/>
  <c r="F3" i="79"/>
  <c r="I3" i="79"/>
  <c r="E3" i="79"/>
  <c r="D3" i="79"/>
  <c r="T371" i="46"/>
  <c r="S371" i="46"/>
  <c r="R371" i="46"/>
  <c r="R279" i="46"/>
  <c r="U279" i="46"/>
  <c r="T279" i="46"/>
  <c r="S279" i="46"/>
  <c r="T187" i="46"/>
  <c r="S187" i="46"/>
  <c r="R187" i="46"/>
  <c r="T95" i="46"/>
  <c r="S95" i="46"/>
  <c r="R95" i="46"/>
  <c r="T3" i="46"/>
  <c r="S3" i="46"/>
  <c r="R3" i="46"/>
  <c r="M17" i="45"/>
  <c r="L17" i="45"/>
  <c r="K17" i="45"/>
  <c r="J17" i="45"/>
  <c r="I17" i="45"/>
  <c r="H17" i="45"/>
  <c r="G17" i="45"/>
  <c r="F17" i="45"/>
  <c r="E17" i="45"/>
  <c r="D17" i="45"/>
  <c r="C17" i="45"/>
  <c r="B17" i="45"/>
  <c r="I15" i="4"/>
  <c r="F10" i="1"/>
  <c r="I24" i="43"/>
  <c r="K47" i="78"/>
  <c r="K46" i="78"/>
  <c r="K45" i="78"/>
  <c r="K41" i="78"/>
  <c r="K40" i="78"/>
  <c r="K39" i="78"/>
  <c r="K38" i="78"/>
  <c r="K37" i="78"/>
  <c r="K36" i="78"/>
  <c r="K35" i="78"/>
  <c r="K23" i="78"/>
  <c r="K24" i="78"/>
  <c r="K25" i="78"/>
  <c r="K26" i="78"/>
  <c r="K27" i="78"/>
  <c r="K28" i="78"/>
  <c r="K29" i="78"/>
  <c r="K30" i="78"/>
  <c r="K22" i="78"/>
  <c r="R9" i="79"/>
  <c r="S23" i="79"/>
  <c r="P12" i="79"/>
  <c r="P14" i="79"/>
  <c r="U25" i="79"/>
  <c r="R3" i="79"/>
  <c r="Z23" i="79"/>
  <c r="S29" i="79"/>
  <c r="T30" i="79"/>
  <c r="W30" i="79"/>
  <c r="S25" i="79"/>
  <c r="T29" i="79"/>
  <c r="W29" i="79"/>
  <c r="P10" i="79"/>
  <c r="C27" i="43"/>
  <c r="S6" i="43"/>
  <c r="S5" i="43"/>
  <c r="S4" i="43"/>
  <c r="S2" i="43"/>
  <c r="E93" i="43"/>
  <c r="B91" i="43"/>
  <c r="N21" i="43"/>
  <c r="S3" i="43"/>
  <c r="H116" i="43"/>
  <c r="F37" i="43"/>
  <c r="F38" i="43"/>
  <c r="F39" i="43"/>
  <c r="F40" i="43"/>
  <c r="F41" i="43"/>
  <c r="F42" i="43"/>
  <c r="N1" i="43"/>
  <c r="M2" i="43"/>
  <c r="N2" i="43"/>
  <c r="M3" i="43"/>
  <c r="N3" i="43"/>
  <c r="M4" i="43"/>
  <c r="N4" i="43"/>
  <c r="M5" i="43"/>
  <c r="N5" i="43"/>
  <c r="F93" i="43"/>
  <c r="N10" i="43"/>
  <c r="N11" i="43"/>
  <c r="M6" i="43"/>
  <c r="N6" i="43"/>
  <c r="M7" i="43"/>
  <c r="N7" i="43"/>
  <c r="M8" i="43"/>
  <c r="N8" i="43"/>
  <c r="M9" i="43"/>
  <c r="N9" i="43"/>
  <c r="M10" i="43"/>
  <c r="M11" i="43"/>
  <c r="M12" i="43"/>
  <c r="C21" i="43"/>
  <c r="E21" i="43"/>
  <c r="I21" i="43"/>
  <c r="K21" i="43"/>
  <c r="M21" i="43"/>
  <c r="O21" i="43"/>
  <c r="D21" i="43"/>
  <c r="H21" i="43"/>
  <c r="J21" i="43"/>
  <c r="L21" i="43"/>
  <c r="G18" i="43"/>
  <c r="T9" i="79"/>
  <c r="W9" i="79"/>
  <c r="T11" i="79"/>
  <c r="W11" i="79"/>
  <c r="T13" i="79"/>
  <c r="W13" i="79"/>
  <c r="T15" i="79"/>
  <c r="W15" i="79"/>
  <c r="P25" i="79"/>
  <c r="P30" i="79"/>
  <c r="P32" i="79"/>
  <c r="P34" i="79"/>
  <c r="P29" i="79"/>
  <c r="P31" i="79"/>
  <c r="P33" i="79"/>
  <c r="P35" i="79"/>
  <c r="E25" i="78"/>
  <c r="E24" i="78"/>
  <c r="F23" i="78"/>
  <c r="F24" i="78"/>
  <c r="F25" i="78"/>
  <c r="E23" i="78"/>
  <c r="E22" i="78"/>
  <c r="G22" i="78"/>
  <c r="F12" i="78"/>
  <c r="F11" i="78"/>
  <c r="C15" i="78"/>
  <c r="C18" i="78"/>
  <c r="H100" i="43"/>
  <c r="H97" i="43"/>
  <c r="H95" i="43"/>
  <c r="H94" i="43"/>
  <c r="H98" i="43"/>
  <c r="H93" i="43"/>
  <c r="H101" i="43"/>
  <c r="H99" i="43"/>
  <c r="H96" i="43"/>
  <c r="G23" i="78"/>
  <c r="G24" i="78"/>
  <c r="G25" i="78"/>
  <c r="B15" i="78"/>
  <c r="B18" i="78"/>
  <c r="G14" i="73"/>
  <c r="F14" i="73"/>
  <c r="E14" i="73"/>
  <c r="G15" i="73"/>
  <c r="F15" i="73"/>
  <c r="E15" i="73"/>
  <c r="G16" i="73"/>
  <c r="F16" i="73"/>
  <c r="E16" i="73"/>
  <c r="E13" i="73"/>
  <c r="AH8" i="71"/>
  <c r="AG8" i="71"/>
  <c r="AE8" i="71"/>
  <c r="AF8" i="71"/>
  <c r="AD8" i="71"/>
  <c r="Q8" i="71"/>
  <c r="P8" i="71"/>
  <c r="O8" i="71"/>
  <c r="N8" i="71"/>
  <c r="R43" i="77"/>
  <c r="R40" i="77"/>
  <c r="R41" i="77"/>
  <c r="F36" i="77"/>
  <c r="R34" i="77"/>
  <c r="R33" i="77"/>
  <c r="R27" i="77"/>
  <c r="M24" i="77"/>
  <c r="R23" i="77"/>
  <c r="R22" i="77"/>
  <c r="R21" i="77"/>
  <c r="N19" i="77"/>
  <c r="R18" i="77"/>
  <c r="D18" i="77"/>
  <c r="R17" i="77"/>
  <c r="R16" i="77"/>
  <c r="M14" i="77"/>
  <c r="N14" i="77"/>
  <c r="R13" i="77"/>
  <c r="R12" i="77"/>
  <c r="R11" i="77"/>
  <c r="E11" i="77"/>
  <c r="E7" i="77"/>
  <c r="C27" i="77"/>
  <c r="R10" i="77"/>
  <c r="R9" i="77"/>
  <c r="R8" i="77"/>
  <c r="R7" i="77"/>
  <c r="R4" i="77"/>
  <c r="R3" i="77"/>
  <c r="R14" i="77"/>
  <c r="R24" i="77"/>
  <c r="R25" i="77"/>
  <c r="D29" i="77"/>
  <c r="D26" i="77"/>
  <c r="D32" i="77"/>
  <c r="R35" i="77"/>
  <c r="U34" i="77"/>
  <c r="AH9" i="71"/>
  <c r="AG9" i="71"/>
  <c r="AE9" i="71"/>
  <c r="AF9" i="71"/>
  <c r="AD9" i="71"/>
  <c r="Q9" i="71"/>
  <c r="P9" i="71"/>
  <c r="O9" i="71"/>
  <c r="N9" i="71"/>
  <c r="R19" i="77"/>
  <c r="R5" i="77"/>
  <c r="U5" i="77"/>
  <c r="E26" i="77"/>
  <c r="E29" i="77"/>
  <c r="E32" i="77"/>
  <c r="AH10" i="71"/>
  <c r="AG10" i="71"/>
  <c r="AE10" i="71"/>
  <c r="AF10" i="71"/>
  <c r="AD10" i="71"/>
  <c r="Q10" i="71"/>
  <c r="Q11" i="71"/>
  <c r="Q12" i="71"/>
  <c r="Q13" i="71"/>
  <c r="Q14" i="71"/>
  <c r="Q15" i="71"/>
  <c r="Q16" i="71"/>
  <c r="Q17" i="71"/>
  <c r="Q18" i="71"/>
  <c r="Q19" i="71"/>
  <c r="Q20" i="71"/>
  <c r="Q21" i="71"/>
  <c r="Q22" i="71"/>
  <c r="Q23" i="71"/>
  <c r="Q24" i="71"/>
  <c r="Q25" i="71"/>
  <c r="Q26" i="71"/>
  <c r="Q27" i="71"/>
  <c r="Q28" i="71"/>
  <c r="Q29" i="71"/>
  <c r="Q30" i="71"/>
  <c r="Q31" i="71"/>
  <c r="Q32" i="71"/>
  <c r="Q33" i="71"/>
  <c r="Q34" i="71"/>
  <c r="Q35" i="71"/>
  <c r="Q36" i="71"/>
  <c r="Q37" i="71"/>
  <c r="Q38" i="71"/>
  <c r="Q39" i="71"/>
  <c r="AB9" i="71"/>
  <c r="P10" i="71"/>
  <c r="P11" i="71"/>
  <c r="P12" i="71"/>
  <c r="P13" i="71"/>
  <c r="P14" i="71"/>
  <c r="P15" i="71"/>
  <c r="P16" i="71"/>
  <c r="P17" i="71"/>
  <c r="P18" i="71"/>
  <c r="P19" i="71"/>
  <c r="P20" i="71"/>
  <c r="P21" i="71"/>
  <c r="P22" i="71"/>
  <c r="P23" i="71"/>
  <c r="P24" i="71"/>
  <c r="P25" i="71"/>
  <c r="P26" i="71"/>
  <c r="P27" i="71"/>
  <c r="P28" i="71"/>
  <c r="P29" i="71"/>
  <c r="P30" i="71"/>
  <c r="P31" i="71"/>
  <c r="P32" i="71"/>
  <c r="P33" i="71"/>
  <c r="P34" i="71"/>
  <c r="P35" i="71"/>
  <c r="P36" i="71"/>
  <c r="P37" i="71"/>
  <c r="P38" i="71"/>
  <c r="P39" i="71"/>
  <c r="AA9" i="71"/>
  <c r="O10" i="71"/>
  <c r="O11" i="71"/>
  <c r="O12" i="71"/>
  <c r="O13" i="71"/>
  <c r="O14" i="71"/>
  <c r="O15" i="71"/>
  <c r="O16" i="71"/>
  <c r="O17" i="71"/>
  <c r="O18" i="71"/>
  <c r="O19" i="71"/>
  <c r="O20" i="71"/>
  <c r="O21" i="71"/>
  <c r="O22" i="71"/>
  <c r="O23" i="71"/>
  <c r="O24" i="71"/>
  <c r="O25" i="71"/>
  <c r="O26" i="71"/>
  <c r="O27" i="71"/>
  <c r="O28" i="71"/>
  <c r="O29" i="71"/>
  <c r="O30" i="71"/>
  <c r="O31" i="71"/>
  <c r="O32" i="71"/>
  <c r="O33" i="71"/>
  <c r="O34" i="71"/>
  <c r="O35" i="71"/>
  <c r="O36" i="71"/>
  <c r="O37" i="71"/>
  <c r="O38" i="71"/>
  <c r="O39" i="71"/>
  <c r="Y9" i="71"/>
  <c r="Z9" i="71"/>
  <c r="N10" i="71"/>
  <c r="N11" i="71"/>
  <c r="N12" i="71"/>
  <c r="N13" i="71"/>
  <c r="N14" i="71"/>
  <c r="N15" i="71"/>
  <c r="N16" i="71"/>
  <c r="N17" i="71"/>
  <c r="N18" i="71"/>
  <c r="N19" i="71"/>
  <c r="N20" i="71"/>
  <c r="N21" i="71"/>
  <c r="N22" i="71"/>
  <c r="N23" i="71"/>
  <c r="N24" i="71"/>
  <c r="N25" i="71"/>
  <c r="N26" i="71"/>
  <c r="N27" i="71"/>
  <c r="N28" i="71"/>
  <c r="N29" i="71"/>
  <c r="N30" i="71"/>
  <c r="N31" i="71"/>
  <c r="N32" i="71"/>
  <c r="N33" i="71"/>
  <c r="N34" i="71"/>
  <c r="N35" i="71"/>
  <c r="N36" i="71"/>
  <c r="N37" i="71"/>
  <c r="N38" i="71"/>
  <c r="N39" i="71"/>
  <c r="X9" i="71"/>
  <c r="B3" i="77"/>
  <c r="C41" i="77"/>
  <c r="E24" i="71"/>
  <c r="E23" i="71"/>
  <c r="E22" i="71"/>
  <c r="E21" i="71"/>
  <c r="E20" i="71"/>
  <c r="E19" i="71"/>
  <c r="E18" i="71"/>
  <c r="E17" i="71"/>
  <c r="E16" i="71"/>
  <c r="E15" i="71"/>
  <c r="E14" i="71"/>
  <c r="E13" i="71"/>
  <c r="E12" i="71"/>
  <c r="V12" i="71"/>
  <c r="C24" i="71"/>
  <c r="C23" i="71"/>
  <c r="C22" i="71"/>
  <c r="C21" i="71"/>
  <c r="C20" i="71"/>
  <c r="C19" i="71"/>
  <c r="C18" i="71"/>
  <c r="C17" i="71"/>
  <c r="C16" i="71"/>
  <c r="C15" i="71"/>
  <c r="C14" i="71"/>
  <c r="C13" i="71"/>
  <c r="C12" i="71"/>
  <c r="D12" i="71"/>
  <c r="D13" i="71"/>
  <c r="U12" i="71"/>
  <c r="T12" i="71"/>
  <c r="B24" i="71"/>
  <c r="B23" i="71"/>
  <c r="B22" i="71"/>
  <c r="B21" i="71"/>
  <c r="B20" i="71"/>
  <c r="B19" i="71"/>
  <c r="B18" i="71"/>
  <c r="B17" i="71"/>
  <c r="B16" i="71"/>
  <c r="B15" i="71"/>
  <c r="B14" i="71"/>
  <c r="B13" i="71"/>
  <c r="B12" i="71"/>
  <c r="S12" i="71"/>
  <c r="E24" i="43"/>
  <c r="Q32" i="43"/>
  <c r="P32" i="43"/>
  <c r="O32" i="43"/>
  <c r="N32" i="43"/>
  <c r="M32" i="43"/>
  <c r="AH11" i="71"/>
  <c r="AG11" i="71"/>
  <c r="AE11" i="71"/>
  <c r="AF11" i="71"/>
  <c r="AD11" i="71"/>
  <c r="AB10" i="71"/>
  <c r="AA10" i="71"/>
  <c r="Y10" i="71"/>
  <c r="Z10" i="71"/>
  <c r="X10" i="71"/>
  <c r="AH12" i="71"/>
  <c r="AG12" i="71"/>
  <c r="AE12" i="71"/>
  <c r="AF12" i="71"/>
  <c r="AD12" i="71"/>
  <c r="AH13" i="71"/>
  <c r="AG13" i="71"/>
  <c r="AE13" i="71"/>
  <c r="AF13" i="71"/>
  <c r="AD13" i="71"/>
  <c r="AB12" i="71"/>
  <c r="AA12" i="71"/>
  <c r="Y12" i="71"/>
  <c r="Z12" i="71"/>
  <c r="X12" i="71"/>
  <c r="AB11" i="71"/>
  <c r="AA11" i="71"/>
  <c r="Y11" i="71"/>
  <c r="Z11" i="71"/>
  <c r="X11" i="71"/>
  <c r="H16" i="49"/>
  <c r="D16" i="49"/>
  <c r="D15" i="49"/>
  <c r="B2" i="49"/>
  <c r="F15" i="49"/>
  <c r="H15" i="49"/>
  <c r="K42" i="40"/>
  <c r="K47" i="39"/>
  <c r="K36" i="36"/>
  <c r="E59" i="9"/>
  <c r="K38" i="35"/>
  <c r="K42" i="37"/>
  <c r="K49" i="34"/>
  <c r="K48" i="33"/>
  <c r="K48" i="21"/>
  <c r="H104" i="9"/>
  <c r="F59" i="9"/>
  <c r="AH14" i="71"/>
  <c r="AG14" i="71"/>
  <c r="AE14" i="71"/>
  <c r="AF14" i="71"/>
  <c r="AD14" i="71"/>
  <c r="AB13" i="71"/>
  <c r="AA13" i="71"/>
  <c r="Y13" i="71"/>
  <c r="Z13" i="71"/>
  <c r="X13" i="71"/>
  <c r="V16" i="71"/>
  <c r="D16" i="71"/>
  <c r="D17" i="71"/>
  <c r="U16" i="71"/>
  <c r="T16" i="71"/>
  <c r="S16" i="71"/>
  <c r="AH15" i="71"/>
  <c r="AG15" i="71"/>
  <c r="AE15" i="71"/>
  <c r="AF15" i="71"/>
  <c r="AD15" i="71"/>
  <c r="AB14" i="71"/>
  <c r="AA14" i="71"/>
  <c r="Y14" i="71"/>
  <c r="Z14" i="71"/>
  <c r="X14" i="71"/>
  <c r="AB18" i="71"/>
  <c r="AB17" i="71"/>
  <c r="AA17" i="71"/>
  <c r="Y17" i="71"/>
  <c r="Z17" i="71"/>
  <c r="X17" i="71"/>
  <c r="AH16" i="71"/>
  <c r="AG16" i="71"/>
  <c r="AE16" i="71"/>
  <c r="AF16" i="71"/>
  <c r="AD16" i="71"/>
  <c r="AB15" i="71"/>
  <c r="AA15" i="71"/>
  <c r="X15" i="71"/>
  <c r="F24" i="71"/>
  <c r="F23" i="71"/>
  <c r="F22" i="71"/>
  <c r="F21" i="71"/>
  <c r="F20" i="71"/>
  <c r="F19" i="71"/>
  <c r="F18" i="71"/>
  <c r="F17" i="71"/>
  <c r="E11" i="71"/>
  <c r="E10" i="71"/>
  <c r="E9" i="71"/>
  <c r="E8" i="71"/>
  <c r="E7" i="71"/>
  <c r="E6" i="71"/>
  <c r="E5" i="71"/>
  <c r="AH17" i="71"/>
  <c r="AG17" i="71"/>
  <c r="AE17" i="71"/>
  <c r="AF17" i="71"/>
  <c r="AD17" i="71"/>
  <c r="AH18" i="71"/>
  <c r="AG18" i="71"/>
  <c r="AE18" i="71"/>
  <c r="AF18" i="71"/>
  <c r="AD18" i="71"/>
  <c r="F24" i="12"/>
  <c r="F7" i="69"/>
  <c r="F7" i="68"/>
  <c r="AH19" i="71"/>
  <c r="AG19" i="71"/>
  <c r="AE19" i="71"/>
  <c r="AF19" i="71"/>
  <c r="AD19" i="71"/>
  <c r="AA18" i="71"/>
  <c r="Y18" i="71"/>
  <c r="X18" i="71"/>
  <c r="AD20" i="71"/>
  <c r="AH20" i="71"/>
  <c r="AG20" i="71"/>
  <c r="AE20" i="71"/>
  <c r="AF20" i="71"/>
  <c r="L3" i="71"/>
  <c r="AH3" i="71"/>
  <c r="K3" i="71"/>
  <c r="AG3" i="71"/>
  <c r="J3" i="71"/>
  <c r="AE3" i="71"/>
  <c r="I3" i="71"/>
  <c r="AH21" i="71"/>
  <c r="AG21" i="71"/>
  <c r="AE21" i="71"/>
  <c r="AF21" i="71"/>
  <c r="AD21" i="71"/>
  <c r="AA21" i="71"/>
  <c r="X21" i="71"/>
  <c r="AH22" i="71"/>
  <c r="AG22" i="71"/>
  <c r="AE22" i="71"/>
  <c r="AF22" i="71"/>
  <c r="AD22" i="71"/>
  <c r="AB21" i="71"/>
  <c r="AA22" i="71"/>
  <c r="Y21" i="71"/>
  <c r="Z21" i="71"/>
  <c r="D25" i="71"/>
  <c r="AH23" i="71"/>
  <c r="AG23" i="71"/>
  <c r="AE23" i="71"/>
  <c r="AF23" i="71"/>
  <c r="AD23" i="71"/>
  <c r="AD24" i="71"/>
  <c r="AG24" i="71"/>
  <c r="AH24" i="71"/>
  <c r="AE24" i="71"/>
  <c r="AF24" i="71"/>
  <c r="X22" i="71"/>
  <c r="AB23" i="71"/>
  <c r="AA23" i="71"/>
  <c r="Y22" i="71"/>
  <c r="Z22" i="71"/>
  <c r="Y23" i="71"/>
  <c r="Z23" i="71"/>
  <c r="V24" i="71"/>
  <c r="AB24" i="71"/>
  <c r="Y24" i="71"/>
  <c r="Z24" i="71"/>
  <c r="X24" i="71"/>
  <c r="AA24" i="71"/>
  <c r="A2" i="53"/>
  <c r="K59" i="67"/>
  <c r="P61" i="67"/>
  <c r="K59" i="15"/>
  <c r="P74" i="15"/>
  <c r="D115" i="39"/>
  <c r="E115" i="39"/>
  <c r="F115" i="39"/>
  <c r="G115" i="39"/>
  <c r="H115" i="39"/>
  <c r="I115" i="39"/>
  <c r="J115" i="39"/>
  <c r="K115" i="39"/>
  <c r="L115" i="39"/>
  <c r="M115" i="39"/>
  <c r="C115" i="39"/>
  <c r="A21" i="62"/>
  <c r="B67" i="72"/>
  <c r="A20" i="62"/>
  <c r="A22" i="51"/>
  <c r="A21" i="51"/>
  <c r="A20" i="51"/>
  <c r="A15" i="62"/>
  <c r="A14" i="62"/>
  <c r="A13" i="62"/>
  <c r="B59" i="72"/>
  <c r="A19" i="62"/>
  <c r="A12" i="62"/>
  <c r="B58" i="72"/>
  <c r="A120" i="9"/>
  <c r="H2" i="52"/>
  <c r="A1" i="52"/>
  <c r="A3" i="53"/>
  <c r="A15" i="51"/>
  <c r="B12" i="72"/>
  <c r="C76" i="9"/>
  <c r="I107" i="40"/>
  <c r="K6" i="4"/>
  <c r="M56" i="9"/>
  <c r="B22" i="31"/>
  <c r="N56" i="9"/>
  <c r="K56" i="9"/>
  <c r="E15" i="74"/>
  <c r="F15" i="74"/>
  <c r="E16" i="74"/>
  <c r="F16" i="74"/>
  <c r="E17" i="74"/>
  <c r="F17" i="74"/>
  <c r="E18" i="74"/>
  <c r="F18" i="74"/>
  <c r="E19" i="74"/>
  <c r="F19" i="74"/>
  <c r="E20" i="74"/>
  <c r="F20" i="74"/>
  <c r="E21" i="74"/>
  <c r="F21" i="74"/>
  <c r="E22" i="74"/>
  <c r="F22" i="74"/>
  <c r="E23" i="74"/>
  <c r="F23" i="74"/>
  <c r="B3" i="74"/>
  <c r="C91" i="9"/>
  <c r="B8" i="72"/>
  <c r="AD25" i="71"/>
  <c r="AE25" i="71"/>
  <c r="AF25" i="71"/>
  <c r="AG25" i="71"/>
  <c r="AH25" i="71"/>
  <c r="AD26" i="71"/>
  <c r="AE26" i="71"/>
  <c r="AF26" i="71"/>
  <c r="AG26" i="71"/>
  <c r="AH26" i="71"/>
  <c r="AD27" i="71"/>
  <c r="AE27" i="71"/>
  <c r="AF27" i="71"/>
  <c r="AG27" i="71"/>
  <c r="AH27" i="71"/>
  <c r="AD28" i="71"/>
  <c r="AE28" i="71"/>
  <c r="AF28" i="71"/>
  <c r="AG28" i="71"/>
  <c r="AH28" i="71"/>
  <c r="AD29" i="71"/>
  <c r="AE29" i="71"/>
  <c r="AF29" i="71"/>
  <c r="AG29" i="71"/>
  <c r="AH29" i="71"/>
  <c r="AD30" i="71"/>
  <c r="AE30" i="71"/>
  <c r="AF30" i="71"/>
  <c r="AG30" i="71"/>
  <c r="AH30" i="71"/>
  <c r="AD31" i="71"/>
  <c r="AE31" i="71"/>
  <c r="AF31" i="71"/>
  <c r="AG31" i="71"/>
  <c r="AH31" i="71"/>
  <c r="AD32" i="71"/>
  <c r="AE32" i="71"/>
  <c r="AF32" i="71"/>
  <c r="AG32" i="71"/>
  <c r="AH32" i="71"/>
  <c r="AD33" i="71"/>
  <c r="AE33" i="71"/>
  <c r="AF33" i="71"/>
  <c r="AG33" i="71"/>
  <c r="AH33" i="71"/>
  <c r="AD34" i="71"/>
  <c r="AE34" i="71"/>
  <c r="AF34" i="71"/>
  <c r="AG34" i="71"/>
  <c r="AH34" i="71"/>
  <c r="AD35" i="71"/>
  <c r="AE35" i="71"/>
  <c r="AF35" i="71"/>
  <c r="AG35" i="71"/>
  <c r="AH35" i="71"/>
  <c r="AD36" i="71"/>
  <c r="AE36" i="71"/>
  <c r="AF36" i="71"/>
  <c r="AG36" i="71"/>
  <c r="AH36" i="71"/>
  <c r="AD37" i="71"/>
  <c r="AE37" i="71"/>
  <c r="AF37" i="71"/>
  <c r="AG37" i="71"/>
  <c r="AH37" i="71"/>
  <c r="AD38" i="71"/>
  <c r="AE38" i="71"/>
  <c r="AF38" i="71"/>
  <c r="AG38" i="71"/>
  <c r="AH38" i="71"/>
  <c r="AH39" i="71"/>
  <c r="AG39" i="71"/>
  <c r="AE39" i="71"/>
  <c r="AF39" i="71"/>
  <c r="AD39" i="71"/>
  <c r="AD40" i="71"/>
  <c r="AE40" i="71"/>
  <c r="AF40" i="71"/>
  <c r="AG40" i="71"/>
  <c r="AH40" i="71"/>
  <c r="S2" i="31"/>
  <c r="M2" i="31"/>
  <c r="N2" i="31"/>
  <c r="O2" i="31"/>
  <c r="P2" i="31"/>
  <c r="Q2" i="31"/>
  <c r="R2" i="31"/>
  <c r="L1" i="73"/>
  <c r="B74" i="72"/>
  <c r="K49" i="9"/>
  <c r="E107" i="9"/>
  <c r="A122" i="9"/>
  <c r="A8" i="52"/>
  <c r="B54" i="72"/>
  <c r="A126" i="9"/>
  <c r="A12" i="52"/>
  <c r="B56" i="72"/>
  <c r="A124" i="9"/>
  <c r="A10" i="52"/>
  <c r="B55" i="72"/>
  <c r="B44" i="72"/>
  <c r="B42" i="72"/>
  <c r="B69" i="72"/>
  <c r="B68" i="72"/>
  <c r="B63" i="72"/>
  <c r="B62" i="72"/>
  <c r="B16" i="72"/>
  <c r="B65" i="72"/>
  <c r="B60" i="72"/>
  <c r="B66" i="72"/>
  <c r="B10" i="72"/>
  <c r="C53" i="10"/>
  <c r="B51" i="10"/>
  <c r="B19" i="72"/>
  <c r="A18" i="51"/>
  <c r="B13" i="72"/>
  <c r="C8" i="68"/>
  <c r="B49" i="48"/>
  <c r="B5" i="72"/>
  <c r="D89" i="71"/>
  <c r="F88" i="71"/>
  <c r="E88" i="71"/>
  <c r="E87" i="71"/>
  <c r="E86" i="71"/>
  <c r="C88" i="71"/>
  <c r="D88" i="71"/>
  <c r="B88" i="71"/>
  <c r="F87" i="71"/>
  <c r="F86" i="71"/>
  <c r="B87" i="71"/>
  <c r="B86" i="71"/>
  <c r="D85" i="71"/>
  <c r="F84" i="71"/>
  <c r="E84" i="71"/>
  <c r="E83" i="71"/>
  <c r="E82" i="71"/>
  <c r="C84" i="71"/>
  <c r="D84" i="71"/>
  <c r="B84" i="71"/>
  <c r="F83" i="71"/>
  <c r="F82" i="71"/>
  <c r="B83" i="71"/>
  <c r="B82" i="71"/>
  <c r="D81" i="71"/>
  <c r="Q80" i="71"/>
  <c r="P80" i="71"/>
  <c r="O80" i="71"/>
  <c r="N80" i="71"/>
  <c r="F80" i="71"/>
  <c r="V80" i="71"/>
  <c r="E80" i="71"/>
  <c r="U80" i="71"/>
  <c r="C80" i="71"/>
  <c r="T80" i="71"/>
  <c r="B80" i="71"/>
  <c r="S80" i="71"/>
  <c r="Q79" i="71"/>
  <c r="P79" i="71"/>
  <c r="O79" i="71"/>
  <c r="N79" i="71"/>
  <c r="F79" i="71"/>
  <c r="F78" i="71"/>
  <c r="B79" i="71"/>
  <c r="B78" i="71"/>
  <c r="Q78" i="71"/>
  <c r="P78" i="71"/>
  <c r="O78" i="71"/>
  <c r="N78" i="71"/>
  <c r="Q77" i="71"/>
  <c r="P77" i="71"/>
  <c r="O77" i="71"/>
  <c r="N77" i="71"/>
  <c r="D77" i="71"/>
  <c r="Q76" i="71"/>
  <c r="P76" i="71"/>
  <c r="O76" i="71"/>
  <c r="N76" i="71"/>
  <c r="F76" i="71"/>
  <c r="V76" i="71"/>
  <c r="E76" i="71"/>
  <c r="U76" i="71"/>
  <c r="C76" i="71"/>
  <c r="T76" i="71"/>
  <c r="B76" i="71"/>
  <c r="S76" i="71"/>
  <c r="Q75" i="71"/>
  <c r="P75" i="71"/>
  <c r="O75" i="71"/>
  <c r="N75" i="71"/>
  <c r="F75" i="71"/>
  <c r="F74" i="71"/>
  <c r="B75" i="71"/>
  <c r="B74" i="71"/>
  <c r="Q74" i="71"/>
  <c r="P74" i="71"/>
  <c r="O74" i="71"/>
  <c r="N74" i="71"/>
  <c r="Q73" i="71"/>
  <c r="P73" i="71"/>
  <c r="O73" i="71"/>
  <c r="N73" i="71"/>
  <c r="D73" i="71"/>
  <c r="Q72" i="71"/>
  <c r="P72" i="71"/>
  <c r="O72" i="71"/>
  <c r="N72" i="71"/>
  <c r="F72" i="71"/>
  <c r="V72" i="71"/>
  <c r="E72" i="71"/>
  <c r="U72" i="71"/>
  <c r="C72" i="71"/>
  <c r="T72" i="71"/>
  <c r="B72" i="71"/>
  <c r="S72" i="71"/>
  <c r="Q71" i="71"/>
  <c r="P71" i="71"/>
  <c r="O71" i="71"/>
  <c r="N71" i="71"/>
  <c r="F71" i="71"/>
  <c r="F70" i="71"/>
  <c r="B71" i="71"/>
  <c r="B70" i="71"/>
  <c r="Q70" i="71"/>
  <c r="P70" i="71"/>
  <c r="O70" i="71"/>
  <c r="N70" i="71"/>
  <c r="Q69" i="71"/>
  <c r="P69" i="71"/>
  <c r="O69" i="71"/>
  <c r="N69" i="71"/>
  <c r="D69" i="71"/>
  <c r="F68" i="71"/>
  <c r="V68" i="71"/>
  <c r="E68" i="71"/>
  <c r="P68" i="71"/>
  <c r="C68" i="71"/>
  <c r="B68" i="71"/>
  <c r="S68" i="71"/>
  <c r="F67" i="71"/>
  <c r="F66" i="71"/>
  <c r="Q66" i="71"/>
  <c r="B67" i="71"/>
  <c r="D65" i="71"/>
  <c r="Q64" i="71"/>
  <c r="P64" i="71"/>
  <c r="O64" i="71"/>
  <c r="N64" i="71"/>
  <c r="Q63" i="71"/>
  <c r="P63" i="71"/>
  <c r="O63" i="71"/>
  <c r="N63" i="71"/>
  <c r="Q62" i="71"/>
  <c r="P62" i="71"/>
  <c r="O62" i="71"/>
  <c r="N62" i="71"/>
  <c r="Q61" i="71"/>
  <c r="F62" i="71"/>
  <c r="F63" i="71"/>
  <c r="F64" i="71"/>
  <c r="V64" i="71"/>
  <c r="P61" i="71"/>
  <c r="E62" i="71"/>
  <c r="O61" i="71"/>
  <c r="C62" i="71"/>
  <c r="N61" i="71"/>
  <c r="B62" i="71"/>
  <c r="B63" i="71"/>
  <c r="B64" i="71"/>
  <c r="S64" i="71"/>
  <c r="D61" i="71"/>
  <c r="Q60" i="71"/>
  <c r="P60" i="71"/>
  <c r="O60" i="71"/>
  <c r="N60" i="71"/>
  <c r="Q59" i="71"/>
  <c r="P59" i="71"/>
  <c r="O59" i="71"/>
  <c r="N59" i="71"/>
  <c r="Q58" i="71"/>
  <c r="P58" i="71"/>
  <c r="O58" i="71"/>
  <c r="N58" i="71"/>
  <c r="Q57" i="71"/>
  <c r="F58" i="71"/>
  <c r="F59" i="71"/>
  <c r="F60" i="71"/>
  <c r="V60" i="71"/>
  <c r="P57" i="71"/>
  <c r="E58" i="71"/>
  <c r="O57" i="71"/>
  <c r="C58" i="71"/>
  <c r="N57" i="71"/>
  <c r="B58" i="71"/>
  <c r="B59" i="71"/>
  <c r="B60" i="71"/>
  <c r="S60" i="71"/>
  <c r="D57" i="71"/>
  <c r="Q56" i="71"/>
  <c r="P56" i="71"/>
  <c r="O56" i="71"/>
  <c r="N56" i="71"/>
  <c r="Q55" i="71"/>
  <c r="P55" i="71"/>
  <c r="O55" i="71"/>
  <c r="N55" i="71"/>
  <c r="Q54" i="71"/>
  <c r="P54" i="71"/>
  <c r="O54" i="71"/>
  <c r="N54" i="71"/>
  <c r="O53" i="71"/>
  <c r="C54" i="71"/>
  <c r="Q53" i="71"/>
  <c r="F54" i="71"/>
  <c r="F55" i="71"/>
  <c r="F56" i="71"/>
  <c r="V56" i="71"/>
  <c r="P53" i="71"/>
  <c r="E54" i="71"/>
  <c r="N53" i="71"/>
  <c r="B54" i="71"/>
  <c r="B55" i="71"/>
  <c r="B56" i="71"/>
  <c r="S56" i="71"/>
  <c r="D53" i="71"/>
  <c r="Q52" i="71"/>
  <c r="P52" i="71"/>
  <c r="O52" i="71"/>
  <c r="N52" i="71"/>
  <c r="Q51" i="71"/>
  <c r="P51" i="71"/>
  <c r="O51" i="71"/>
  <c r="N51" i="71"/>
  <c r="Q50" i="71"/>
  <c r="P50" i="71"/>
  <c r="O50" i="71"/>
  <c r="N50" i="71"/>
  <c r="Q49" i="71"/>
  <c r="F50" i="71"/>
  <c r="P49" i="71"/>
  <c r="E50" i="71"/>
  <c r="E51" i="71"/>
  <c r="E52" i="71"/>
  <c r="U52" i="71"/>
  <c r="O49" i="71"/>
  <c r="C50" i="71"/>
  <c r="N49" i="71"/>
  <c r="B50" i="71"/>
  <c r="B51" i="71"/>
  <c r="B52" i="71"/>
  <c r="S52" i="71"/>
  <c r="D49" i="71"/>
  <c r="T48" i="71"/>
  <c r="Q48" i="71"/>
  <c r="P48" i="71"/>
  <c r="O48" i="71"/>
  <c r="N48" i="71"/>
  <c r="D48" i="71"/>
  <c r="Q47" i="71"/>
  <c r="P47" i="71"/>
  <c r="O47" i="71"/>
  <c r="N47" i="71"/>
  <c r="Q46" i="71"/>
  <c r="P46" i="71"/>
  <c r="O46" i="71"/>
  <c r="N46" i="71"/>
  <c r="Q45" i="71"/>
  <c r="F46" i="71"/>
  <c r="F47" i="71"/>
  <c r="F48" i="71"/>
  <c r="V48" i="71"/>
  <c r="P45" i="71"/>
  <c r="E46" i="71"/>
  <c r="E47" i="71"/>
  <c r="E48" i="71"/>
  <c r="U48" i="71"/>
  <c r="O45" i="71"/>
  <c r="C46" i="71"/>
  <c r="N45" i="71"/>
  <c r="B46" i="71"/>
  <c r="B47" i="71"/>
  <c r="B48" i="71"/>
  <c r="S48" i="71"/>
  <c r="D45" i="71"/>
  <c r="Q44" i="71"/>
  <c r="P44" i="71"/>
  <c r="O44" i="71"/>
  <c r="N44" i="71"/>
  <c r="Q43" i="71"/>
  <c r="P43" i="71"/>
  <c r="O43" i="71"/>
  <c r="N43" i="71"/>
  <c r="Q42" i="71"/>
  <c r="P42" i="71"/>
  <c r="O42" i="71"/>
  <c r="N42" i="71"/>
  <c r="Q41" i="71"/>
  <c r="F42" i="71"/>
  <c r="F43" i="71"/>
  <c r="F44" i="71"/>
  <c r="V44" i="71"/>
  <c r="P41" i="71"/>
  <c r="E42" i="71"/>
  <c r="E43" i="71"/>
  <c r="E44" i="71"/>
  <c r="U44" i="71"/>
  <c r="O41" i="71"/>
  <c r="C42" i="71"/>
  <c r="N41" i="71"/>
  <c r="B42" i="71"/>
  <c r="B43" i="71"/>
  <c r="B44" i="71"/>
  <c r="S44" i="71"/>
  <c r="D41" i="71"/>
  <c r="Q40" i="71"/>
  <c r="P40" i="71"/>
  <c r="O40" i="71"/>
  <c r="N40" i="71"/>
  <c r="AB39" i="71"/>
  <c r="AA39" i="71"/>
  <c r="Y39" i="71"/>
  <c r="Z39" i="71"/>
  <c r="X39" i="71"/>
  <c r="AB38" i="71"/>
  <c r="Y38" i="71"/>
  <c r="Z38" i="71"/>
  <c r="F38" i="71"/>
  <c r="F39" i="71"/>
  <c r="F40" i="71"/>
  <c r="V40" i="71"/>
  <c r="D37" i="71"/>
  <c r="AB36" i="71"/>
  <c r="Y36" i="71"/>
  <c r="Z36" i="71"/>
  <c r="AB35" i="71"/>
  <c r="Y35" i="71"/>
  <c r="Z35" i="71"/>
  <c r="AB34" i="71"/>
  <c r="Y34" i="71"/>
  <c r="Z34" i="71"/>
  <c r="F34" i="71"/>
  <c r="F35" i="71"/>
  <c r="F36" i="71"/>
  <c r="V36" i="71"/>
  <c r="D33" i="71"/>
  <c r="AB32" i="71"/>
  <c r="Y32" i="71"/>
  <c r="Z32" i="71"/>
  <c r="AB31" i="71"/>
  <c r="Y31" i="71"/>
  <c r="Z31" i="71"/>
  <c r="AB30" i="71"/>
  <c r="Y30" i="71"/>
  <c r="Z30" i="71"/>
  <c r="F30" i="71"/>
  <c r="F31" i="71"/>
  <c r="F32" i="71"/>
  <c r="V32" i="71"/>
  <c r="D29" i="71"/>
  <c r="B30" i="71"/>
  <c r="B31" i="71"/>
  <c r="B32" i="71"/>
  <c r="S32" i="71"/>
  <c r="X29" i="71"/>
  <c r="E30" i="71"/>
  <c r="E31" i="71"/>
  <c r="E32" i="71"/>
  <c r="U32" i="71"/>
  <c r="AA29" i="71"/>
  <c r="B34" i="71"/>
  <c r="B35" i="71"/>
  <c r="B36" i="71"/>
  <c r="S36" i="71"/>
  <c r="X33" i="71"/>
  <c r="B38" i="71"/>
  <c r="B39" i="71"/>
  <c r="B40" i="71"/>
  <c r="S40" i="71"/>
  <c r="X37" i="71"/>
  <c r="E38" i="71"/>
  <c r="E39" i="71"/>
  <c r="E40" i="71"/>
  <c r="U40" i="71"/>
  <c r="AA37" i="71"/>
  <c r="N68" i="71"/>
  <c r="E34" i="71"/>
  <c r="E35" i="71"/>
  <c r="E36" i="71"/>
  <c r="U36" i="71"/>
  <c r="AA33" i="71"/>
  <c r="C30" i="71"/>
  <c r="Y29" i="71"/>
  <c r="Z29" i="71"/>
  <c r="AB29" i="71"/>
  <c r="X30" i="71"/>
  <c r="AA30" i="71"/>
  <c r="X31" i="71"/>
  <c r="AA31" i="71"/>
  <c r="X32" i="71"/>
  <c r="AA32" i="71"/>
  <c r="C34" i="71"/>
  <c r="C35" i="71"/>
  <c r="Y33" i="71"/>
  <c r="Z33" i="71"/>
  <c r="AB33" i="71"/>
  <c r="X34" i="71"/>
  <c r="AA34" i="71"/>
  <c r="X35" i="71"/>
  <c r="AA35" i="71"/>
  <c r="X36" i="71"/>
  <c r="AA36" i="71"/>
  <c r="C38" i="71"/>
  <c r="Y37" i="71"/>
  <c r="Z37" i="71"/>
  <c r="AB37" i="71"/>
  <c r="X38" i="71"/>
  <c r="AA38" i="71"/>
  <c r="F51" i="71"/>
  <c r="F52" i="71"/>
  <c r="V52" i="71"/>
  <c r="C28" i="71"/>
  <c r="Y25" i="71"/>
  <c r="Z25" i="71"/>
  <c r="Y26" i="71"/>
  <c r="Z26" i="71"/>
  <c r="Y27" i="71"/>
  <c r="Z27" i="71"/>
  <c r="Y28" i="71"/>
  <c r="Z28" i="71"/>
  <c r="B28" i="71"/>
  <c r="B27" i="71"/>
  <c r="B26" i="71"/>
  <c r="X25" i="71"/>
  <c r="X26" i="71"/>
  <c r="X27" i="71"/>
  <c r="X28" i="71"/>
  <c r="C31" i="71"/>
  <c r="D30" i="71"/>
  <c r="D34" i="71"/>
  <c r="C39" i="71"/>
  <c r="D38" i="71"/>
  <c r="C43" i="71"/>
  <c r="D42" i="71"/>
  <c r="C47" i="71"/>
  <c r="D47" i="71"/>
  <c r="D46" i="71"/>
  <c r="C51" i="71"/>
  <c r="D50" i="71"/>
  <c r="E55" i="71"/>
  <c r="E56" i="71"/>
  <c r="U56" i="71"/>
  <c r="E59" i="71"/>
  <c r="E60" i="71"/>
  <c r="U60" i="71"/>
  <c r="E63" i="71"/>
  <c r="E64" i="71"/>
  <c r="U64" i="71"/>
  <c r="Q65" i="71"/>
  <c r="U68" i="71"/>
  <c r="E67" i="71"/>
  <c r="C55" i="71"/>
  <c r="D54" i="71"/>
  <c r="C59" i="71"/>
  <c r="D58" i="71"/>
  <c r="C63" i="71"/>
  <c r="D62" i="71"/>
  <c r="N67" i="71"/>
  <c r="B66" i="71"/>
  <c r="Q67" i="71"/>
  <c r="T68" i="71"/>
  <c r="O68" i="71"/>
  <c r="D68" i="71"/>
  <c r="C67" i="71"/>
  <c r="Q68" i="71"/>
  <c r="C71" i="71"/>
  <c r="E71" i="71"/>
  <c r="E70" i="71"/>
  <c r="D72" i="71"/>
  <c r="C75" i="71"/>
  <c r="E75" i="71"/>
  <c r="E74" i="71"/>
  <c r="D76" i="71"/>
  <c r="C79" i="71"/>
  <c r="E79" i="71"/>
  <c r="E78" i="71"/>
  <c r="D80" i="71"/>
  <c r="C83" i="71"/>
  <c r="C87" i="71"/>
  <c r="T28" i="71"/>
  <c r="C27" i="71"/>
  <c r="S28" i="71"/>
  <c r="F28" i="71"/>
  <c r="F27" i="71"/>
  <c r="F26" i="71"/>
  <c r="AB25" i="71"/>
  <c r="AB26" i="71"/>
  <c r="AB27" i="71"/>
  <c r="AB28" i="71"/>
  <c r="E28" i="71"/>
  <c r="E27" i="71"/>
  <c r="E26" i="71"/>
  <c r="AA3" i="71"/>
  <c r="AA25" i="71"/>
  <c r="AA26" i="71"/>
  <c r="AA27" i="71"/>
  <c r="AA28" i="71"/>
  <c r="D28" i="71"/>
  <c r="U28" i="71"/>
  <c r="C66" i="71"/>
  <c r="O67" i="71"/>
  <c r="D67" i="71"/>
  <c r="C64" i="71"/>
  <c r="D63" i="71"/>
  <c r="D83" i="71"/>
  <c r="C82" i="71"/>
  <c r="D82" i="71"/>
  <c r="D75" i="71"/>
  <c r="C74" i="71"/>
  <c r="D74" i="71"/>
  <c r="N65" i="71"/>
  <c r="N66" i="71"/>
  <c r="D87" i="71"/>
  <c r="C86" i="71"/>
  <c r="D86" i="71"/>
  <c r="D79" i="71"/>
  <c r="C78" i="71"/>
  <c r="D78" i="71"/>
  <c r="D71" i="71"/>
  <c r="C70" i="71"/>
  <c r="D70" i="71"/>
  <c r="C60" i="71"/>
  <c r="D59" i="71"/>
  <c r="C56" i="71"/>
  <c r="D55" i="71"/>
  <c r="P67" i="71"/>
  <c r="E66" i="71"/>
  <c r="C52" i="71"/>
  <c r="D51" i="71"/>
  <c r="C44" i="71"/>
  <c r="D43" i="71"/>
  <c r="C40" i="71"/>
  <c r="D39" i="71"/>
  <c r="C36" i="71"/>
  <c r="D35" i="71"/>
  <c r="C32" i="71"/>
  <c r="D31" i="71"/>
  <c r="C26" i="71"/>
  <c r="D26" i="71"/>
  <c r="D27" i="71"/>
  <c r="V28" i="71"/>
  <c r="P65" i="71"/>
  <c r="P66" i="71"/>
  <c r="O66" i="71"/>
  <c r="D66" i="71"/>
  <c r="O65" i="71"/>
  <c r="T32" i="71"/>
  <c r="D32" i="71"/>
  <c r="T36" i="71"/>
  <c r="D36" i="71"/>
  <c r="T40" i="71"/>
  <c r="D40" i="71"/>
  <c r="T44" i="71"/>
  <c r="D44" i="71"/>
  <c r="T52" i="71"/>
  <c r="D52" i="71"/>
  <c r="T56" i="71"/>
  <c r="D56" i="71"/>
  <c r="T60" i="71"/>
  <c r="D60" i="71"/>
  <c r="T64" i="71"/>
  <c r="D64" i="71"/>
  <c r="O27" i="6"/>
  <c r="N27" i="6"/>
  <c r="P20" i="6"/>
  <c r="P21" i="6"/>
  <c r="P22" i="6"/>
  <c r="P23" i="6"/>
  <c r="P24" i="6"/>
  <c r="P25" i="6"/>
  <c r="P26" i="6"/>
  <c r="P19" i="6"/>
  <c r="AP8" i="1"/>
  <c r="AP9" i="1"/>
  <c r="AP10" i="1"/>
  <c r="AP11" i="1"/>
  <c r="AP12" i="1"/>
  <c r="AP13" i="1"/>
  <c r="L21" i="6"/>
  <c r="L22" i="6"/>
  <c r="L23" i="6"/>
  <c r="L24" i="6"/>
  <c r="L25" i="6"/>
  <c r="L26" i="6"/>
  <c r="P27" i="6"/>
  <c r="A7" i="70"/>
  <c r="A8" i="70"/>
  <c r="A9" i="70"/>
  <c r="A10" i="70"/>
  <c r="A11" i="70"/>
  <c r="A12" i="70"/>
  <c r="A13" i="70"/>
  <c r="E13" i="70"/>
  <c r="A6" i="70"/>
  <c r="Q25" i="40"/>
  <c r="Z25" i="40"/>
  <c r="D94" i="40"/>
  <c r="E94" i="40"/>
  <c r="F25" i="40"/>
  <c r="AA25" i="40"/>
  <c r="Q29" i="39"/>
  <c r="Z29" i="39"/>
  <c r="D102" i="39"/>
  <c r="E102" i="39"/>
  <c r="F102" i="39"/>
  <c r="G102" i="39"/>
  <c r="F29" i="39"/>
  <c r="AA29" i="39"/>
  <c r="Q18" i="36"/>
  <c r="Z18" i="36"/>
  <c r="D66" i="36"/>
  <c r="E66" i="36"/>
  <c r="F66" i="36"/>
  <c r="H18" i="36"/>
  <c r="AB18" i="36"/>
  <c r="F18" i="36"/>
  <c r="AA18" i="36"/>
  <c r="C18" i="36"/>
  <c r="Q18" i="35"/>
  <c r="Z18" i="35"/>
  <c r="D68" i="35"/>
  <c r="E68" i="35"/>
  <c r="F18" i="35"/>
  <c r="AA18" i="35"/>
  <c r="C18" i="35"/>
  <c r="Q21" i="37"/>
  <c r="Z21" i="37"/>
  <c r="D77" i="37"/>
  <c r="E77" i="37"/>
  <c r="C21" i="37"/>
  <c r="Q21" i="34"/>
  <c r="Z21" i="34"/>
  <c r="D84" i="34"/>
  <c r="E84" i="34"/>
  <c r="F21" i="34"/>
  <c r="AA21" i="34"/>
  <c r="C21" i="34"/>
  <c r="Q21" i="33"/>
  <c r="Z21" i="33"/>
  <c r="D83" i="33"/>
  <c r="E83" i="33"/>
  <c r="C21" i="33"/>
  <c r="C21" i="21"/>
  <c r="Q21" i="21"/>
  <c r="Z21" i="21"/>
  <c r="D81" i="21"/>
  <c r="E81" i="21"/>
  <c r="H19" i="21"/>
  <c r="D83" i="21"/>
  <c r="F21" i="21"/>
  <c r="AA21" i="21"/>
  <c r="G20" i="20"/>
  <c r="B88" i="43"/>
  <c r="B77" i="43"/>
  <c r="B57" i="43"/>
  <c r="B68" i="43"/>
  <c r="C25" i="40"/>
  <c r="C29" i="39"/>
  <c r="S25" i="40"/>
  <c r="S18" i="36"/>
  <c r="U18" i="36"/>
  <c r="S21" i="34"/>
  <c r="F94" i="40"/>
  <c r="H25" i="40"/>
  <c r="G94" i="40"/>
  <c r="J25" i="40"/>
  <c r="H29" i="39"/>
  <c r="AB29" i="39"/>
  <c r="G66" i="36"/>
  <c r="J18" i="36"/>
  <c r="F68" i="35"/>
  <c r="H18" i="35"/>
  <c r="S18" i="35"/>
  <c r="G68" i="35"/>
  <c r="J18" i="35"/>
  <c r="F77" i="37"/>
  <c r="H21" i="37"/>
  <c r="F21" i="37"/>
  <c r="F84" i="34"/>
  <c r="H21" i="34"/>
  <c r="F83" i="33"/>
  <c r="H21" i="33"/>
  <c r="F21" i="33"/>
  <c r="E83" i="21"/>
  <c r="S21" i="21"/>
  <c r="H1" i="69"/>
  <c r="AC25" i="40"/>
  <c r="W25" i="40"/>
  <c r="AB25" i="40"/>
  <c r="U25" i="40"/>
  <c r="AC18" i="36"/>
  <c r="W18" i="36"/>
  <c r="AB21" i="37"/>
  <c r="U21" i="37"/>
  <c r="AA21" i="37"/>
  <c r="S21" i="37"/>
  <c r="AB21" i="34"/>
  <c r="U21" i="34"/>
  <c r="U21" i="33"/>
  <c r="AB21" i="33"/>
  <c r="AA21" i="33"/>
  <c r="S21" i="33"/>
  <c r="AB18" i="35"/>
  <c r="U18" i="35"/>
  <c r="AC18" i="35"/>
  <c r="W18" i="35"/>
  <c r="G77" i="37"/>
  <c r="J21" i="37"/>
  <c r="G84" i="34"/>
  <c r="J21" i="34"/>
  <c r="G83" i="33"/>
  <c r="J21" i="33"/>
  <c r="F83" i="21"/>
  <c r="H21" i="21"/>
  <c r="F40" i="69"/>
  <c r="F39" i="69"/>
  <c r="E10" i="69"/>
  <c r="E9" i="69"/>
  <c r="AC21" i="37"/>
  <c r="W21" i="37"/>
  <c r="AC21" i="34"/>
  <c r="W21" i="34"/>
  <c r="AC21" i="33"/>
  <c r="W21" i="33"/>
  <c r="AB21" i="21"/>
  <c r="U21" i="21"/>
  <c r="G83" i="21"/>
  <c r="J21" i="21"/>
  <c r="F38" i="68"/>
  <c r="E37" i="68"/>
  <c r="F36" i="68"/>
  <c r="F35" i="68"/>
  <c r="F21" i="68"/>
  <c r="F40" i="68"/>
  <c r="F20" i="68"/>
  <c r="F39" i="68"/>
  <c r="E10" i="68"/>
  <c r="E9" i="68"/>
  <c r="C7" i="68"/>
  <c r="C5" i="68"/>
  <c r="W21" i="21"/>
  <c r="AC21" i="21"/>
  <c r="Q72" i="67"/>
  <c r="Q59" i="67"/>
  <c r="Q58" i="67"/>
  <c r="Q51" i="67"/>
  <c r="J50" i="67"/>
  <c r="M47" i="67"/>
  <c r="D46" i="67"/>
  <c r="F33" i="67"/>
  <c r="F61" i="67"/>
  <c r="F23" i="67"/>
  <c r="D24" i="67"/>
  <c r="F21" i="67"/>
  <c r="F20" i="67"/>
  <c r="M19" i="67"/>
  <c r="F18" i="67"/>
  <c r="F17" i="67"/>
  <c r="F15" i="67"/>
  <c r="S2" i="4"/>
  <c r="C51" i="10"/>
  <c r="A13" i="51"/>
  <c r="B11" i="72"/>
  <c r="S1" i="4"/>
  <c r="B1" i="4"/>
  <c r="D1" i="43"/>
  <c r="B50" i="43"/>
  <c r="B86" i="43"/>
  <c r="B85" i="43"/>
  <c r="B74" i="43"/>
  <c r="B63" i="43"/>
  <c r="B52" i="43"/>
  <c r="M90" i="43"/>
  <c r="N90" i="43"/>
  <c r="K90" i="43"/>
  <c r="D90" i="43"/>
  <c r="M89" i="43"/>
  <c r="N89" i="43"/>
  <c r="K89" i="43"/>
  <c r="D89" i="43"/>
  <c r="M88" i="43"/>
  <c r="N88" i="43"/>
  <c r="K88" i="43"/>
  <c r="D88" i="43"/>
  <c r="M87" i="43"/>
  <c r="N87" i="43"/>
  <c r="K87" i="43"/>
  <c r="D87" i="43"/>
  <c r="M86" i="43"/>
  <c r="N86" i="43"/>
  <c r="K86" i="43"/>
  <c r="D86" i="43"/>
  <c r="M85" i="43"/>
  <c r="N85" i="43"/>
  <c r="K85" i="43"/>
  <c r="D85" i="43"/>
  <c r="M84" i="43"/>
  <c r="N84" i="43"/>
  <c r="K84" i="43"/>
  <c r="D84" i="43"/>
  <c r="M83" i="43"/>
  <c r="N83" i="43"/>
  <c r="K83" i="43"/>
  <c r="J83" i="43"/>
  <c r="M80" i="43"/>
  <c r="N80" i="43"/>
  <c r="K80" i="43"/>
  <c r="J80" i="43"/>
  <c r="M79" i="43"/>
  <c r="N79" i="43"/>
  <c r="K79" i="43"/>
  <c r="J79" i="43"/>
  <c r="M78" i="43"/>
  <c r="N78" i="43"/>
  <c r="K78" i="43"/>
  <c r="J78" i="43"/>
  <c r="D78" i="43"/>
  <c r="M77" i="43"/>
  <c r="N77" i="43"/>
  <c r="K77" i="43"/>
  <c r="J77" i="43"/>
  <c r="D77" i="43"/>
  <c r="M76" i="43"/>
  <c r="N76" i="43"/>
  <c r="K76" i="43"/>
  <c r="J76" i="43"/>
  <c r="M75" i="43"/>
  <c r="N75" i="43"/>
  <c r="K75" i="43"/>
  <c r="J75" i="43"/>
  <c r="M74" i="43"/>
  <c r="N74" i="43"/>
  <c r="K74" i="43"/>
  <c r="J74" i="43"/>
  <c r="M73" i="43"/>
  <c r="N73" i="43"/>
  <c r="K73" i="43"/>
  <c r="J73" i="43"/>
  <c r="M72" i="43"/>
  <c r="N72" i="43"/>
  <c r="K72" i="43"/>
  <c r="J72" i="43"/>
  <c r="M69" i="43"/>
  <c r="N69" i="43"/>
  <c r="K69" i="43"/>
  <c r="J69" i="43"/>
  <c r="M68" i="43"/>
  <c r="N68" i="43"/>
  <c r="K68" i="43"/>
  <c r="J68" i="43"/>
  <c r="D68"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58" i="43"/>
  <c r="N58" i="43"/>
  <c r="K58" i="43"/>
  <c r="J58" i="43"/>
  <c r="D58" i="43"/>
  <c r="M57" i="43"/>
  <c r="N57" i="43"/>
  <c r="K57" i="43"/>
  <c r="J57" i="43"/>
  <c r="D57"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Q72" i="15"/>
  <c r="Q58" i="15"/>
  <c r="Q51" i="15"/>
  <c r="Q59" i="15"/>
  <c r="AE13" i="1"/>
  <c r="M47" i="15"/>
  <c r="AG13" i="1"/>
  <c r="J50" i="15"/>
  <c r="J51" i="15"/>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E15" i="4"/>
  <c r="F8" i="1"/>
  <c r="F3" i="35"/>
  <c r="K13" i="1"/>
  <c r="M13" i="1"/>
  <c r="O13" i="1"/>
  <c r="P13" i="1"/>
  <c r="G79" i="36"/>
  <c r="G85" i="35"/>
  <c r="G97" i="37"/>
  <c r="G110" i="34"/>
  <c r="G111" i="21"/>
  <c r="G109" i="33"/>
  <c r="D23" i="31"/>
  <c r="L2" i="31"/>
  <c r="K2" i="31"/>
  <c r="J2" i="31"/>
  <c r="I2" i="31"/>
  <c r="H2" i="31"/>
  <c r="G2" i="31"/>
  <c r="F2" i="31"/>
  <c r="E2" i="31"/>
  <c r="D2" i="31"/>
  <c r="C2" i="31"/>
  <c r="D46" i="15"/>
  <c r="BP112" i="3"/>
  <c r="BO112" i="3"/>
  <c r="BN112" i="3"/>
  <c r="BM112" i="3"/>
  <c r="BL112" i="3"/>
  <c r="AZ112" i="3"/>
  <c r="AX112" i="3"/>
  <c r="AW112" i="3"/>
  <c r="AV112" i="3"/>
  <c r="BP111" i="3"/>
  <c r="BO111" i="3"/>
  <c r="BN111" i="3"/>
  <c r="BM111" i="3"/>
  <c r="BL111" i="3"/>
  <c r="AX111" i="3"/>
  <c r="AW111" i="3"/>
  <c r="AV111" i="3"/>
  <c r="BP110" i="3"/>
  <c r="BO110" i="3"/>
  <c r="BN110" i="3"/>
  <c r="BM110" i="3"/>
  <c r="BL110" i="3"/>
  <c r="AX110" i="3"/>
  <c r="AW110" i="3"/>
  <c r="AV110" i="3"/>
  <c r="BP109" i="3"/>
  <c r="BO109" i="3"/>
  <c r="BN109" i="3"/>
  <c r="BM109" i="3"/>
  <c r="BL109" i="3"/>
  <c r="AX109" i="3"/>
  <c r="AW109" i="3"/>
  <c r="AV109" i="3"/>
  <c r="BP108" i="3"/>
  <c r="BO108" i="3"/>
  <c r="BN108" i="3"/>
  <c r="BM108" i="3"/>
  <c r="BL108" i="3"/>
  <c r="AZ108" i="3"/>
  <c r="AX108" i="3"/>
  <c r="AW108" i="3"/>
  <c r="AV108" i="3"/>
  <c r="BP107" i="3"/>
  <c r="BO107" i="3"/>
  <c r="BN107" i="3"/>
  <c r="BM107" i="3"/>
  <c r="BL107" i="3"/>
  <c r="AX107" i="3"/>
  <c r="AW107" i="3"/>
  <c r="AV107" i="3"/>
  <c r="BP106" i="3"/>
  <c r="BO106" i="3"/>
  <c r="BN106" i="3"/>
  <c r="BM106" i="3"/>
  <c r="BL106" i="3"/>
  <c r="AZ106" i="3"/>
  <c r="AX106" i="3"/>
  <c r="AW106" i="3"/>
  <c r="AV106" i="3"/>
  <c r="BP105" i="3"/>
  <c r="BO105" i="3"/>
  <c r="BN105" i="3"/>
  <c r="BM105" i="3"/>
  <c r="BL105" i="3"/>
  <c r="AX105" i="3"/>
  <c r="AW105" i="3"/>
  <c r="AV105" i="3"/>
  <c r="BP104" i="3"/>
  <c r="BO104" i="3"/>
  <c r="BN104" i="3"/>
  <c r="BM104" i="3"/>
  <c r="BL104" i="3"/>
  <c r="AZ104" i="3"/>
  <c r="AX104" i="3"/>
  <c r="AW104" i="3"/>
  <c r="AV104" i="3"/>
  <c r="BP103" i="3"/>
  <c r="BO103" i="3"/>
  <c r="BN103" i="3"/>
  <c r="BM103" i="3"/>
  <c r="BL103" i="3"/>
  <c r="AZ103" i="3"/>
  <c r="AX103" i="3"/>
  <c r="AW103" i="3"/>
  <c r="AV103" i="3"/>
  <c r="BP102" i="3"/>
  <c r="BO102" i="3"/>
  <c r="BN102" i="3"/>
  <c r="BM102" i="3"/>
  <c r="BL102" i="3"/>
  <c r="AX102" i="3"/>
  <c r="AW102" i="3"/>
  <c r="AV102" i="3"/>
  <c r="BP101" i="3"/>
  <c r="BO101" i="3"/>
  <c r="BN101" i="3"/>
  <c r="BM101" i="3"/>
  <c r="BL101" i="3"/>
  <c r="AX101" i="3"/>
  <c r="AW101" i="3"/>
  <c r="AV101" i="3"/>
  <c r="BP100" i="3"/>
  <c r="BO100" i="3"/>
  <c r="BN100" i="3"/>
  <c r="BM100" i="3"/>
  <c r="BL100" i="3"/>
  <c r="AZ100" i="3"/>
  <c r="AX100" i="3"/>
  <c r="AW100" i="3"/>
  <c r="AV100" i="3"/>
  <c r="BP99" i="3"/>
  <c r="BO99" i="3"/>
  <c r="BN99" i="3"/>
  <c r="BM99" i="3"/>
  <c r="BL99" i="3"/>
  <c r="AZ99" i="3"/>
  <c r="AX99" i="3"/>
  <c r="AW99" i="3"/>
  <c r="AV99" i="3"/>
  <c r="BP98" i="3"/>
  <c r="BO98" i="3"/>
  <c r="BN98" i="3"/>
  <c r="BM98" i="3"/>
  <c r="BL98" i="3"/>
  <c r="AZ98" i="3"/>
  <c r="AX98" i="3"/>
  <c r="AW98" i="3"/>
  <c r="AV98" i="3"/>
  <c r="BP97" i="3"/>
  <c r="BO97" i="3"/>
  <c r="BN97" i="3"/>
  <c r="BM97" i="3"/>
  <c r="BL97" i="3"/>
  <c r="AX97" i="3"/>
  <c r="AW97" i="3"/>
  <c r="AV97" i="3"/>
  <c r="BP96" i="3"/>
  <c r="BO96" i="3"/>
  <c r="BN96" i="3"/>
  <c r="BM96" i="3"/>
  <c r="BL96" i="3"/>
  <c r="AZ96" i="3"/>
  <c r="AX96" i="3"/>
  <c r="AW96" i="3"/>
  <c r="AV96" i="3"/>
  <c r="BP95" i="3"/>
  <c r="BO95" i="3"/>
  <c r="BN95" i="3"/>
  <c r="BM95" i="3"/>
  <c r="BL95" i="3"/>
  <c r="AZ95" i="3"/>
  <c r="AX95" i="3"/>
  <c r="AW95" i="3"/>
  <c r="AV95" i="3"/>
  <c r="BP94" i="3"/>
  <c r="BO94" i="3"/>
  <c r="BN94" i="3"/>
  <c r="BM94" i="3"/>
  <c r="BL94" i="3"/>
  <c r="AX94" i="3"/>
  <c r="AW94" i="3"/>
  <c r="AV94" i="3"/>
  <c r="BP93" i="3"/>
  <c r="BO93" i="3"/>
  <c r="BN93" i="3"/>
  <c r="BM93" i="3"/>
  <c r="BL93" i="3"/>
  <c r="AX93" i="3"/>
  <c r="AW93" i="3"/>
  <c r="AV93" i="3"/>
  <c r="BP92" i="3"/>
  <c r="BO92" i="3"/>
  <c r="BN92" i="3"/>
  <c r="BM92" i="3"/>
  <c r="BL92" i="3"/>
  <c r="AZ92" i="3"/>
  <c r="AX92" i="3"/>
  <c r="AW92" i="3"/>
  <c r="AV92" i="3"/>
  <c r="BP91" i="3"/>
  <c r="BO91" i="3"/>
  <c r="BN91" i="3"/>
  <c r="BM91" i="3"/>
  <c r="BL91" i="3"/>
  <c r="AZ91" i="3"/>
  <c r="AX91" i="3"/>
  <c r="AW91" i="3"/>
  <c r="AV91" i="3"/>
  <c r="BP90" i="3"/>
  <c r="BO90" i="3"/>
  <c r="BN90" i="3"/>
  <c r="BM90" i="3"/>
  <c r="BL90" i="3"/>
  <c r="AZ90" i="3"/>
  <c r="AX90" i="3"/>
  <c r="AW90" i="3"/>
  <c r="AV90" i="3"/>
  <c r="BP89" i="3"/>
  <c r="BO89" i="3"/>
  <c r="BN89" i="3"/>
  <c r="BM89" i="3"/>
  <c r="BL89" i="3"/>
  <c r="AX89" i="3"/>
  <c r="AW89" i="3"/>
  <c r="AV89" i="3"/>
  <c r="BP88" i="3"/>
  <c r="BO88" i="3"/>
  <c r="BN88" i="3"/>
  <c r="BM88" i="3"/>
  <c r="BL88" i="3"/>
  <c r="AX88" i="3"/>
  <c r="AW88" i="3"/>
  <c r="AV88" i="3"/>
  <c r="BP87" i="3"/>
  <c r="BO87" i="3"/>
  <c r="BN87" i="3"/>
  <c r="BM87" i="3"/>
  <c r="BL87" i="3"/>
  <c r="AZ87" i="3"/>
  <c r="AX87" i="3"/>
  <c r="AW87" i="3"/>
  <c r="AV87" i="3"/>
  <c r="BP86" i="3"/>
  <c r="BO86" i="3"/>
  <c r="BN86" i="3"/>
  <c r="BM86" i="3"/>
  <c r="BL86" i="3"/>
  <c r="AX86" i="3"/>
  <c r="AW86" i="3"/>
  <c r="AV86" i="3"/>
  <c r="BP85" i="3"/>
  <c r="BO85" i="3"/>
  <c r="BN85" i="3"/>
  <c r="BM85" i="3"/>
  <c r="BL85" i="3"/>
  <c r="AX85" i="3"/>
  <c r="AW85" i="3"/>
  <c r="AV85" i="3"/>
  <c r="BP84" i="3"/>
  <c r="BO84" i="3"/>
  <c r="BN84" i="3"/>
  <c r="BM84" i="3"/>
  <c r="BL84" i="3"/>
  <c r="AX84" i="3"/>
  <c r="AW84" i="3"/>
  <c r="AV84" i="3"/>
  <c r="BP83" i="3"/>
  <c r="BO83" i="3"/>
  <c r="BN83" i="3"/>
  <c r="BM83" i="3"/>
  <c r="BL83" i="3"/>
  <c r="AX83" i="3"/>
  <c r="AW83" i="3"/>
  <c r="AV83" i="3"/>
  <c r="BP82" i="3"/>
  <c r="BO82" i="3"/>
  <c r="BN82" i="3"/>
  <c r="BM82" i="3"/>
  <c r="BL82" i="3"/>
  <c r="AX82" i="3"/>
  <c r="AW82" i="3"/>
  <c r="AV82" i="3"/>
  <c r="BP81" i="3"/>
  <c r="BO81" i="3"/>
  <c r="BN81" i="3"/>
  <c r="BM81" i="3"/>
  <c r="BL81" i="3"/>
  <c r="AZ81" i="3"/>
  <c r="AX81" i="3"/>
  <c r="AW81" i="3"/>
  <c r="AV81" i="3"/>
  <c r="BP80" i="3"/>
  <c r="BO80" i="3"/>
  <c r="BN80" i="3"/>
  <c r="BM80" i="3"/>
  <c r="BL80" i="3"/>
  <c r="AX80" i="3"/>
  <c r="AW80" i="3"/>
  <c r="AV80" i="3"/>
  <c r="BP79" i="3"/>
  <c r="BO79" i="3"/>
  <c r="BN79" i="3"/>
  <c r="BM79" i="3"/>
  <c r="BL79" i="3"/>
  <c r="AX79" i="3"/>
  <c r="AW79" i="3"/>
  <c r="AV79" i="3"/>
  <c r="BP78" i="3"/>
  <c r="BO78" i="3"/>
  <c r="BN78" i="3"/>
  <c r="BM78" i="3"/>
  <c r="BL78" i="3"/>
  <c r="AZ78" i="3"/>
  <c r="AX78" i="3"/>
  <c r="AW78" i="3"/>
  <c r="AV78" i="3"/>
  <c r="BP77" i="3"/>
  <c r="BO77" i="3"/>
  <c r="BN77" i="3"/>
  <c r="BM77" i="3"/>
  <c r="BL77" i="3"/>
  <c r="AX77" i="3"/>
  <c r="AW77" i="3"/>
  <c r="AV77" i="3"/>
  <c r="BP76" i="3"/>
  <c r="BO76" i="3"/>
  <c r="BN76" i="3"/>
  <c r="BM76" i="3"/>
  <c r="BL76" i="3"/>
  <c r="AZ76" i="3"/>
  <c r="AX76" i="3"/>
  <c r="AW76" i="3"/>
  <c r="AV76" i="3"/>
  <c r="BP75" i="3"/>
  <c r="BO75" i="3"/>
  <c r="BN75" i="3"/>
  <c r="BM75" i="3"/>
  <c r="BL75" i="3"/>
  <c r="AX75" i="3"/>
  <c r="AW75" i="3"/>
  <c r="AV75" i="3"/>
  <c r="BP74" i="3"/>
  <c r="BO74" i="3"/>
  <c r="BN74" i="3"/>
  <c r="BM74" i="3"/>
  <c r="BL74" i="3"/>
  <c r="AX74" i="3"/>
  <c r="AW74" i="3"/>
  <c r="AV74" i="3"/>
  <c r="BP73" i="3"/>
  <c r="BO73" i="3"/>
  <c r="BN73" i="3"/>
  <c r="BM73" i="3"/>
  <c r="BL73" i="3"/>
  <c r="AZ73" i="3"/>
  <c r="AX73" i="3"/>
  <c r="AW73" i="3"/>
  <c r="AV73" i="3"/>
  <c r="BP72" i="3"/>
  <c r="BO72" i="3"/>
  <c r="BN72" i="3"/>
  <c r="BM72" i="3"/>
  <c r="BL72" i="3"/>
  <c r="AX72" i="3"/>
  <c r="AW72" i="3"/>
  <c r="AV72" i="3"/>
  <c r="BP71" i="3"/>
  <c r="BO71" i="3"/>
  <c r="BN71" i="3"/>
  <c r="BM71" i="3"/>
  <c r="BL71" i="3"/>
  <c r="AX71" i="3"/>
  <c r="AW71" i="3"/>
  <c r="AV71" i="3"/>
  <c r="BP70" i="3"/>
  <c r="BO70" i="3"/>
  <c r="BN70" i="3"/>
  <c r="BM70" i="3"/>
  <c r="BL70" i="3"/>
  <c r="AZ70" i="3"/>
  <c r="AX70" i="3"/>
  <c r="AW70" i="3"/>
  <c r="AV70" i="3"/>
  <c r="BP69" i="3"/>
  <c r="BO69" i="3"/>
  <c r="BN69" i="3"/>
  <c r="BM69" i="3"/>
  <c r="BL69" i="3"/>
  <c r="AX69" i="3"/>
  <c r="AW69" i="3"/>
  <c r="AV69" i="3"/>
  <c r="BP68" i="3"/>
  <c r="BO68" i="3"/>
  <c r="BN68" i="3"/>
  <c r="BM68" i="3"/>
  <c r="BL68" i="3"/>
  <c r="AZ68" i="3"/>
  <c r="AX68" i="3"/>
  <c r="AW68" i="3"/>
  <c r="AV68" i="3"/>
  <c r="BP67" i="3"/>
  <c r="BO67" i="3"/>
  <c r="BN67" i="3"/>
  <c r="BM67" i="3"/>
  <c r="BL67" i="3"/>
  <c r="AX67" i="3"/>
  <c r="AW67" i="3"/>
  <c r="AV67" i="3"/>
  <c r="BP66" i="3"/>
  <c r="BO66" i="3"/>
  <c r="BN66" i="3"/>
  <c r="BM66" i="3"/>
  <c r="BL66" i="3"/>
  <c r="AX66" i="3"/>
  <c r="AW66" i="3"/>
  <c r="AV66" i="3"/>
  <c r="BP65" i="3"/>
  <c r="BO65" i="3"/>
  <c r="BN65" i="3"/>
  <c r="BM65" i="3"/>
  <c r="BL65" i="3"/>
  <c r="AZ65" i="3"/>
  <c r="AX65" i="3"/>
  <c r="AW65" i="3"/>
  <c r="AV65" i="3"/>
  <c r="BP64" i="3"/>
  <c r="BO64" i="3"/>
  <c r="BN64" i="3"/>
  <c r="BM64" i="3"/>
  <c r="BL64" i="3"/>
  <c r="AZ64" i="3"/>
  <c r="AX64" i="3"/>
  <c r="AW64" i="3"/>
  <c r="AV64" i="3"/>
  <c r="BP63" i="3"/>
  <c r="BO63" i="3"/>
  <c r="BN63" i="3"/>
  <c r="BM63" i="3"/>
  <c r="BL63" i="3"/>
  <c r="AX63" i="3"/>
  <c r="AW63" i="3"/>
  <c r="AV63" i="3"/>
  <c r="BP62" i="3"/>
  <c r="BO62" i="3"/>
  <c r="BN62" i="3"/>
  <c r="BM62" i="3"/>
  <c r="BL62" i="3"/>
  <c r="AZ62" i="3"/>
  <c r="AX62" i="3"/>
  <c r="AW62" i="3"/>
  <c r="AV62" i="3"/>
  <c r="BP61" i="3"/>
  <c r="BO61" i="3"/>
  <c r="BN61" i="3"/>
  <c r="BM61" i="3"/>
  <c r="BL61" i="3"/>
  <c r="AX61" i="3"/>
  <c r="AW61" i="3"/>
  <c r="AV61" i="3"/>
  <c r="BP60" i="3"/>
  <c r="BO60" i="3"/>
  <c r="BN60" i="3"/>
  <c r="BM60" i="3"/>
  <c r="BL60" i="3"/>
  <c r="AZ60" i="3"/>
  <c r="AX60" i="3"/>
  <c r="AW60" i="3"/>
  <c r="AV60" i="3"/>
  <c r="BP59" i="3"/>
  <c r="BO59" i="3"/>
  <c r="BN59" i="3"/>
  <c r="BM59" i="3"/>
  <c r="BL59" i="3"/>
  <c r="AX59" i="3"/>
  <c r="AW59" i="3"/>
  <c r="AV59" i="3"/>
  <c r="BP58" i="3"/>
  <c r="BO58" i="3"/>
  <c r="BN58" i="3"/>
  <c r="BM58" i="3"/>
  <c r="BL58" i="3"/>
  <c r="AX58" i="3"/>
  <c r="AW58" i="3"/>
  <c r="AV58" i="3"/>
  <c r="BP57" i="3"/>
  <c r="BO57" i="3"/>
  <c r="BN57" i="3"/>
  <c r="BM57" i="3"/>
  <c r="BL57" i="3"/>
  <c r="AZ57" i="3"/>
  <c r="AX57" i="3"/>
  <c r="AW57" i="3"/>
  <c r="AV57" i="3"/>
  <c r="BP56" i="3"/>
  <c r="BO56" i="3"/>
  <c r="BN56" i="3"/>
  <c r="BM56" i="3"/>
  <c r="BL56" i="3"/>
  <c r="AZ56" i="3"/>
  <c r="AX56" i="3"/>
  <c r="AW56" i="3"/>
  <c r="AV56" i="3"/>
  <c r="BP55" i="3"/>
  <c r="BO55" i="3"/>
  <c r="BN55" i="3"/>
  <c r="BM55" i="3"/>
  <c r="BL55" i="3"/>
  <c r="AX55" i="3"/>
  <c r="AW55" i="3"/>
  <c r="AV55" i="3"/>
  <c r="BP54" i="3"/>
  <c r="BO54" i="3"/>
  <c r="BN54" i="3"/>
  <c r="BM54" i="3"/>
  <c r="BL54" i="3"/>
  <c r="AZ54" i="3"/>
  <c r="AX54" i="3"/>
  <c r="AW54" i="3"/>
  <c r="AV54" i="3"/>
  <c r="BP53" i="3"/>
  <c r="BO53" i="3"/>
  <c r="BN53" i="3"/>
  <c r="BM53" i="3"/>
  <c r="BL53" i="3"/>
  <c r="AX53" i="3"/>
  <c r="AW53" i="3"/>
  <c r="AV53" i="3"/>
  <c r="BP52" i="3"/>
  <c r="BO52" i="3"/>
  <c r="BN52" i="3"/>
  <c r="BM52" i="3"/>
  <c r="BL52" i="3"/>
  <c r="AZ52" i="3"/>
  <c r="AX52" i="3"/>
  <c r="AW52" i="3"/>
  <c r="AV52" i="3"/>
  <c r="BP51" i="3"/>
  <c r="BO51" i="3"/>
  <c r="BN51" i="3"/>
  <c r="BM51" i="3"/>
  <c r="BL51" i="3"/>
  <c r="AX51" i="3"/>
  <c r="AW51" i="3"/>
  <c r="AV51" i="3"/>
  <c r="BP50" i="3"/>
  <c r="BO50" i="3"/>
  <c r="BN50" i="3"/>
  <c r="BM50" i="3"/>
  <c r="BL50" i="3"/>
  <c r="AX50" i="3"/>
  <c r="AW50" i="3"/>
  <c r="AV50" i="3"/>
  <c r="BP49" i="3"/>
  <c r="BO49" i="3"/>
  <c r="BN49" i="3"/>
  <c r="BM49" i="3"/>
  <c r="BL49" i="3"/>
  <c r="AZ49" i="3"/>
  <c r="AX49" i="3"/>
  <c r="AW49" i="3"/>
  <c r="AV49" i="3"/>
  <c r="BP48" i="3"/>
  <c r="BO48" i="3"/>
  <c r="BN48" i="3"/>
  <c r="BM48" i="3"/>
  <c r="BL48" i="3"/>
  <c r="AZ48" i="3"/>
  <c r="AX48" i="3"/>
  <c r="AW48" i="3"/>
  <c r="AV48" i="3"/>
  <c r="BP47" i="3"/>
  <c r="BO47" i="3"/>
  <c r="BN47" i="3"/>
  <c r="BM47" i="3"/>
  <c r="BL47" i="3"/>
  <c r="AX47" i="3"/>
  <c r="AW47" i="3"/>
  <c r="AV47" i="3"/>
  <c r="BP46" i="3"/>
  <c r="BO46" i="3"/>
  <c r="BN46" i="3"/>
  <c r="BM46" i="3"/>
  <c r="BL46" i="3"/>
  <c r="AZ46" i="3"/>
  <c r="AX46" i="3"/>
  <c r="AW46" i="3"/>
  <c r="AV46" i="3"/>
  <c r="BP45" i="3"/>
  <c r="BO45" i="3"/>
  <c r="BN45" i="3"/>
  <c r="BM45" i="3"/>
  <c r="BL45" i="3"/>
  <c r="AX45" i="3"/>
  <c r="AW45" i="3"/>
  <c r="AV45" i="3"/>
  <c r="BP44" i="3"/>
  <c r="BO44" i="3"/>
  <c r="BN44" i="3"/>
  <c r="BM44" i="3"/>
  <c r="BL44" i="3"/>
  <c r="AZ44" i="3"/>
  <c r="AX44" i="3"/>
  <c r="AW44" i="3"/>
  <c r="AV44" i="3"/>
  <c r="BP43" i="3"/>
  <c r="BO43" i="3"/>
  <c r="BN43" i="3"/>
  <c r="BM43" i="3"/>
  <c r="BL43" i="3"/>
  <c r="AX43" i="3"/>
  <c r="AW43" i="3"/>
  <c r="AV43" i="3"/>
  <c r="BP42" i="3"/>
  <c r="BO42" i="3"/>
  <c r="BN42" i="3"/>
  <c r="BM42" i="3"/>
  <c r="BL42" i="3"/>
  <c r="AX42" i="3"/>
  <c r="AW42" i="3"/>
  <c r="AV42" i="3"/>
  <c r="BP41" i="3"/>
  <c r="BO41" i="3"/>
  <c r="BN41" i="3"/>
  <c r="BM41" i="3"/>
  <c r="BL41" i="3"/>
  <c r="AX41" i="3"/>
  <c r="AW41" i="3"/>
  <c r="AV41" i="3"/>
  <c r="BP40" i="3"/>
  <c r="BO40" i="3"/>
  <c r="BN40" i="3"/>
  <c r="BM40" i="3"/>
  <c r="BL40" i="3"/>
  <c r="AZ40" i="3"/>
  <c r="AX40" i="3"/>
  <c r="AW40" i="3"/>
  <c r="AV40" i="3"/>
  <c r="BP39" i="3"/>
  <c r="BO39" i="3"/>
  <c r="BN39" i="3"/>
  <c r="BM39" i="3"/>
  <c r="BL39" i="3"/>
  <c r="AX39" i="3"/>
  <c r="AW39" i="3"/>
  <c r="AV39" i="3"/>
  <c r="BP38" i="3"/>
  <c r="BO38" i="3"/>
  <c r="BN38" i="3"/>
  <c r="BM38" i="3"/>
  <c r="BL38" i="3"/>
  <c r="AZ38" i="3"/>
  <c r="AX38" i="3"/>
  <c r="AW38" i="3"/>
  <c r="AV38" i="3"/>
  <c r="BP37" i="3"/>
  <c r="BO37" i="3"/>
  <c r="BN37" i="3"/>
  <c r="BM37" i="3"/>
  <c r="BL37" i="3"/>
  <c r="AX37" i="3"/>
  <c r="AW37" i="3"/>
  <c r="AV37" i="3"/>
  <c r="BP36" i="3"/>
  <c r="BO36" i="3"/>
  <c r="BN36" i="3"/>
  <c r="BM36" i="3"/>
  <c r="BL36" i="3"/>
  <c r="AZ36" i="3"/>
  <c r="AX36" i="3"/>
  <c r="AW36" i="3"/>
  <c r="AV36" i="3"/>
  <c r="BP35" i="3"/>
  <c r="BO35" i="3"/>
  <c r="BN35" i="3"/>
  <c r="BM35" i="3"/>
  <c r="BL35" i="3"/>
  <c r="AX35" i="3"/>
  <c r="AW35" i="3"/>
  <c r="AV35" i="3"/>
  <c r="BP34" i="3"/>
  <c r="BO34" i="3"/>
  <c r="BN34" i="3"/>
  <c r="BM34" i="3"/>
  <c r="BL34" i="3"/>
  <c r="AZ34" i="3"/>
  <c r="AX34" i="3"/>
  <c r="AW34" i="3"/>
  <c r="AV34" i="3"/>
  <c r="BP33" i="3"/>
  <c r="BO33" i="3"/>
  <c r="BN33" i="3"/>
  <c r="BM33" i="3"/>
  <c r="BL33" i="3"/>
  <c r="AX33" i="3"/>
  <c r="AW33" i="3"/>
  <c r="AV33" i="3"/>
  <c r="BP32" i="3"/>
  <c r="BO32" i="3"/>
  <c r="BN32" i="3"/>
  <c r="BM32" i="3"/>
  <c r="BL32" i="3"/>
  <c r="AX32" i="3"/>
  <c r="AW32" i="3"/>
  <c r="AV32" i="3"/>
  <c r="BP31" i="3"/>
  <c r="BO31" i="3"/>
  <c r="BN31" i="3"/>
  <c r="BM31" i="3"/>
  <c r="BL31" i="3"/>
  <c r="AX31" i="3"/>
  <c r="AW31" i="3"/>
  <c r="AV31" i="3"/>
  <c r="BP30" i="3"/>
  <c r="BO30" i="3"/>
  <c r="BN30" i="3"/>
  <c r="BM30" i="3"/>
  <c r="BL30" i="3"/>
  <c r="AZ30" i="3"/>
  <c r="AX30" i="3"/>
  <c r="AW30" i="3"/>
  <c r="AV30" i="3"/>
  <c r="BP29" i="3"/>
  <c r="BO29" i="3"/>
  <c r="BN29" i="3"/>
  <c r="BM29" i="3"/>
  <c r="BL29" i="3"/>
  <c r="AX29" i="3"/>
  <c r="AW29" i="3"/>
  <c r="AV29" i="3"/>
  <c r="BP28" i="3"/>
  <c r="BO28" i="3"/>
  <c r="BN28" i="3"/>
  <c r="BM28" i="3"/>
  <c r="BL28" i="3"/>
  <c r="AX28" i="3"/>
  <c r="AW28" i="3"/>
  <c r="AV28" i="3"/>
  <c r="BP27" i="3"/>
  <c r="BO27" i="3"/>
  <c r="BN27" i="3"/>
  <c r="BM27" i="3"/>
  <c r="BL27" i="3"/>
  <c r="AZ27" i="3"/>
  <c r="AX27" i="3"/>
  <c r="AW27" i="3"/>
  <c r="AV27" i="3"/>
  <c r="BP26" i="3"/>
  <c r="BO26" i="3"/>
  <c r="BN26" i="3"/>
  <c r="BM26" i="3"/>
  <c r="BL26" i="3"/>
  <c r="AX26" i="3"/>
  <c r="AW26" i="3"/>
  <c r="AV26" i="3"/>
  <c r="BP25" i="3"/>
  <c r="BO25" i="3"/>
  <c r="BN25" i="3"/>
  <c r="BM25" i="3"/>
  <c r="BL25" i="3"/>
  <c r="AZ25" i="3"/>
  <c r="AX25" i="3"/>
  <c r="AW25" i="3"/>
  <c r="AV25" i="3"/>
  <c r="BP24" i="3"/>
  <c r="BO24" i="3"/>
  <c r="BN24" i="3"/>
  <c r="BM24" i="3"/>
  <c r="BL24" i="3"/>
  <c r="AX24" i="3"/>
  <c r="AW24" i="3"/>
  <c r="AV24" i="3"/>
  <c r="BP23" i="3"/>
  <c r="BO23" i="3"/>
  <c r="BN23" i="3"/>
  <c r="BM23" i="3"/>
  <c r="BL23" i="3"/>
  <c r="AZ23" i="3"/>
  <c r="AX23" i="3"/>
  <c r="AW23" i="3"/>
  <c r="AV23" i="3"/>
  <c r="BP22" i="3"/>
  <c r="BO22" i="3"/>
  <c r="BN22" i="3"/>
  <c r="BM22" i="3"/>
  <c r="BL22" i="3"/>
  <c r="AZ22" i="3"/>
  <c r="AX22" i="3"/>
  <c r="AW22" i="3"/>
  <c r="AV22" i="3"/>
  <c r="BP21" i="3"/>
  <c r="BO21" i="3"/>
  <c r="BN21" i="3"/>
  <c r="BM21" i="3"/>
  <c r="BL21" i="3"/>
  <c r="AX21" i="3"/>
  <c r="AW21" i="3"/>
  <c r="AV21" i="3"/>
  <c r="BP20" i="3"/>
  <c r="BO20" i="3"/>
  <c r="BN20" i="3"/>
  <c r="BM20" i="3"/>
  <c r="BL20" i="3"/>
  <c r="AX20" i="3"/>
  <c r="AW20" i="3"/>
  <c r="AV20" i="3"/>
  <c r="BP19" i="3"/>
  <c r="BO19" i="3"/>
  <c r="BN19" i="3"/>
  <c r="BM19" i="3"/>
  <c r="BL19" i="3"/>
  <c r="AX19" i="3"/>
  <c r="AW19" i="3"/>
  <c r="AV19" i="3"/>
  <c r="BP18" i="3"/>
  <c r="BO18" i="3"/>
  <c r="BN18" i="3"/>
  <c r="BM18" i="3"/>
  <c r="BL18" i="3"/>
  <c r="AZ18" i="3"/>
  <c r="AX18" i="3"/>
  <c r="AW18" i="3"/>
  <c r="AV18" i="3"/>
  <c r="BP207" i="3"/>
  <c r="BO207" i="3"/>
  <c r="BN207" i="3"/>
  <c r="BM207" i="3"/>
  <c r="BL207" i="3"/>
  <c r="AZ207" i="3"/>
  <c r="AX207" i="3"/>
  <c r="AW207" i="3"/>
  <c r="AV207" i="3"/>
  <c r="BP206" i="3"/>
  <c r="BO206" i="3"/>
  <c r="BN206" i="3"/>
  <c r="BM206" i="3"/>
  <c r="BL206" i="3"/>
  <c r="AX206" i="3"/>
  <c r="AW206" i="3"/>
  <c r="AV206" i="3"/>
  <c r="BP205" i="3"/>
  <c r="BO205" i="3"/>
  <c r="BN205" i="3"/>
  <c r="BM205" i="3"/>
  <c r="BL205" i="3"/>
  <c r="AZ205" i="3"/>
  <c r="AX205" i="3"/>
  <c r="AW205" i="3"/>
  <c r="AV205" i="3"/>
  <c r="BP204" i="3"/>
  <c r="BO204" i="3"/>
  <c r="BN204" i="3"/>
  <c r="BM204" i="3"/>
  <c r="AX204" i="3"/>
  <c r="AW204" i="3"/>
  <c r="AV204" i="3"/>
  <c r="BP203" i="3"/>
  <c r="BO203" i="3"/>
  <c r="BN203" i="3"/>
  <c r="BM203" i="3"/>
  <c r="BL203" i="3"/>
  <c r="AX203" i="3"/>
  <c r="AW203" i="3"/>
  <c r="AV203" i="3"/>
  <c r="BP202" i="3"/>
  <c r="BO202" i="3"/>
  <c r="BN202" i="3"/>
  <c r="BM202" i="3"/>
  <c r="BL202" i="3"/>
  <c r="AX202" i="3"/>
  <c r="AW202" i="3"/>
  <c r="AV202" i="3"/>
  <c r="BP201" i="3"/>
  <c r="BO201" i="3"/>
  <c r="BN201" i="3"/>
  <c r="BM201" i="3"/>
  <c r="BL201" i="3"/>
  <c r="AZ201" i="3"/>
  <c r="AX201" i="3"/>
  <c r="AW201" i="3"/>
  <c r="AV201" i="3"/>
  <c r="BP200" i="3"/>
  <c r="BO200" i="3"/>
  <c r="BN200" i="3"/>
  <c r="BM200" i="3"/>
  <c r="AX200" i="3"/>
  <c r="AW200" i="3"/>
  <c r="AV200" i="3"/>
  <c r="BP199" i="3"/>
  <c r="BO199" i="3"/>
  <c r="BN199" i="3"/>
  <c r="BM199" i="3"/>
  <c r="BL199" i="3"/>
  <c r="AX199" i="3"/>
  <c r="AW199" i="3"/>
  <c r="AV199" i="3"/>
  <c r="BP198" i="3"/>
  <c r="BO198" i="3"/>
  <c r="BN198" i="3"/>
  <c r="BM198" i="3"/>
  <c r="BL198" i="3"/>
  <c r="AX198" i="3"/>
  <c r="AW198" i="3"/>
  <c r="AV198" i="3"/>
  <c r="BP197" i="3"/>
  <c r="BO197" i="3"/>
  <c r="BN197" i="3"/>
  <c r="BM197" i="3"/>
  <c r="BL197" i="3"/>
  <c r="AX197" i="3"/>
  <c r="AW197" i="3"/>
  <c r="AV197" i="3"/>
  <c r="BP196" i="3"/>
  <c r="BO196" i="3"/>
  <c r="BN196" i="3"/>
  <c r="BM196" i="3"/>
  <c r="AX196" i="3"/>
  <c r="AW196" i="3"/>
  <c r="AV196" i="3"/>
  <c r="BP195" i="3"/>
  <c r="BO195" i="3"/>
  <c r="BN195" i="3"/>
  <c r="BM195" i="3"/>
  <c r="BL195" i="3"/>
  <c r="AX195" i="3"/>
  <c r="AW195" i="3"/>
  <c r="AV195" i="3"/>
  <c r="BP194" i="3"/>
  <c r="BO194" i="3"/>
  <c r="BN194" i="3"/>
  <c r="BM194" i="3"/>
  <c r="BL194" i="3"/>
  <c r="AX194" i="3"/>
  <c r="AW194" i="3"/>
  <c r="AV194" i="3"/>
  <c r="BP193" i="3"/>
  <c r="BO193" i="3"/>
  <c r="BN193" i="3"/>
  <c r="BM193" i="3"/>
  <c r="BL193" i="3"/>
  <c r="AZ193" i="3"/>
  <c r="AX193" i="3"/>
  <c r="AW193" i="3"/>
  <c r="AV193" i="3"/>
  <c r="BP192" i="3"/>
  <c r="BO192" i="3"/>
  <c r="BN192" i="3"/>
  <c r="BM192" i="3"/>
  <c r="AX192" i="3"/>
  <c r="AW192" i="3"/>
  <c r="AV192" i="3"/>
  <c r="BP191" i="3"/>
  <c r="BO191" i="3"/>
  <c r="BN191" i="3"/>
  <c r="BM191" i="3"/>
  <c r="BL191" i="3"/>
  <c r="AX191" i="3"/>
  <c r="AW191" i="3"/>
  <c r="AV191" i="3"/>
  <c r="BP190" i="3"/>
  <c r="BO190" i="3"/>
  <c r="BN190" i="3"/>
  <c r="BM190" i="3"/>
  <c r="BL190" i="3"/>
  <c r="AX190" i="3"/>
  <c r="AW190" i="3"/>
  <c r="AV190" i="3"/>
  <c r="BP189" i="3"/>
  <c r="BO189" i="3"/>
  <c r="BN189" i="3"/>
  <c r="BM189" i="3"/>
  <c r="BL189" i="3"/>
  <c r="AX189" i="3"/>
  <c r="AW189" i="3"/>
  <c r="AV189" i="3"/>
  <c r="BP188" i="3"/>
  <c r="BO188" i="3"/>
  <c r="BN188" i="3"/>
  <c r="BM188" i="3"/>
  <c r="AX188" i="3"/>
  <c r="AW188" i="3"/>
  <c r="AV188" i="3"/>
  <c r="BP187" i="3"/>
  <c r="BO187" i="3"/>
  <c r="BN187" i="3"/>
  <c r="BM187" i="3"/>
  <c r="BL187" i="3"/>
  <c r="AX187" i="3"/>
  <c r="AW187" i="3"/>
  <c r="AV187" i="3"/>
  <c r="BP186" i="3"/>
  <c r="BO186" i="3"/>
  <c r="BN186" i="3"/>
  <c r="BM186" i="3"/>
  <c r="BL186" i="3"/>
  <c r="AX186" i="3"/>
  <c r="AW186" i="3"/>
  <c r="AV186" i="3"/>
  <c r="BP185" i="3"/>
  <c r="BO185" i="3"/>
  <c r="BN185" i="3"/>
  <c r="BM185" i="3"/>
  <c r="BL185" i="3"/>
  <c r="AZ185" i="3"/>
  <c r="AX185" i="3"/>
  <c r="AW185" i="3"/>
  <c r="AV185" i="3"/>
  <c r="BP184" i="3"/>
  <c r="BO184" i="3"/>
  <c r="BN184" i="3"/>
  <c r="BM184" i="3"/>
  <c r="AX184" i="3"/>
  <c r="AW184" i="3"/>
  <c r="AV184" i="3"/>
  <c r="BP183" i="3"/>
  <c r="BO183" i="3"/>
  <c r="BN183" i="3"/>
  <c r="BM183" i="3"/>
  <c r="BL183" i="3"/>
  <c r="AX183" i="3"/>
  <c r="AW183" i="3"/>
  <c r="AV183" i="3"/>
  <c r="BP182" i="3"/>
  <c r="BO182" i="3"/>
  <c r="BN182" i="3"/>
  <c r="BM182" i="3"/>
  <c r="BL182" i="3"/>
  <c r="AX182" i="3"/>
  <c r="AW182" i="3"/>
  <c r="AV182" i="3"/>
  <c r="BP181" i="3"/>
  <c r="BO181" i="3"/>
  <c r="BN181" i="3"/>
  <c r="BM181" i="3"/>
  <c r="BL181" i="3"/>
  <c r="AX181" i="3"/>
  <c r="AW181" i="3"/>
  <c r="AV181" i="3"/>
  <c r="BP180" i="3"/>
  <c r="BO180" i="3"/>
  <c r="BN180" i="3"/>
  <c r="BM180" i="3"/>
  <c r="AX180" i="3"/>
  <c r="AW180" i="3"/>
  <c r="AV180" i="3"/>
  <c r="BP179" i="3"/>
  <c r="BO179" i="3"/>
  <c r="BN179" i="3"/>
  <c r="BM179" i="3"/>
  <c r="BL179" i="3"/>
  <c r="AX179" i="3"/>
  <c r="AW179" i="3"/>
  <c r="AV179" i="3"/>
  <c r="BP178" i="3"/>
  <c r="BO178" i="3"/>
  <c r="BN178" i="3"/>
  <c r="BM178" i="3"/>
  <c r="BL178" i="3"/>
  <c r="AX178" i="3"/>
  <c r="AW178" i="3"/>
  <c r="AV178" i="3"/>
  <c r="BP177" i="3"/>
  <c r="BO177" i="3"/>
  <c r="BN177" i="3"/>
  <c r="BM177" i="3"/>
  <c r="BL177" i="3"/>
  <c r="AZ177" i="3"/>
  <c r="AX177" i="3"/>
  <c r="AW177" i="3"/>
  <c r="AV177" i="3"/>
  <c r="BP176" i="3"/>
  <c r="BO176" i="3"/>
  <c r="BN176" i="3"/>
  <c r="BM176" i="3"/>
  <c r="AX176" i="3"/>
  <c r="AW176" i="3"/>
  <c r="AV176" i="3"/>
  <c r="BP175" i="3"/>
  <c r="BO175" i="3"/>
  <c r="BN175" i="3"/>
  <c r="BM175" i="3"/>
  <c r="BL175" i="3"/>
  <c r="AX175" i="3"/>
  <c r="AW175" i="3"/>
  <c r="AV175" i="3"/>
  <c r="BP174" i="3"/>
  <c r="BO174" i="3"/>
  <c r="BN174" i="3"/>
  <c r="BM174" i="3"/>
  <c r="BL174" i="3"/>
  <c r="AX174" i="3"/>
  <c r="AW174" i="3"/>
  <c r="AV174" i="3"/>
  <c r="BP173" i="3"/>
  <c r="BO173" i="3"/>
  <c r="BN173" i="3"/>
  <c r="BM173" i="3"/>
  <c r="BL173" i="3"/>
  <c r="AX173" i="3"/>
  <c r="AW173" i="3"/>
  <c r="AV173" i="3"/>
  <c r="BP172" i="3"/>
  <c r="BO172" i="3"/>
  <c r="BN172" i="3"/>
  <c r="BM172" i="3"/>
  <c r="AX172" i="3"/>
  <c r="AW172" i="3"/>
  <c r="AV172" i="3"/>
  <c r="BP171" i="3"/>
  <c r="BO171" i="3"/>
  <c r="BN171" i="3"/>
  <c r="BM171" i="3"/>
  <c r="BL171" i="3"/>
  <c r="AX171" i="3"/>
  <c r="AW171" i="3"/>
  <c r="AV171" i="3"/>
  <c r="BP170" i="3"/>
  <c r="BO170" i="3"/>
  <c r="BN170" i="3"/>
  <c r="BM170" i="3"/>
  <c r="BL170" i="3"/>
  <c r="AX170" i="3"/>
  <c r="AW170" i="3"/>
  <c r="AV170" i="3"/>
  <c r="BP169" i="3"/>
  <c r="BO169" i="3"/>
  <c r="BN169" i="3"/>
  <c r="BM169" i="3"/>
  <c r="BL169" i="3"/>
  <c r="AZ169" i="3"/>
  <c r="AX169" i="3"/>
  <c r="AW169" i="3"/>
  <c r="AV169" i="3"/>
  <c r="BP168" i="3"/>
  <c r="BO168" i="3"/>
  <c r="BN168" i="3"/>
  <c r="BM168" i="3"/>
  <c r="AX168" i="3"/>
  <c r="AW168" i="3"/>
  <c r="AV168" i="3"/>
  <c r="BP167" i="3"/>
  <c r="BO167" i="3"/>
  <c r="BN167" i="3"/>
  <c r="BM167" i="3"/>
  <c r="BL167" i="3"/>
  <c r="AX167" i="3"/>
  <c r="AW167" i="3"/>
  <c r="AV167" i="3"/>
  <c r="BP166" i="3"/>
  <c r="BO166" i="3"/>
  <c r="BN166" i="3"/>
  <c r="BM166" i="3"/>
  <c r="BL166" i="3"/>
  <c r="AX166" i="3"/>
  <c r="AW166" i="3"/>
  <c r="AV166" i="3"/>
  <c r="BP165" i="3"/>
  <c r="BO165" i="3"/>
  <c r="BN165" i="3"/>
  <c r="BM165" i="3"/>
  <c r="BL165" i="3"/>
  <c r="AX165" i="3"/>
  <c r="AW165" i="3"/>
  <c r="AV165" i="3"/>
  <c r="BP164" i="3"/>
  <c r="BO164" i="3"/>
  <c r="BN164" i="3"/>
  <c r="BM164" i="3"/>
  <c r="AX164" i="3"/>
  <c r="AW164" i="3"/>
  <c r="AV164" i="3"/>
  <c r="BP163" i="3"/>
  <c r="BO163" i="3"/>
  <c r="BN163" i="3"/>
  <c r="BM163" i="3"/>
  <c r="BL163" i="3"/>
  <c r="AX163" i="3"/>
  <c r="AW163" i="3"/>
  <c r="AV163" i="3"/>
  <c r="BP162" i="3"/>
  <c r="BO162" i="3"/>
  <c r="BN162" i="3"/>
  <c r="BM162" i="3"/>
  <c r="BL162" i="3"/>
  <c r="AX162" i="3"/>
  <c r="AW162" i="3"/>
  <c r="AV162" i="3"/>
  <c r="BP161" i="3"/>
  <c r="BO161" i="3"/>
  <c r="BN161" i="3"/>
  <c r="BM161" i="3"/>
  <c r="BL161" i="3"/>
  <c r="AZ161" i="3"/>
  <c r="AX161" i="3"/>
  <c r="AW161" i="3"/>
  <c r="AV161" i="3"/>
  <c r="BP160" i="3"/>
  <c r="BO160" i="3"/>
  <c r="BN160" i="3"/>
  <c r="BM160" i="3"/>
  <c r="AX160" i="3"/>
  <c r="AW160" i="3"/>
  <c r="AV160" i="3"/>
  <c r="BP159" i="3"/>
  <c r="BO159" i="3"/>
  <c r="BN159" i="3"/>
  <c r="BM159" i="3"/>
  <c r="BL159" i="3"/>
  <c r="AX159" i="3"/>
  <c r="AW159" i="3"/>
  <c r="AV159" i="3"/>
  <c r="BP158" i="3"/>
  <c r="BO158" i="3"/>
  <c r="BN158" i="3"/>
  <c r="BM158" i="3"/>
  <c r="BL158" i="3"/>
  <c r="AX158" i="3"/>
  <c r="AW158" i="3"/>
  <c r="AV158" i="3"/>
  <c r="BP157" i="3"/>
  <c r="BO157" i="3"/>
  <c r="BN157" i="3"/>
  <c r="BM157" i="3"/>
  <c r="BL157" i="3"/>
  <c r="AX157" i="3"/>
  <c r="AW157" i="3"/>
  <c r="AV157" i="3"/>
  <c r="BP156" i="3"/>
  <c r="BO156" i="3"/>
  <c r="BN156" i="3"/>
  <c r="BM156" i="3"/>
  <c r="AX156" i="3"/>
  <c r="AW156" i="3"/>
  <c r="AV156" i="3"/>
  <c r="BP155" i="3"/>
  <c r="BO155" i="3"/>
  <c r="BN155" i="3"/>
  <c r="BM155" i="3"/>
  <c r="BL155" i="3"/>
  <c r="AX155" i="3"/>
  <c r="AW155" i="3"/>
  <c r="AV155" i="3"/>
  <c r="BP154" i="3"/>
  <c r="BO154" i="3"/>
  <c r="BN154" i="3"/>
  <c r="BM154" i="3"/>
  <c r="BL154" i="3"/>
  <c r="AX154" i="3"/>
  <c r="AW154" i="3"/>
  <c r="AV154" i="3"/>
  <c r="BP153" i="3"/>
  <c r="BO153" i="3"/>
  <c r="BN153" i="3"/>
  <c r="BM153" i="3"/>
  <c r="BL153" i="3"/>
  <c r="AZ153" i="3"/>
  <c r="AX153" i="3"/>
  <c r="AW153" i="3"/>
  <c r="AV153" i="3"/>
  <c r="BP152" i="3"/>
  <c r="BO152" i="3"/>
  <c r="BN152" i="3"/>
  <c r="BM152" i="3"/>
  <c r="AX152" i="3"/>
  <c r="AW152" i="3"/>
  <c r="AV152" i="3"/>
  <c r="BP151" i="3"/>
  <c r="BO151" i="3"/>
  <c r="BN151" i="3"/>
  <c r="BM151" i="3"/>
  <c r="BL151" i="3"/>
  <c r="AX151" i="3"/>
  <c r="AW151" i="3"/>
  <c r="AV151" i="3"/>
  <c r="BP150" i="3"/>
  <c r="BO150" i="3"/>
  <c r="BN150" i="3"/>
  <c r="BM150" i="3"/>
  <c r="BL150" i="3"/>
  <c r="AX150" i="3"/>
  <c r="AW150" i="3"/>
  <c r="AV150" i="3"/>
  <c r="BP149" i="3"/>
  <c r="BO149" i="3"/>
  <c r="BN149" i="3"/>
  <c r="BM149" i="3"/>
  <c r="BL149" i="3"/>
  <c r="AX149" i="3"/>
  <c r="AW149" i="3"/>
  <c r="AV149" i="3"/>
  <c r="BP148" i="3"/>
  <c r="BO148" i="3"/>
  <c r="BN148" i="3"/>
  <c r="BM148" i="3"/>
  <c r="AX148" i="3"/>
  <c r="AW148" i="3"/>
  <c r="AV148" i="3"/>
  <c r="BP147" i="3"/>
  <c r="BO147" i="3"/>
  <c r="BN147" i="3"/>
  <c r="BM147" i="3"/>
  <c r="BL147" i="3"/>
  <c r="AX147" i="3"/>
  <c r="AW147" i="3"/>
  <c r="AV147" i="3"/>
  <c r="BP146" i="3"/>
  <c r="BO146" i="3"/>
  <c r="BN146" i="3"/>
  <c r="BM146" i="3"/>
  <c r="BL146" i="3"/>
  <c r="AX146" i="3"/>
  <c r="AW146" i="3"/>
  <c r="AV146" i="3"/>
  <c r="BP145" i="3"/>
  <c r="BO145" i="3"/>
  <c r="BN145" i="3"/>
  <c r="BM145" i="3"/>
  <c r="BL145" i="3"/>
  <c r="AZ145" i="3"/>
  <c r="AX145" i="3"/>
  <c r="AW145" i="3"/>
  <c r="AV145" i="3"/>
  <c r="BP144" i="3"/>
  <c r="BO144" i="3"/>
  <c r="BN144" i="3"/>
  <c r="BM144" i="3"/>
  <c r="AX144" i="3"/>
  <c r="AW144" i="3"/>
  <c r="AV144" i="3"/>
  <c r="BP143" i="3"/>
  <c r="BO143" i="3"/>
  <c r="BN143" i="3"/>
  <c r="BM143" i="3"/>
  <c r="BL143" i="3"/>
  <c r="AX143" i="3"/>
  <c r="AW143" i="3"/>
  <c r="AV143" i="3"/>
  <c r="BP142" i="3"/>
  <c r="BO142" i="3"/>
  <c r="BN142" i="3"/>
  <c r="BM142" i="3"/>
  <c r="BL142" i="3"/>
  <c r="AX142" i="3"/>
  <c r="AW142" i="3"/>
  <c r="AV142" i="3"/>
  <c r="BP141" i="3"/>
  <c r="BO141" i="3"/>
  <c r="BN141" i="3"/>
  <c r="BM141" i="3"/>
  <c r="BL141" i="3"/>
  <c r="AZ141" i="3"/>
  <c r="AX141" i="3"/>
  <c r="AW141" i="3"/>
  <c r="AV141" i="3"/>
  <c r="BP140" i="3"/>
  <c r="BO140" i="3"/>
  <c r="BN140" i="3"/>
  <c r="BM140" i="3"/>
  <c r="AX140" i="3"/>
  <c r="AW140" i="3"/>
  <c r="AV140" i="3"/>
  <c r="BP139" i="3"/>
  <c r="BO139" i="3"/>
  <c r="BN139" i="3"/>
  <c r="BM139" i="3"/>
  <c r="BL139" i="3"/>
  <c r="AX139" i="3"/>
  <c r="AW139" i="3"/>
  <c r="AV139" i="3"/>
  <c r="BP138" i="3"/>
  <c r="BO138" i="3"/>
  <c r="BN138" i="3"/>
  <c r="BM138" i="3"/>
  <c r="BL138" i="3"/>
  <c r="AX138" i="3"/>
  <c r="AW138" i="3"/>
  <c r="AV138" i="3"/>
  <c r="BP137" i="3"/>
  <c r="BO137" i="3"/>
  <c r="BN137" i="3"/>
  <c r="BM137" i="3"/>
  <c r="BL137" i="3"/>
  <c r="AZ137" i="3"/>
  <c r="AX137" i="3"/>
  <c r="AW137" i="3"/>
  <c r="AV137" i="3"/>
  <c r="BP136" i="3"/>
  <c r="BO136" i="3"/>
  <c r="BN136" i="3"/>
  <c r="BM136" i="3"/>
  <c r="AX136" i="3"/>
  <c r="AW136" i="3"/>
  <c r="AV136" i="3"/>
  <c r="BP135" i="3"/>
  <c r="BO135" i="3"/>
  <c r="BN135" i="3"/>
  <c r="BM135" i="3"/>
  <c r="BL135" i="3"/>
  <c r="AX135" i="3"/>
  <c r="AW135" i="3"/>
  <c r="AV135" i="3"/>
  <c r="BP134" i="3"/>
  <c r="BO134" i="3"/>
  <c r="BN134" i="3"/>
  <c r="BM134" i="3"/>
  <c r="BL134" i="3"/>
  <c r="AZ134" i="3"/>
  <c r="AX134" i="3"/>
  <c r="AW134" i="3"/>
  <c r="AV134" i="3"/>
  <c r="BP133" i="3"/>
  <c r="BO133" i="3"/>
  <c r="BN133" i="3"/>
  <c r="BM133" i="3"/>
  <c r="BL133" i="3"/>
  <c r="AX133" i="3"/>
  <c r="AW133" i="3"/>
  <c r="AV133" i="3"/>
  <c r="BP132" i="3"/>
  <c r="BO132" i="3"/>
  <c r="BN132" i="3"/>
  <c r="BM132" i="3"/>
  <c r="AX132" i="3"/>
  <c r="AW132" i="3"/>
  <c r="AV132" i="3"/>
  <c r="BP131" i="3"/>
  <c r="BO131" i="3"/>
  <c r="BN131" i="3"/>
  <c r="BM131" i="3"/>
  <c r="BL131" i="3"/>
  <c r="AX131" i="3"/>
  <c r="AW131" i="3"/>
  <c r="AV131" i="3"/>
  <c r="BP130" i="3"/>
  <c r="BO130" i="3"/>
  <c r="BN130" i="3"/>
  <c r="BM130" i="3"/>
  <c r="BL130" i="3"/>
  <c r="AX130" i="3"/>
  <c r="AW130" i="3"/>
  <c r="AV130" i="3"/>
  <c r="BP129" i="3"/>
  <c r="BO129" i="3"/>
  <c r="BN129" i="3"/>
  <c r="BM129" i="3"/>
  <c r="BL129" i="3"/>
  <c r="AZ129" i="3"/>
  <c r="AX129" i="3"/>
  <c r="AW129" i="3"/>
  <c r="AV129" i="3"/>
  <c r="BP128" i="3"/>
  <c r="BO128" i="3"/>
  <c r="BN128" i="3"/>
  <c r="BM128" i="3"/>
  <c r="AX128" i="3"/>
  <c r="AW128" i="3"/>
  <c r="AV128" i="3"/>
  <c r="BP127" i="3"/>
  <c r="BO127" i="3"/>
  <c r="BN127" i="3"/>
  <c r="BM127" i="3"/>
  <c r="BL127" i="3"/>
  <c r="AX127" i="3"/>
  <c r="AW127" i="3"/>
  <c r="AV127" i="3"/>
  <c r="BP126" i="3"/>
  <c r="BO126" i="3"/>
  <c r="BN126" i="3"/>
  <c r="BM126" i="3"/>
  <c r="BL126" i="3"/>
  <c r="AZ126" i="3"/>
  <c r="AX126" i="3"/>
  <c r="AW126" i="3"/>
  <c r="AV126" i="3"/>
  <c r="BP125" i="3"/>
  <c r="BO125" i="3"/>
  <c r="BN125" i="3"/>
  <c r="BM125" i="3"/>
  <c r="BL125" i="3"/>
  <c r="AZ125" i="3"/>
  <c r="AX125" i="3"/>
  <c r="AW125" i="3"/>
  <c r="AV125" i="3"/>
  <c r="BP124" i="3"/>
  <c r="BO124" i="3"/>
  <c r="BN124" i="3"/>
  <c r="BM124" i="3"/>
  <c r="AX124" i="3"/>
  <c r="AW124" i="3"/>
  <c r="AV124" i="3"/>
  <c r="BP123" i="3"/>
  <c r="BO123" i="3"/>
  <c r="BN123" i="3"/>
  <c r="BM123" i="3"/>
  <c r="BL123" i="3"/>
  <c r="AX123" i="3"/>
  <c r="AW123" i="3"/>
  <c r="AV123" i="3"/>
  <c r="BP122" i="3"/>
  <c r="BO122" i="3"/>
  <c r="BN122" i="3"/>
  <c r="BM122" i="3"/>
  <c r="BL122" i="3"/>
  <c r="AZ122" i="3"/>
  <c r="AX122" i="3"/>
  <c r="AW122" i="3"/>
  <c r="AV122" i="3"/>
  <c r="BP121" i="3"/>
  <c r="BO121" i="3"/>
  <c r="BN121" i="3"/>
  <c r="BM121" i="3"/>
  <c r="BL121" i="3"/>
  <c r="AZ121" i="3"/>
  <c r="AX121" i="3"/>
  <c r="AW121" i="3"/>
  <c r="AV121" i="3"/>
  <c r="BP120" i="3"/>
  <c r="BO120" i="3"/>
  <c r="BN120" i="3"/>
  <c r="BM120" i="3"/>
  <c r="AX120" i="3"/>
  <c r="AW120" i="3"/>
  <c r="AV120" i="3"/>
  <c r="BP119" i="3"/>
  <c r="BO119" i="3"/>
  <c r="BN119" i="3"/>
  <c r="BM119" i="3"/>
  <c r="BL119" i="3"/>
  <c r="AX119" i="3"/>
  <c r="AW119" i="3"/>
  <c r="AV119" i="3"/>
  <c r="BP118" i="3"/>
  <c r="BO118" i="3"/>
  <c r="BN118" i="3"/>
  <c r="BM118" i="3"/>
  <c r="BL118" i="3"/>
  <c r="AZ118" i="3"/>
  <c r="AX118" i="3"/>
  <c r="AW118" i="3"/>
  <c r="AV118" i="3"/>
  <c r="BP117" i="3"/>
  <c r="BO117" i="3"/>
  <c r="BN117" i="3"/>
  <c r="BM117" i="3"/>
  <c r="BL117" i="3"/>
  <c r="AX117" i="3"/>
  <c r="AW117" i="3"/>
  <c r="AV117" i="3"/>
  <c r="BP116" i="3"/>
  <c r="BO116" i="3"/>
  <c r="BN116" i="3"/>
  <c r="BM116" i="3"/>
  <c r="AX116" i="3"/>
  <c r="AW116" i="3"/>
  <c r="AV116" i="3"/>
  <c r="BP115" i="3"/>
  <c r="BO115" i="3"/>
  <c r="BN115" i="3"/>
  <c r="BM115" i="3"/>
  <c r="BL115" i="3"/>
  <c r="AX115" i="3"/>
  <c r="AW115" i="3"/>
  <c r="AV115" i="3"/>
  <c r="BP114" i="3"/>
  <c r="BO114" i="3"/>
  <c r="BN114" i="3"/>
  <c r="BM114" i="3"/>
  <c r="BL114" i="3"/>
  <c r="AX114" i="3"/>
  <c r="AW114" i="3"/>
  <c r="AV114" i="3"/>
  <c r="BP113" i="3"/>
  <c r="BO113" i="3"/>
  <c r="BN113" i="3"/>
  <c r="BM113" i="3"/>
  <c r="BL113" i="3"/>
  <c r="AZ113" i="3"/>
  <c r="AX113" i="3"/>
  <c r="AW113" i="3"/>
  <c r="AV113" i="3"/>
  <c r="BP302" i="3"/>
  <c r="BO302" i="3"/>
  <c r="BN302" i="3"/>
  <c r="BM302" i="3"/>
  <c r="BL302" i="3"/>
  <c r="AZ302" i="3"/>
  <c r="AX302" i="3"/>
  <c r="AW302" i="3"/>
  <c r="AV302" i="3"/>
  <c r="BP301" i="3"/>
  <c r="BO301" i="3"/>
  <c r="BN301" i="3"/>
  <c r="BM301" i="3"/>
  <c r="BL301" i="3"/>
  <c r="AZ301" i="3"/>
  <c r="AX301" i="3"/>
  <c r="AW301" i="3"/>
  <c r="AV301" i="3"/>
  <c r="BP300" i="3"/>
  <c r="BO300" i="3"/>
  <c r="BN300" i="3"/>
  <c r="BM300" i="3"/>
  <c r="BL300" i="3"/>
  <c r="AZ300" i="3"/>
  <c r="AX300" i="3"/>
  <c r="AW300" i="3"/>
  <c r="AV300" i="3"/>
  <c r="BP299" i="3"/>
  <c r="BO299" i="3"/>
  <c r="BN299" i="3"/>
  <c r="BM299" i="3"/>
  <c r="BL299" i="3"/>
  <c r="AX299" i="3"/>
  <c r="AW299" i="3"/>
  <c r="AV299" i="3"/>
  <c r="BP298" i="3"/>
  <c r="BO298" i="3"/>
  <c r="BN298" i="3"/>
  <c r="BM298" i="3"/>
  <c r="BL298" i="3"/>
  <c r="AZ298" i="3"/>
  <c r="AX298" i="3"/>
  <c r="AW298" i="3"/>
  <c r="AV298" i="3"/>
  <c r="BP297" i="3"/>
  <c r="BO297" i="3"/>
  <c r="BN297" i="3"/>
  <c r="BM297" i="3"/>
  <c r="BL297" i="3"/>
  <c r="AX297" i="3"/>
  <c r="AW297" i="3"/>
  <c r="AV297" i="3"/>
  <c r="BP296" i="3"/>
  <c r="BO296" i="3"/>
  <c r="BN296" i="3"/>
  <c r="BM296" i="3"/>
  <c r="BL296" i="3"/>
  <c r="AX296" i="3"/>
  <c r="AW296" i="3"/>
  <c r="AV296" i="3"/>
  <c r="BP295" i="3"/>
  <c r="BO295" i="3"/>
  <c r="BN295" i="3"/>
  <c r="BM295" i="3"/>
  <c r="BL295" i="3"/>
  <c r="AX295" i="3"/>
  <c r="AW295" i="3"/>
  <c r="AV295" i="3"/>
  <c r="BP294" i="3"/>
  <c r="BO294" i="3"/>
  <c r="BN294" i="3"/>
  <c r="BM294" i="3"/>
  <c r="BL294" i="3"/>
  <c r="AZ294" i="3"/>
  <c r="AX294" i="3"/>
  <c r="AW294" i="3"/>
  <c r="AV294" i="3"/>
  <c r="BP293" i="3"/>
  <c r="BO293" i="3"/>
  <c r="BN293" i="3"/>
  <c r="BM293" i="3"/>
  <c r="BL293" i="3"/>
  <c r="AZ293" i="3"/>
  <c r="AX293" i="3"/>
  <c r="AW293" i="3"/>
  <c r="AV293" i="3"/>
  <c r="BP292" i="3"/>
  <c r="BO292" i="3"/>
  <c r="BN292" i="3"/>
  <c r="BM292" i="3"/>
  <c r="BL292" i="3"/>
  <c r="AZ292" i="3"/>
  <c r="AX292" i="3"/>
  <c r="AW292" i="3"/>
  <c r="AV292" i="3"/>
  <c r="BP291" i="3"/>
  <c r="BO291" i="3"/>
  <c r="BN291" i="3"/>
  <c r="BM291" i="3"/>
  <c r="BL291" i="3"/>
  <c r="AX291" i="3"/>
  <c r="AW291" i="3"/>
  <c r="AV291" i="3"/>
  <c r="BP290" i="3"/>
  <c r="BO290" i="3"/>
  <c r="BN290" i="3"/>
  <c r="BM290" i="3"/>
  <c r="BL290" i="3"/>
  <c r="AZ290" i="3"/>
  <c r="AX290" i="3"/>
  <c r="AW290" i="3"/>
  <c r="AV290" i="3"/>
  <c r="BP289" i="3"/>
  <c r="BO289" i="3"/>
  <c r="BN289" i="3"/>
  <c r="BM289" i="3"/>
  <c r="BL289" i="3"/>
  <c r="AZ289" i="3"/>
  <c r="AX289" i="3"/>
  <c r="AW289" i="3"/>
  <c r="AV289" i="3"/>
  <c r="BP288" i="3"/>
  <c r="BO288" i="3"/>
  <c r="BN288" i="3"/>
  <c r="BM288" i="3"/>
  <c r="BL288" i="3"/>
  <c r="AX288" i="3"/>
  <c r="AW288" i="3"/>
  <c r="AV288" i="3"/>
  <c r="BP287" i="3"/>
  <c r="BO287" i="3"/>
  <c r="BN287" i="3"/>
  <c r="BM287" i="3"/>
  <c r="BL287" i="3"/>
  <c r="AX287" i="3"/>
  <c r="AW287" i="3"/>
  <c r="AV287" i="3"/>
  <c r="BP286" i="3"/>
  <c r="BO286" i="3"/>
  <c r="BN286" i="3"/>
  <c r="BM286" i="3"/>
  <c r="BL286" i="3"/>
  <c r="AX286" i="3"/>
  <c r="AW286" i="3"/>
  <c r="AV286" i="3"/>
  <c r="BP285" i="3"/>
  <c r="BO285" i="3"/>
  <c r="BN285" i="3"/>
  <c r="BM285" i="3"/>
  <c r="BL285" i="3"/>
  <c r="AZ285" i="3"/>
  <c r="AX285" i="3"/>
  <c r="AW285" i="3"/>
  <c r="AV285" i="3"/>
  <c r="BP284" i="3"/>
  <c r="BO284" i="3"/>
  <c r="BN284" i="3"/>
  <c r="BM284" i="3"/>
  <c r="BL284" i="3"/>
  <c r="AZ284" i="3"/>
  <c r="AX284" i="3"/>
  <c r="AW284" i="3"/>
  <c r="AV284" i="3"/>
  <c r="BP283" i="3"/>
  <c r="BO283" i="3"/>
  <c r="BN283" i="3"/>
  <c r="BM283" i="3"/>
  <c r="BL283" i="3"/>
  <c r="AX283" i="3"/>
  <c r="AW283" i="3"/>
  <c r="AV283" i="3"/>
  <c r="BP282" i="3"/>
  <c r="BO282" i="3"/>
  <c r="BN282" i="3"/>
  <c r="BM282" i="3"/>
  <c r="BL282" i="3"/>
  <c r="AZ282" i="3"/>
  <c r="AX282" i="3"/>
  <c r="AW282" i="3"/>
  <c r="AV282" i="3"/>
  <c r="BP281" i="3"/>
  <c r="BO281" i="3"/>
  <c r="BN281" i="3"/>
  <c r="BM281" i="3"/>
  <c r="BL281" i="3"/>
  <c r="AX281" i="3"/>
  <c r="AW281" i="3"/>
  <c r="AV281" i="3"/>
  <c r="BP280" i="3"/>
  <c r="BO280" i="3"/>
  <c r="BN280" i="3"/>
  <c r="BM280" i="3"/>
  <c r="BL280" i="3"/>
  <c r="AX280" i="3"/>
  <c r="AW280" i="3"/>
  <c r="AV280" i="3"/>
  <c r="BP279" i="3"/>
  <c r="BO279" i="3"/>
  <c r="BN279" i="3"/>
  <c r="BM279" i="3"/>
  <c r="BL279" i="3"/>
  <c r="AX279" i="3"/>
  <c r="AW279" i="3"/>
  <c r="AV279" i="3"/>
  <c r="BP278" i="3"/>
  <c r="BO278" i="3"/>
  <c r="BN278" i="3"/>
  <c r="BM278" i="3"/>
  <c r="BL278" i="3"/>
  <c r="AZ278" i="3"/>
  <c r="AX278" i="3"/>
  <c r="AW278" i="3"/>
  <c r="AV278" i="3"/>
  <c r="BP277" i="3"/>
  <c r="BO277" i="3"/>
  <c r="BN277" i="3"/>
  <c r="BM277" i="3"/>
  <c r="BL277" i="3"/>
  <c r="AZ277" i="3"/>
  <c r="AX277" i="3"/>
  <c r="AW277" i="3"/>
  <c r="AV277" i="3"/>
  <c r="BP276" i="3"/>
  <c r="BO276" i="3"/>
  <c r="BN276" i="3"/>
  <c r="BM276" i="3"/>
  <c r="BL276" i="3"/>
  <c r="AZ276" i="3"/>
  <c r="AX276" i="3"/>
  <c r="AW276" i="3"/>
  <c r="AV276" i="3"/>
  <c r="BP275" i="3"/>
  <c r="BO275" i="3"/>
  <c r="BN275" i="3"/>
  <c r="BM275" i="3"/>
  <c r="BL275" i="3"/>
  <c r="AX275" i="3"/>
  <c r="AW275" i="3"/>
  <c r="AV275" i="3"/>
  <c r="BP274" i="3"/>
  <c r="BO274" i="3"/>
  <c r="BN274" i="3"/>
  <c r="BM274" i="3"/>
  <c r="BL274" i="3"/>
  <c r="AZ274" i="3"/>
  <c r="AX274" i="3"/>
  <c r="AW274" i="3"/>
  <c r="AV274" i="3"/>
  <c r="BP273" i="3"/>
  <c r="BO273" i="3"/>
  <c r="BN273" i="3"/>
  <c r="BM273" i="3"/>
  <c r="BL273" i="3"/>
  <c r="AX273" i="3"/>
  <c r="AW273" i="3"/>
  <c r="AV273" i="3"/>
  <c r="BP272" i="3"/>
  <c r="BO272" i="3"/>
  <c r="BN272" i="3"/>
  <c r="BM272" i="3"/>
  <c r="BL272" i="3"/>
  <c r="AZ272" i="3"/>
  <c r="AX272" i="3"/>
  <c r="AW272" i="3"/>
  <c r="AV272" i="3"/>
  <c r="BP271" i="3"/>
  <c r="BO271" i="3"/>
  <c r="BN271" i="3"/>
  <c r="BM271" i="3"/>
  <c r="BL271" i="3"/>
  <c r="AX271" i="3"/>
  <c r="AW271" i="3"/>
  <c r="AV271" i="3"/>
  <c r="BP270" i="3"/>
  <c r="BO270" i="3"/>
  <c r="BN270" i="3"/>
  <c r="BM270" i="3"/>
  <c r="BL270" i="3"/>
  <c r="AZ270" i="3"/>
  <c r="AX270" i="3"/>
  <c r="AW270" i="3"/>
  <c r="AV270" i="3"/>
  <c r="BP269" i="3"/>
  <c r="BO269" i="3"/>
  <c r="BN269" i="3"/>
  <c r="BM269" i="3"/>
  <c r="BL269" i="3"/>
  <c r="AX269" i="3"/>
  <c r="AW269" i="3"/>
  <c r="AV269" i="3"/>
  <c r="BP268" i="3"/>
  <c r="BO268" i="3"/>
  <c r="BN268" i="3"/>
  <c r="BM268" i="3"/>
  <c r="BL268" i="3"/>
  <c r="AX268" i="3"/>
  <c r="AW268" i="3"/>
  <c r="AV268" i="3"/>
  <c r="BP267" i="3"/>
  <c r="BO267" i="3"/>
  <c r="BN267" i="3"/>
  <c r="BM267" i="3"/>
  <c r="BL267" i="3"/>
  <c r="AZ267" i="3"/>
  <c r="AX267" i="3"/>
  <c r="AW267" i="3"/>
  <c r="AV267" i="3"/>
  <c r="BP266" i="3"/>
  <c r="BO266" i="3"/>
  <c r="BN266" i="3"/>
  <c r="BM266" i="3"/>
  <c r="BL266" i="3"/>
  <c r="AX266" i="3"/>
  <c r="AW266" i="3"/>
  <c r="AV266" i="3"/>
  <c r="BP265" i="3"/>
  <c r="BO265" i="3"/>
  <c r="BN265" i="3"/>
  <c r="BM265" i="3"/>
  <c r="BL265" i="3"/>
  <c r="AX265" i="3"/>
  <c r="AW265" i="3"/>
  <c r="AV265" i="3"/>
  <c r="BP264" i="3"/>
  <c r="BO264" i="3"/>
  <c r="BN264" i="3"/>
  <c r="BM264" i="3"/>
  <c r="BL264" i="3"/>
  <c r="AZ264" i="3"/>
  <c r="AX264" i="3"/>
  <c r="AW264" i="3"/>
  <c r="AV264" i="3"/>
  <c r="BP263" i="3"/>
  <c r="BO263" i="3"/>
  <c r="BN263" i="3"/>
  <c r="BM263" i="3"/>
  <c r="BL263" i="3"/>
  <c r="AX263" i="3"/>
  <c r="AW263" i="3"/>
  <c r="AV263" i="3"/>
  <c r="BP262" i="3"/>
  <c r="BO262" i="3"/>
  <c r="BN262" i="3"/>
  <c r="BM262" i="3"/>
  <c r="BL262" i="3"/>
  <c r="AZ262" i="3"/>
  <c r="AX262" i="3"/>
  <c r="AW262" i="3"/>
  <c r="AV262" i="3"/>
  <c r="BP261" i="3"/>
  <c r="BO261" i="3"/>
  <c r="BN261" i="3"/>
  <c r="BM261" i="3"/>
  <c r="BL261" i="3"/>
  <c r="AX261" i="3"/>
  <c r="AW261" i="3"/>
  <c r="AV261" i="3"/>
  <c r="BP260" i="3"/>
  <c r="BO260" i="3"/>
  <c r="BN260" i="3"/>
  <c r="BM260" i="3"/>
  <c r="BL260" i="3"/>
  <c r="AZ260" i="3"/>
  <c r="AX260" i="3"/>
  <c r="AW260" i="3"/>
  <c r="AV260" i="3"/>
  <c r="BP259" i="3"/>
  <c r="BO259" i="3"/>
  <c r="BN259" i="3"/>
  <c r="BM259" i="3"/>
  <c r="BL259" i="3"/>
  <c r="AX259" i="3"/>
  <c r="AW259" i="3"/>
  <c r="AV259" i="3"/>
  <c r="BP258" i="3"/>
  <c r="BO258" i="3"/>
  <c r="BN258" i="3"/>
  <c r="BM258" i="3"/>
  <c r="BL258" i="3"/>
  <c r="AZ258" i="3"/>
  <c r="AX258" i="3"/>
  <c r="AW258" i="3"/>
  <c r="AV258" i="3"/>
  <c r="BP257" i="3"/>
  <c r="BO257" i="3"/>
  <c r="BN257" i="3"/>
  <c r="BM257" i="3"/>
  <c r="BL257" i="3"/>
  <c r="AX257" i="3"/>
  <c r="AW257" i="3"/>
  <c r="AV257" i="3"/>
  <c r="BP256" i="3"/>
  <c r="BO256" i="3"/>
  <c r="BN256" i="3"/>
  <c r="BM256" i="3"/>
  <c r="BL256" i="3"/>
  <c r="AX256" i="3"/>
  <c r="AW256" i="3"/>
  <c r="AV256" i="3"/>
  <c r="BP255" i="3"/>
  <c r="BO255" i="3"/>
  <c r="BN255" i="3"/>
  <c r="BM255" i="3"/>
  <c r="BL255" i="3"/>
  <c r="AZ255" i="3"/>
  <c r="AX255" i="3"/>
  <c r="AW255" i="3"/>
  <c r="AV255" i="3"/>
  <c r="BP254" i="3"/>
  <c r="BO254" i="3"/>
  <c r="BN254" i="3"/>
  <c r="BM254" i="3"/>
  <c r="BL254" i="3"/>
  <c r="AX254" i="3"/>
  <c r="AW254" i="3"/>
  <c r="AV254" i="3"/>
  <c r="BP253" i="3"/>
  <c r="BO253" i="3"/>
  <c r="BN253" i="3"/>
  <c r="BM253" i="3"/>
  <c r="BL253" i="3"/>
  <c r="AX253" i="3"/>
  <c r="AW253" i="3"/>
  <c r="AV253" i="3"/>
  <c r="BP252" i="3"/>
  <c r="BO252" i="3"/>
  <c r="BN252" i="3"/>
  <c r="BM252" i="3"/>
  <c r="BL252" i="3"/>
  <c r="AZ252" i="3"/>
  <c r="AX252" i="3"/>
  <c r="AW252" i="3"/>
  <c r="AV252" i="3"/>
  <c r="BP251" i="3"/>
  <c r="BO251" i="3"/>
  <c r="BN251" i="3"/>
  <c r="BM251" i="3"/>
  <c r="BL251" i="3"/>
  <c r="AX251" i="3"/>
  <c r="AW251" i="3"/>
  <c r="AV251" i="3"/>
  <c r="BP250" i="3"/>
  <c r="BO250" i="3"/>
  <c r="BN250" i="3"/>
  <c r="BM250" i="3"/>
  <c r="BL250" i="3"/>
  <c r="AX250" i="3"/>
  <c r="AW250" i="3"/>
  <c r="AV250" i="3"/>
  <c r="BP249" i="3"/>
  <c r="BO249" i="3"/>
  <c r="BN249" i="3"/>
  <c r="BM249" i="3"/>
  <c r="BL249" i="3"/>
  <c r="AX249" i="3"/>
  <c r="AW249" i="3"/>
  <c r="AV249" i="3"/>
  <c r="BP248" i="3"/>
  <c r="BO248" i="3"/>
  <c r="BN248" i="3"/>
  <c r="BM248" i="3"/>
  <c r="BL248" i="3"/>
  <c r="AX248" i="3"/>
  <c r="AW248" i="3"/>
  <c r="AV248" i="3"/>
  <c r="BP247" i="3"/>
  <c r="BO247" i="3"/>
  <c r="BN247" i="3"/>
  <c r="BM247" i="3"/>
  <c r="BL247" i="3"/>
  <c r="AZ247" i="3"/>
  <c r="AX247" i="3"/>
  <c r="AW247" i="3"/>
  <c r="AV247" i="3"/>
  <c r="BP246" i="3"/>
  <c r="BO246" i="3"/>
  <c r="BN246" i="3"/>
  <c r="BM246" i="3"/>
  <c r="BL246" i="3"/>
  <c r="AZ246" i="3"/>
  <c r="AX246" i="3"/>
  <c r="AW246" i="3"/>
  <c r="AV246" i="3"/>
  <c r="BP245" i="3"/>
  <c r="BO245" i="3"/>
  <c r="BN245" i="3"/>
  <c r="BM245" i="3"/>
  <c r="BL245" i="3"/>
  <c r="AX245" i="3"/>
  <c r="AW245" i="3"/>
  <c r="AV245" i="3"/>
  <c r="BP244" i="3"/>
  <c r="BO244" i="3"/>
  <c r="BN244" i="3"/>
  <c r="BM244" i="3"/>
  <c r="BL244" i="3"/>
  <c r="AZ244" i="3"/>
  <c r="AX244" i="3"/>
  <c r="AW244" i="3"/>
  <c r="AV244" i="3"/>
  <c r="BP243" i="3"/>
  <c r="BO243" i="3"/>
  <c r="BN243" i="3"/>
  <c r="BM243" i="3"/>
  <c r="BL243" i="3"/>
  <c r="AX243" i="3"/>
  <c r="AW243" i="3"/>
  <c r="AV243" i="3"/>
  <c r="BP242" i="3"/>
  <c r="BO242" i="3"/>
  <c r="BN242" i="3"/>
  <c r="BM242" i="3"/>
  <c r="BL242" i="3"/>
  <c r="AZ242" i="3"/>
  <c r="AX242" i="3"/>
  <c r="AW242" i="3"/>
  <c r="AV242" i="3"/>
  <c r="BP241" i="3"/>
  <c r="BO241" i="3"/>
  <c r="BN241" i="3"/>
  <c r="BM241" i="3"/>
  <c r="BL241" i="3"/>
  <c r="AX241" i="3"/>
  <c r="AW241" i="3"/>
  <c r="AV241" i="3"/>
  <c r="BP240" i="3"/>
  <c r="BO240" i="3"/>
  <c r="BN240" i="3"/>
  <c r="BM240" i="3"/>
  <c r="BL240" i="3"/>
  <c r="AX240" i="3"/>
  <c r="AW240" i="3"/>
  <c r="AV240" i="3"/>
  <c r="BP239" i="3"/>
  <c r="BO239" i="3"/>
  <c r="BN239" i="3"/>
  <c r="BM239" i="3"/>
  <c r="BL239" i="3"/>
  <c r="AZ239" i="3"/>
  <c r="AX239" i="3"/>
  <c r="AW239" i="3"/>
  <c r="AV239" i="3"/>
  <c r="BP238" i="3"/>
  <c r="BO238" i="3"/>
  <c r="BN238" i="3"/>
  <c r="BM238" i="3"/>
  <c r="BL238" i="3"/>
  <c r="AX238" i="3"/>
  <c r="AW238" i="3"/>
  <c r="AV238" i="3"/>
  <c r="BP237" i="3"/>
  <c r="BO237" i="3"/>
  <c r="BN237" i="3"/>
  <c r="BM237" i="3"/>
  <c r="BL237" i="3"/>
  <c r="AX237" i="3"/>
  <c r="AW237" i="3"/>
  <c r="AV237" i="3"/>
  <c r="BP236" i="3"/>
  <c r="BO236" i="3"/>
  <c r="BN236" i="3"/>
  <c r="BM236" i="3"/>
  <c r="BL236" i="3"/>
  <c r="AZ236" i="3"/>
  <c r="AX236" i="3"/>
  <c r="AW236" i="3"/>
  <c r="AV236" i="3"/>
  <c r="BP235" i="3"/>
  <c r="BO235" i="3"/>
  <c r="BN235" i="3"/>
  <c r="BM235" i="3"/>
  <c r="BL235" i="3"/>
  <c r="AX235" i="3"/>
  <c r="AW235" i="3"/>
  <c r="AV235" i="3"/>
  <c r="BP234" i="3"/>
  <c r="BO234" i="3"/>
  <c r="BN234" i="3"/>
  <c r="BM234" i="3"/>
  <c r="BL234" i="3"/>
  <c r="AX234" i="3"/>
  <c r="AW234" i="3"/>
  <c r="AV234" i="3"/>
  <c r="BP233" i="3"/>
  <c r="BO233" i="3"/>
  <c r="BN233" i="3"/>
  <c r="BM233" i="3"/>
  <c r="BL233" i="3"/>
  <c r="AX233" i="3"/>
  <c r="AW233" i="3"/>
  <c r="AV233" i="3"/>
  <c r="BP232" i="3"/>
  <c r="BO232" i="3"/>
  <c r="BN232" i="3"/>
  <c r="BM232" i="3"/>
  <c r="BL232" i="3"/>
  <c r="AX232" i="3"/>
  <c r="AW232" i="3"/>
  <c r="AV232" i="3"/>
  <c r="BP231" i="3"/>
  <c r="BO231" i="3"/>
  <c r="BN231" i="3"/>
  <c r="BM231" i="3"/>
  <c r="BL231" i="3"/>
  <c r="AZ231" i="3"/>
  <c r="AX231" i="3"/>
  <c r="AW231" i="3"/>
  <c r="AV231" i="3"/>
  <c r="BP230" i="3"/>
  <c r="BO230" i="3"/>
  <c r="BN230" i="3"/>
  <c r="BM230" i="3"/>
  <c r="BL230" i="3"/>
  <c r="AZ230" i="3"/>
  <c r="AX230" i="3"/>
  <c r="AW230" i="3"/>
  <c r="AV230" i="3"/>
  <c r="BP229" i="3"/>
  <c r="BO229" i="3"/>
  <c r="BN229" i="3"/>
  <c r="BM229" i="3"/>
  <c r="BL229" i="3"/>
  <c r="AX229" i="3"/>
  <c r="AW229" i="3"/>
  <c r="AV229" i="3"/>
  <c r="BP228" i="3"/>
  <c r="BO228" i="3"/>
  <c r="BN228" i="3"/>
  <c r="BM228" i="3"/>
  <c r="BL228" i="3"/>
  <c r="AZ228" i="3"/>
  <c r="AX228" i="3"/>
  <c r="AW228" i="3"/>
  <c r="AV228" i="3"/>
  <c r="BP227" i="3"/>
  <c r="BO227" i="3"/>
  <c r="BN227" i="3"/>
  <c r="BM227" i="3"/>
  <c r="BL227" i="3"/>
  <c r="AX227" i="3"/>
  <c r="AW227" i="3"/>
  <c r="AV227" i="3"/>
  <c r="BP226" i="3"/>
  <c r="BO226" i="3"/>
  <c r="BN226" i="3"/>
  <c r="BM226" i="3"/>
  <c r="BL226" i="3"/>
  <c r="AZ226" i="3"/>
  <c r="AX226" i="3"/>
  <c r="AW226" i="3"/>
  <c r="AV226" i="3"/>
  <c r="BP225" i="3"/>
  <c r="BO225" i="3"/>
  <c r="BN225" i="3"/>
  <c r="BM225" i="3"/>
  <c r="BL225" i="3"/>
  <c r="AZ225" i="3"/>
  <c r="AX225" i="3"/>
  <c r="AW225" i="3"/>
  <c r="AV225" i="3"/>
  <c r="BP224" i="3"/>
  <c r="BO224" i="3"/>
  <c r="BN224" i="3"/>
  <c r="BM224" i="3"/>
  <c r="BL224" i="3"/>
  <c r="AX224" i="3"/>
  <c r="AW224" i="3"/>
  <c r="AV224" i="3"/>
  <c r="BP223" i="3"/>
  <c r="BO223" i="3"/>
  <c r="BN223" i="3"/>
  <c r="BM223" i="3"/>
  <c r="BL223" i="3"/>
  <c r="AX223" i="3"/>
  <c r="AW223" i="3"/>
  <c r="AV223" i="3"/>
  <c r="BP222" i="3"/>
  <c r="BO222" i="3"/>
  <c r="BN222" i="3"/>
  <c r="BM222" i="3"/>
  <c r="BL222" i="3"/>
  <c r="AX222" i="3"/>
  <c r="AW222" i="3"/>
  <c r="AV222" i="3"/>
  <c r="BP221" i="3"/>
  <c r="BO221" i="3"/>
  <c r="BN221" i="3"/>
  <c r="BM221" i="3"/>
  <c r="BL221" i="3"/>
  <c r="AZ221" i="3"/>
  <c r="AX221" i="3"/>
  <c r="AW221" i="3"/>
  <c r="AV221" i="3"/>
  <c r="BP220" i="3"/>
  <c r="BO220" i="3"/>
  <c r="BN220" i="3"/>
  <c r="BM220" i="3"/>
  <c r="BL220" i="3"/>
  <c r="AZ220" i="3"/>
  <c r="AX220" i="3"/>
  <c r="AW220" i="3"/>
  <c r="AV220" i="3"/>
  <c r="BP219" i="3"/>
  <c r="BO219" i="3"/>
  <c r="BN219" i="3"/>
  <c r="BM219" i="3"/>
  <c r="BL219" i="3"/>
  <c r="AZ219" i="3"/>
  <c r="AX219" i="3"/>
  <c r="AW219" i="3"/>
  <c r="AV219" i="3"/>
  <c r="BP218" i="3"/>
  <c r="BO218" i="3"/>
  <c r="BN218" i="3"/>
  <c r="BM218" i="3"/>
  <c r="BL218" i="3"/>
  <c r="AX218" i="3"/>
  <c r="AW218" i="3"/>
  <c r="AV218" i="3"/>
  <c r="BP217" i="3"/>
  <c r="BO217" i="3"/>
  <c r="BN217" i="3"/>
  <c r="BM217" i="3"/>
  <c r="BL217" i="3"/>
  <c r="AZ217" i="3"/>
  <c r="AX217" i="3"/>
  <c r="AW217" i="3"/>
  <c r="AV217" i="3"/>
  <c r="BP216" i="3"/>
  <c r="BO216" i="3"/>
  <c r="BN216" i="3"/>
  <c r="BM216" i="3"/>
  <c r="BL216" i="3"/>
  <c r="AZ216" i="3"/>
  <c r="AX216" i="3"/>
  <c r="AW216" i="3"/>
  <c r="AV216" i="3"/>
  <c r="BP215" i="3"/>
  <c r="BO215" i="3"/>
  <c r="BN215" i="3"/>
  <c r="BM215" i="3"/>
  <c r="BL215" i="3"/>
  <c r="AX215" i="3"/>
  <c r="AW215" i="3"/>
  <c r="AV215" i="3"/>
  <c r="BP214" i="3"/>
  <c r="BO214" i="3"/>
  <c r="BN214" i="3"/>
  <c r="BM214" i="3"/>
  <c r="BL214" i="3"/>
  <c r="AX214" i="3"/>
  <c r="AW214" i="3"/>
  <c r="AV214" i="3"/>
  <c r="BP213" i="3"/>
  <c r="BO213" i="3"/>
  <c r="BN213" i="3"/>
  <c r="BM213" i="3"/>
  <c r="BL213" i="3"/>
  <c r="AX213" i="3"/>
  <c r="AW213" i="3"/>
  <c r="AV213" i="3"/>
  <c r="BP212" i="3"/>
  <c r="BO212" i="3"/>
  <c r="BN212" i="3"/>
  <c r="BM212" i="3"/>
  <c r="BL212" i="3"/>
  <c r="AZ212" i="3"/>
  <c r="AX212" i="3"/>
  <c r="AW212" i="3"/>
  <c r="AV212" i="3"/>
  <c r="BP211" i="3"/>
  <c r="BO211" i="3"/>
  <c r="BN211" i="3"/>
  <c r="BM211" i="3"/>
  <c r="BL211" i="3"/>
  <c r="AZ211" i="3"/>
  <c r="AX211" i="3"/>
  <c r="AW211" i="3"/>
  <c r="AV211" i="3"/>
  <c r="BP210" i="3"/>
  <c r="BO210" i="3"/>
  <c r="BN210" i="3"/>
  <c r="BM210" i="3"/>
  <c r="BL210" i="3"/>
  <c r="AZ210" i="3"/>
  <c r="AX210" i="3"/>
  <c r="AW210" i="3"/>
  <c r="AV210" i="3"/>
  <c r="BP209" i="3"/>
  <c r="BO209" i="3"/>
  <c r="BN209" i="3"/>
  <c r="BM209" i="3"/>
  <c r="BL209" i="3"/>
  <c r="AX209" i="3"/>
  <c r="AW209" i="3"/>
  <c r="AV209" i="3"/>
  <c r="BP208" i="3"/>
  <c r="BO208" i="3"/>
  <c r="BN208" i="3"/>
  <c r="BM208" i="3"/>
  <c r="BL208" i="3"/>
  <c r="AZ208" i="3"/>
  <c r="AX208" i="3"/>
  <c r="AW208" i="3"/>
  <c r="AV208" i="3"/>
  <c r="BP397" i="3"/>
  <c r="BO397" i="3"/>
  <c r="BN397" i="3"/>
  <c r="BM397" i="3"/>
  <c r="BL397" i="3"/>
  <c r="AZ397" i="3"/>
  <c r="AX397" i="3"/>
  <c r="AW397" i="3"/>
  <c r="AV397" i="3"/>
  <c r="BP396" i="3"/>
  <c r="BO396" i="3"/>
  <c r="BN396" i="3"/>
  <c r="BM396" i="3"/>
  <c r="BL396" i="3"/>
  <c r="AX396" i="3"/>
  <c r="AW396" i="3"/>
  <c r="AV396" i="3"/>
  <c r="BP395" i="3"/>
  <c r="BO395" i="3"/>
  <c r="BN395" i="3"/>
  <c r="BM395" i="3"/>
  <c r="BL395" i="3"/>
  <c r="AZ395" i="3"/>
  <c r="AX395" i="3"/>
  <c r="AW395" i="3"/>
  <c r="AV395" i="3"/>
  <c r="BP394" i="3"/>
  <c r="BO394" i="3"/>
  <c r="BN394" i="3"/>
  <c r="BM394" i="3"/>
  <c r="AX394" i="3"/>
  <c r="AW394" i="3"/>
  <c r="AV394" i="3"/>
  <c r="BP393" i="3"/>
  <c r="BO393" i="3"/>
  <c r="BN393" i="3"/>
  <c r="BM393" i="3"/>
  <c r="BL393" i="3"/>
  <c r="AX393" i="3"/>
  <c r="AW393" i="3"/>
  <c r="AV393" i="3"/>
  <c r="BP392" i="3"/>
  <c r="BO392" i="3"/>
  <c r="BN392" i="3"/>
  <c r="BM392" i="3"/>
  <c r="AX392" i="3"/>
  <c r="AW392" i="3"/>
  <c r="AV392" i="3"/>
  <c r="BP391" i="3"/>
  <c r="BO391" i="3"/>
  <c r="BN391" i="3"/>
  <c r="BM391" i="3"/>
  <c r="AX391" i="3"/>
  <c r="AW391" i="3"/>
  <c r="AV391" i="3"/>
  <c r="BP390" i="3"/>
  <c r="BO390" i="3"/>
  <c r="BN390" i="3"/>
  <c r="BM390" i="3"/>
  <c r="AX390" i="3"/>
  <c r="AW390" i="3"/>
  <c r="AV390" i="3"/>
  <c r="BP389" i="3"/>
  <c r="BO389" i="3"/>
  <c r="BN389" i="3"/>
  <c r="BM389" i="3"/>
  <c r="AX389" i="3"/>
  <c r="AW389" i="3"/>
  <c r="AV389" i="3"/>
  <c r="BP388" i="3"/>
  <c r="BO388" i="3"/>
  <c r="BN388" i="3"/>
  <c r="BM388" i="3"/>
  <c r="AX388" i="3"/>
  <c r="AW388" i="3"/>
  <c r="AV388" i="3"/>
  <c r="BP387" i="3"/>
  <c r="BO387" i="3"/>
  <c r="BN387" i="3"/>
  <c r="BM387" i="3"/>
  <c r="AX387" i="3"/>
  <c r="AW387" i="3"/>
  <c r="AV387" i="3"/>
  <c r="BP386" i="3"/>
  <c r="BO386" i="3"/>
  <c r="BN386" i="3"/>
  <c r="BM386" i="3"/>
  <c r="BL386" i="3"/>
  <c r="AX386" i="3"/>
  <c r="AW386" i="3"/>
  <c r="AV386" i="3"/>
  <c r="BP385" i="3"/>
  <c r="BO385" i="3"/>
  <c r="BN385" i="3"/>
  <c r="BM385" i="3"/>
  <c r="BL385" i="3"/>
  <c r="AZ385" i="3"/>
  <c r="AX385" i="3"/>
  <c r="AW385" i="3"/>
  <c r="AV385" i="3"/>
  <c r="BP384" i="3"/>
  <c r="BO384" i="3"/>
  <c r="BN384" i="3"/>
  <c r="BM384" i="3"/>
  <c r="AX384" i="3"/>
  <c r="AW384" i="3"/>
  <c r="AV384" i="3"/>
  <c r="BP383" i="3"/>
  <c r="BO383" i="3"/>
  <c r="BN383" i="3"/>
  <c r="BM383" i="3"/>
  <c r="BL383" i="3"/>
  <c r="AX383" i="3"/>
  <c r="AW383" i="3"/>
  <c r="AV383" i="3"/>
  <c r="BP382" i="3"/>
  <c r="BO382" i="3"/>
  <c r="BN382" i="3"/>
  <c r="BM382" i="3"/>
  <c r="AX382" i="3"/>
  <c r="AW382" i="3"/>
  <c r="AV382" i="3"/>
  <c r="BP381" i="3"/>
  <c r="BO381" i="3"/>
  <c r="BN381" i="3"/>
  <c r="BM381" i="3"/>
  <c r="BL381" i="3"/>
  <c r="AX381" i="3"/>
  <c r="AW381" i="3"/>
  <c r="AV381" i="3"/>
  <c r="BP380" i="3"/>
  <c r="BO380" i="3"/>
  <c r="BN380" i="3"/>
  <c r="BM380" i="3"/>
  <c r="AX380" i="3"/>
  <c r="AW380" i="3"/>
  <c r="AV380" i="3"/>
  <c r="BP379" i="3"/>
  <c r="BO379" i="3"/>
  <c r="BN379" i="3"/>
  <c r="BM379" i="3"/>
  <c r="AX379" i="3"/>
  <c r="AW379" i="3"/>
  <c r="AV379" i="3"/>
  <c r="BP378" i="3"/>
  <c r="BO378" i="3"/>
  <c r="BN378" i="3"/>
  <c r="BM378" i="3"/>
  <c r="AX378" i="3"/>
  <c r="AW378" i="3"/>
  <c r="AV378" i="3"/>
  <c r="BP377" i="3"/>
  <c r="BO377" i="3"/>
  <c r="BN377" i="3"/>
  <c r="BM377" i="3"/>
  <c r="AX377" i="3"/>
  <c r="AW377" i="3"/>
  <c r="AV377" i="3"/>
  <c r="BP376" i="3"/>
  <c r="BO376" i="3"/>
  <c r="BN376" i="3"/>
  <c r="BM376" i="3"/>
  <c r="AX376" i="3"/>
  <c r="AW376" i="3"/>
  <c r="AV376" i="3"/>
  <c r="BP375" i="3"/>
  <c r="BO375" i="3"/>
  <c r="BN375" i="3"/>
  <c r="BM375" i="3"/>
  <c r="BL375" i="3"/>
  <c r="AX375" i="3"/>
  <c r="AW375" i="3"/>
  <c r="AV375" i="3"/>
  <c r="BP374" i="3"/>
  <c r="BO374" i="3"/>
  <c r="BN374" i="3"/>
  <c r="BM374" i="3"/>
  <c r="AX374" i="3"/>
  <c r="AW374" i="3"/>
  <c r="AV374" i="3"/>
  <c r="BP373" i="3"/>
  <c r="BO373" i="3"/>
  <c r="BN373" i="3"/>
  <c r="BM373" i="3"/>
  <c r="AX373" i="3"/>
  <c r="AW373" i="3"/>
  <c r="AV373" i="3"/>
  <c r="BP372" i="3"/>
  <c r="BO372" i="3"/>
  <c r="BN372" i="3"/>
  <c r="BM372" i="3"/>
  <c r="AX372" i="3"/>
  <c r="AW372" i="3"/>
  <c r="AV372" i="3"/>
  <c r="BP371" i="3"/>
  <c r="BO371" i="3"/>
  <c r="BN371" i="3"/>
  <c r="BM371" i="3"/>
  <c r="AX371" i="3"/>
  <c r="AW371" i="3"/>
  <c r="AV371" i="3"/>
  <c r="BP370" i="3"/>
  <c r="BO370" i="3"/>
  <c r="BN370" i="3"/>
  <c r="BM370" i="3"/>
  <c r="AX370" i="3"/>
  <c r="AW370" i="3"/>
  <c r="AV370" i="3"/>
  <c r="BP369" i="3"/>
  <c r="BO369" i="3"/>
  <c r="BN369" i="3"/>
  <c r="BM369" i="3"/>
  <c r="AX369" i="3"/>
  <c r="AW369" i="3"/>
  <c r="AV369" i="3"/>
  <c r="BP368" i="3"/>
  <c r="BO368" i="3"/>
  <c r="BN368" i="3"/>
  <c r="BM368" i="3"/>
  <c r="BL368" i="3"/>
  <c r="AX368" i="3"/>
  <c r="AW368" i="3"/>
  <c r="AV368" i="3"/>
  <c r="BP367" i="3"/>
  <c r="BO367" i="3"/>
  <c r="BN367" i="3"/>
  <c r="BM367" i="3"/>
  <c r="BL367" i="3"/>
  <c r="AX367" i="3"/>
  <c r="AW367" i="3"/>
  <c r="AV367" i="3"/>
  <c r="BP366" i="3"/>
  <c r="BO366" i="3"/>
  <c r="BN366" i="3"/>
  <c r="BM366" i="3"/>
  <c r="AX366" i="3"/>
  <c r="AW366" i="3"/>
  <c r="AV366" i="3"/>
  <c r="BP365" i="3"/>
  <c r="BO365" i="3"/>
  <c r="BN365" i="3"/>
  <c r="BM365" i="3"/>
  <c r="BL365" i="3"/>
  <c r="AX365" i="3"/>
  <c r="AW365" i="3"/>
  <c r="AV365" i="3"/>
  <c r="BP364" i="3"/>
  <c r="BO364" i="3"/>
  <c r="BN364" i="3"/>
  <c r="BM364" i="3"/>
  <c r="AX364" i="3"/>
  <c r="AW364" i="3"/>
  <c r="AV364" i="3"/>
  <c r="BP363" i="3"/>
  <c r="BO363" i="3"/>
  <c r="BN363" i="3"/>
  <c r="BM363" i="3"/>
  <c r="BL363" i="3"/>
  <c r="AX363" i="3"/>
  <c r="AW363" i="3"/>
  <c r="AV363" i="3"/>
  <c r="BP362" i="3"/>
  <c r="BO362" i="3"/>
  <c r="BN362" i="3"/>
  <c r="BM362" i="3"/>
  <c r="AX362" i="3"/>
  <c r="AW362" i="3"/>
  <c r="AV362" i="3"/>
  <c r="BP361" i="3"/>
  <c r="BO361" i="3"/>
  <c r="BN361" i="3"/>
  <c r="BM361" i="3"/>
  <c r="AX361" i="3"/>
  <c r="AW361" i="3"/>
  <c r="AV361" i="3"/>
  <c r="BP360" i="3"/>
  <c r="BO360" i="3"/>
  <c r="BN360" i="3"/>
  <c r="BM360" i="3"/>
  <c r="AX360" i="3"/>
  <c r="AW360" i="3"/>
  <c r="AV360" i="3"/>
  <c r="BP359" i="3"/>
  <c r="BO359" i="3"/>
  <c r="BN359" i="3"/>
  <c r="BM359" i="3"/>
  <c r="BL359" i="3"/>
  <c r="AX359" i="3"/>
  <c r="AW359" i="3"/>
  <c r="AV359" i="3"/>
  <c r="BP358" i="3"/>
  <c r="BO358" i="3"/>
  <c r="BN358" i="3"/>
  <c r="BM358" i="3"/>
  <c r="AX358" i="3"/>
  <c r="AW358" i="3"/>
  <c r="AV358" i="3"/>
  <c r="BP357" i="3"/>
  <c r="BO357" i="3"/>
  <c r="BN357" i="3"/>
  <c r="BM357" i="3"/>
  <c r="AX357" i="3"/>
  <c r="AW357" i="3"/>
  <c r="AV357" i="3"/>
  <c r="BP356" i="3"/>
  <c r="BO356" i="3"/>
  <c r="BN356" i="3"/>
  <c r="BM356" i="3"/>
  <c r="AX356" i="3"/>
  <c r="AW356" i="3"/>
  <c r="AV356" i="3"/>
  <c r="BP355" i="3"/>
  <c r="BO355" i="3"/>
  <c r="BN355" i="3"/>
  <c r="BM355" i="3"/>
  <c r="AX355" i="3"/>
  <c r="AW355" i="3"/>
  <c r="AV355" i="3"/>
  <c r="BP354" i="3"/>
  <c r="BO354" i="3"/>
  <c r="BN354" i="3"/>
  <c r="BM354" i="3"/>
  <c r="BL354" i="3"/>
  <c r="AX354" i="3"/>
  <c r="AW354" i="3"/>
  <c r="AV354" i="3"/>
  <c r="BP353" i="3"/>
  <c r="BO353" i="3"/>
  <c r="BN353" i="3"/>
  <c r="BM353" i="3"/>
  <c r="BL353" i="3"/>
  <c r="AX353" i="3"/>
  <c r="AW353" i="3"/>
  <c r="AV353" i="3"/>
  <c r="BP352" i="3"/>
  <c r="BO352" i="3"/>
  <c r="BN352" i="3"/>
  <c r="BM352" i="3"/>
  <c r="AX352" i="3"/>
  <c r="AW352" i="3"/>
  <c r="AV352" i="3"/>
  <c r="BP351" i="3"/>
  <c r="BO351" i="3"/>
  <c r="BN351" i="3"/>
  <c r="BM351" i="3"/>
  <c r="AX351" i="3"/>
  <c r="AW351" i="3"/>
  <c r="AV351" i="3"/>
  <c r="BP350" i="3"/>
  <c r="BO350" i="3"/>
  <c r="BN350" i="3"/>
  <c r="BM350" i="3"/>
  <c r="BL350" i="3"/>
  <c r="AX350" i="3"/>
  <c r="AW350" i="3"/>
  <c r="AV350" i="3"/>
  <c r="BP349" i="3"/>
  <c r="BO349" i="3"/>
  <c r="BN349" i="3"/>
  <c r="BM349" i="3"/>
  <c r="AX349" i="3"/>
  <c r="AW349" i="3"/>
  <c r="AV349" i="3"/>
  <c r="BP348" i="3"/>
  <c r="BO348" i="3"/>
  <c r="BN348" i="3"/>
  <c r="BM348" i="3"/>
  <c r="BL348" i="3"/>
  <c r="AX348" i="3"/>
  <c r="AW348" i="3"/>
  <c r="AV348" i="3"/>
  <c r="BP347" i="3"/>
  <c r="BO347" i="3"/>
  <c r="BN347" i="3"/>
  <c r="BM347" i="3"/>
  <c r="AX347" i="3"/>
  <c r="AW347" i="3"/>
  <c r="AV347" i="3"/>
  <c r="BP346" i="3"/>
  <c r="BO346" i="3"/>
  <c r="BN346" i="3"/>
  <c r="BM346" i="3"/>
  <c r="BL346" i="3"/>
  <c r="AX346" i="3"/>
  <c r="AW346" i="3"/>
  <c r="AV346" i="3"/>
  <c r="BP345" i="3"/>
  <c r="BO345" i="3"/>
  <c r="BN345" i="3"/>
  <c r="BM345" i="3"/>
  <c r="AX345" i="3"/>
  <c r="AW345" i="3"/>
  <c r="AV345" i="3"/>
  <c r="BP344" i="3"/>
  <c r="BO344" i="3"/>
  <c r="BN344" i="3"/>
  <c r="BM344" i="3"/>
  <c r="AX344" i="3"/>
  <c r="AW344" i="3"/>
  <c r="AV344" i="3"/>
  <c r="BP343" i="3"/>
  <c r="BO343" i="3"/>
  <c r="BN343" i="3"/>
  <c r="BM343" i="3"/>
  <c r="AX343" i="3"/>
  <c r="AW343" i="3"/>
  <c r="AV343" i="3"/>
  <c r="BP342" i="3"/>
  <c r="BO342" i="3"/>
  <c r="BN342" i="3"/>
  <c r="BM342" i="3"/>
  <c r="AX342" i="3"/>
  <c r="AW342" i="3"/>
  <c r="AV342" i="3"/>
  <c r="BP341" i="3"/>
  <c r="BO341" i="3"/>
  <c r="BN341" i="3"/>
  <c r="BM341" i="3"/>
  <c r="AX341" i="3"/>
  <c r="AW341" i="3"/>
  <c r="AV341" i="3"/>
  <c r="BP340" i="3"/>
  <c r="BO340" i="3"/>
  <c r="BN340" i="3"/>
  <c r="BM340" i="3"/>
  <c r="BL340" i="3"/>
  <c r="AX340" i="3"/>
  <c r="AW340" i="3"/>
  <c r="AV340" i="3"/>
  <c r="BP339" i="3"/>
  <c r="BO339" i="3"/>
  <c r="BN339" i="3"/>
  <c r="BM339" i="3"/>
  <c r="AX339" i="3"/>
  <c r="AW339" i="3"/>
  <c r="AV339" i="3"/>
  <c r="BP338" i="3"/>
  <c r="BO338" i="3"/>
  <c r="BN338" i="3"/>
  <c r="BM338" i="3"/>
  <c r="AX338" i="3"/>
  <c r="AW338" i="3"/>
  <c r="AV338" i="3"/>
  <c r="BP337" i="3"/>
  <c r="BO337" i="3"/>
  <c r="BN337" i="3"/>
  <c r="BM337" i="3"/>
  <c r="AX337" i="3"/>
  <c r="AW337" i="3"/>
  <c r="AV337" i="3"/>
  <c r="BP336" i="3"/>
  <c r="BO336" i="3"/>
  <c r="BN336" i="3"/>
  <c r="BM336" i="3"/>
  <c r="AX336" i="3"/>
  <c r="AW336" i="3"/>
  <c r="AV336" i="3"/>
  <c r="BP335" i="3"/>
  <c r="BO335" i="3"/>
  <c r="BN335" i="3"/>
  <c r="BM335" i="3"/>
  <c r="AX335" i="3"/>
  <c r="AW335" i="3"/>
  <c r="AV335" i="3"/>
  <c r="BP334" i="3"/>
  <c r="BO334" i="3"/>
  <c r="BN334" i="3"/>
  <c r="BM334" i="3"/>
  <c r="AX334" i="3"/>
  <c r="AW334" i="3"/>
  <c r="AV334" i="3"/>
  <c r="BP333" i="3"/>
  <c r="BO333" i="3"/>
  <c r="BN333" i="3"/>
  <c r="BM333" i="3"/>
  <c r="BL333" i="3"/>
  <c r="AX333" i="3"/>
  <c r="AW333" i="3"/>
  <c r="AV333" i="3"/>
  <c r="BP332" i="3"/>
  <c r="BO332" i="3"/>
  <c r="BN332" i="3"/>
  <c r="BM332" i="3"/>
  <c r="BL332" i="3"/>
  <c r="AZ332" i="3"/>
  <c r="AX332" i="3"/>
  <c r="AW332" i="3"/>
  <c r="AV332" i="3"/>
  <c r="BP331" i="3"/>
  <c r="BO331" i="3"/>
  <c r="BN331" i="3"/>
  <c r="BM331" i="3"/>
  <c r="AX331" i="3"/>
  <c r="AW331" i="3"/>
  <c r="AV331" i="3"/>
  <c r="BP330" i="3"/>
  <c r="BO330" i="3"/>
  <c r="BN330" i="3"/>
  <c r="BM330" i="3"/>
  <c r="BL330" i="3"/>
  <c r="AX330" i="3"/>
  <c r="AW330" i="3"/>
  <c r="AV330" i="3"/>
  <c r="BP329" i="3"/>
  <c r="BO329" i="3"/>
  <c r="BN329" i="3"/>
  <c r="BM329" i="3"/>
  <c r="AX329" i="3"/>
  <c r="AW329" i="3"/>
  <c r="AV329" i="3"/>
  <c r="BP328" i="3"/>
  <c r="BO328" i="3"/>
  <c r="BN328" i="3"/>
  <c r="BM328" i="3"/>
  <c r="BL328" i="3"/>
  <c r="AX328" i="3"/>
  <c r="AW328" i="3"/>
  <c r="AV328" i="3"/>
  <c r="BP327" i="3"/>
  <c r="BO327" i="3"/>
  <c r="BN327" i="3"/>
  <c r="BM327" i="3"/>
  <c r="AX327" i="3"/>
  <c r="AW327" i="3"/>
  <c r="AV327" i="3"/>
  <c r="BP326" i="3"/>
  <c r="BO326" i="3"/>
  <c r="BN326" i="3"/>
  <c r="BM326" i="3"/>
  <c r="AX326" i="3"/>
  <c r="AW326" i="3"/>
  <c r="AV326" i="3"/>
  <c r="BP325" i="3"/>
  <c r="BO325" i="3"/>
  <c r="BN325" i="3"/>
  <c r="BM325" i="3"/>
  <c r="AX325" i="3"/>
  <c r="AW325" i="3"/>
  <c r="AV325" i="3"/>
  <c r="BP324" i="3"/>
  <c r="BO324" i="3"/>
  <c r="BN324" i="3"/>
  <c r="BM324" i="3"/>
  <c r="BL324" i="3"/>
  <c r="AX324" i="3"/>
  <c r="AW324" i="3"/>
  <c r="AV324" i="3"/>
  <c r="BP323" i="3"/>
  <c r="BO323" i="3"/>
  <c r="BN323" i="3"/>
  <c r="BM323" i="3"/>
  <c r="AX323" i="3"/>
  <c r="AW323" i="3"/>
  <c r="AV323" i="3"/>
  <c r="BP322" i="3"/>
  <c r="BO322" i="3"/>
  <c r="BN322" i="3"/>
  <c r="BM322" i="3"/>
  <c r="AX322" i="3"/>
  <c r="AW322" i="3"/>
  <c r="AV322" i="3"/>
  <c r="BP321" i="3"/>
  <c r="BO321" i="3"/>
  <c r="BN321" i="3"/>
  <c r="BM321" i="3"/>
  <c r="AX321" i="3"/>
  <c r="AW321" i="3"/>
  <c r="AV321" i="3"/>
  <c r="BP320" i="3"/>
  <c r="BO320" i="3"/>
  <c r="BN320" i="3"/>
  <c r="BM320" i="3"/>
  <c r="AX320" i="3"/>
  <c r="AW320" i="3"/>
  <c r="AV320" i="3"/>
  <c r="BP319" i="3"/>
  <c r="BO319" i="3"/>
  <c r="BN319" i="3"/>
  <c r="BM319" i="3"/>
  <c r="AX319" i="3"/>
  <c r="AW319" i="3"/>
  <c r="AV319" i="3"/>
  <c r="BP318" i="3"/>
  <c r="BO318" i="3"/>
  <c r="BN318" i="3"/>
  <c r="BM318" i="3"/>
  <c r="AX318" i="3"/>
  <c r="AW318" i="3"/>
  <c r="AV318" i="3"/>
  <c r="BP317" i="3"/>
  <c r="BO317" i="3"/>
  <c r="BN317" i="3"/>
  <c r="BM317" i="3"/>
  <c r="BL317" i="3"/>
  <c r="AX317" i="3"/>
  <c r="AW317" i="3"/>
  <c r="AV317" i="3"/>
  <c r="BP316" i="3"/>
  <c r="BO316" i="3"/>
  <c r="BN316" i="3"/>
  <c r="BM316" i="3"/>
  <c r="BL316" i="3"/>
  <c r="AZ316" i="3"/>
  <c r="AX316" i="3"/>
  <c r="AW316" i="3"/>
  <c r="AV316" i="3"/>
  <c r="BP315" i="3"/>
  <c r="BO315" i="3"/>
  <c r="BN315" i="3"/>
  <c r="BM315" i="3"/>
  <c r="AX315" i="3"/>
  <c r="AW315" i="3"/>
  <c r="AV315" i="3"/>
  <c r="BP314" i="3"/>
  <c r="BO314" i="3"/>
  <c r="BN314" i="3"/>
  <c r="BM314" i="3"/>
  <c r="BL314" i="3"/>
  <c r="AX314" i="3"/>
  <c r="AW314" i="3"/>
  <c r="AV314" i="3"/>
  <c r="BP313" i="3"/>
  <c r="BO313" i="3"/>
  <c r="BN313" i="3"/>
  <c r="BM313" i="3"/>
  <c r="AX313" i="3"/>
  <c r="AW313" i="3"/>
  <c r="AV313" i="3"/>
  <c r="BP312" i="3"/>
  <c r="BO312" i="3"/>
  <c r="BN312" i="3"/>
  <c r="BM312" i="3"/>
  <c r="BL312" i="3"/>
  <c r="AX312" i="3"/>
  <c r="AW312" i="3"/>
  <c r="AV312" i="3"/>
  <c r="BP311" i="3"/>
  <c r="BO311" i="3"/>
  <c r="BN311" i="3"/>
  <c r="BM311" i="3"/>
  <c r="AX311" i="3"/>
  <c r="AW311" i="3"/>
  <c r="AV311" i="3"/>
  <c r="BP310" i="3"/>
  <c r="BO310" i="3"/>
  <c r="BN310" i="3"/>
  <c r="BM310" i="3"/>
  <c r="AX310" i="3"/>
  <c r="AW310" i="3"/>
  <c r="AV310" i="3"/>
  <c r="BP309" i="3"/>
  <c r="BO309" i="3"/>
  <c r="BN309" i="3"/>
  <c r="BM309" i="3"/>
  <c r="AX309" i="3"/>
  <c r="AW309" i="3"/>
  <c r="AV309" i="3"/>
  <c r="BP308" i="3"/>
  <c r="BO308" i="3"/>
  <c r="BN308" i="3"/>
  <c r="BM308" i="3"/>
  <c r="BL308" i="3"/>
  <c r="AX308" i="3"/>
  <c r="AW308" i="3"/>
  <c r="AV308" i="3"/>
  <c r="BP307" i="3"/>
  <c r="BO307" i="3"/>
  <c r="BN307" i="3"/>
  <c r="BM307" i="3"/>
  <c r="AX307" i="3"/>
  <c r="AW307" i="3"/>
  <c r="AV307" i="3"/>
  <c r="BP306" i="3"/>
  <c r="BO306" i="3"/>
  <c r="BN306" i="3"/>
  <c r="BM306" i="3"/>
  <c r="AX306" i="3"/>
  <c r="AW306" i="3"/>
  <c r="AV306" i="3"/>
  <c r="BP305" i="3"/>
  <c r="BO305" i="3"/>
  <c r="BN305" i="3"/>
  <c r="BM305" i="3"/>
  <c r="AX305" i="3"/>
  <c r="AW305" i="3"/>
  <c r="AV305" i="3"/>
  <c r="BP304" i="3"/>
  <c r="BO304" i="3"/>
  <c r="BN304" i="3"/>
  <c r="BM304" i="3"/>
  <c r="AX304" i="3"/>
  <c r="AW304" i="3"/>
  <c r="AV304" i="3"/>
  <c r="BP303" i="3"/>
  <c r="BO303" i="3"/>
  <c r="BN303" i="3"/>
  <c r="BM303" i="3"/>
  <c r="AX303" i="3"/>
  <c r="AW303" i="3"/>
  <c r="AV303" i="3"/>
  <c r="BP492" i="3"/>
  <c r="BO492" i="3"/>
  <c r="BN492" i="3"/>
  <c r="BM492" i="3"/>
  <c r="BL492" i="3"/>
  <c r="AZ492" i="3"/>
  <c r="AX492" i="3"/>
  <c r="AW492" i="3"/>
  <c r="AV492" i="3"/>
  <c r="BP491" i="3"/>
  <c r="BO491" i="3"/>
  <c r="BN491" i="3"/>
  <c r="BM491" i="3"/>
  <c r="BL491" i="3"/>
  <c r="AX491" i="3"/>
  <c r="AW491" i="3"/>
  <c r="AV491" i="3"/>
  <c r="BP490" i="3"/>
  <c r="BO490" i="3"/>
  <c r="BN490" i="3"/>
  <c r="BM490" i="3"/>
  <c r="BL490" i="3"/>
  <c r="AX490" i="3"/>
  <c r="AW490" i="3"/>
  <c r="AV490" i="3"/>
  <c r="BP489" i="3"/>
  <c r="BO489" i="3"/>
  <c r="BN489" i="3"/>
  <c r="BM489" i="3"/>
  <c r="BL489" i="3"/>
  <c r="AZ489" i="3"/>
  <c r="AX489" i="3"/>
  <c r="AW489" i="3"/>
  <c r="AV489" i="3"/>
  <c r="BP488" i="3"/>
  <c r="BO488" i="3"/>
  <c r="BN488" i="3"/>
  <c r="BM488" i="3"/>
  <c r="BL488" i="3"/>
  <c r="AZ488" i="3"/>
  <c r="AX488" i="3"/>
  <c r="AW488" i="3"/>
  <c r="AV488" i="3"/>
  <c r="BP487" i="3"/>
  <c r="BO487" i="3"/>
  <c r="BN487" i="3"/>
  <c r="BM487" i="3"/>
  <c r="BL487" i="3"/>
  <c r="AZ487" i="3"/>
  <c r="AX487" i="3"/>
  <c r="AW487" i="3"/>
  <c r="AV487" i="3"/>
  <c r="BP486" i="3"/>
  <c r="BO486" i="3"/>
  <c r="BN486" i="3"/>
  <c r="BM486" i="3"/>
  <c r="BL486" i="3"/>
  <c r="AZ486" i="3"/>
  <c r="AX486" i="3"/>
  <c r="AW486" i="3"/>
  <c r="AV486" i="3"/>
  <c r="BP485" i="3"/>
  <c r="BO485" i="3"/>
  <c r="BN485" i="3"/>
  <c r="BM485" i="3"/>
  <c r="BL485" i="3"/>
  <c r="AZ485" i="3"/>
  <c r="AX485" i="3"/>
  <c r="AW485" i="3"/>
  <c r="AV485" i="3"/>
  <c r="BP484" i="3"/>
  <c r="BO484" i="3"/>
  <c r="BN484" i="3"/>
  <c r="BM484" i="3"/>
  <c r="BL484" i="3"/>
  <c r="AZ484" i="3"/>
  <c r="AX484" i="3"/>
  <c r="AW484" i="3"/>
  <c r="AV484" i="3"/>
  <c r="BP483" i="3"/>
  <c r="BO483" i="3"/>
  <c r="BN483" i="3"/>
  <c r="BM483" i="3"/>
  <c r="BL483" i="3"/>
  <c r="AZ483" i="3"/>
  <c r="AX483" i="3"/>
  <c r="AW483" i="3"/>
  <c r="AV483" i="3"/>
  <c r="BP482" i="3"/>
  <c r="BO482" i="3"/>
  <c r="BN482" i="3"/>
  <c r="BM482" i="3"/>
  <c r="BL482" i="3"/>
  <c r="AZ482" i="3"/>
  <c r="AX482" i="3"/>
  <c r="AW482" i="3"/>
  <c r="AV482" i="3"/>
  <c r="BP481" i="3"/>
  <c r="BO481" i="3"/>
  <c r="BN481" i="3"/>
  <c r="BM481" i="3"/>
  <c r="BL481" i="3"/>
  <c r="AZ481" i="3"/>
  <c r="AX481" i="3"/>
  <c r="AW481" i="3"/>
  <c r="AV481" i="3"/>
  <c r="BP480" i="3"/>
  <c r="BO480" i="3"/>
  <c r="BN480" i="3"/>
  <c r="BM480" i="3"/>
  <c r="BL480" i="3"/>
  <c r="AZ480" i="3"/>
  <c r="AX480" i="3"/>
  <c r="AW480" i="3"/>
  <c r="AV480" i="3"/>
  <c r="BP479" i="3"/>
  <c r="BO479" i="3"/>
  <c r="BN479" i="3"/>
  <c r="BM479" i="3"/>
  <c r="BL479" i="3"/>
  <c r="AZ479" i="3"/>
  <c r="AX479" i="3"/>
  <c r="AW479" i="3"/>
  <c r="AV479" i="3"/>
  <c r="BP478" i="3"/>
  <c r="BO478" i="3"/>
  <c r="BN478" i="3"/>
  <c r="BM478" i="3"/>
  <c r="BL478" i="3"/>
  <c r="AZ478" i="3"/>
  <c r="AX478" i="3"/>
  <c r="AW478" i="3"/>
  <c r="AV478" i="3"/>
  <c r="BP477" i="3"/>
  <c r="BO477" i="3"/>
  <c r="BN477" i="3"/>
  <c r="BM477" i="3"/>
  <c r="BL477" i="3"/>
  <c r="AZ477" i="3"/>
  <c r="AX477" i="3"/>
  <c r="AW477" i="3"/>
  <c r="AV477" i="3"/>
  <c r="BP476" i="3"/>
  <c r="BO476" i="3"/>
  <c r="BN476" i="3"/>
  <c r="BM476" i="3"/>
  <c r="BL476" i="3"/>
  <c r="AZ476" i="3"/>
  <c r="AX476" i="3"/>
  <c r="AW476" i="3"/>
  <c r="AV476" i="3"/>
  <c r="BP475" i="3"/>
  <c r="BO475" i="3"/>
  <c r="BN475" i="3"/>
  <c r="BM475" i="3"/>
  <c r="BL475" i="3"/>
  <c r="AZ475" i="3"/>
  <c r="AX475" i="3"/>
  <c r="AW475" i="3"/>
  <c r="AV475" i="3"/>
  <c r="BP474" i="3"/>
  <c r="BO474" i="3"/>
  <c r="BN474" i="3"/>
  <c r="BM474" i="3"/>
  <c r="BL474" i="3"/>
  <c r="AZ474" i="3"/>
  <c r="AX474" i="3"/>
  <c r="AW474" i="3"/>
  <c r="AV474" i="3"/>
  <c r="BP473" i="3"/>
  <c r="BO473" i="3"/>
  <c r="BN473" i="3"/>
  <c r="BM473" i="3"/>
  <c r="BL473" i="3"/>
  <c r="AX473" i="3"/>
  <c r="AW473" i="3"/>
  <c r="AV473" i="3"/>
  <c r="BP472" i="3"/>
  <c r="BO472" i="3"/>
  <c r="BN472" i="3"/>
  <c r="BM472" i="3"/>
  <c r="BL472" i="3"/>
  <c r="AZ472" i="3"/>
  <c r="AX472" i="3"/>
  <c r="AW472" i="3"/>
  <c r="AV472" i="3"/>
  <c r="BP471" i="3"/>
  <c r="BO471" i="3"/>
  <c r="BN471" i="3"/>
  <c r="BM471" i="3"/>
  <c r="BL471" i="3"/>
  <c r="AZ471" i="3"/>
  <c r="AX471" i="3"/>
  <c r="AW471" i="3"/>
  <c r="AV471" i="3"/>
  <c r="BP470" i="3"/>
  <c r="BO470" i="3"/>
  <c r="BN470" i="3"/>
  <c r="BM470" i="3"/>
  <c r="BL470" i="3"/>
  <c r="AZ470" i="3"/>
  <c r="AX470" i="3"/>
  <c r="AW470" i="3"/>
  <c r="AV470" i="3"/>
  <c r="BP469" i="3"/>
  <c r="BO469" i="3"/>
  <c r="BN469" i="3"/>
  <c r="BM469" i="3"/>
  <c r="BL469" i="3"/>
  <c r="AZ469" i="3"/>
  <c r="AX469" i="3"/>
  <c r="AW469" i="3"/>
  <c r="AV469" i="3"/>
  <c r="BP468" i="3"/>
  <c r="BO468" i="3"/>
  <c r="BN468" i="3"/>
  <c r="BM468" i="3"/>
  <c r="BL468" i="3"/>
  <c r="AZ468" i="3"/>
  <c r="AX468" i="3"/>
  <c r="AW468" i="3"/>
  <c r="AV468" i="3"/>
  <c r="BP467" i="3"/>
  <c r="BO467" i="3"/>
  <c r="BN467" i="3"/>
  <c r="BM467" i="3"/>
  <c r="BL467" i="3"/>
  <c r="AZ467" i="3"/>
  <c r="AX467" i="3"/>
  <c r="AW467" i="3"/>
  <c r="AV467" i="3"/>
  <c r="BP466" i="3"/>
  <c r="BO466" i="3"/>
  <c r="BN466" i="3"/>
  <c r="BM466" i="3"/>
  <c r="BL466" i="3"/>
  <c r="AZ466" i="3"/>
  <c r="AX466" i="3"/>
  <c r="AW466" i="3"/>
  <c r="AV466" i="3"/>
  <c r="BP465" i="3"/>
  <c r="BO465" i="3"/>
  <c r="BN465" i="3"/>
  <c r="BM465" i="3"/>
  <c r="BL465" i="3"/>
  <c r="AX465" i="3"/>
  <c r="AW465" i="3"/>
  <c r="AV465" i="3"/>
  <c r="BP464" i="3"/>
  <c r="BO464" i="3"/>
  <c r="BN464" i="3"/>
  <c r="BM464" i="3"/>
  <c r="BL464" i="3"/>
  <c r="AZ464" i="3"/>
  <c r="AX464" i="3"/>
  <c r="AW464" i="3"/>
  <c r="AV464" i="3"/>
  <c r="BP463" i="3"/>
  <c r="BO463" i="3"/>
  <c r="BN463" i="3"/>
  <c r="BM463" i="3"/>
  <c r="BL463" i="3"/>
  <c r="AZ463" i="3"/>
  <c r="AX463" i="3"/>
  <c r="AW463" i="3"/>
  <c r="AV463" i="3"/>
  <c r="BP462" i="3"/>
  <c r="BO462" i="3"/>
  <c r="BN462" i="3"/>
  <c r="BM462" i="3"/>
  <c r="BL462" i="3"/>
  <c r="AZ462" i="3"/>
  <c r="AX462" i="3"/>
  <c r="AW462" i="3"/>
  <c r="AV462" i="3"/>
  <c r="BP461" i="3"/>
  <c r="BO461" i="3"/>
  <c r="BN461" i="3"/>
  <c r="BM461" i="3"/>
  <c r="BL461" i="3"/>
  <c r="AZ461" i="3"/>
  <c r="AX461" i="3"/>
  <c r="AW461" i="3"/>
  <c r="AV461" i="3"/>
  <c r="BP460" i="3"/>
  <c r="BO460" i="3"/>
  <c r="BN460" i="3"/>
  <c r="BM460" i="3"/>
  <c r="BL460" i="3"/>
  <c r="AZ460" i="3"/>
  <c r="AX460" i="3"/>
  <c r="AW460" i="3"/>
  <c r="AV460" i="3"/>
  <c r="BP459" i="3"/>
  <c r="BO459" i="3"/>
  <c r="BN459" i="3"/>
  <c r="BM459" i="3"/>
  <c r="BL459" i="3"/>
  <c r="AZ459" i="3"/>
  <c r="AX459" i="3"/>
  <c r="AW459" i="3"/>
  <c r="AV459" i="3"/>
  <c r="BP458" i="3"/>
  <c r="BO458" i="3"/>
  <c r="BN458" i="3"/>
  <c r="BM458" i="3"/>
  <c r="BL458" i="3"/>
  <c r="AZ458" i="3"/>
  <c r="AX458" i="3"/>
  <c r="AW458" i="3"/>
  <c r="AV458" i="3"/>
  <c r="BP457" i="3"/>
  <c r="BO457" i="3"/>
  <c r="BN457" i="3"/>
  <c r="BM457" i="3"/>
  <c r="BL457" i="3"/>
  <c r="AX457" i="3"/>
  <c r="AW457" i="3"/>
  <c r="AV457" i="3"/>
  <c r="BP456" i="3"/>
  <c r="BO456" i="3"/>
  <c r="BN456" i="3"/>
  <c r="BM456" i="3"/>
  <c r="BL456" i="3"/>
  <c r="AZ456" i="3"/>
  <c r="AX456" i="3"/>
  <c r="AW456" i="3"/>
  <c r="AV456" i="3"/>
  <c r="BP455" i="3"/>
  <c r="BO455" i="3"/>
  <c r="BN455" i="3"/>
  <c r="BM455" i="3"/>
  <c r="BL455" i="3"/>
  <c r="AZ455" i="3"/>
  <c r="AX455" i="3"/>
  <c r="AW455" i="3"/>
  <c r="AV455" i="3"/>
  <c r="BP454" i="3"/>
  <c r="BO454" i="3"/>
  <c r="BN454" i="3"/>
  <c r="BM454" i="3"/>
  <c r="BL454" i="3"/>
  <c r="AZ454" i="3"/>
  <c r="AX454" i="3"/>
  <c r="AW454" i="3"/>
  <c r="AV454" i="3"/>
  <c r="BP453" i="3"/>
  <c r="BO453" i="3"/>
  <c r="BN453" i="3"/>
  <c r="BM453" i="3"/>
  <c r="BL453" i="3"/>
  <c r="AZ453" i="3"/>
  <c r="AX453" i="3"/>
  <c r="AW453" i="3"/>
  <c r="AV453" i="3"/>
  <c r="BP452" i="3"/>
  <c r="BO452" i="3"/>
  <c r="BN452" i="3"/>
  <c r="BM452" i="3"/>
  <c r="BL452" i="3"/>
  <c r="AZ452" i="3"/>
  <c r="AX452" i="3"/>
  <c r="AW452" i="3"/>
  <c r="AV452" i="3"/>
  <c r="BP451" i="3"/>
  <c r="BO451" i="3"/>
  <c r="BN451" i="3"/>
  <c r="BM451" i="3"/>
  <c r="BL451" i="3"/>
  <c r="AZ451" i="3"/>
  <c r="AX451" i="3"/>
  <c r="AW451" i="3"/>
  <c r="AV451" i="3"/>
  <c r="BP450" i="3"/>
  <c r="BO450" i="3"/>
  <c r="BN450" i="3"/>
  <c r="BM450" i="3"/>
  <c r="BL450" i="3"/>
  <c r="AZ450" i="3"/>
  <c r="AX450" i="3"/>
  <c r="AW450" i="3"/>
  <c r="AV450" i="3"/>
  <c r="BP449" i="3"/>
  <c r="BO449" i="3"/>
  <c r="BN449" i="3"/>
  <c r="BM449" i="3"/>
  <c r="BL449" i="3"/>
  <c r="AZ449" i="3"/>
  <c r="AX449" i="3"/>
  <c r="AW449" i="3"/>
  <c r="AV449" i="3"/>
  <c r="BP448" i="3"/>
  <c r="BO448" i="3"/>
  <c r="BN448" i="3"/>
  <c r="BM448" i="3"/>
  <c r="BL448" i="3"/>
  <c r="AZ448" i="3"/>
  <c r="AX448" i="3"/>
  <c r="AW448" i="3"/>
  <c r="AV448" i="3"/>
  <c r="BP447" i="3"/>
  <c r="BO447" i="3"/>
  <c r="BN447" i="3"/>
  <c r="BM447" i="3"/>
  <c r="BL447" i="3"/>
  <c r="AZ447" i="3"/>
  <c r="AX447" i="3"/>
  <c r="AW447" i="3"/>
  <c r="AV447" i="3"/>
  <c r="BP446" i="3"/>
  <c r="BO446" i="3"/>
  <c r="BN446" i="3"/>
  <c r="BM446" i="3"/>
  <c r="BL446" i="3"/>
  <c r="AZ446" i="3"/>
  <c r="AX446" i="3"/>
  <c r="AW446" i="3"/>
  <c r="AV446" i="3"/>
  <c r="BP445" i="3"/>
  <c r="BO445" i="3"/>
  <c r="BN445" i="3"/>
  <c r="BM445" i="3"/>
  <c r="BL445" i="3"/>
  <c r="AZ445" i="3"/>
  <c r="AX445" i="3"/>
  <c r="AW445" i="3"/>
  <c r="AV445" i="3"/>
  <c r="BP444" i="3"/>
  <c r="BO444" i="3"/>
  <c r="BN444" i="3"/>
  <c r="BM444" i="3"/>
  <c r="BL444" i="3"/>
  <c r="AZ444" i="3"/>
  <c r="AX444" i="3"/>
  <c r="AW444" i="3"/>
  <c r="AV444" i="3"/>
  <c r="BP443" i="3"/>
  <c r="BO443" i="3"/>
  <c r="BN443" i="3"/>
  <c r="BM443" i="3"/>
  <c r="BL443" i="3"/>
  <c r="AZ443" i="3"/>
  <c r="AX443" i="3"/>
  <c r="AW443" i="3"/>
  <c r="AV443" i="3"/>
  <c r="BP442" i="3"/>
  <c r="BO442" i="3"/>
  <c r="BN442" i="3"/>
  <c r="BM442" i="3"/>
  <c r="BL442" i="3"/>
  <c r="AZ442" i="3"/>
  <c r="AX442" i="3"/>
  <c r="AW442" i="3"/>
  <c r="AV442" i="3"/>
  <c r="BP441" i="3"/>
  <c r="BO441" i="3"/>
  <c r="BN441" i="3"/>
  <c r="BM441" i="3"/>
  <c r="BL441" i="3"/>
  <c r="AX441" i="3"/>
  <c r="AW441" i="3"/>
  <c r="AV441" i="3"/>
  <c r="BP440" i="3"/>
  <c r="BO440" i="3"/>
  <c r="BN440" i="3"/>
  <c r="BM440" i="3"/>
  <c r="BL440" i="3"/>
  <c r="AZ440" i="3"/>
  <c r="AX440" i="3"/>
  <c r="AW440" i="3"/>
  <c r="AV440" i="3"/>
  <c r="BP439" i="3"/>
  <c r="BO439" i="3"/>
  <c r="BN439" i="3"/>
  <c r="BM439" i="3"/>
  <c r="BL439" i="3"/>
  <c r="AZ439" i="3"/>
  <c r="AX439" i="3"/>
  <c r="AW439" i="3"/>
  <c r="AV439" i="3"/>
  <c r="BP438" i="3"/>
  <c r="BO438" i="3"/>
  <c r="BN438" i="3"/>
  <c r="BM438" i="3"/>
  <c r="BL438" i="3"/>
  <c r="AZ438" i="3"/>
  <c r="AX438" i="3"/>
  <c r="AW438" i="3"/>
  <c r="AV438" i="3"/>
  <c r="BP437" i="3"/>
  <c r="BO437" i="3"/>
  <c r="BN437" i="3"/>
  <c r="BM437" i="3"/>
  <c r="BL437" i="3"/>
  <c r="AX437" i="3"/>
  <c r="AW437" i="3"/>
  <c r="AV437" i="3"/>
  <c r="BP436" i="3"/>
  <c r="BO436" i="3"/>
  <c r="BN436" i="3"/>
  <c r="BM436" i="3"/>
  <c r="BL436" i="3"/>
  <c r="AZ436" i="3"/>
  <c r="AX436" i="3"/>
  <c r="AW436" i="3"/>
  <c r="AV436" i="3"/>
  <c r="BP435" i="3"/>
  <c r="BO435" i="3"/>
  <c r="BN435" i="3"/>
  <c r="BM435" i="3"/>
  <c r="BL435" i="3"/>
  <c r="AZ435" i="3"/>
  <c r="AX435" i="3"/>
  <c r="AW435" i="3"/>
  <c r="AV435" i="3"/>
  <c r="BP434" i="3"/>
  <c r="BO434" i="3"/>
  <c r="BN434" i="3"/>
  <c r="BM434" i="3"/>
  <c r="BL434" i="3"/>
  <c r="AZ434" i="3"/>
  <c r="AX434" i="3"/>
  <c r="AW434" i="3"/>
  <c r="AV434" i="3"/>
  <c r="BP433" i="3"/>
  <c r="BO433" i="3"/>
  <c r="BN433" i="3"/>
  <c r="BM433" i="3"/>
  <c r="BL433" i="3"/>
  <c r="AX433" i="3"/>
  <c r="AW433" i="3"/>
  <c r="AV433" i="3"/>
  <c r="BP432" i="3"/>
  <c r="BO432" i="3"/>
  <c r="BN432" i="3"/>
  <c r="BM432" i="3"/>
  <c r="BL432" i="3"/>
  <c r="AZ432" i="3"/>
  <c r="AX432" i="3"/>
  <c r="AW432" i="3"/>
  <c r="AV432" i="3"/>
  <c r="BP431" i="3"/>
  <c r="BO431" i="3"/>
  <c r="BN431" i="3"/>
  <c r="BM431" i="3"/>
  <c r="BL431" i="3"/>
  <c r="AZ431" i="3"/>
  <c r="AX431" i="3"/>
  <c r="AW431" i="3"/>
  <c r="AV431" i="3"/>
  <c r="BP430" i="3"/>
  <c r="BO430" i="3"/>
  <c r="BN430" i="3"/>
  <c r="BM430" i="3"/>
  <c r="BL430" i="3"/>
  <c r="AZ430" i="3"/>
  <c r="AX430" i="3"/>
  <c r="AW430" i="3"/>
  <c r="AV430" i="3"/>
  <c r="BP429" i="3"/>
  <c r="BO429" i="3"/>
  <c r="BN429" i="3"/>
  <c r="BM429" i="3"/>
  <c r="BL429" i="3"/>
  <c r="AZ429" i="3"/>
  <c r="AX429" i="3"/>
  <c r="AW429" i="3"/>
  <c r="AV429" i="3"/>
  <c r="BP428" i="3"/>
  <c r="BO428" i="3"/>
  <c r="BN428" i="3"/>
  <c r="BM428" i="3"/>
  <c r="BL428" i="3"/>
  <c r="AX428" i="3"/>
  <c r="AW428" i="3"/>
  <c r="AV428" i="3"/>
  <c r="BP427" i="3"/>
  <c r="BO427" i="3"/>
  <c r="BN427" i="3"/>
  <c r="BM427" i="3"/>
  <c r="BL427" i="3"/>
  <c r="AZ427" i="3"/>
  <c r="AX427" i="3"/>
  <c r="AW427" i="3"/>
  <c r="AV427" i="3"/>
  <c r="BP426" i="3"/>
  <c r="BO426" i="3"/>
  <c r="BN426" i="3"/>
  <c r="BM426" i="3"/>
  <c r="BL426" i="3"/>
  <c r="AZ426" i="3"/>
  <c r="AX426" i="3"/>
  <c r="AW426" i="3"/>
  <c r="AV426" i="3"/>
  <c r="BP425" i="3"/>
  <c r="BO425" i="3"/>
  <c r="BN425" i="3"/>
  <c r="BM425" i="3"/>
  <c r="BL425" i="3"/>
  <c r="AZ425" i="3"/>
  <c r="AX425" i="3"/>
  <c r="AW425" i="3"/>
  <c r="AV425" i="3"/>
  <c r="BP424" i="3"/>
  <c r="BO424" i="3"/>
  <c r="BN424" i="3"/>
  <c r="BM424" i="3"/>
  <c r="BL424" i="3"/>
  <c r="AZ424" i="3"/>
  <c r="AX424" i="3"/>
  <c r="AW424" i="3"/>
  <c r="AV424" i="3"/>
  <c r="BP423" i="3"/>
  <c r="BO423" i="3"/>
  <c r="BN423" i="3"/>
  <c r="BM423" i="3"/>
  <c r="BL423" i="3"/>
  <c r="AZ423" i="3"/>
  <c r="AX423" i="3"/>
  <c r="AW423" i="3"/>
  <c r="AV423" i="3"/>
  <c r="BP422" i="3"/>
  <c r="BO422" i="3"/>
  <c r="BN422" i="3"/>
  <c r="BM422" i="3"/>
  <c r="BL422" i="3"/>
  <c r="AZ422" i="3"/>
  <c r="AX422" i="3"/>
  <c r="AW422" i="3"/>
  <c r="AV422" i="3"/>
  <c r="BP421" i="3"/>
  <c r="BO421" i="3"/>
  <c r="BN421" i="3"/>
  <c r="BM421" i="3"/>
  <c r="BL421" i="3"/>
  <c r="AZ421" i="3"/>
  <c r="AX421" i="3"/>
  <c r="AW421" i="3"/>
  <c r="AV421" i="3"/>
  <c r="BP420" i="3"/>
  <c r="BO420" i="3"/>
  <c r="BN420" i="3"/>
  <c r="BM420" i="3"/>
  <c r="BL420" i="3"/>
  <c r="AZ420" i="3"/>
  <c r="AX420" i="3"/>
  <c r="AW420" i="3"/>
  <c r="AV420" i="3"/>
  <c r="BP419" i="3"/>
  <c r="BO419" i="3"/>
  <c r="BN419" i="3"/>
  <c r="BM419" i="3"/>
  <c r="BL419" i="3"/>
  <c r="AZ419" i="3"/>
  <c r="AX419" i="3"/>
  <c r="AW419" i="3"/>
  <c r="AV419" i="3"/>
  <c r="BP418" i="3"/>
  <c r="BO418" i="3"/>
  <c r="BN418" i="3"/>
  <c r="BM418" i="3"/>
  <c r="BL418" i="3"/>
  <c r="AZ418" i="3"/>
  <c r="AX418" i="3"/>
  <c r="AW418" i="3"/>
  <c r="AV418" i="3"/>
  <c r="BP417" i="3"/>
  <c r="BO417" i="3"/>
  <c r="BN417" i="3"/>
  <c r="BM417" i="3"/>
  <c r="BL417" i="3"/>
  <c r="AX417" i="3"/>
  <c r="AW417" i="3"/>
  <c r="AV417" i="3"/>
  <c r="BP416" i="3"/>
  <c r="BO416" i="3"/>
  <c r="BN416" i="3"/>
  <c r="BM416" i="3"/>
  <c r="BL416" i="3"/>
  <c r="AZ416" i="3"/>
  <c r="AX416" i="3"/>
  <c r="AW416" i="3"/>
  <c r="AV416" i="3"/>
  <c r="BP415" i="3"/>
  <c r="BO415" i="3"/>
  <c r="BN415" i="3"/>
  <c r="BM415" i="3"/>
  <c r="BL415" i="3"/>
  <c r="AZ415" i="3"/>
  <c r="AX415" i="3"/>
  <c r="AW415" i="3"/>
  <c r="AV415" i="3"/>
  <c r="BP414" i="3"/>
  <c r="BO414" i="3"/>
  <c r="BN414" i="3"/>
  <c r="BM414" i="3"/>
  <c r="BL414" i="3"/>
  <c r="AZ414" i="3"/>
  <c r="AX414" i="3"/>
  <c r="AW414" i="3"/>
  <c r="AV414" i="3"/>
  <c r="BP413" i="3"/>
  <c r="BO413" i="3"/>
  <c r="BN413" i="3"/>
  <c r="BM413" i="3"/>
  <c r="BL413" i="3"/>
  <c r="AZ413" i="3"/>
  <c r="AX413" i="3"/>
  <c r="AW413" i="3"/>
  <c r="AV413" i="3"/>
  <c r="BP412" i="3"/>
  <c r="BO412" i="3"/>
  <c r="BN412" i="3"/>
  <c r="BM412" i="3"/>
  <c r="BL412" i="3"/>
  <c r="AX412" i="3"/>
  <c r="AW412" i="3"/>
  <c r="AV412" i="3"/>
  <c r="BP411" i="3"/>
  <c r="BO411" i="3"/>
  <c r="BN411" i="3"/>
  <c r="BM411" i="3"/>
  <c r="BL411" i="3"/>
  <c r="AZ411" i="3"/>
  <c r="AX411" i="3"/>
  <c r="AW411" i="3"/>
  <c r="AV411" i="3"/>
  <c r="BP410" i="3"/>
  <c r="BO410" i="3"/>
  <c r="BN410" i="3"/>
  <c r="BM410" i="3"/>
  <c r="BL410" i="3"/>
  <c r="AZ410" i="3"/>
  <c r="AX410" i="3"/>
  <c r="AW410" i="3"/>
  <c r="AV410" i="3"/>
  <c r="BP409" i="3"/>
  <c r="BO409" i="3"/>
  <c r="BN409" i="3"/>
  <c r="BM409" i="3"/>
  <c r="BL409" i="3"/>
  <c r="AZ409" i="3"/>
  <c r="AX409" i="3"/>
  <c r="AW409" i="3"/>
  <c r="AV409" i="3"/>
  <c r="BP408" i="3"/>
  <c r="BO408" i="3"/>
  <c r="BN408" i="3"/>
  <c r="BM408" i="3"/>
  <c r="BL408" i="3"/>
  <c r="AX408" i="3"/>
  <c r="AW408" i="3"/>
  <c r="AV408" i="3"/>
  <c r="BP407" i="3"/>
  <c r="BO407" i="3"/>
  <c r="BN407" i="3"/>
  <c r="BM407" i="3"/>
  <c r="BL407" i="3"/>
  <c r="AZ407" i="3"/>
  <c r="AX407" i="3"/>
  <c r="AW407" i="3"/>
  <c r="AV407" i="3"/>
  <c r="BP406" i="3"/>
  <c r="BO406" i="3"/>
  <c r="BN406" i="3"/>
  <c r="BM406" i="3"/>
  <c r="BL406" i="3"/>
  <c r="AZ406" i="3"/>
  <c r="AX406" i="3"/>
  <c r="AW406" i="3"/>
  <c r="AV406" i="3"/>
  <c r="BP405" i="3"/>
  <c r="BO405" i="3"/>
  <c r="BN405" i="3"/>
  <c r="BM405" i="3"/>
  <c r="BL405" i="3"/>
  <c r="AZ405" i="3"/>
  <c r="AX405" i="3"/>
  <c r="AW405" i="3"/>
  <c r="AV405" i="3"/>
  <c r="BP404" i="3"/>
  <c r="BO404" i="3"/>
  <c r="BN404" i="3"/>
  <c r="BM404" i="3"/>
  <c r="BL404" i="3"/>
  <c r="AZ404" i="3"/>
  <c r="AX404" i="3"/>
  <c r="AW404" i="3"/>
  <c r="AV404" i="3"/>
  <c r="BP403" i="3"/>
  <c r="BO403" i="3"/>
  <c r="BN403" i="3"/>
  <c r="BM403" i="3"/>
  <c r="BL403" i="3"/>
  <c r="AZ403" i="3"/>
  <c r="AX403" i="3"/>
  <c r="AW403" i="3"/>
  <c r="AV403" i="3"/>
  <c r="BP402" i="3"/>
  <c r="BO402" i="3"/>
  <c r="BN402" i="3"/>
  <c r="BM402" i="3"/>
  <c r="BL402" i="3"/>
  <c r="AZ402" i="3"/>
  <c r="AX402" i="3"/>
  <c r="AW402" i="3"/>
  <c r="AV402" i="3"/>
  <c r="BP401" i="3"/>
  <c r="BO401" i="3"/>
  <c r="BN401" i="3"/>
  <c r="BM401" i="3"/>
  <c r="BL401" i="3"/>
  <c r="AX401" i="3"/>
  <c r="AW401" i="3"/>
  <c r="AV401" i="3"/>
  <c r="BP400" i="3"/>
  <c r="BO400" i="3"/>
  <c r="BN400" i="3"/>
  <c r="BM400" i="3"/>
  <c r="BL400" i="3"/>
  <c r="AZ400" i="3"/>
  <c r="AX400" i="3"/>
  <c r="AW400" i="3"/>
  <c r="AV400" i="3"/>
  <c r="BP399" i="3"/>
  <c r="BO399" i="3"/>
  <c r="BN399" i="3"/>
  <c r="BM399" i="3"/>
  <c r="BL399" i="3"/>
  <c r="AZ399" i="3"/>
  <c r="AX399" i="3"/>
  <c r="AW399" i="3"/>
  <c r="AV399" i="3"/>
  <c r="BP398" i="3"/>
  <c r="BO398" i="3"/>
  <c r="BN398" i="3"/>
  <c r="BM398" i="3"/>
  <c r="BL398" i="3"/>
  <c r="AZ398" i="3"/>
  <c r="AX398" i="3"/>
  <c r="AW398" i="3"/>
  <c r="AV398" i="3"/>
  <c r="H60" i="40"/>
  <c r="I60" i="40"/>
  <c r="C60" i="40"/>
  <c r="H59" i="40"/>
  <c r="I59" i="40"/>
  <c r="C59" i="40"/>
  <c r="H58" i="40"/>
  <c r="I58" i="40"/>
  <c r="C58" i="40"/>
  <c r="H57" i="40"/>
  <c r="I57" i="40"/>
  <c r="C57" i="40"/>
  <c r="H56" i="40"/>
  <c r="I56" i="40"/>
  <c r="C56" i="40"/>
  <c r="H54" i="40"/>
  <c r="I54" i="40"/>
  <c r="C54" i="40"/>
  <c r="H53" i="40"/>
  <c r="I53" i="40"/>
  <c r="C53" i="40"/>
  <c r="H52" i="40"/>
  <c r="I52" i="40"/>
  <c r="C52" i="40"/>
  <c r="H64" i="39"/>
  <c r="I64" i="39"/>
  <c r="C64" i="39"/>
  <c r="H63" i="39"/>
  <c r="I63" i="39"/>
  <c r="C63" i="39"/>
  <c r="H59" i="39"/>
  <c r="I59" i="39"/>
  <c r="C59" i="39"/>
  <c r="H58" i="39"/>
  <c r="I58" i="39"/>
  <c r="C58" i="39"/>
  <c r="H57" i="39"/>
  <c r="I57" i="39"/>
  <c r="C57" i="39"/>
  <c r="H60" i="39"/>
  <c r="I60" i="39"/>
  <c r="C60" i="39"/>
  <c r="H62" i="39"/>
  <c r="I62" i="39"/>
  <c r="C62" i="39"/>
  <c r="H61" i="39"/>
  <c r="I61" i="39"/>
  <c r="C61" i="39"/>
  <c r="C145" i="21"/>
  <c r="K139" i="2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c r="K4" i="9"/>
  <c r="L22" i="4"/>
  <c r="B61" i="72"/>
  <c r="L20" i="4"/>
  <c r="A5" i="62"/>
  <c r="B72" i="72"/>
  <c r="A4" i="62"/>
  <c r="B70" i="72"/>
  <c r="F33" i="9"/>
  <c r="B37" i="48"/>
  <c r="B2" i="72"/>
  <c r="B13" i="53"/>
  <c r="B29" i="72"/>
  <c r="R35" i="4"/>
  <c r="Q35" i="4"/>
  <c r="P35" i="4"/>
  <c r="O35" i="4"/>
  <c r="N35" i="4"/>
  <c r="M35" i="4"/>
  <c r="L35" i="4"/>
  <c r="K34" i="4"/>
  <c r="T34" i="4"/>
  <c r="G13" i="1"/>
  <c r="H15" i="4"/>
  <c r="F9" i="1"/>
  <c r="G9" i="1"/>
  <c r="G15" i="4"/>
  <c r="F12" i="1"/>
  <c r="F15" i="4"/>
  <c r="F11" i="1"/>
  <c r="G11" i="1"/>
  <c r="D15" i="4"/>
  <c r="F7" i="1"/>
  <c r="G7" i="1"/>
  <c r="C15" i="4"/>
  <c r="F6" i="1"/>
  <c r="G6" i="1"/>
  <c r="L21" i="4"/>
  <c r="F19" i="4"/>
  <c r="F2" i="52"/>
  <c r="B50" i="72"/>
  <c r="D2" i="52"/>
  <c r="B46" i="72"/>
  <c r="B8" i="53"/>
  <c r="B23" i="72"/>
  <c r="L4" i="9"/>
  <c r="B17" i="72"/>
  <c r="B15" i="72"/>
  <c r="A3" i="51"/>
  <c r="C8" i="11"/>
  <c r="B40" i="48"/>
  <c r="B3" i="72"/>
  <c r="F35" i="4"/>
  <c r="J55" i="39"/>
  <c r="H38" i="43"/>
  <c r="H39" i="43"/>
  <c r="H40" i="43"/>
  <c r="H41" i="43"/>
  <c r="H42" i="43"/>
  <c r="H37" i="43"/>
  <c r="J24" i="43"/>
  <c r="C22" i="43"/>
  <c r="C10" i="43"/>
  <c r="C11" i="43"/>
  <c r="C9" i="43"/>
  <c r="F33" i="15"/>
  <c r="F61" i="15"/>
  <c r="M19" i="15"/>
  <c r="G41" i="69"/>
  <c r="B23" i="1"/>
  <c r="B24" i="1"/>
  <c r="F34" i="68"/>
  <c r="B43" i="1"/>
  <c r="D78" i="9"/>
  <c r="BM14" i="3"/>
  <c r="BM15" i="3"/>
  <c r="BN15" i="3"/>
  <c r="BO15" i="3"/>
  <c r="BP15" i="3"/>
  <c r="BL15" i="3"/>
  <c r="BM16" i="3"/>
  <c r="BM17" i="3"/>
  <c r="BO13" i="3"/>
  <c r="BO14" i="3"/>
  <c r="BO16" i="3"/>
  <c r="BO17" i="3"/>
  <c r="BN13" i="3"/>
  <c r="BN14" i="3"/>
  <c r="BN16" i="3"/>
  <c r="BN17" i="3"/>
  <c r="BP13" i="3"/>
  <c r="BP14" i="3"/>
  <c r="BP16" i="3"/>
  <c r="BP17" i="3"/>
  <c r="K8" i="1"/>
  <c r="M8" i="1"/>
  <c r="F23" i="15"/>
  <c r="D24" i="15"/>
  <c r="K10" i="1"/>
  <c r="M10" i="1"/>
  <c r="O10" i="1"/>
  <c r="P10" i="1"/>
  <c r="BC10" i="3"/>
  <c r="BD10" i="3"/>
  <c r="BB10" i="3"/>
  <c r="BL16" i="3"/>
  <c r="I5" i="3"/>
  <c r="AD5" i="3"/>
  <c r="AH5" i="3"/>
  <c r="AL5" i="3"/>
  <c r="AP5" i="3"/>
  <c r="F35" i="11"/>
  <c r="F36" i="11"/>
  <c r="F38" i="11"/>
  <c r="E37" i="11"/>
  <c r="F20" i="11"/>
  <c r="F7" i="11"/>
  <c r="C7" i="11"/>
  <c r="C5" i="11"/>
  <c r="BL13" i="3"/>
  <c r="AZ13" i="3"/>
  <c r="BL14" i="3"/>
  <c r="AZ14" i="3"/>
  <c r="AZ15" i="3"/>
  <c r="AZ16" i="3"/>
  <c r="BL17" i="3"/>
  <c r="AZ17" i="3"/>
  <c r="AZ19" i="3"/>
  <c r="AZ20" i="3"/>
  <c r="AZ21" i="3"/>
  <c r="AZ24" i="3"/>
  <c r="AZ26" i="3"/>
  <c r="AZ28" i="3"/>
  <c r="AZ29" i="3"/>
  <c r="AZ31" i="3"/>
  <c r="AZ32" i="3"/>
  <c r="AZ33" i="3"/>
  <c r="AZ35" i="3"/>
  <c r="AZ37" i="3"/>
  <c r="AZ39" i="3"/>
  <c r="AZ41" i="3"/>
  <c r="AZ42" i="3"/>
  <c r="AZ43" i="3"/>
  <c r="AZ45" i="3"/>
  <c r="AZ47" i="3"/>
  <c r="AZ50" i="3"/>
  <c r="AZ51" i="3"/>
  <c r="AZ53" i="3"/>
  <c r="AZ55" i="3"/>
  <c r="AZ58" i="3"/>
  <c r="AZ59" i="3"/>
  <c r="AZ61" i="3"/>
  <c r="AZ63" i="3"/>
  <c r="AZ66" i="3"/>
  <c r="AZ67" i="3"/>
  <c r="AZ69" i="3"/>
  <c r="AZ71" i="3"/>
  <c r="AZ72" i="3"/>
  <c r="AZ74" i="3"/>
  <c r="AZ75" i="3"/>
  <c r="AZ77" i="3"/>
  <c r="AZ79" i="3"/>
  <c r="AZ80" i="3"/>
  <c r="AZ82" i="3"/>
  <c r="AZ83" i="3"/>
  <c r="AZ84" i="3"/>
  <c r="AZ85" i="3"/>
  <c r="AZ86" i="3"/>
  <c r="AZ88" i="3"/>
  <c r="AZ89" i="3"/>
  <c r="AZ93" i="3"/>
  <c r="AZ94" i="3"/>
  <c r="AZ97" i="3"/>
  <c r="AZ101" i="3"/>
  <c r="AZ102" i="3"/>
  <c r="AZ105" i="3"/>
  <c r="AZ107" i="3"/>
  <c r="AZ109" i="3"/>
  <c r="AZ110" i="3"/>
  <c r="AZ111" i="3"/>
  <c r="AZ114" i="3"/>
  <c r="AZ115" i="3"/>
  <c r="BL116" i="3"/>
  <c r="AZ116" i="3"/>
  <c r="AZ117" i="3"/>
  <c r="AZ119" i="3"/>
  <c r="BL120" i="3"/>
  <c r="AZ120" i="3"/>
  <c r="AZ123" i="3"/>
  <c r="BL124" i="3"/>
  <c r="AZ124" i="3"/>
  <c r="AZ127" i="3"/>
  <c r="BL128" i="3"/>
  <c r="AZ128" i="3"/>
  <c r="AZ130" i="3"/>
  <c r="AZ131" i="3"/>
  <c r="BL132" i="3"/>
  <c r="AZ132" i="3"/>
  <c r="AZ133" i="3"/>
  <c r="AZ135" i="3"/>
  <c r="BL136" i="3"/>
  <c r="AZ136" i="3"/>
  <c r="AZ138" i="3"/>
  <c r="AZ139" i="3"/>
  <c r="BL140" i="3"/>
  <c r="AZ140" i="3"/>
  <c r="AZ142" i="3"/>
  <c r="AZ143" i="3"/>
  <c r="BL144" i="3"/>
  <c r="AZ144" i="3"/>
  <c r="AZ146" i="3"/>
  <c r="AZ147" i="3"/>
  <c r="BL148" i="3"/>
  <c r="AZ148" i="3"/>
  <c r="AZ149" i="3"/>
  <c r="AZ150" i="3"/>
  <c r="AZ151" i="3"/>
  <c r="BL152" i="3"/>
  <c r="AZ152" i="3"/>
  <c r="AZ154" i="3"/>
  <c r="AZ155" i="3"/>
  <c r="BL156" i="3"/>
  <c r="AZ156" i="3"/>
  <c r="AZ157" i="3"/>
  <c r="AZ158" i="3"/>
  <c r="AZ159" i="3"/>
  <c r="BL160" i="3"/>
  <c r="AZ160" i="3"/>
  <c r="AZ162" i="3"/>
  <c r="AZ163" i="3"/>
  <c r="BL164" i="3"/>
  <c r="AZ164" i="3"/>
  <c r="AZ165" i="3"/>
  <c r="AZ166" i="3"/>
  <c r="AZ167" i="3"/>
  <c r="BL168" i="3"/>
  <c r="AZ168" i="3"/>
  <c r="AZ170" i="3"/>
  <c r="AZ171" i="3"/>
  <c r="BL172" i="3"/>
  <c r="AZ172" i="3"/>
  <c r="AZ173" i="3"/>
  <c r="AZ174" i="3"/>
  <c r="AZ175" i="3"/>
  <c r="BL176" i="3"/>
  <c r="AZ176" i="3"/>
  <c r="AZ178" i="3"/>
  <c r="AZ179" i="3"/>
  <c r="BL180" i="3"/>
  <c r="AZ180" i="3"/>
  <c r="AZ181" i="3"/>
  <c r="AZ182" i="3"/>
  <c r="AZ183" i="3"/>
  <c r="BL184" i="3"/>
  <c r="AZ184" i="3"/>
  <c r="AZ186" i="3"/>
  <c r="AZ187" i="3"/>
  <c r="BL188" i="3"/>
  <c r="AZ188" i="3"/>
  <c r="AZ189" i="3"/>
  <c r="AZ190" i="3"/>
  <c r="AZ191" i="3"/>
  <c r="BL192" i="3"/>
  <c r="AZ192" i="3"/>
  <c r="AZ194" i="3"/>
  <c r="AZ195" i="3"/>
  <c r="BL196" i="3"/>
  <c r="AZ196" i="3"/>
  <c r="AZ197" i="3"/>
  <c r="AZ198" i="3"/>
  <c r="AZ199" i="3"/>
  <c r="BL200" i="3"/>
  <c r="AZ200" i="3"/>
  <c r="AZ202" i="3"/>
  <c r="AZ203" i="3"/>
  <c r="BL204" i="3"/>
  <c r="AZ204" i="3"/>
  <c r="AZ206" i="3"/>
  <c r="AZ209" i="3"/>
  <c r="AZ213" i="3"/>
  <c r="AZ214" i="3"/>
  <c r="AZ215" i="3"/>
  <c r="AZ218" i="3"/>
  <c r="AZ222" i="3"/>
  <c r="AZ223" i="3"/>
  <c r="AZ224" i="3"/>
  <c r="AZ227" i="3"/>
  <c r="AZ229" i="3"/>
  <c r="AZ232" i="3"/>
  <c r="AZ233" i="3"/>
  <c r="AZ234" i="3"/>
  <c r="AZ235" i="3"/>
  <c r="AZ237" i="3"/>
  <c r="AZ238" i="3"/>
  <c r="AZ240" i="3"/>
  <c r="AZ241" i="3"/>
  <c r="AZ243" i="3"/>
  <c r="AZ245" i="3"/>
  <c r="AZ248" i="3"/>
  <c r="AZ249" i="3"/>
  <c r="AZ250" i="3"/>
  <c r="AZ251" i="3"/>
  <c r="AZ253" i="3"/>
  <c r="AZ254" i="3"/>
  <c r="AZ256" i="3"/>
  <c r="AZ257" i="3"/>
  <c r="AZ259" i="3"/>
  <c r="AZ261" i="3"/>
  <c r="AZ263" i="3"/>
  <c r="AZ265" i="3"/>
  <c r="AZ266" i="3"/>
  <c r="AZ268" i="3"/>
  <c r="AZ269" i="3"/>
  <c r="AZ271" i="3"/>
  <c r="AZ273" i="3"/>
  <c r="AZ275" i="3"/>
  <c r="AZ279" i="3"/>
  <c r="AZ280" i="3"/>
  <c r="AZ281" i="3"/>
  <c r="AZ283" i="3"/>
  <c r="AZ286" i="3"/>
  <c r="AZ287" i="3"/>
  <c r="AZ288" i="3"/>
  <c r="AZ291" i="3"/>
  <c r="AZ295" i="3"/>
  <c r="AZ296" i="3"/>
  <c r="AZ297" i="3"/>
  <c r="AZ299" i="3"/>
  <c r="BL303" i="3"/>
  <c r="AZ303" i="3"/>
  <c r="BL304" i="3"/>
  <c r="AZ304" i="3"/>
  <c r="BL305" i="3"/>
  <c r="AZ305" i="3"/>
  <c r="BL306" i="3"/>
  <c r="AZ306" i="3"/>
  <c r="BL307" i="3"/>
  <c r="AZ307" i="3"/>
  <c r="AZ308" i="3"/>
  <c r="BL309" i="3"/>
  <c r="AZ309" i="3"/>
  <c r="BL310" i="3"/>
  <c r="AZ310" i="3"/>
  <c r="BL311" i="3"/>
  <c r="AZ311" i="3"/>
  <c r="AZ312" i="3"/>
  <c r="BL313" i="3"/>
  <c r="AZ313" i="3"/>
  <c r="AZ314" i="3"/>
  <c r="BL315" i="3"/>
  <c r="AZ315" i="3"/>
  <c r="AZ317" i="3"/>
  <c r="BL318" i="3"/>
  <c r="AZ318" i="3"/>
  <c r="BL319" i="3"/>
  <c r="AZ319" i="3"/>
  <c r="BL320" i="3"/>
  <c r="AZ320" i="3"/>
  <c r="BL321" i="3"/>
  <c r="AZ321" i="3"/>
  <c r="BL322" i="3"/>
  <c r="AZ322" i="3"/>
  <c r="BL323" i="3"/>
  <c r="AZ323" i="3"/>
  <c r="AZ324" i="3"/>
  <c r="BL325" i="3"/>
  <c r="AZ325" i="3"/>
  <c r="BL326" i="3"/>
  <c r="AZ326" i="3"/>
  <c r="BL327" i="3"/>
  <c r="AZ327" i="3"/>
  <c r="AZ328" i="3"/>
  <c r="BL329" i="3"/>
  <c r="AZ329" i="3"/>
  <c r="AZ330" i="3"/>
  <c r="BL331" i="3"/>
  <c r="AZ331" i="3"/>
  <c r="AZ333" i="3"/>
  <c r="BL334" i="3"/>
  <c r="AZ334" i="3"/>
  <c r="BL335" i="3"/>
  <c r="AZ335" i="3"/>
  <c r="BL336" i="3"/>
  <c r="AZ336" i="3"/>
  <c r="BL337" i="3"/>
  <c r="AZ337" i="3"/>
  <c r="BL338" i="3"/>
  <c r="AZ338" i="3"/>
  <c r="BL339" i="3"/>
  <c r="AZ339" i="3"/>
  <c r="AZ340" i="3"/>
  <c r="BL341" i="3"/>
  <c r="AZ341" i="3"/>
  <c r="BL342" i="3"/>
  <c r="AZ342" i="3"/>
  <c r="BL343" i="3"/>
  <c r="AZ343" i="3"/>
  <c r="BL344" i="3"/>
  <c r="AZ344" i="3"/>
  <c r="BL345" i="3"/>
  <c r="AZ345" i="3"/>
  <c r="AZ346" i="3"/>
  <c r="BL347" i="3"/>
  <c r="AZ347" i="3"/>
  <c r="AZ348" i="3"/>
  <c r="BL349" i="3"/>
  <c r="AZ349" i="3"/>
  <c r="AZ350" i="3"/>
  <c r="BL351" i="3"/>
  <c r="AZ351" i="3"/>
  <c r="BL352" i="3"/>
  <c r="AZ352" i="3"/>
  <c r="AZ353" i="3"/>
  <c r="AZ354" i="3"/>
  <c r="BL355" i="3"/>
  <c r="AZ355" i="3"/>
  <c r="BL356" i="3"/>
  <c r="AZ356" i="3"/>
  <c r="BL357" i="3"/>
  <c r="AZ357" i="3"/>
  <c r="BL358" i="3"/>
  <c r="AZ358" i="3"/>
  <c r="AZ359" i="3"/>
  <c r="BL360" i="3"/>
  <c r="AZ360" i="3"/>
  <c r="BL361" i="3"/>
  <c r="AZ361" i="3"/>
  <c r="BL362" i="3"/>
  <c r="AZ362" i="3"/>
  <c r="AZ363" i="3"/>
  <c r="BL364" i="3"/>
  <c r="AZ364" i="3"/>
  <c r="AZ365" i="3"/>
  <c r="BL366" i="3"/>
  <c r="AZ366" i="3"/>
  <c r="AZ367" i="3"/>
  <c r="AZ368" i="3"/>
  <c r="BL369" i="3"/>
  <c r="AZ369" i="3"/>
  <c r="BL370" i="3"/>
  <c r="AZ370" i="3"/>
  <c r="BL371" i="3"/>
  <c r="AZ371" i="3"/>
  <c r="BL372" i="3"/>
  <c r="AZ372" i="3"/>
  <c r="BL373" i="3"/>
  <c r="AZ373" i="3"/>
  <c r="BL374" i="3"/>
  <c r="AZ374" i="3"/>
  <c r="AZ375" i="3"/>
  <c r="BL376" i="3"/>
  <c r="AZ376" i="3"/>
  <c r="BL377" i="3"/>
  <c r="AZ377" i="3"/>
  <c r="BL378" i="3"/>
  <c r="AZ378" i="3"/>
  <c r="BL379" i="3"/>
  <c r="AZ379" i="3"/>
  <c r="BL380" i="3"/>
  <c r="AZ380" i="3"/>
  <c r="AZ381" i="3"/>
  <c r="BL382" i="3"/>
  <c r="AZ382" i="3"/>
  <c r="AZ383" i="3"/>
  <c r="BL384" i="3"/>
  <c r="AZ384" i="3"/>
  <c r="AZ386" i="3"/>
  <c r="BL387" i="3"/>
  <c r="AZ387" i="3"/>
  <c r="BL388" i="3"/>
  <c r="AZ388" i="3"/>
  <c r="BL389" i="3"/>
  <c r="AZ389" i="3"/>
  <c r="BL390" i="3"/>
  <c r="AZ390" i="3"/>
  <c r="BL391" i="3"/>
  <c r="AZ391" i="3"/>
  <c r="BL392" i="3"/>
  <c r="AZ392" i="3"/>
  <c r="AZ393" i="3"/>
  <c r="BL394" i="3"/>
  <c r="AZ394" i="3"/>
  <c r="AZ396" i="3"/>
  <c r="AZ401" i="3"/>
  <c r="AZ408" i="3"/>
  <c r="AZ412" i="3"/>
  <c r="AZ417" i="3"/>
  <c r="AZ428" i="3"/>
  <c r="AZ433" i="3"/>
  <c r="AZ437" i="3"/>
  <c r="AZ441" i="3"/>
  <c r="AZ457" i="3"/>
  <c r="AZ465" i="3"/>
  <c r="AZ473" i="3"/>
  <c r="AZ490" i="3"/>
  <c r="AZ491" i="3"/>
  <c r="BM493" i="3"/>
  <c r="BN493" i="3"/>
  <c r="BO493" i="3"/>
  <c r="BP493" i="3"/>
  <c r="BL493" i="3"/>
  <c r="AZ493" i="3"/>
  <c r="BM494" i="3"/>
  <c r="BN494" i="3"/>
  <c r="BO494" i="3"/>
  <c r="BP494" i="3"/>
  <c r="BL494" i="3"/>
  <c r="AZ494" i="3"/>
  <c r="BM495" i="3"/>
  <c r="BN495" i="3"/>
  <c r="BO495" i="3"/>
  <c r="BP495" i="3"/>
  <c r="BL495" i="3"/>
  <c r="AZ495" i="3"/>
  <c r="BM496" i="3"/>
  <c r="BN496" i="3"/>
  <c r="BO496" i="3"/>
  <c r="BP496" i="3"/>
  <c r="BL496" i="3"/>
  <c r="AZ496" i="3"/>
  <c r="BM497" i="3"/>
  <c r="BN497" i="3"/>
  <c r="BO497" i="3"/>
  <c r="BP497" i="3"/>
  <c r="BL497" i="3"/>
  <c r="AZ497" i="3"/>
  <c r="BM498" i="3"/>
  <c r="BN498" i="3"/>
  <c r="BO498" i="3"/>
  <c r="BP498" i="3"/>
  <c r="BL498" i="3"/>
  <c r="AZ498" i="3"/>
  <c r="BM499" i="3"/>
  <c r="BN499" i="3"/>
  <c r="BO499" i="3"/>
  <c r="BP499" i="3"/>
  <c r="BL499" i="3"/>
  <c r="AZ499" i="3"/>
  <c r="BM500" i="3"/>
  <c r="BN500" i="3"/>
  <c r="BO500" i="3"/>
  <c r="BP500" i="3"/>
  <c r="BL500" i="3"/>
  <c r="AZ500" i="3"/>
  <c r="BM501" i="3"/>
  <c r="BN501" i="3"/>
  <c r="BO501" i="3"/>
  <c r="BP501" i="3"/>
  <c r="BL501" i="3"/>
  <c r="AZ501" i="3"/>
  <c r="BM502" i="3"/>
  <c r="BN502" i="3"/>
  <c r="BO502" i="3"/>
  <c r="BP502" i="3"/>
  <c r="BL502" i="3"/>
  <c r="AZ502" i="3"/>
  <c r="BM503" i="3"/>
  <c r="BN503" i="3"/>
  <c r="BO503" i="3"/>
  <c r="BP503" i="3"/>
  <c r="BL503" i="3"/>
  <c r="AZ503" i="3"/>
  <c r="BM504" i="3"/>
  <c r="BN504" i="3"/>
  <c r="BO504" i="3"/>
  <c r="BP504" i="3"/>
  <c r="BL504" i="3"/>
  <c r="AZ504" i="3"/>
  <c r="BM505" i="3"/>
  <c r="BN505" i="3"/>
  <c r="BO505" i="3"/>
  <c r="BP505" i="3"/>
  <c r="BL505" i="3"/>
  <c r="AZ505" i="3"/>
  <c r="BM506" i="3"/>
  <c r="BN506" i="3"/>
  <c r="BO506" i="3"/>
  <c r="BP506" i="3"/>
  <c r="BL506" i="3"/>
  <c r="AZ506" i="3"/>
  <c r="BM507" i="3"/>
  <c r="BN507" i="3"/>
  <c r="BO507" i="3"/>
  <c r="BP507" i="3"/>
  <c r="BL507" i="3"/>
  <c r="AZ507" i="3"/>
  <c r="BM508" i="3"/>
  <c r="BN508" i="3"/>
  <c r="BO508" i="3"/>
  <c r="BP508" i="3"/>
  <c r="BL508" i="3"/>
  <c r="AZ508" i="3"/>
  <c r="BM509" i="3"/>
  <c r="BN509" i="3"/>
  <c r="BO509" i="3"/>
  <c r="BP509" i="3"/>
  <c r="BL509" i="3"/>
  <c r="AZ509" i="3"/>
  <c r="BM510" i="3"/>
  <c r="BN510" i="3"/>
  <c r="BO510" i="3"/>
  <c r="BP510" i="3"/>
  <c r="BL510" i="3"/>
  <c r="AZ510" i="3"/>
  <c r="BM511" i="3"/>
  <c r="BN511" i="3"/>
  <c r="BO511" i="3"/>
  <c r="BP511" i="3"/>
  <c r="BL511" i="3"/>
  <c r="AZ511" i="3"/>
  <c r="BM512" i="3"/>
  <c r="BN512" i="3"/>
  <c r="BO512" i="3"/>
  <c r="BP512" i="3"/>
  <c r="BL512" i="3"/>
  <c r="AZ512" i="3"/>
  <c r="BM513" i="3"/>
  <c r="BN513" i="3"/>
  <c r="BO513" i="3"/>
  <c r="BP513" i="3"/>
  <c r="BL513" i="3"/>
  <c r="AZ513" i="3"/>
  <c r="BM514" i="3"/>
  <c r="BN514" i="3"/>
  <c r="BO514" i="3"/>
  <c r="BP514" i="3"/>
  <c r="BL514" i="3"/>
  <c r="AZ514" i="3"/>
  <c r="BM515" i="3"/>
  <c r="BN515" i="3"/>
  <c r="BO515" i="3"/>
  <c r="BP515" i="3"/>
  <c r="BL515" i="3"/>
  <c r="AZ515" i="3"/>
  <c r="BM516" i="3"/>
  <c r="BN516" i="3"/>
  <c r="BO516" i="3"/>
  <c r="BP516" i="3"/>
  <c r="BL516" i="3"/>
  <c r="AZ516" i="3"/>
  <c r="BM517" i="3"/>
  <c r="BN517" i="3"/>
  <c r="BO517" i="3"/>
  <c r="BP517" i="3"/>
  <c r="BL517" i="3"/>
  <c r="AZ517" i="3"/>
  <c r="BM518" i="3"/>
  <c r="BN518" i="3"/>
  <c r="BO518" i="3"/>
  <c r="BP518" i="3"/>
  <c r="BL518" i="3"/>
  <c r="AZ518" i="3"/>
  <c r="BM519" i="3"/>
  <c r="BN519" i="3"/>
  <c r="BO519" i="3"/>
  <c r="BP519" i="3"/>
  <c r="BL519" i="3"/>
  <c r="AZ519" i="3"/>
  <c r="BM520" i="3"/>
  <c r="BN520" i="3"/>
  <c r="BO520" i="3"/>
  <c r="BP520" i="3"/>
  <c r="BL520" i="3"/>
  <c r="AZ520" i="3"/>
  <c r="BM521" i="3"/>
  <c r="BN521" i="3"/>
  <c r="BO521" i="3"/>
  <c r="BP521" i="3"/>
  <c r="BL521" i="3"/>
  <c r="AZ521" i="3"/>
  <c r="BM522" i="3"/>
  <c r="BN522" i="3"/>
  <c r="BO522" i="3"/>
  <c r="BP522" i="3"/>
  <c r="BL522" i="3"/>
  <c r="AZ522" i="3"/>
  <c r="BM523" i="3"/>
  <c r="BN523" i="3"/>
  <c r="BO523" i="3"/>
  <c r="BP523" i="3"/>
  <c r="BL523" i="3"/>
  <c r="AZ523" i="3"/>
  <c r="BM524" i="3"/>
  <c r="BN524" i="3"/>
  <c r="BO524" i="3"/>
  <c r="BP524" i="3"/>
  <c r="BL524" i="3"/>
  <c r="AZ524" i="3"/>
  <c r="BM525" i="3"/>
  <c r="BN525" i="3"/>
  <c r="BO525" i="3"/>
  <c r="BP525" i="3"/>
  <c r="BL525" i="3"/>
  <c r="AZ525" i="3"/>
  <c r="BM526" i="3"/>
  <c r="BN526" i="3"/>
  <c r="BO526" i="3"/>
  <c r="BP526" i="3"/>
  <c r="BL526" i="3"/>
  <c r="AZ526" i="3"/>
  <c r="BM527" i="3"/>
  <c r="BN527" i="3"/>
  <c r="BO527" i="3"/>
  <c r="BP527" i="3"/>
  <c r="BL527" i="3"/>
  <c r="AZ527" i="3"/>
  <c r="BM528" i="3"/>
  <c r="BN528" i="3"/>
  <c r="BO528" i="3"/>
  <c r="BP528" i="3"/>
  <c r="BL528" i="3"/>
  <c r="AZ528" i="3"/>
  <c r="BM529" i="3"/>
  <c r="BN529" i="3"/>
  <c r="BO529" i="3"/>
  <c r="BP529" i="3"/>
  <c r="BL529" i="3"/>
  <c r="AZ529" i="3"/>
  <c r="BM530" i="3"/>
  <c r="BN530" i="3"/>
  <c r="BO530" i="3"/>
  <c r="BP530" i="3"/>
  <c r="BL530" i="3"/>
  <c r="AZ530" i="3"/>
  <c r="BM531" i="3"/>
  <c r="BN531" i="3"/>
  <c r="BO531" i="3"/>
  <c r="BP531" i="3"/>
  <c r="BL531" i="3"/>
  <c r="AZ531" i="3"/>
  <c r="BM532" i="3"/>
  <c r="BN532" i="3"/>
  <c r="BO532" i="3"/>
  <c r="BP532" i="3"/>
  <c r="BL532" i="3"/>
  <c r="AZ532" i="3"/>
  <c r="BM533" i="3"/>
  <c r="BN533" i="3"/>
  <c r="BO533" i="3"/>
  <c r="BP533" i="3"/>
  <c r="BL533" i="3"/>
  <c r="AZ533" i="3"/>
  <c r="BM534" i="3"/>
  <c r="BN534" i="3"/>
  <c r="BO534" i="3"/>
  <c r="BP534" i="3"/>
  <c r="BL534" i="3"/>
  <c r="AZ534" i="3"/>
  <c r="BM535" i="3"/>
  <c r="BN535" i="3"/>
  <c r="BO535" i="3"/>
  <c r="BP535" i="3"/>
  <c r="BL535" i="3"/>
  <c r="AZ535" i="3"/>
  <c r="BM536" i="3"/>
  <c r="BN536" i="3"/>
  <c r="BO536" i="3"/>
  <c r="BP536" i="3"/>
  <c r="BL536" i="3"/>
  <c r="AZ536" i="3"/>
  <c r="BM537" i="3"/>
  <c r="BN537" i="3"/>
  <c r="BO537" i="3"/>
  <c r="BP537" i="3"/>
  <c r="BL537" i="3"/>
  <c r="AZ537" i="3"/>
  <c r="BM538" i="3"/>
  <c r="BN538" i="3"/>
  <c r="BO538" i="3"/>
  <c r="BP538" i="3"/>
  <c r="BL538" i="3"/>
  <c r="AZ538" i="3"/>
  <c r="BM539" i="3"/>
  <c r="BN539" i="3"/>
  <c r="BO539" i="3"/>
  <c r="BP539" i="3"/>
  <c r="BL539" i="3"/>
  <c r="AZ539" i="3"/>
  <c r="BM540" i="3"/>
  <c r="BN540" i="3"/>
  <c r="BO540" i="3"/>
  <c r="BP540" i="3"/>
  <c r="BL540" i="3"/>
  <c r="AZ540" i="3"/>
  <c r="BM541" i="3"/>
  <c r="BN541" i="3"/>
  <c r="BO541" i="3"/>
  <c r="BP541" i="3"/>
  <c r="BL541" i="3"/>
  <c r="AZ541" i="3"/>
  <c r="BM542" i="3"/>
  <c r="BN542" i="3"/>
  <c r="BO542" i="3"/>
  <c r="BP542" i="3"/>
  <c r="BL542" i="3"/>
  <c r="AZ542" i="3"/>
  <c r="BM543" i="3"/>
  <c r="BN543" i="3"/>
  <c r="BO543" i="3"/>
  <c r="BP543" i="3"/>
  <c r="BL543" i="3"/>
  <c r="AZ543" i="3"/>
  <c r="BM544" i="3"/>
  <c r="BN544" i="3"/>
  <c r="BO544" i="3"/>
  <c r="BP544" i="3"/>
  <c r="BL544" i="3"/>
  <c r="AZ544" i="3"/>
  <c r="BM545" i="3"/>
  <c r="BN545" i="3"/>
  <c r="BO545" i="3"/>
  <c r="BP545" i="3"/>
  <c r="BL545" i="3"/>
  <c r="AZ545" i="3"/>
  <c r="BM546" i="3"/>
  <c r="BN546" i="3"/>
  <c r="BO546" i="3"/>
  <c r="BP546" i="3"/>
  <c r="BL546" i="3"/>
  <c r="AZ546" i="3"/>
  <c r="BM547" i="3"/>
  <c r="BN547" i="3"/>
  <c r="BO547" i="3"/>
  <c r="BP547" i="3"/>
  <c r="BL547" i="3"/>
  <c r="AZ547" i="3"/>
  <c r="BM548" i="3"/>
  <c r="BN548" i="3"/>
  <c r="BO548" i="3"/>
  <c r="BP548" i="3"/>
  <c r="BL548" i="3"/>
  <c r="AZ548" i="3"/>
  <c r="BM549" i="3"/>
  <c r="BN549" i="3"/>
  <c r="BO549" i="3"/>
  <c r="BP549" i="3"/>
  <c r="BL549" i="3"/>
  <c r="AZ549" i="3"/>
  <c r="BM550" i="3"/>
  <c r="BN550" i="3"/>
  <c r="BO550" i="3"/>
  <c r="BP550" i="3"/>
  <c r="BL550" i="3"/>
  <c r="AZ550" i="3"/>
  <c r="BM551" i="3"/>
  <c r="BN551" i="3"/>
  <c r="BO551" i="3"/>
  <c r="BP551" i="3"/>
  <c r="BL551" i="3"/>
  <c r="AZ551" i="3"/>
  <c r="BM552" i="3"/>
  <c r="BN552" i="3"/>
  <c r="BO552" i="3"/>
  <c r="BP552" i="3"/>
  <c r="BL552" i="3"/>
  <c r="AZ552" i="3"/>
  <c r="BM553" i="3"/>
  <c r="BN553" i="3"/>
  <c r="BO553" i="3"/>
  <c r="BP553" i="3"/>
  <c r="BL553" i="3"/>
  <c r="AZ553" i="3"/>
  <c r="BM554" i="3"/>
  <c r="BN554" i="3"/>
  <c r="BO554" i="3"/>
  <c r="BP554" i="3"/>
  <c r="BL554" i="3"/>
  <c r="AZ554" i="3"/>
  <c r="BM555" i="3"/>
  <c r="BN555" i="3"/>
  <c r="BO555" i="3"/>
  <c r="BP555" i="3"/>
  <c r="BL555" i="3"/>
  <c r="AZ555" i="3"/>
  <c r="BM556" i="3"/>
  <c r="BN556" i="3"/>
  <c r="BO556" i="3"/>
  <c r="BP556" i="3"/>
  <c r="BL556" i="3"/>
  <c r="AZ556" i="3"/>
  <c r="BM557" i="3"/>
  <c r="BN557" i="3"/>
  <c r="BO557" i="3"/>
  <c r="BP557" i="3"/>
  <c r="BL557" i="3"/>
  <c r="AZ557" i="3"/>
  <c r="BM558" i="3"/>
  <c r="BN558" i="3"/>
  <c r="BO558" i="3"/>
  <c r="BP558" i="3"/>
  <c r="BL558" i="3"/>
  <c r="AZ558" i="3"/>
  <c r="BM559" i="3"/>
  <c r="BN559" i="3"/>
  <c r="BO559" i="3"/>
  <c r="BP559" i="3"/>
  <c r="BL559" i="3"/>
  <c r="AZ559" i="3"/>
  <c r="BM560" i="3"/>
  <c r="BN560" i="3"/>
  <c r="BO560" i="3"/>
  <c r="BP560" i="3"/>
  <c r="BL560" i="3"/>
  <c r="AZ560" i="3"/>
  <c r="BM561" i="3"/>
  <c r="BN561" i="3"/>
  <c r="BO561" i="3"/>
  <c r="BP561" i="3"/>
  <c r="BL561" i="3"/>
  <c r="AZ561" i="3"/>
  <c r="BM562" i="3"/>
  <c r="BN562" i="3"/>
  <c r="BO562" i="3"/>
  <c r="BP562" i="3"/>
  <c r="BL562" i="3"/>
  <c r="AZ562" i="3"/>
  <c r="BM563" i="3"/>
  <c r="BN563" i="3"/>
  <c r="BO563" i="3"/>
  <c r="BP563" i="3"/>
  <c r="BL563" i="3"/>
  <c r="AZ563" i="3"/>
  <c r="BM564" i="3"/>
  <c r="BN564" i="3"/>
  <c r="BO564" i="3"/>
  <c r="BP564" i="3"/>
  <c r="BL564" i="3"/>
  <c r="AZ564" i="3"/>
  <c r="BM565" i="3"/>
  <c r="BN565" i="3"/>
  <c r="BO565" i="3"/>
  <c r="BP565" i="3"/>
  <c r="BL565" i="3"/>
  <c r="AZ565" i="3"/>
  <c r="BM566" i="3"/>
  <c r="BN566" i="3"/>
  <c r="BO566" i="3"/>
  <c r="BP566" i="3"/>
  <c r="BL566" i="3"/>
  <c r="AZ566" i="3"/>
  <c r="BM567" i="3"/>
  <c r="BN567" i="3"/>
  <c r="BO567" i="3"/>
  <c r="BP567" i="3"/>
  <c r="BL567" i="3"/>
  <c r="AZ567" i="3"/>
  <c r="BM568" i="3"/>
  <c r="BN568" i="3"/>
  <c r="BO568" i="3"/>
  <c r="BP568" i="3"/>
  <c r="BL568" i="3"/>
  <c r="AZ568" i="3"/>
  <c r="BM569" i="3"/>
  <c r="BN569" i="3"/>
  <c r="BO569" i="3"/>
  <c r="BP569" i="3"/>
  <c r="BL569" i="3"/>
  <c r="AZ569" i="3"/>
  <c r="BM570" i="3"/>
  <c r="BN570" i="3"/>
  <c r="BO570" i="3"/>
  <c r="BP570" i="3"/>
  <c r="BL570" i="3"/>
  <c r="AZ570" i="3"/>
  <c r="BM571" i="3"/>
  <c r="BN571" i="3"/>
  <c r="BO571" i="3"/>
  <c r="BP571" i="3"/>
  <c r="BL571" i="3"/>
  <c r="AZ571" i="3"/>
  <c r="BM572" i="3"/>
  <c r="BN572" i="3"/>
  <c r="BO572" i="3"/>
  <c r="BP572" i="3"/>
  <c r="BL572" i="3"/>
  <c r="AZ572" i="3"/>
  <c r="BM573" i="3"/>
  <c r="BN573" i="3"/>
  <c r="BO573" i="3"/>
  <c r="BP573" i="3"/>
  <c r="BL573" i="3"/>
  <c r="AZ573" i="3"/>
  <c r="BM574" i="3"/>
  <c r="BN574" i="3"/>
  <c r="BO574" i="3"/>
  <c r="BP574" i="3"/>
  <c r="BL574" i="3"/>
  <c r="AZ574" i="3"/>
  <c r="BM575" i="3"/>
  <c r="BN575" i="3"/>
  <c r="BO575" i="3"/>
  <c r="BP575" i="3"/>
  <c r="BL575" i="3"/>
  <c r="AZ575" i="3"/>
  <c r="BM576" i="3"/>
  <c r="BN576" i="3"/>
  <c r="BO576" i="3"/>
  <c r="BP576" i="3"/>
  <c r="BL576" i="3"/>
  <c r="AZ576" i="3"/>
  <c r="BM577" i="3"/>
  <c r="BN577" i="3"/>
  <c r="BO577" i="3"/>
  <c r="BP577" i="3"/>
  <c r="BL577" i="3"/>
  <c r="AZ577" i="3"/>
  <c r="BM578" i="3"/>
  <c r="BN578" i="3"/>
  <c r="BO578" i="3"/>
  <c r="BP578" i="3"/>
  <c r="BL578" i="3"/>
  <c r="AZ578" i="3"/>
  <c r="BM579" i="3"/>
  <c r="BN579" i="3"/>
  <c r="BO579" i="3"/>
  <c r="BP579" i="3"/>
  <c r="BL579" i="3"/>
  <c r="AZ579" i="3"/>
  <c r="BM580" i="3"/>
  <c r="BN580" i="3"/>
  <c r="BO580" i="3"/>
  <c r="BP580" i="3"/>
  <c r="BL580" i="3"/>
  <c r="AZ580" i="3"/>
  <c r="BM581" i="3"/>
  <c r="BN581" i="3"/>
  <c r="BO581" i="3"/>
  <c r="BP581" i="3"/>
  <c r="BL581" i="3"/>
  <c r="AZ581" i="3"/>
  <c r="BM582" i="3"/>
  <c r="BN582" i="3"/>
  <c r="BO582" i="3"/>
  <c r="BP582" i="3"/>
  <c r="BL582" i="3"/>
  <c r="AZ582" i="3"/>
  <c r="BM583" i="3"/>
  <c r="BN583" i="3"/>
  <c r="BO583" i="3"/>
  <c r="BP583" i="3"/>
  <c r="BL583" i="3"/>
  <c r="AZ583" i="3"/>
  <c r="BM584" i="3"/>
  <c r="BN584" i="3"/>
  <c r="BO584" i="3"/>
  <c r="BP584" i="3"/>
  <c r="BL584" i="3"/>
  <c r="AZ584" i="3"/>
  <c r="BM585" i="3"/>
  <c r="BN585" i="3"/>
  <c r="BO585" i="3"/>
  <c r="BP585" i="3"/>
  <c r="BL585" i="3"/>
  <c r="AZ585" i="3"/>
  <c r="BM586" i="3"/>
  <c r="BN586" i="3"/>
  <c r="BO586" i="3"/>
  <c r="BP586" i="3"/>
  <c r="BL586" i="3"/>
  <c r="AZ586" i="3"/>
  <c r="BM587" i="3"/>
  <c r="BN587" i="3"/>
  <c r="BO587" i="3"/>
  <c r="BP587" i="3"/>
  <c r="BL587" i="3"/>
  <c r="AZ587" i="3"/>
  <c r="AZ5" i="3"/>
  <c r="E3" i="6"/>
  <c r="D19" i="11"/>
  <c r="B31" i="1"/>
  <c r="E19" i="11"/>
  <c r="C19" i="11"/>
  <c r="C20" i="11"/>
  <c r="K7" i="1"/>
  <c r="K9" i="1"/>
  <c r="K11" i="1"/>
  <c r="K12" i="1"/>
  <c r="Q16" i="1"/>
  <c r="F27" i="11"/>
  <c r="C28" i="11"/>
  <c r="C27" i="11"/>
  <c r="F21" i="11"/>
  <c r="C21" i="11"/>
  <c r="C29" i="11"/>
  <c r="D27" i="11"/>
  <c r="F12" i="12"/>
  <c r="F13" i="12"/>
  <c r="F15" i="12"/>
  <c r="E14" i="12"/>
  <c r="BC11" i="3"/>
  <c r="BD11" i="3"/>
  <c r="BB11" i="3"/>
  <c r="E19" i="12"/>
  <c r="E20" i="12"/>
  <c r="E17" i="12"/>
  <c r="F22" i="12"/>
  <c r="F23" i="12"/>
  <c r="C17" i="9"/>
  <c r="D17" i="9"/>
  <c r="I55" i="9"/>
  <c r="F55" i="9"/>
  <c r="O53" i="9"/>
  <c r="D89" i="9"/>
  <c r="C89" i="9"/>
  <c r="C87" i="9"/>
  <c r="G12" i="1"/>
  <c r="J55" i="9"/>
  <c r="B52" i="1"/>
  <c r="M20" i="15"/>
  <c r="T4" i="1"/>
  <c r="F15" i="15"/>
  <c r="F17" i="15"/>
  <c r="F18" i="15"/>
  <c r="F20" i="15"/>
  <c r="F21" i="15"/>
  <c r="D3" i="35"/>
  <c r="N55" i="9"/>
  <c r="K55" i="9"/>
  <c r="O55" i="9"/>
  <c r="N54" i="9"/>
  <c r="N53" i="9"/>
  <c r="E48" i="9"/>
  <c r="N52" i="9"/>
  <c r="F56" i="9"/>
  <c r="O54" i="9"/>
  <c r="D101" i="9"/>
  <c r="C101"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7" i="12"/>
  <c r="I7" i="12"/>
  <c r="J7" i="12"/>
  <c r="K7" i="12"/>
  <c r="H111" i="21"/>
  <c r="B109" i="39"/>
  <c r="B111" i="39"/>
  <c r="H36"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U41" i="21"/>
  <c r="D80" i="39"/>
  <c r="E80" i="39"/>
  <c r="F80" i="39"/>
  <c r="G80" i="39"/>
  <c r="H80"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D123" i="39"/>
  <c r="E123" i="39"/>
  <c r="F123" i="39"/>
  <c r="G123" i="39"/>
  <c r="H123" i="39"/>
  <c r="I123" i="39"/>
  <c r="J123" i="39"/>
  <c r="K123" i="39"/>
  <c r="L123" i="39"/>
  <c r="M123" i="39"/>
  <c r="D119" i="39"/>
  <c r="E119" i="39"/>
  <c r="F119" i="39"/>
  <c r="G119" i="39"/>
  <c r="H119" i="39"/>
  <c r="I119" i="39"/>
  <c r="J119" i="39"/>
  <c r="K119" i="39"/>
  <c r="L119" i="39"/>
  <c r="M119" i="39"/>
  <c r="B113" i="39"/>
  <c r="J37" i="39"/>
  <c r="AC37" i="39"/>
  <c r="D108" i="39"/>
  <c r="F34" i="39"/>
  <c r="AA34" i="39"/>
  <c r="D106" i="39"/>
  <c r="E106" i="39"/>
  <c r="F106" i="39"/>
  <c r="G106" i="39"/>
  <c r="H106" i="39"/>
  <c r="I106" i="39"/>
  <c r="J106" i="39"/>
  <c r="K106" i="39"/>
  <c r="L106" i="39"/>
  <c r="M106" i="39"/>
  <c r="D104" i="39"/>
  <c r="E104" i="39"/>
  <c r="F104" i="39"/>
  <c r="G104" i="39"/>
  <c r="H104" i="39"/>
  <c r="I104" i="39"/>
  <c r="J104" i="39"/>
  <c r="K104" i="39"/>
  <c r="L104" i="39"/>
  <c r="M104" i="39"/>
  <c r="D100" i="39"/>
  <c r="E100" i="39"/>
  <c r="D98" i="39"/>
  <c r="E98" i="39"/>
  <c r="Q39" i="39"/>
  <c r="Z39" i="39"/>
  <c r="Q40" i="39"/>
  <c r="Z40" i="39"/>
  <c r="Q41" i="39"/>
  <c r="Z41" i="39"/>
  <c r="Q42" i="39"/>
  <c r="Z42" i="39"/>
  <c r="Q43" i="39"/>
  <c r="Z43" i="39"/>
  <c r="Q44" i="39"/>
  <c r="Z44" i="39"/>
  <c r="Q45" i="39"/>
  <c r="Z45" i="39"/>
  <c r="Q38" i="39"/>
  <c r="Z38" i="39"/>
  <c r="Q36" i="39"/>
  <c r="Z36" i="39"/>
  <c r="Q37" i="39"/>
  <c r="Z37" i="39"/>
  <c r="B130" i="39"/>
  <c r="H45" i="39"/>
  <c r="B128" i="39"/>
  <c r="F44" i="39"/>
  <c r="J43" i="39"/>
  <c r="D125" i="39"/>
  <c r="E125" i="39"/>
  <c r="F125" i="39"/>
  <c r="G125" i="39"/>
  <c r="H125" i="39"/>
  <c r="I125" i="39"/>
  <c r="J125" i="39"/>
  <c r="K125" i="39"/>
  <c r="L125" i="39"/>
  <c r="M125" i="39"/>
  <c r="D121" i="39"/>
  <c r="E121" i="39"/>
  <c r="F121" i="39"/>
  <c r="G121" i="39"/>
  <c r="H121" i="39"/>
  <c r="I121" i="39"/>
  <c r="J121" i="39"/>
  <c r="K121" i="39"/>
  <c r="L121" i="39"/>
  <c r="M121" i="39"/>
  <c r="H35" i="39"/>
  <c r="AB35" i="39"/>
  <c r="B103" i="39"/>
  <c r="D96" i="39"/>
  <c r="E96" i="39"/>
  <c r="E94" i="39"/>
  <c r="F94" i="39"/>
  <c r="G94" i="39"/>
  <c r="D92" i="39"/>
  <c r="E92" i="39"/>
  <c r="F92" i="39"/>
  <c r="G92" i="39"/>
  <c r="D90" i="39"/>
  <c r="E90" i="39"/>
  <c r="F90" i="39"/>
  <c r="G90" i="39"/>
  <c r="D88" i="39"/>
  <c r="E88" i="39"/>
  <c r="B85" i="39"/>
  <c r="H14" i="39"/>
  <c r="U14" i="39"/>
  <c r="B83" i="39"/>
  <c r="H13" i="39"/>
  <c r="B81" i="39"/>
  <c r="J12" i="39"/>
  <c r="M78" i="39"/>
  <c r="L78" i="39"/>
  <c r="K78" i="39"/>
  <c r="J78" i="39"/>
  <c r="I78" i="39"/>
  <c r="H78" i="39"/>
  <c r="G78" i="39"/>
  <c r="F78" i="39"/>
  <c r="E78" i="39"/>
  <c r="D78" i="39"/>
  <c r="C78" i="39"/>
  <c r="P48" i="39"/>
  <c r="P47" i="39"/>
  <c r="P46" i="39"/>
  <c r="J40" i="39"/>
  <c r="AC40" i="39"/>
  <c r="F40" i="39"/>
  <c r="S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U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AC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90" i="43"/>
  <c r="G19" i="20"/>
  <c r="B87" i="43"/>
  <c r="G16" i="20"/>
  <c r="B84" i="43"/>
  <c r="G15" i="20"/>
  <c r="B83" i="43"/>
  <c r="B75" i="43"/>
  <c r="B76" i="43"/>
  <c r="B79" i="43"/>
  <c r="B73" i="43"/>
  <c r="C17" i="20"/>
  <c r="B61" i="43"/>
  <c r="C16" i="20"/>
  <c r="C17" i="39"/>
  <c r="C15" i="20"/>
  <c r="B72"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I101" i="21"/>
  <c r="J101" i="21"/>
  <c r="K101" i="21"/>
  <c r="L101" i="21"/>
  <c r="M101" i="21"/>
  <c r="D89" i="21"/>
  <c r="E89" i="21"/>
  <c r="F89" i="21"/>
  <c r="G89" i="21"/>
  <c r="H89" i="21"/>
  <c r="I89" i="21"/>
  <c r="J89" i="21"/>
  <c r="K89" i="21"/>
  <c r="L89" i="21"/>
  <c r="M89" i="21"/>
  <c r="D67" i="21"/>
  <c r="E67" i="21"/>
  <c r="F67" i="21"/>
  <c r="G67" i="21"/>
  <c r="H67" i="21"/>
  <c r="I67" i="21"/>
  <c r="J67" i="21"/>
  <c r="K67" i="21"/>
  <c r="L67" i="21"/>
  <c r="M67" i="21"/>
  <c r="C67" i="21"/>
  <c r="D69" i="21"/>
  <c r="E69" i="21"/>
  <c r="F69" i="21"/>
  <c r="D111" i="21"/>
  <c r="E111" i="21"/>
  <c r="F111" i="21"/>
  <c r="C111" i="21"/>
  <c r="D79" i="21"/>
  <c r="E79" i="21"/>
  <c r="F79" i="21"/>
  <c r="G79" i="21"/>
  <c r="F19" i="21"/>
  <c r="AA19"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J5" i="3"/>
  <c r="BE10"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S41" i="21"/>
  <c r="J35" i="39"/>
  <c r="AC35" i="39"/>
  <c r="F35" i="39"/>
  <c r="AA35" i="39"/>
  <c r="U9" i="39"/>
  <c r="W25" i="37"/>
  <c r="U30" i="37"/>
  <c r="W31" i="37"/>
  <c r="E103" i="37"/>
  <c r="F103" i="37"/>
  <c r="G103" i="37"/>
  <c r="H103" i="37"/>
  <c r="I103" i="37"/>
  <c r="J103" i="37"/>
  <c r="K103" i="37"/>
  <c r="L103" i="37"/>
  <c r="M103" i="37"/>
  <c r="F39" i="37"/>
  <c r="S39" i="37"/>
  <c r="U14" i="37"/>
  <c r="F29" i="36"/>
  <c r="AA29" i="36"/>
  <c r="F16" i="36"/>
  <c r="AA16" i="36"/>
  <c r="U9" i="36"/>
  <c r="W28" i="36"/>
  <c r="U31" i="36"/>
  <c r="J33" i="36"/>
  <c r="AC33" i="36"/>
  <c r="H22" i="35"/>
  <c r="AB22" i="35"/>
  <c r="AC27" i="35"/>
  <c r="W28" i="35"/>
  <c r="U31" i="35"/>
  <c r="S34" i="35"/>
  <c r="W34" i="35"/>
  <c r="W36" i="35"/>
  <c r="W22" i="35"/>
  <c r="S31" i="35"/>
  <c r="U34" i="35"/>
  <c r="F36" i="34"/>
  <c r="J35" i="34"/>
  <c r="W9" i="34"/>
  <c r="U34" i="34"/>
  <c r="H39" i="33"/>
  <c r="AB39" i="33"/>
  <c r="F26" i="33"/>
  <c r="AA26"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1" i="39"/>
  <c r="AA41" i="39"/>
  <c r="H40" i="39"/>
  <c r="AB40" i="39"/>
  <c r="H39" i="39"/>
  <c r="U39" i="39"/>
  <c r="H34" i="39"/>
  <c r="U34" i="39"/>
  <c r="E108" i="39"/>
  <c r="H31" i="39"/>
  <c r="U31" i="39"/>
  <c r="F31" i="39"/>
  <c r="AA31" i="39"/>
  <c r="H19" i="39"/>
  <c r="AB19" i="39"/>
  <c r="F19" i="39"/>
  <c r="AA19" i="39"/>
  <c r="H17" i="39"/>
  <c r="AB17" i="39"/>
  <c r="F17" i="39"/>
  <c r="S17" i="39"/>
  <c r="J23" i="40"/>
  <c r="AC23" i="40"/>
  <c r="F21" i="40"/>
  <c r="AA21" i="40"/>
  <c r="J21" i="40"/>
  <c r="W21" i="40"/>
  <c r="H42" i="39"/>
  <c r="U42" i="39"/>
  <c r="J34" i="39"/>
  <c r="AC34" i="39"/>
  <c r="F108" i="39"/>
  <c r="G108" i="39"/>
  <c r="H108" i="39"/>
  <c r="I108" i="39"/>
  <c r="J108" i="39"/>
  <c r="K108" i="39"/>
  <c r="L108" i="39"/>
  <c r="M108" i="39"/>
  <c r="J31" i="39"/>
  <c r="AC31" i="39"/>
  <c r="J19" i="39"/>
  <c r="AC19" i="39"/>
  <c r="J17" i="39"/>
  <c r="W17" i="39"/>
  <c r="S40" i="21"/>
  <c r="U34" i="21"/>
  <c r="S34" i="21"/>
  <c r="C25" i="39"/>
  <c r="C27" i="39"/>
  <c r="C21" i="39"/>
  <c r="C15" i="39"/>
  <c r="H32" i="33"/>
  <c r="AB32" i="33"/>
  <c r="H37" i="40"/>
  <c r="U37" i="40"/>
  <c r="H36" i="40"/>
  <c r="AB36" i="40"/>
  <c r="F35" i="40"/>
  <c r="AA35" i="40"/>
  <c r="H23" i="40"/>
  <c r="AB23" i="40"/>
  <c r="H17" i="40"/>
  <c r="U17" i="40"/>
  <c r="J15" i="40"/>
  <c r="W15" i="40"/>
  <c r="J11" i="40"/>
  <c r="W11" i="40"/>
  <c r="AB12" i="33"/>
  <c r="AC12" i="34"/>
  <c r="AA12" i="34"/>
  <c r="AB12" i="35"/>
  <c r="AB12" i="36"/>
  <c r="W32" i="40"/>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F14" i="35"/>
  <c r="AA14" i="35"/>
  <c r="F23" i="35"/>
  <c r="AA23" i="35"/>
  <c r="J32" i="35"/>
  <c r="AC32" i="35"/>
  <c r="J16" i="35"/>
  <c r="AC16" i="35"/>
  <c r="H16" i="35"/>
  <c r="U16" i="35"/>
  <c r="F16" i="35"/>
  <c r="S16" i="35"/>
  <c r="H14" i="35"/>
  <c r="AB14" i="35"/>
  <c r="J29" i="35"/>
  <c r="H33" i="35"/>
  <c r="AB33" i="35"/>
  <c r="J20" i="35"/>
  <c r="W20" i="35"/>
  <c r="F35" i="37"/>
  <c r="S35" i="37"/>
  <c r="E101" i="37"/>
  <c r="F101" i="37"/>
  <c r="G101" i="37"/>
  <c r="H101" i="37"/>
  <c r="I101" i="37"/>
  <c r="J101" i="37"/>
  <c r="K101" i="37"/>
  <c r="L101" i="37"/>
  <c r="M101" i="37"/>
  <c r="J34" i="37"/>
  <c r="W34"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W8" i="34"/>
  <c r="J28" i="34"/>
  <c r="W28" i="34"/>
  <c r="F41" i="33"/>
  <c r="AA41" i="33"/>
  <c r="S38" i="33"/>
  <c r="E113" i="33"/>
  <c r="F32" i="33"/>
  <c r="AA32" i="33"/>
  <c r="J19" i="33"/>
  <c r="AC19" i="33"/>
  <c r="J15" i="33"/>
  <c r="AC15" i="33"/>
  <c r="F11" i="33"/>
  <c r="AA11" i="33"/>
  <c r="S26" i="33"/>
  <c r="U40" i="33"/>
  <c r="W40" i="33"/>
  <c r="F37" i="40"/>
  <c r="AA37" i="40"/>
  <c r="F36" i="40"/>
  <c r="AA36" i="40"/>
  <c r="H28" i="40"/>
  <c r="U28" i="40"/>
  <c r="F23" i="40"/>
  <c r="AA23" i="40"/>
  <c r="F17" i="40"/>
  <c r="AA17" i="40"/>
  <c r="J17" i="40"/>
  <c r="W17" i="40"/>
  <c r="F15" i="40"/>
  <c r="S15" i="40"/>
  <c r="H15" i="40"/>
  <c r="AB15" i="40"/>
  <c r="AC11" i="40"/>
  <c r="S12" i="36"/>
  <c r="AA12" i="36"/>
  <c r="AB30" i="36"/>
  <c r="U33" i="35"/>
  <c r="F29" i="35"/>
  <c r="S29" i="35"/>
  <c r="H29" i="35"/>
  <c r="AB29" i="35"/>
  <c r="H33" i="37"/>
  <c r="AB33" i="37"/>
  <c r="F33" i="37"/>
  <c r="AA33" i="37"/>
  <c r="U34"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AC10" i="35"/>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U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AB11" i="35"/>
  <c r="J11" i="35"/>
  <c r="W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H43" i="39"/>
  <c r="U43" i="39"/>
  <c r="J14" i="39"/>
  <c r="AC14" i="39"/>
  <c r="F14" i="39"/>
  <c r="AA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AA13" i="39"/>
  <c r="J13" i="39"/>
  <c r="W13" i="39"/>
  <c r="H14" i="40"/>
  <c r="AB14" i="40"/>
  <c r="J14" i="40"/>
  <c r="W14" i="40"/>
  <c r="F14" i="40"/>
  <c r="AA14" i="40"/>
  <c r="J14" i="37"/>
  <c r="AC14" i="37"/>
  <c r="J27" i="37"/>
  <c r="AC27" i="37"/>
  <c r="AA44" i="33"/>
  <c r="AA13" i="35"/>
  <c r="U31" i="34"/>
  <c r="U46" i="33"/>
  <c r="AA14" i="33"/>
  <c r="J36" i="37"/>
  <c r="AC36" i="37"/>
  <c r="G105" i="37"/>
  <c r="J10" i="36"/>
  <c r="AC10" i="36"/>
  <c r="AB26" i="33"/>
  <c r="AA14" i="37"/>
  <c r="W31" i="34"/>
  <c r="AC13" i="36"/>
  <c r="W13" i="36"/>
  <c r="S11" i="36"/>
  <c r="AB46" i="34"/>
  <c r="AC30" i="34"/>
  <c r="AA14" i="34"/>
  <c r="S45" i="33"/>
  <c r="AB45" i="33"/>
  <c r="AB31" i="33"/>
  <c r="U31" i="33"/>
  <c r="W29" i="33"/>
  <c r="S44" i="34"/>
  <c r="F17" i="21"/>
  <c r="AA17" i="21"/>
  <c r="H17" i="21"/>
  <c r="AB17" i="21"/>
  <c r="F15" i="21"/>
  <c r="S15" i="21"/>
  <c r="J41" i="39"/>
  <c r="W41" i="39"/>
  <c r="W35" i="39"/>
  <c r="S35" i="39"/>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U35" i="35"/>
  <c r="AA12" i="35"/>
  <c r="W23" i="35"/>
  <c r="W14" i="37"/>
  <c r="AB28" i="37"/>
  <c r="U33" i="37"/>
  <c r="U39" i="37"/>
  <c r="W26" i="37"/>
  <c r="U26" i="37"/>
  <c r="W47" i="34"/>
  <c r="AB13" i="34"/>
  <c r="AC36" i="34"/>
  <c r="AA13" i="33"/>
  <c r="AC31" i="33"/>
  <c r="AC45" i="33"/>
  <c r="W44" i="33"/>
  <c r="U11" i="33"/>
  <c r="U19" i="21"/>
  <c r="W44" i="21"/>
  <c r="AC46" i="21"/>
  <c r="U12" i="21"/>
  <c r="AB38" i="21"/>
  <c r="F43" i="33"/>
  <c r="AA43" i="33"/>
  <c r="W15" i="34"/>
  <c r="AC15" i="34"/>
  <c r="W16" i="35"/>
  <c r="W40" i="37"/>
  <c r="G107" i="37"/>
  <c r="H107" i="37"/>
  <c r="I107" i="37"/>
  <c r="J107" i="37"/>
  <c r="K107" i="37"/>
  <c r="L107" i="37"/>
  <c r="M107" i="37"/>
  <c r="S42" i="21"/>
  <c r="H19" i="34"/>
  <c r="AB19" i="34"/>
  <c r="F36" i="35"/>
  <c r="S36" i="35"/>
  <c r="J9" i="37"/>
  <c r="W9" i="37"/>
  <c r="H9" i="37"/>
  <c r="U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AT6" i="3"/>
  <c r="H5" i="3"/>
  <c r="AA25" i="21"/>
  <c r="H19" i="40"/>
  <c r="U19" i="40"/>
  <c r="F88" i="40"/>
  <c r="G88" i="40"/>
  <c r="F19" i="40"/>
  <c r="S19" i="40"/>
  <c r="S14" i="40"/>
  <c r="AC13" i="40"/>
  <c r="AB33" i="40"/>
  <c r="AC43" i="39"/>
  <c r="W43" i="39"/>
  <c r="H37" i="39"/>
  <c r="U37" i="39"/>
  <c r="AB37" i="39"/>
  <c r="W37" i="39"/>
  <c r="H41" i="39"/>
  <c r="AB41" i="39"/>
  <c r="AB34" i="39"/>
  <c r="U40" i="39"/>
  <c r="W9" i="39"/>
  <c r="W8" i="39"/>
  <c r="J19" i="40"/>
  <c r="AC19" i="40"/>
  <c r="J50" i="40"/>
  <c r="H103" i="9"/>
  <c r="D8" i="53"/>
  <c r="B16" i="53"/>
  <c r="B33" i="72"/>
  <c r="W35" i="40"/>
  <c r="A118" i="9"/>
  <c r="A4" i="52"/>
  <c r="B41" i="72"/>
  <c r="G4" i="4"/>
  <c r="I4" i="4"/>
  <c r="A2" i="9"/>
  <c r="F61" i="43"/>
  <c r="H64" i="43"/>
  <c r="BO5" i="3"/>
  <c r="BM5" i="3"/>
  <c r="F29" i="6"/>
  <c r="BJ5" i="3"/>
  <c r="BH5" i="3"/>
  <c r="BF5" i="3"/>
  <c r="BD5" i="3"/>
  <c r="AC5" i="3"/>
  <c r="BP5" i="3"/>
  <c r="BN5" i="3"/>
  <c r="BK5" i="3"/>
  <c r="BI5" i="3"/>
  <c r="BG5" i="3"/>
  <c r="BE5" i="3"/>
  <c r="BC5" i="3"/>
  <c r="BB5" i="3"/>
  <c r="U36" i="40"/>
  <c r="F83" i="43"/>
  <c r="H85" i="43"/>
  <c r="F50" i="43"/>
  <c r="H54" i="43"/>
  <c r="F72" i="43"/>
  <c r="H75" i="43"/>
  <c r="S14" i="35"/>
  <c r="U43" i="21"/>
  <c r="AC35" i="21"/>
  <c r="G8" i="1"/>
  <c r="G10" i="1"/>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F39" i="39"/>
  <c r="S39" i="39"/>
  <c r="J39" i="39"/>
  <c r="AC39" i="39"/>
  <c r="C40" i="11"/>
  <c r="C47" i="11"/>
  <c r="D45" i="11"/>
  <c r="H27" i="36"/>
  <c r="U27" i="36"/>
  <c r="F27" i="36"/>
  <c r="AA27" i="36"/>
  <c r="H33" i="34"/>
  <c r="U33" i="34"/>
  <c r="F32" i="37"/>
  <c r="AA32" i="37"/>
  <c r="G96" i="37"/>
  <c r="H96" i="37"/>
  <c r="I96" i="37"/>
  <c r="J96" i="37"/>
  <c r="K96" i="37"/>
  <c r="L96" i="37"/>
  <c r="M96" i="37"/>
  <c r="F20" i="36"/>
  <c r="AA20" i="36"/>
  <c r="J33" i="34"/>
  <c r="AC33" i="34"/>
  <c r="D48" i="9"/>
  <c r="M52" i="9"/>
  <c r="M9" i="1"/>
  <c r="D93" i="9"/>
  <c r="AP6" i="1"/>
  <c r="G29" i="6"/>
  <c r="AC26" i="33"/>
  <c r="W26" i="33"/>
  <c r="W27" i="34"/>
  <c r="AC27" i="34"/>
  <c r="AB34" i="36"/>
  <c r="U34" i="36"/>
  <c r="AB33" i="36"/>
  <c r="U33" i="36"/>
  <c r="AC39" i="40"/>
  <c r="W39" i="40"/>
  <c r="W12" i="33"/>
  <c r="AC12" i="33"/>
  <c r="AA32" i="36"/>
  <c r="S32" i="36"/>
  <c r="AA39" i="34"/>
  <c r="U30" i="33"/>
  <c r="AC13" i="34"/>
  <c r="AA47" i="34"/>
  <c r="W28" i="37"/>
  <c r="S19" i="39"/>
  <c r="F12" i="33"/>
  <c r="H12" i="39"/>
  <c r="AB12" i="39"/>
  <c r="F39" i="40"/>
  <c r="M12" i="1"/>
  <c r="S13" i="1"/>
  <c r="AR13" i="1"/>
  <c r="R13" i="1"/>
  <c r="J51" i="67"/>
  <c r="AC34" i="33"/>
  <c r="AA34" i="33"/>
  <c r="B41" i="1"/>
  <c r="F48" i="9"/>
  <c r="O52" i="9"/>
  <c r="AB37" i="40"/>
  <c r="S35" i="40"/>
  <c r="U35" i="40"/>
  <c r="AC36" i="40"/>
  <c r="W38" i="40"/>
  <c r="AA32" i="40"/>
  <c r="S17" i="40"/>
  <c r="S23" i="40"/>
  <c r="AC17" i="40"/>
  <c r="AC15" i="40"/>
  <c r="AB27" i="40"/>
  <c r="S30" i="40"/>
  <c r="AA19" i="40"/>
  <c r="S28" i="40"/>
  <c r="AA27" i="40"/>
  <c r="U21" i="40"/>
  <c r="AB19" i="40"/>
  <c r="S37" i="39"/>
  <c r="U35" i="39"/>
  <c r="F32" i="39"/>
  <c r="S32" i="39"/>
  <c r="W21" i="39"/>
  <c r="W19" i="39"/>
  <c r="S9" i="39"/>
  <c r="AC13" i="39"/>
  <c r="S23" i="36"/>
  <c r="U13" i="36"/>
  <c r="U26" i="36"/>
  <c r="S33" i="36"/>
  <c r="AA26" i="36"/>
  <c r="AA34" i="36"/>
  <c r="AC26" i="36"/>
  <c r="AA22" i="36"/>
  <c r="W14" i="36"/>
  <c r="AB14" i="36"/>
  <c r="U22" i="36"/>
  <c r="S16" i="36"/>
  <c r="AA25" i="36"/>
  <c r="S24" i="36"/>
  <c r="U24" i="36"/>
  <c r="U23" i="36"/>
  <c r="AB20" i="36"/>
  <c r="U16" i="36"/>
  <c r="S14" i="36"/>
  <c r="AA25" i="35"/>
  <c r="S23" i="35"/>
  <c r="W24" i="35"/>
  <c r="AB13" i="35"/>
  <c r="U29" i="35"/>
  <c r="U28" i="35"/>
  <c r="AB27" i="35"/>
  <c r="U36" i="35"/>
  <c r="U32" i="35"/>
  <c r="AA33" i="35"/>
  <c r="AC30" i="35"/>
  <c r="S32" i="35"/>
  <c r="AA36" i="35"/>
  <c r="S28" i="35"/>
  <c r="AB16" i="35"/>
  <c r="U22" i="35"/>
  <c r="S20" i="35"/>
  <c r="AC20" i="35"/>
  <c r="S22" i="35"/>
  <c r="U14" i="35"/>
  <c r="AA11" i="35"/>
  <c r="AC9" i="35"/>
  <c r="W9" i="35"/>
  <c r="AC12" i="35"/>
  <c r="W13" i="35"/>
  <c r="F9" i="35"/>
  <c r="S9" i="35"/>
  <c r="H9" i="35"/>
  <c r="U9" i="35"/>
  <c r="AB40" i="37"/>
  <c r="S25" i="37"/>
  <c r="W27" i="37"/>
  <c r="S26"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AA13" i="37"/>
  <c r="H10" i="37"/>
  <c r="AB10" i="37"/>
  <c r="F63" i="37"/>
  <c r="F11" i="37"/>
  <c r="S11" i="37"/>
  <c r="S27" i="34"/>
  <c r="W25" i="34"/>
  <c r="AB8" i="34"/>
  <c r="AA33" i="34"/>
  <c r="U44" i="34"/>
  <c r="U43" i="34"/>
  <c r="AC39" i="34"/>
  <c r="W41" i="34"/>
  <c r="AC42" i="34"/>
  <c r="AB35" i="34"/>
  <c r="U39" i="34"/>
  <c r="S43" i="34"/>
  <c r="AB41" i="34"/>
  <c r="AA45" i="34"/>
  <c r="AA25" i="34"/>
  <c r="U28" i="34"/>
  <c r="S17" i="34"/>
  <c r="AA29" i="34"/>
  <c r="U27" i="34"/>
  <c r="S23" i="34"/>
  <c r="U15" i="34"/>
  <c r="S13" i="34"/>
  <c r="H10" i="34"/>
  <c r="AB10" i="34"/>
  <c r="F11" i="34"/>
  <c r="S11" i="34"/>
  <c r="F70" i="34"/>
  <c r="W42" i="33"/>
  <c r="AA35" i="33"/>
  <c r="S27" i="33"/>
  <c r="S32" i="33"/>
  <c r="AA29" i="33"/>
  <c r="AB29" i="33"/>
  <c r="W38" i="33"/>
  <c r="H41" i="33"/>
  <c r="F121" i="33"/>
  <c r="G121" i="33"/>
  <c r="H121" i="33"/>
  <c r="I121" i="33"/>
  <c r="J121" i="33"/>
  <c r="K121" i="33"/>
  <c r="L121" i="33"/>
  <c r="M121" i="33"/>
  <c r="U42" i="33"/>
  <c r="S42" i="33"/>
  <c r="F36" i="33"/>
  <c r="AA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J10" i="33"/>
  <c r="W10" i="33"/>
  <c r="H10" i="33"/>
  <c r="U10" i="33"/>
  <c r="AC11" i="33"/>
  <c r="AB14" i="33"/>
  <c r="W43" i="21"/>
  <c r="W36" i="21"/>
  <c r="W41" i="21"/>
  <c r="AA43" i="21"/>
  <c r="S39" i="21"/>
  <c r="AA38" i="21"/>
  <c r="AA36" i="21"/>
  <c r="AC40" i="21"/>
  <c r="J15" i="21"/>
  <c r="W15" i="21"/>
  <c r="F77" i="21"/>
  <c r="G77" i="21"/>
  <c r="AA14" i="21"/>
  <c r="D120" i="9"/>
  <c r="D121" i="9"/>
  <c r="D7" i="52"/>
  <c r="C18" i="9"/>
  <c r="D18" i="9"/>
  <c r="F34" i="67"/>
  <c r="F62" i="67"/>
  <c r="M20" i="67"/>
  <c r="F34" i="15"/>
  <c r="F62" i="15"/>
  <c r="E510" i="3"/>
  <c r="BL5" i="3"/>
  <c r="J56" i="9"/>
  <c r="J57" i="9"/>
  <c r="J59" i="9"/>
  <c r="J61" i="9"/>
  <c r="A24" i="51"/>
  <c r="B18" i="72"/>
  <c r="U29" i="34"/>
  <c r="E5" i="6"/>
  <c r="E32" i="6"/>
  <c r="G1" i="68"/>
  <c r="K1" i="12"/>
  <c r="E19" i="69"/>
  <c r="E19" i="68"/>
  <c r="G22" i="69"/>
  <c r="G22" i="68"/>
  <c r="G26" i="12"/>
  <c r="G22" i="11"/>
  <c r="C6" i="43"/>
  <c r="B19" i="53"/>
  <c r="B37" i="72"/>
  <c r="A4" i="51"/>
  <c r="B6" i="72"/>
  <c r="H67" i="43"/>
  <c r="L20" i="6"/>
  <c r="M11" i="1"/>
  <c r="O11" i="1"/>
  <c r="M7" i="1"/>
  <c r="O7" i="1"/>
  <c r="P7" i="1"/>
  <c r="G1" i="15"/>
  <c r="G1" i="67"/>
  <c r="W23" i="40"/>
  <c r="U32" i="40"/>
  <c r="AB31" i="40"/>
  <c r="S37" i="40"/>
  <c r="AB28" i="40"/>
  <c r="W28" i="40"/>
  <c r="W34" i="40"/>
  <c r="W19" i="40"/>
  <c r="W27" i="40"/>
  <c r="S36" i="40"/>
  <c r="W37" i="40"/>
  <c r="AC14" i="40"/>
  <c r="S13" i="40"/>
  <c r="S33" i="40"/>
  <c r="AA15" i="40"/>
  <c r="U11" i="40"/>
  <c r="S31" i="40"/>
  <c r="AB13" i="40"/>
  <c r="U15" i="40"/>
  <c r="AB17" i="40"/>
  <c r="U8" i="40"/>
  <c r="S8" i="40"/>
  <c r="AA39" i="39"/>
  <c r="S14" i="39"/>
  <c r="AB43" i="39"/>
  <c r="AC17" i="39"/>
  <c r="W31" i="39"/>
  <c r="AB39" i="39"/>
  <c r="W34" i="39"/>
  <c r="S8" i="39"/>
  <c r="S20" i="36"/>
  <c r="AC25" i="36"/>
  <c r="U32" i="36"/>
  <c r="W29" i="36"/>
  <c r="AC20" i="36"/>
  <c r="U25" i="36"/>
  <c r="AB28" i="36"/>
  <c r="AA13" i="36"/>
  <c r="W9" i="36"/>
  <c r="W22" i="36"/>
  <c r="W23" i="36"/>
  <c r="S9" i="36"/>
  <c r="AB20" i="35"/>
  <c r="AC25" i="35"/>
  <c r="U25" i="35"/>
  <c r="S24" i="35"/>
  <c r="U24" i="35"/>
  <c r="S35" i="35"/>
  <c r="W35" i="35"/>
  <c r="AA16" i="35"/>
  <c r="AA35" i="37"/>
  <c r="W36" i="37"/>
  <c r="S27" i="37"/>
  <c r="S28" i="37"/>
  <c r="W32" i="37"/>
  <c r="U36" i="37"/>
  <c r="S40" i="37"/>
  <c r="U38" i="37"/>
  <c r="AB37" i="37"/>
  <c r="AC34" i="37"/>
  <c r="AB35" i="37"/>
  <c r="AA31" i="37"/>
  <c r="U19" i="37"/>
  <c r="AA29"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S45" i="21"/>
  <c r="F33" i="21"/>
  <c r="AA33" i="21"/>
  <c r="J33" i="21"/>
  <c r="AC33" i="21"/>
  <c r="H33" i="21"/>
  <c r="AB33" i="21"/>
  <c r="AA26" i="21"/>
  <c r="AB14" i="21"/>
  <c r="AB46" i="21"/>
  <c r="U40" i="21"/>
  <c r="U13" i="21"/>
  <c r="AB13" i="21"/>
  <c r="S35" i="21"/>
  <c r="H15" i="21"/>
  <c r="U15" i="21"/>
  <c r="J17" i="21"/>
  <c r="AC17" i="21"/>
  <c r="AC19" i="21"/>
  <c r="W39" i="21"/>
  <c r="AC14" i="21"/>
  <c r="W30" i="21"/>
  <c r="S46" i="21"/>
  <c r="H45" i="21"/>
  <c r="U45" i="21"/>
  <c r="F29" i="21"/>
  <c r="S29" i="21"/>
  <c r="F13" i="21"/>
  <c r="AA13" i="21"/>
  <c r="AC38" i="21"/>
  <c r="H32" i="21"/>
  <c r="H9" i="21"/>
  <c r="J9" i="21"/>
  <c r="J32" i="21"/>
  <c r="W32" i="21"/>
  <c r="F32" i="21"/>
  <c r="AA32" i="21"/>
  <c r="AA31" i="21"/>
  <c r="W29" i="21"/>
  <c r="S19" i="21"/>
  <c r="S9" i="21"/>
  <c r="AA9" i="21"/>
  <c r="K141" i="21"/>
  <c r="K144" i="21"/>
  <c r="K143" i="21"/>
  <c r="U27" i="21"/>
  <c r="AB25" i="21"/>
  <c r="AB44" i="21"/>
  <c r="AA30" i="21"/>
  <c r="W13" i="21"/>
  <c r="W42" i="21"/>
  <c r="AC45" i="21"/>
  <c r="F10" i="21"/>
  <c r="AA10" i="21"/>
  <c r="K145" i="21"/>
  <c r="W25" i="21"/>
  <c r="AA29" i="21"/>
  <c r="W31" i="21"/>
  <c r="S27" i="21"/>
  <c r="AC27" i="21"/>
  <c r="AC26" i="21"/>
  <c r="AB29" i="21"/>
  <c r="S28" i="21"/>
  <c r="AC34" i="21"/>
  <c r="W12" i="21"/>
  <c r="AB36" i="21"/>
  <c r="W30" i="40"/>
  <c r="C19" i="39"/>
  <c r="C15" i="40"/>
  <c r="C17" i="40"/>
  <c r="C23" i="40"/>
  <c r="C21" i="40"/>
  <c r="U30" i="40"/>
  <c r="B56" i="43"/>
  <c r="B67" i="43"/>
  <c r="B51" i="43"/>
  <c r="B54" i="43"/>
  <c r="B58" i="43"/>
  <c r="B62" i="43"/>
  <c r="B65" i="43"/>
  <c r="B69" i="43"/>
  <c r="D23" i="15"/>
  <c r="D22" i="15"/>
  <c r="E4" i="4"/>
  <c r="B5" i="62"/>
  <c r="B73" i="72"/>
  <c r="C4" i="4"/>
  <c r="F30" i="68"/>
  <c r="F48" i="68"/>
  <c r="F30" i="11"/>
  <c r="C48" i="11"/>
  <c r="F28" i="67"/>
  <c r="F31" i="12"/>
  <c r="F52" i="9"/>
  <c r="M18" i="67"/>
  <c r="F32" i="67"/>
  <c r="F60" i="67"/>
  <c r="F30" i="69"/>
  <c r="F48" i="69"/>
  <c r="F32" i="15"/>
  <c r="F60" i="15"/>
  <c r="M18" i="15"/>
  <c r="F28" i="15"/>
  <c r="AA39" i="40"/>
  <c r="S39" i="40"/>
  <c r="S12" i="33"/>
  <c r="AA12" i="33"/>
  <c r="D68" i="9"/>
  <c r="F54" i="9"/>
  <c r="J32" i="39"/>
  <c r="W32" i="39"/>
  <c r="H32" i="39"/>
  <c r="AB32" i="39"/>
  <c r="U21" i="39"/>
  <c r="S21" i="39"/>
  <c r="AC17" i="37"/>
  <c r="S17" i="37"/>
  <c r="J19" i="37"/>
  <c r="G75" i="37"/>
  <c r="S19" i="37"/>
  <c r="AA19" i="37"/>
  <c r="AA23" i="37"/>
  <c r="J23" i="37"/>
  <c r="G79" i="37"/>
  <c r="J10" i="37"/>
  <c r="W10" i="37"/>
  <c r="G63" i="37"/>
  <c r="H11" i="37"/>
  <c r="AB11" i="37"/>
  <c r="G70" i="34"/>
  <c r="H11" i="34"/>
  <c r="U11" i="34"/>
  <c r="J10" i="34"/>
  <c r="AC10" i="34"/>
  <c r="AB41" i="33"/>
  <c r="U41" i="33"/>
  <c r="W35" i="33"/>
  <c r="AC35" i="33"/>
  <c r="H111" i="33"/>
  <c r="I111" i="33"/>
  <c r="J111" i="33"/>
  <c r="K111" i="33"/>
  <c r="L111" i="33"/>
  <c r="M111" i="33"/>
  <c r="J36" i="33"/>
  <c r="W36" i="33"/>
  <c r="H36" i="33"/>
  <c r="U36" i="33"/>
  <c r="S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S13" i="21"/>
  <c r="D6" i="52"/>
  <c r="E329" i="3"/>
  <c r="E539" i="3"/>
  <c r="E205" i="3"/>
  <c r="E165" i="3"/>
  <c r="E16" i="3"/>
  <c r="E536" i="3"/>
  <c r="E296" i="3"/>
  <c r="E244" i="3"/>
  <c r="E188" i="3"/>
  <c r="E148" i="3"/>
  <c r="E140" i="3"/>
  <c r="E149" i="3"/>
  <c r="E223" i="3"/>
  <c r="E212" i="3"/>
  <c r="E197" i="3"/>
  <c r="E167" i="3"/>
  <c r="E116" i="3"/>
  <c r="E199" i="3"/>
  <c r="E173" i="3"/>
  <c r="E141" i="3"/>
  <c r="E105" i="3"/>
  <c r="E286" i="3"/>
  <c r="E369" i="3"/>
  <c r="E312" i="3"/>
  <c r="E393" i="3"/>
  <c r="E575" i="3"/>
  <c r="E525" i="3"/>
  <c r="AD6" i="3"/>
  <c r="E493" i="3"/>
  <c r="E499" i="3"/>
  <c r="E534" i="3"/>
  <c r="E542" i="3"/>
  <c r="E564" i="3"/>
  <c r="R6" i="3"/>
  <c r="T6" i="3"/>
  <c r="E552" i="3"/>
  <c r="E543" i="3"/>
  <c r="E502" i="3"/>
  <c r="E405" i="3"/>
  <c r="E421" i="3"/>
  <c r="E427" i="3"/>
  <c r="E442" i="3"/>
  <c r="E456" i="3"/>
  <c r="E464" i="3"/>
  <c r="E486" i="3"/>
  <c r="E466" i="3"/>
  <c r="E469" i="3"/>
  <c r="E487" i="3"/>
  <c r="E507" i="3"/>
  <c r="E541" i="3"/>
  <c r="E512" i="3"/>
  <c r="E398" i="3"/>
  <c r="E422" i="3"/>
  <c r="E430" i="3"/>
  <c r="E408" i="3"/>
  <c r="E416" i="3"/>
  <c r="E440" i="3"/>
  <c r="E449" i="3"/>
  <c r="E451" i="3"/>
  <c r="E459" i="3"/>
  <c r="E490" i="3"/>
  <c r="E255" i="3"/>
  <c r="E360" i="3"/>
  <c r="E374" i="3"/>
  <c r="E376" i="3"/>
  <c r="I3" i="6"/>
  <c r="E556" i="3"/>
  <c r="E566" i="3"/>
  <c r="AH6" i="3"/>
  <c r="AP6" i="3"/>
  <c r="E497" i="3"/>
  <c r="E500" i="3"/>
  <c r="J6" i="3"/>
  <c r="E554" i="3"/>
  <c r="E13" i="3"/>
  <c r="E582" i="3"/>
  <c r="E498" i="3"/>
  <c r="E517" i="3"/>
  <c r="E494" i="3"/>
  <c r="E413" i="3"/>
  <c r="E419" i="3"/>
  <c r="E435" i="3"/>
  <c r="E452" i="3"/>
  <c r="E460" i="3"/>
  <c r="E483" i="3"/>
  <c r="E491" i="3"/>
  <c r="E470" i="3"/>
  <c r="E520" i="3"/>
  <c r="E401" i="3"/>
  <c r="E417" i="3"/>
  <c r="E420" i="3"/>
  <c r="E436" i="3"/>
  <c r="E463" i="3"/>
  <c r="E479" i="3"/>
  <c r="E26" i="3"/>
  <c r="E39" i="3"/>
  <c r="E40" i="3"/>
  <c r="E56" i="3"/>
  <c r="E104" i="3"/>
  <c r="E90" i="3"/>
  <c r="E25" i="3"/>
  <c r="E37" i="3"/>
  <c r="E41" i="3"/>
  <c r="E57" i="3"/>
  <c r="E108" i="3"/>
  <c r="E95" i="3"/>
  <c r="E115" i="3"/>
  <c r="E131" i="3"/>
  <c r="E178" i="3"/>
  <c r="E152" i="3"/>
  <c r="E198" i="3"/>
  <c r="E187" i="3"/>
  <c r="E119" i="3"/>
  <c r="E132" i="3"/>
  <c r="E139" i="3"/>
  <c r="E155" i="3"/>
  <c r="E202" i="3"/>
  <c r="E192" i="3"/>
  <c r="E225" i="3"/>
  <c r="E240" i="3"/>
  <c r="E242" i="3"/>
  <c r="E258" i="3"/>
  <c r="E281" i="3"/>
  <c r="E297" i="3"/>
  <c r="E226" i="3"/>
  <c r="E241" i="3"/>
  <c r="E243" i="3"/>
  <c r="E259" i="3"/>
  <c r="E276" i="3"/>
  <c r="E292" i="3"/>
  <c r="E332" i="3"/>
  <c r="E348" i="3"/>
  <c r="E346" i="3"/>
  <c r="E363" i="3"/>
  <c r="E391" i="3"/>
  <c r="E378" i="3"/>
  <c r="E333" i="3"/>
  <c r="E349" i="3"/>
  <c r="E356" i="3"/>
  <c r="E375" i="3"/>
  <c r="E372" i="3"/>
  <c r="E389" i="3"/>
  <c r="AL6" i="3"/>
  <c r="E504" i="3"/>
  <c r="L6" i="3"/>
  <c r="E544" i="3"/>
  <c r="E42" i="3"/>
  <c r="E58" i="3"/>
  <c r="E60" i="3"/>
  <c r="E76" i="3"/>
  <c r="E94" i="3"/>
  <c r="E110" i="3"/>
  <c r="E43" i="3"/>
  <c r="E59" i="3"/>
  <c r="E75" i="3"/>
  <c r="E488" i="3"/>
  <c r="E540" i="3"/>
  <c r="E409"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P7" i="1"/>
  <c r="AB45" i="21"/>
  <c r="AB9" i="21"/>
  <c r="U9" i="21"/>
  <c r="S32" i="21"/>
  <c r="W9" i="21"/>
  <c r="AC9" i="21"/>
  <c r="AB32" i="21"/>
  <c r="U32" i="21"/>
  <c r="A18" i="62"/>
  <c r="B64" i="72"/>
  <c r="W19" i="37"/>
  <c r="AC19" i="37"/>
  <c r="W23" i="37"/>
  <c r="AC23" i="37"/>
  <c r="H63" i="37"/>
  <c r="I63" i="37"/>
  <c r="J63" i="37"/>
  <c r="K63" i="37"/>
  <c r="L63" i="37"/>
  <c r="M63" i="37"/>
  <c r="J11" i="37"/>
  <c r="AC11" i="37"/>
  <c r="H70" i="34"/>
  <c r="I70" i="34"/>
  <c r="J70" i="34"/>
  <c r="K70" i="34"/>
  <c r="L70" i="34"/>
  <c r="M70" i="34"/>
  <c r="J11" i="34"/>
  <c r="W11" i="34"/>
  <c r="AB36" i="33"/>
  <c r="W27" i="33"/>
  <c r="AC27" i="33"/>
  <c r="W25" i="33"/>
  <c r="AC25" i="33"/>
  <c r="AA23" i="33"/>
  <c r="S23" i="33"/>
  <c r="AB19" i="33"/>
  <c r="U19" i="33"/>
  <c r="AA17" i="33"/>
  <c r="S17" i="33"/>
  <c r="U17" i="33"/>
  <c r="AB17" i="33"/>
  <c r="M49" i="9"/>
  <c r="D16" i="53"/>
  <c r="B34" i="72"/>
  <c r="D21" i="53"/>
  <c r="B39" i="72"/>
  <c r="H111" i="9"/>
  <c r="D126" i="9"/>
  <c r="D19" i="53"/>
  <c r="B38" i="72"/>
  <c r="AD3" i="71"/>
  <c r="H69" i="43"/>
  <c r="H50" i="43"/>
  <c r="D22" i="71"/>
  <c r="D23" i="71"/>
  <c r="D24" i="71"/>
  <c r="U24" i="71"/>
  <c r="S24" i="71"/>
  <c r="T24" i="71"/>
  <c r="AB22" i="71"/>
  <c r="X20" i="71"/>
  <c r="X19" i="71"/>
  <c r="AA20" i="71"/>
  <c r="AA19" i="71"/>
  <c r="X23" i="71"/>
  <c r="Z18" i="71"/>
  <c r="Y19" i="71"/>
  <c r="Z19" i="71"/>
  <c r="AB20" i="71"/>
  <c r="AB19" i="71"/>
  <c r="S20" i="71"/>
  <c r="Y20" i="71"/>
  <c r="Z20" i="71"/>
  <c r="X3" i="71"/>
  <c r="V20" i="71"/>
  <c r="D21" i="71"/>
  <c r="D18" i="71"/>
  <c r="T20" i="71"/>
  <c r="D19" i="71"/>
  <c r="D20" i="71"/>
  <c r="U20" i="71"/>
  <c r="P6" i="1"/>
  <c r="P8" i="1"/>
  <c r="P9" i="1"/>
  <c r="P11" i="1"/>
  <c r="P12" i="1"/>
  <c r="P14" i="1"/>
  <c r="P16" i="1"/>
  <c r="C11" i="12"/>
  <c r="C12" i="12"/>
  <c r="D14" i="12"/>
  <c r="D17" i="12"/>
  <c r="C17" i="12"/>
  <c r="F11" i="12"/>
  <c r="C4" i="12"/>
  <c r="D19" i="12"/>
  <c r="C19" i="12"/>
  <c r="E6" i="6"/>
  <c r="D20" i="12"/>
  <c r="C20" i="12"/>
  <c r="F28" i="12"/>
  <c r="C8" i="69"/>
  <c r="K14" i="1"/>
  <c r="M14" i="1"/>
  <c r="B2" i="21"/>
  <c r="D3" i="21"/>
  <c r="AA7" i="21"/>
  <c r="AB7" i="21"/>
  <c r="AB8" i="21"/>
  <c r="AC7" i="21"/>
  <c r="H83" i="43"/>
  <c r="S22" i="31"/>
  <c r="R22" i="31"/>
  <c r="D74" i="43"/>
  <c r="E50" i="43"/>
  <c r="B48" i="43"/>
  <c r="H78" i="43"/>
  <c r="AC32" i="36"/>
  <c r="W31" i="36"/>
  <c r="W33" i="36"/>
  <c r="AC34" i="36"/>
  <c r="AA31" i="36"/>
  <c r="S28" i="36"/>
  <c r="S30" i="36"/>
  <c r="S29" i="36"/>
  <c r="W8" i="36"/>
  <c r="AB8" i="36"/>
  <c r="W11" i="36"/>
  <c r="S8" i="36"/>
  <c r="AB11" i="36"/>
  <c r="AB10" i="35"/>
  <c r="U30" i="35"/>
  <c r="AA30" i="35"/>
  <c r="W32" i="35"/>
  <c r="W33" i="35"/>
  <c r="AA9" i="35"/>
  <c r="S8" i="35"/>
  <c r="AB9" i="35"/>
  <c r="U11" i="35"/>
  <c r="S33" i="21"/>
  <c r="AC36" i="33"/>
  <c r="S33" i="37"/>
  <c r="AC9" i="37"/>
  <c r="W11" i="37"/>
  <c r="AA8" i="37"/>
  <c r="AA9" i="37"/>
  <c r="AA12" i="37"/>
  <c r="AB9" i="37"/>
  <c r="U11" i="37"/>
  <c r="U12" i="37"/>
  <c r="AC8" i="37"/>
  <c r="AB37" i="34"/>
  <c r="S9" i="34"/>
  <c r="AC11" i="34"/>
  <c r="U33" i="21"/>
  <c r="AB13" i="33"/>
  <c r="S9" i="33"/>
  <c r="S8" i="33"/>
  <c r="U8" i="33"/>
  <c r="W8" i="21"/>
  <c r="S8" i="21"/>
  <c r="F53" i="9"/>
  <c r="E253" i="3"/>
  <c r="E77" i="3"/>
  <c r="E122" i="3"/>
  <c r="E156" i="3"/>
  <c r="E453" i="3"/>
  <c r="E568" i="3"/>
  <c r="E461" i="3"/>
  <c r="E238" i="3"/>
  <c r="E85" i="3"/>
  <c r="E181" i="3"/>
  <c r="E136" i="3"/>
  <c r="E434" i="3"/>
  <c r="E314" i="3"/>
  <c r="E545" i="3"/>
  <c r="E352" i="3"/>
  <c r="E128" i="3"/>
  <c r="E511" i="3"/>
  <c r="AK6" i="3"/>
  <c r="E306" i="3"/>
  <c r="E262" i="3"/>
  <c r="E99" i="3"/>
  <c r="E228" i="3"/>
  <c r="E157" i="3"/>
  <c r="E120" i="3"/>
  <c r="E45" i="3"/>
  <c r="E277" i="3"/>
  <c r="E224" i="3"/>
  <c r="E177" i="3"/>
  <c r="E193" i="3"/>
  <c r="E133" i="3"/>
  <c r="E313" i="3"/>
  <c r="E330" i="3"/>
  <c r="E519" i="3"/>
  <c r="K6" i="3"/>
  <c r="E532" i="3"/>
  <c r="Q6" i="3"/>
  <c r="E573" i="3"/>
  <c r="E560" i="3"/>
  <c r="E529" i="3"/>
  <c r="E437" i="3"/>
  <c r="E458" i="3"/>
  <c r="E472" i="3"/>
  <c r="E474" i="3"/>
  <c r="E481" i="3"/>
  <c r="E527" i="3"/>
  <c r="E406" i="3"/>
  <c r="E438" i="3"/>
  <c r="E424" i="3"/>
  <c r="E457" i="3"/>
  <c r="E465" i="3"/>
  <c r="E288" i="3"/>
  <c r="E344" i="3"/>
  <c r="E562" i="3"/>
  <c r="E587" i="3"/>
  <c r="W6" i="3"/>
  <c r="AE6" i="3"/>
  <c r="E571" i="3"/>
  <c r="E577" i="3"/>
  <c r="E537" i="3"/>
  <c r="E429" i="3"/>
  <c r="E450" i="3"/>
  <c r="E468" i="3"/>
  <c r="E471" i="3"/>
  <c r="E496" i="3"/>
  <c r="E433" i="3"/>
  <c r="E454" i="3"/>
  <c r="E475" i="3"/>
  <c r="E55" i="3"/>
  <c r="E72" i="3"/>
  <c r="E106" i="3"/>
  <c r="E54" i="3"/>
  <c r="E73" i="3"/>
  <c r="E111" i="3"/>
  <c r="E146" i="3"/>
  <c r="E168" i="3"/>
  <c r="E203" i="3"/>
  <c r="E150" i="3"/>
  <c r="E171" i="3"/>
  <c r="E208" i="3"/>
  <c r="E256" i="3"/>
  <c r="E279" i="3"/>
  <c r="E214" i="3"/>
  <c r="E257" i="3"/>
  <c r="E274" i="3"/>
  <c r="E351" i="3"/>
  <c r="E315" i="3"/>
  <c r="E357" i="3"/>
  <c r="E394" i="3"/>
  <c r="E318" i="3"/>
  <c r="E362" i="3"/>
  <c r="E14" i="3"/>
  <c r="E580" i="3"/>
  <c r="E31" i="3"/>
  <c r="E74" i="3"/>
  <c r="E93" i="3"/>
  <c r="E32" i="3"/>
  <c r="E567" i="3"/>
  <c r="E227" i="3"/>
  <c r="E397" i="3"/>
  <c r="I6" i="3"/>
  <c r="E549" i="3"/>
  <c r="E368" i="3"/>
  <c r="E196" i="3"/>
  <c r="E236" i="3"/>
  <c r="E269" i="3"/>
  <c r="E89" i="3"/>
  <c r="E207" i="3"/>
  <c r="E252" i="3"/>
  <c r="E271" i="3"/>
  <c r="E204" i="3"/>
  <c r="E145" i="3"/>
  <c r="E164" i="3"/>
  <c r="E107" i="3"/>
  <c r="E327" i="3"/>
  <c r="E379" i="3"/>
  <c r="E576" i="3"/>
  <c r="E585" i="3"/>
  <c r="Z6" i="3"/>
  <c r="U6" i="3"/>
  <c r="AG6" i="3"/>
  <c r="E515" i="3"/>
  <c r="AO6" i="3"/>
  <c r="E411" i="3"/>
  <c r="E448" i="3"/>
  <c r="E478" i="3"/>
  <c r="E485" i="3"/>
  <c r="E548" i="3"/>
  <c r="P6" i="3"/>
  <c r="E414" i="3"/>
  <c r="E400" i="3"/>
  <c r="E432" i="3"/>
  <c r="E443" i="3"/>
  <c r="E477" i="3"/>
  <c r="E345" i="3"/>
  <c r="E367" i="3"/>
  <c r="E558" i="3"/>
  <c r="E505" i="3"/>
  <c r="E557" i="3"/>
  <c r="E547" i="3"/>
  <c r="E581" i="3"/>
  <c r="AS6" i="3"/>
  <c r="E531" i="3"/>
  <c r="E403" i="3"/>
  <c r="E444" i="3"/>
  <c r="E476" i="3"/>
  <c r="E489" i="3"/>
  <c r="E546" i="3"/>
  <c r="E404" i="3"/>
  <c r="E447" i="3"/>
  <c r="E28" i="3"/>
  <c r="E71" i="3"/>
  <c r="E88" i="3"/>
  <c r="E27" i="3"/>
  <c r="E70" i="3"/>
  <c r="E92" i="3"/>
  <c r="E121" i="3"/>
  <c r="E162" i="3"/>
  <c r="E182" i="3"/>
  <c r="E126" i="3"/>
  <c r="E166" i="3"/>
  <c r="E186" i="3"/>
  <c r="E211" i="3"/>
  <c r="E272" i="3"/>
  <c r="E295" i="3"/>
  <c r="E210" i="3"/>
  <c r="E273" i="3"/>
  <c r="E291" i="3"/>
  <c r="E316" i="3"/>
  <c r="E331" i="3"/>
  <c r="E377" i="3"/>
  <c r="E317" i="3"/>
  <c r="E334" i="3"/>
  <c r="E384" i="3"/>
  <c r="E572" i="3"/>
  <c r="AM6" i="3"/>
  <c r="E30" i="3"/>
  <c r="E44" i="3"/>
  <c r="E109" i="3"/>
  <c r="E29" i="3"/>
  <c r="E480" i="3"/>
  <c r="E441" i="3"/>
  <c r="E14" i="6"/>
  <c r="E63" i="39"/>
  <c r="I4" i="6"/>
  <c r="G3" i="43"/>
  <c r="E29" i="6"/>
  <c r="K15" i="1"/>
  <c r="F30" i="6"/>
  <c r="G30" i="6"/>
  <c r="G31" i="6"/>
  <c r="L19" i="6"/>
  <c r="L27" i="6"/>
  <c r="O6" i="1"/>
  <c r="T13" i="1"/>
  <c r="F31" i="15"/>
  <c r="F31" i="67"/>
  <c r="W10" i="36"/>
  <c r="U10" i="36"/>
  <c r="S10" i="36"/>
  <c r="AA10" i="35"/>
  <c r="W10" i="35"/>
  <c r="U10" i="37"/>
  <c r="S10" i="37"/>
  <c r="AC10" i="37"/>
  <c r="W10" i="34"/>
  <c r="U10" i="34"/>
  <c r="S10" i="34"/>
  <c r="AA10" i="33"/>
  <c r="AC10" i="33"/>
  <c r="AB10" i="33"/>
  <c r="U10" i="21"/>
  <c r="S10" i="21"/>
  <c r="W10" i="21"/>
  <c r="AB27" i="36"/>
  <c r="S27" i="36"/>
  <c r="AC27" i="36"/>
  <c r="AC8" i="35"/>
  <c r="U8" i="35"/>
  <c r="H26" i="35"/>
  <c r="F26" i="35"/>
  <c r="J26" i="35"/>
  <c r="W33" i="37"/>
  <c r="AA11" i="37"/>
  <c r="W34" i="34"/>
  <c r="W37" i="34"/>
  <c r="S34" i="34"/>
  <c r="AB11" i="34"/>
  <c r="AA11" i="34"/>
  <c r="W33" i="21"/>
  <c r="P74" i="67"/>
  <c r="H62" i="43"/>
  <c r="H58" i="43"/>
  <c r="H51" i="43"/>
  <c r="H56" i="43"/>
  <c r="H65" i="43"/>
  <c r="D72" i="43"/>
  <c r="D76" i="43"/>
  <c r="D80" i="43"/>
  <c r="D61" i="43"/>
  <c r="P61" i="15"/>
  <c r="C94" i="9"/>
  <c r="C92" i="9"/>
  <c r="C30" i="11"/>
  <c r="J84" i="43"/>
  <c r="J85" i="43"/>
  <c r="J86" i="43"/>
  <c r="J87" i="43"/>
  <c r="J88" i="43"/>
  <c r="J89" i="43"/>
  <c r="J90" i="43"/>
  <c r="D83" i="43"/>
  <c r="E83" i="43"/>
  <c r="B81" i="43"/>
  <c r="D66" i="43"/>
  <c r="D64" i="43"/>
  <c r="D62" i="43"/>
  <c r="D67" i="43"/>
  <c r="D65" i="43"/>
  <c r="D63" i="43"/>
  <c r="D69" i="43"/>
  <c r="D73" i="43"/>
  <c r="D75" i="43"/>
  <c r="D79" i="43"/>
  <c r="D22" i="67"/>
  <c r="AQ13" i="1"/>
  <c r="E8" i="6"/>
  <c r="F27" i="6"/>
  <c r="E12" i="6"/>
  <c r="E57" i="40"/>
  <c r="E53" i="3"/>
  <c r="E125" i="3"/>
  <c r="E175" i="3"/>
  <c r="E217" i="3"/>
  <c r="E319" i="3"/>
  <c r="E366" i="3"/>
  <c r="E530" i="3"/>
  <c r="E526" i="3"/>
  <c r="E501" i="3"/>
  <c r="E553" i="3"/>
  <c r="E343" i="3"/>
  <c r="E268" i="3"/>
  <c r="E153" i="3"/>
  <c r="E282" i="3"/>
  <c r="E305" i="3"/>
  <c r="E322" i="3"/>
  <c r="E426" i="3"/>
  <c r="N6" i="3"/>
  <c r="E508" i="3"/>
  <c r="AJ6" i="3"/>
  <c r="E328" i="3"/>
  <c r="E239" i="3"/>
  <c r="E388" i="3"/>
  <c r="E509" i="3"/>
  <c r="O6" i="3"/>
  <c r="E516" i="3"/>
  <c r="E555" i="3"/>
  <c r="E579" i="3"/>
  <c r="E574" i="3"/>
  <c r="E569" i="3"/>
  <c r="E410" i="3"/>
  <c r="E431" i="3"/>
  <c r="E359" i="3"/>
  <c r="E396" i="3"/>
  <c r="E337" i="3"/>
  <c r="E247" i="3"/>
  <c r="E285" i="3"/>
  <c r="E229" i="3"/>
  <c r="E143" i="3"/>
  <c r="E201" i="3"/>
  <c r="E97" i="3"/>
  <c r="E151" i="3"/>
  <c r="E270" i="3"/>
  <c r="E311" i="3"/>
  <c r="E390" i="3"/>
  <c r="E358" i="3"/>
  <c r="E533" i="3"/>
  <c r="E514" i="3"/>
  <c r="S6" i="3"/>
  <c r="E559" i="3"/>
  <c r="AR6" i="3"/>
  <c r="E570" i="3"/>
  <c r="E523" i="3"/>
  <c r="E551" i="3"/>
  <c r="E561" i="3"/>
  <c r="M6" i="3"/>
  <c r="E506" i="3"/>
  <c r="V6" i="3"/>
  <c r="E538" i="3"/>
  <c r="AB6" i="3"/>
  <c r="E418" i="3"/>
  <c r="E407" i="3"/>
  <c r="E439" i="3"/>
  <c r="E387" i="3"/>
  <c r="E338" i="3"/>
  <c r="E320" i="3"/>
  <c r="E380" i="3"/>
  <c r="E335" i="3"/>
  <c r="E321" i="3"/>
  <c r="E294" i="3"/>
  <c r="E231" i="3"/>
  <c r="E215" i="3"/>
  <c r="E298" i="3"/>
  <c r="E230" i="3"/>
  <c r="E216" i="3"/>
  <c r="E189" i="3"/>
  <c r="E169" i="3"/>
  <c r="E130" i="3"/>
  <c r="E185" i="3"/>
  <c r="E69" i="3"/>
  <c r="E237" i="3"/>
  <c r="E114" i="3"/>
  <c r="E261" i="3"/>
  <c r="E278" i="3"/>
  <c r="E304" i="3"/>
  <c r="E415" i="3"/>
  <c r="E528" i="3"/>
  <c r="E563" i="3"/>
  <c r="E565" i="3"/>
  <c r="E395" i="3"/>
  <c r="E183" i="3"/>
  <c r="E172" i="3"/>
  <c r="E213" i="3"/>
  <c r="E260" i="3"/>
  <c r="E361" i="3"/>
  <c r="E445" i="3"/>
  <c r="E17" i="3"/>
  <c r="E550" i="3"/>
  <c r="E503" i="3"/>
  <c r="E535" i="3"/>
  <c r="E302" i="3"/>
  <c r="E117" i="3"/>
  <c r="E180" i="3"/>
  <c r="E161" i="3"/>
  <c r="E221" i="3"/>
  <c r="E290" i="3"/>
  <c r="E91" i="3"/>
  <c r="E135" i="3"/>
  <c r="E254" i="3"/>
  <c r="E61" i="3"/>
  <c r="E134" i="3"/>
  <c r="E191" i="3"/>
  <c r="E159" i="3"/>
  <c r="E245" i="3"/>
  <c r="E301" i="3"/>
  <c r="E263" i="3"/>
  <c r="E303" i="3"/>
  <c r="E382" i="3"/>
  <c r="E350" i="3"/>
  <c r="E423" i="3"/>
  <c r="E402" i="3"/>
  <c r="E578" i="3"/>
  <c r="E586" i="3"/>
  <c r="AI6" i="3"/>
  <c r="AN6" i="3"/>
  <c r="E518" i="3"/>
  <c r="E495" i="3"/>
  <c r="E385" i="3"/>
  <c r="E353" i="3"/>
  <c r="E293" i="3"/>
  <c r="E124" i="3"/>
  <c r="E246" i="3"/>
  <c r="E280" i="3"/>
  <c r="E336" i="3"/>
  <c r="E399" i="3"/>
  <c r="X6" i="3"/>
  <c r="AA6" i="3"/>
  <c r="E583" i="3"/>
  <c r="E347" i="3"/>
  <c r="E15" i="6"/>
  <c r="E64" i="39"/>
  <c r="E11" i="6"/>
  <c r="E60" i="39"/>
  <c r="E10" i="6"/>
  <c r="E13" i="6"/>
  <c r="H16" i="1"/>
  <c r="E59" i="40"/>
  <c r="K16" i="1"/>
  <c r="D9" i="11"/>
  <c r="C9" i="11"/>
  <c r="O9" i="1"/>
  <c r="O12" i="1"/>
  <c r="O8" i="1"/>
  <c r="H73" i="43"/>
  <c r="H90" i="43"/>
  <c r="I18" i="43"/>
  <c r="E17" i="43"/>
  <c r="C17" i="43"/>
  <c r="C24" i="43"/>
  <c r="H26" i="43"/>
  <c r="F26" i="43"/>
  <c r="J26" i="43"/>
  <c r="G26" i="43"/>
  <c r="E26" i="43"/>
  <c r="H55" i="43"/>
  <c r="H86" i="43"/>
  <c r="H87" i="43"/>
  <c r="N370" i="46"/>
  <c r="N94" i="46"/>
  <c r="H89" i="43"/>
  <c r="H88" i="43"/>
  <c r="H84" i="43"/>
  <c r="T35" i="4"/>
  <c r="A19" i="51"/>
  <c r="B14" i="72"/>
  <c r="D18" i="53"/>
  <c r="B35" i="72"/>
  <c r="H52" i="43"/>
  <c r="K5" i="4"/>
  <c r="B47" i="48"/>
  <c r="Y8" i="71"/>
  <c r="Z8" i="71"/>
  <c r="X8" i="71"/>
  <c r="AB8" i="71"/>
  <c r="AA8" i="71"/>
  <c r="L68" i="9"/>
  <c r="M68" i="9"/>
  <c r="L65" i="9"/>
  <c r="M65" i="9"/>
  <c r="L66" i="9"/>
  <c r="M66" i="9"/>
  <c r="L64" i="9"/>
  <c r="M64" i="9"/>
  <c r="L63" i="9"/>
  <c r="M63" i="9"/>
  <c r="M69" i="9"/>
  <c r="N69" i="9"/>
  <c r="L67" i="9"/>
  <c r="M67" i="9"/>
  <c r="D127" i="9"/>
  <c r="D13" i="52"/>
  <c r="D12" i="52"/>
  <c r="D20" i="53"/>
  <c r="B40" i="72"/>
  <c r="H76" i="43"/>
  <c r="H72" i="43"/>
  <c r="H63" i="43"/>
  <c r="H61" i="43"/>
  <c r="H53" i="43"/>
  <c r="H79" i="43"/>
  <c r="D17" i="53"/>
  <c r="B36" i="72"/>
  <c r="D124" i="9"/>
  <c r="H74" i="43"/>
  <c r="H57" i="43"/>
  <c r="H66" i="43"/>
  <c r="H68" i="43"/>
  <c r="H80" i="43"/>
  <c r="H77" i="43"/>
  <c r="E44" i="43"/>
  <c r="C44" i="43"/>
  <c r="W39" i="39"/>
  <c r="W14" i="39"/>
  <c r="S29" i="39"/>
  <c r="G21" i="43"/>
  <c r="C20" i="43"/>
  <c r="E11" i="43"/>
  <c r="E9" i="43"/>
  <c r="E10" i="43"/>
  <c r="E8" i="43"/>
  <c r="D23" i="67"/>
  <c r="G25" i="12"/>
  <c r="G41" i="11"/>
  <c r="G27" i="12"/>
  <c r="G41" i="68"/>
  <c r="K4" i="4"/>
  <c r="B46" i="48"/>
  <c r="B4" i="72"/>
  <c r="B4" i="62"/>
  <c r="B71" i="72"/>
  <c r="D9" i="53"/>
  <c r="B25" i="72"/>
  <c r="B24" i="72"/>
  <c r="K120" i="9"/>
  <c r="D15" i="71"/>
  <c r="Y16" i="71"/>
  <c r="Z16" i="71"/>
  <c r="Y15" i="71"/>
  <c r="Z15" i="71"/>
  <c r="AA16" i="71"/>
  <c r="AB3" i="71"/>
  <c r="B11" i="71"/>
  <c r="B10" i="71"/>
  <c r="B9" i="71"/>
  <c r="B8" i="71"/>
  <c r="B7" i="71"/>
  <c r="B6" i="71"/>
  <c r="B5" i="71"/>
  <c r="X16" i="71"/>
  <c r="AB16" i="71"/>
  <c r="Y3" i="71"/>
  <c r="Z3" i="71"/>
  <c r="F16" i="71"/>
  <c r="F15" i="71"/>
  <c r="F14" i="71"/>
  <c r="F13" i="71"/>
  <c r="F12" i="71"/>
  <c r="F11" i="71"/>
  <c r="F10" i="71"/>
  <c r="F9" i="71"/>
  <c r="F8" i="71"/>
  <c r="F7" i="71"/>
  <c r="F6" i="71"/>
  <c r="F5" i="71"/>
  <c r="AF3" i="71"/>
  <c r="D9" i="68"/>
  <c r="C9" i="68"/>
  <c r="E61" i="43"/>
  <c r="B59" i="43"/>
  <c r="C28" i="43"/>
  <c r="B116" i="43"/>
  <c r="Z7" i="43"/>
  <c r="E30" i="6"/>
  <c r="E56" i="39"/>
  <c r="AA26" i="35"/>
  <c r="S26" i="35"/>
  <c r="AC26" i="35"/>
  <c r="W26" i="35"/>
  <c r="AB26" i="35"/>
  <c r="U26" i="35"/>
  <c r="E61" i="39"/>
  <c r="E56" i="40"/>
  <c r="E72" i="43"/>
  <c r="B70" i="43"/>
  <c r="E60" i="40"/>
  <c r="K26" i="6"/>
  <c r="M26" i="6"/>
  <c r="I26" i="6"/>
  <c r="S26" i="6"/>
  <c r="F31" i="6"/>
  <c r="E51" i="40"/>
  <c r="E16" i="6"/>
  <c r="AC6" i="3"/>
  <c r="H6" i="3"/>
  <c r="E58" i="40"/>
  <c r="E62" i="39"/>
  <c r="AY6" i="3"/>
  <c r="D5" i="43"/>
  <c r="D26" i="43"/>
  <c r="C25" i="43"/>
  <c r="C7" i="43"/>
  <c r="C5" i="43"/>
  <c r="D10" i="52"/>
  <c r="D125" i="9"/>
  <c r="D11" i="52"/>
  <c r="F59" i="67"/>
  <c r="D14" i="71"/>
  <c r="M17" i="67"/>
  <c r="M17" i="15"/>
  <c r="F59" i="15"/>
  <c r="AE11" i="1"/>
  <c r="AE6" i="1"/>
  <c r="AE9" i="1"/>
  <c r="F27" i="68"/>
  <c r="F45" i="68"/>
  <c r="AE7" i="1"/>
  <c r="AE8" i="1"/>
  <c r="AE12" i="1"/>
  <c r="AE10" i="1"/>
  <c r="I122" i="43"/>
  <c r="J122" i="43"/>
  <c r="K122" i="43"/>
  <c r="L122" i="43"/>
  <c r="M122" i="43"/>
  <c r="I121" i="43"/>
  <c r="J121" i="43"/>
  <c r="K121" i="43"/>
  <c r="L121" i="43"/>
  <c r="M121" i="43"/>
  <c r="D119" i="43"/>
  <c r="E119" i="43"/>
  <c r="F119" i="43"/>
  <c r="G119" i="43"/>
  <c r="H119" i="43"/>
  <c r="B119" i="43"/>
  <c r="C119" i="43"/>
  <c r="G121" i="43"/>
  <c r="H121" i="43"/>
  <c r="I120" i="43"/>
  <c r="J120" i="43"/>
  <c r="K120" i="43"/>
  <c r="L120" i="43"/>
  <c r="M120" i="43"/>
  <c r="D120" i="43"/>
  <c r="E120" i="43"/>
  <c r="F120" i="43"/>
  <c r="G120" i="43"/>
  <c r="H120" i="43"/>
  <c r="B120" i="43"/>
  <c r="C120" i="43"/>
  <c r="I119" i="43"/>
  <c r="J119" i="43"/>
  <c r="K119" i="43"/>
  <c r="L119" i="43"/>
  <c r="M119" i="43"/>
  <c r="I118" i="43"/>
  <c r="J118" i="43"/>
  <c r="K118" i="43"/>
  <c r="L118" i="43"/>
  <c r="M118" i="43"/>
  <c r="D121" i="43"/>
  <c r="E121" i="43"/>
  <c r="F121" i="43"/>
  <c r="B121" i="43"/>
  <c r="C121" i="43"/>
  <c r="D122" i="43"/>
  <c r="E122" i="43"/>
  <c r="F122" i="43"/>
  <c r="G122" i="43"/>
  <c r="H122" i="43"/>
  <c r="D118" i="43"/>
  <c r="E118" i="43"/>
  <c r="F118" i="43"/>
  <c r="G118" i="43"/>
  <c r="H118" i="43"/>
  <c r="B118" i="43"/>
  <c r="C118" i="43"/>
  <c r="B122" i="43"/>
  <c r="C122" i="43"/>
  <c r="D116" i="43"/>
  <c r="AG11" i="1"/>
  <c r="AG9" i="1"/>
  <c r="AG10" i="1"/>
  <c r="AG8" i="1"/>
  <c r="AG12" i="1"/>
  <c r="AG7" i="1"/>
  <c r="AG6" i="1"/>
  <c r="E6" i="3"/>
  <c r="K21" i="6"/>
  <c r="S8" i="1"/>
  <c r="E8" i="70"/>
  <c r="K25" i="6"/>
  <c r="K20" i="6"/>
  <c r="K23" i="6"/>
  <c r="K22" i="6"/>
  <c r="E31" i="6"/>
  <c r="K24" i="6"/>
  <c r="O14" i="1"/>
  <c r="O16" i="1"/>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103" i="3"/>
  <c r="AY67" i="3"/>
  <c r="AY50" i="3"/>
  <c r="AY196" i="3"/>
  <c r="AY160" i="3"/>
  <c r="AY139" i="3"/>
  <c r="AY289" i="3"/>
  <c r="AY74" i="3"/>
  <c r="AY183" i="3"/>
  <c r="AY123" i="3"/>
  <c r="AY261" i="3"/>
  <c r="AY204" i="3"/>
  <c r="AY284" i="3"/>
  <c r="AY252" i="3"/>
  <c r="AY209" i="3"/>
  <c r="AY363" i="3"/>
  <c r="AY319"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98" i="3"/>
  <c r="AY18" i="3"/>
  <c r="AY171" i="3"/>
  <c r="AY90" i="3"/>
  <c r="AY163" i="3"/>
  <c r="AY75" i="3"/>
  <c r="AY237" i="3"/>
  <c r="AY387"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32" i="3"/>
  <c r="AY556" i="3"/>
  <c r="AY496" i="3"/>
  <c r="AY577" i="3"/>
  <c r="AY523" i="3"/>
  <c r="AY112" i="3"/>
  <c r="AY81" i="3"/>
  <c r="AY49" i="3"/>
  <c r="AY82" i="3"/>
  <c r="AY191" i="3"/>
  <c r="AY132" i="3"/>
  <c r="AY31" i="3"/>
  <c r="AY292" i="3"/>
  <c r="AY147" i="3"/>
  <c r="AY220" i="3"/>
  <c r="AY350"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D37" i="11"/>
  <c r="M18" i="9"/>
  <c r="B118" i="9"/>
  <c r="D3" i="34"/>
  <c r="M19" i="6"/>
  <c r="I19" i="6"/>
  <c r="L18" i="9"/>
  <c r="C17" i="4"/>
  <c r="B4" i="52"/>
  <c r="B43" i="72"/>
  <c r="D3" i="33"/>
  <c r="D3" i="37"/>
  <c r="C11" i="71"/>
  <c r="M21" i="6"/>
  <c r="I21" i="6"/>
  <c r="S21" i="6"/>
  <c r="E6" i="70"/>
  <c r="M24" i="6"/>
  <c r="I24" i="6"/>
  <c r="S24" i="6"/>
  <c r="S11" i="1"/>
  <c r="E11" i="70"/>
  <c r="M22" i="6"/>
  <c r="I22" i="6"/>
  <c r="S22" i="6"/>
  <c r="S9" i="1"/>
  <c r="AQ8" i="1"/>
  <c r="T8" i="1"/>
  <c r="AR8" i="1"/>
  <c r="M20" i="6"/>
  <c r="I20" i="6"/>
  <c r="S20" i="6"/>
  <c r="S7" i="1"/>
  <c r="E7" i="70"/>
  <c r="AQ6" i="1"/>
  <c r="AR6" i="1"/>
  <c r="T6" i="1"/>
  <c r="M23" i="6"/>
  <c r="I23" i="6"/>
  <c r="S23" i="6"/>
  <c r="S10" i="1"/>
  <c r="E10" i="70"/>
  <c r="M25" i="6"/>
  <c r="I25" i="6"/>
  <c r="S25" i="6"/>
  <c r="S12" i="1"/>
  <c r="K27" i="6"/>
  <c r="D10" i="11"/>
  <c r="C10" i="11"/>
  <c r="D25" i="6"/>
  <c r="D15" i="6"/>
  <c r="D22" i="6"/>
  <c r="D21" i="6"/>
  <c r="D24" i="6"/>
  <c r="D20" i="6"/>
  <c r="D19" i="6"/>
  <c r="M19" i="9"/>
  <c r="C118" i="9"/>
  <c r="D26" i="6"/>
  <c r="D8" i="6"/>
  <c r="D14" i="6"/>
  <c r="D6" i="6"/>
  <c r="D9" i="6"/>
  <c r="D10" i="6"/>
  <c r="H19" i="6"/>
  <c r="L19" i="9"/>
  <c r="D29" i="6"/>
  <c r="H25" i="6"/>
  <c r="H22" i="6"/>
  <c r="H21" i="6"/>
  <c r="H24" i="6"/>
  <c r="C18" i="4"/>
  <c r="D23" i="6"/>
  <c r="D5" i="6"/>
  <c r="D12" i="6"/>
  <c r="D11" i="6"/>
  <c r="D13" i="6"/>
  <c r="D28" i="6"/>
  <c r="D30" i="6"/>
  <c r="E61" i="40"/>
  <c r="H26" i="6"/>
  <c r="L16" i="1"/>
  <c r="D11" i="71"/>
  <c r="C10" i="71"/>
  <c r="D10" i="68"/>
  <c r="C10" i="68"/>
  <c r="H23" i="6"/>
  <c r="H20" i="6"/>
  <c r="R20" i="6"/>
  <c r="R7" i="1"/>
  <c r="E12" i="70"/>
  <c r="F34" i="11"/>
  <c r="C37" i="11"/>
  <c r="S16" i="1"/>
  <c r="E9" i="70"/>
  <c r="E2" i="70"/>
  <c r="AR9" i="1"/>
  <c r="AQ9" i="1"/>
  <c r="T9" i="1"/>
  <c r="AQ11" i="1"/>
  <c r="AR11" i="1"/>
  <c r="T11" i="1"/>
  <c r="AR12" i="1"/>
  <c r="T12" i="1"/>
  <c r="AQ12" i="1"/>
  <c r="AQ10" i="1"/>
  <c r="T10" i="1"/>
  <c r="AR10" i="1"/>
  <c r="AR7" i="1"/>
  <c r="AQ7" i="1"/>
  <c r="T7" i="1"/>
  <c r="M27" i="6"/>
  <c r="D16" i="6"/>
  <c r="R26" i="6"/>
  <c r="R24" i="6"/>
  <c r="R11" i="1"/>
  <c r="R22" i="6"/>
  <c r="R9" i="1"/>
  <c r="R23" i="6"/>
  <c r="R10" i="1"/>
  <c r="D27" i="6"/>
  <c r="D31" i="6"/>
  <c r="R21" i="6"/>
  <c r="R8" i="1"/>
  <c r="F50" i="11"/>
  <c r="F50" i="68"/>
  <c r="C4" i="52"/>
  <c r="B45" i="72"/>
  <c r="A10" i="51"/>
  <c r="B9" i="72"/>
  <c r="A7" i="51"/>
  <c r="B7" i="72"/>
  <c r="R25" i="6"/>
  <c r="R12" i="1"/>
  <c r="D10" i="71"/>
  <c r="C9" i="71"/>
  <c r="C8" i="71"/>
  <c r="D8" i="71"/>
  <c r="C7" i="71"/>
  <c r="T16" i="1"/>
  <c r="S19" i="6"/>
  <c r="S27" i="6"/>
  <c r="I27" i="6"/>
  <c r="I5" i="6"/>
  <c r="I6" i="6"/>
  <c r="D9" i="71"/>
  <c r="D7" i="71"/>
  <c r="C6" i="71"/>
  <c r="H27" i="6"/>
  <c r="R19" i="6"/>
  <c r="U7" i="21"/>
  <c r="S7" i="21"/>
  <c r="W7" i="21"/>
  <c r="D6" i="71"/>
  <c r="C5" i="71"/>
  <c r="R27" i="6"/>
  <c r="R6" i="1"/>
  <c r="D5" i="71"/>
  <c r="B2" i="33"/>
  <c r="B3" i="33"/>
  <c r="S7" i="39"/>
  <c r="B2" i="36"/>
  <c r="B3" i="36"/>
  <c r="B2" i="35"/>
  <c r="B3" i="35"/>
  <c r="B2" i="37"/>
  <c r="B3" i="37"/>
  <c r="B2" i="34"/>
  <c r="B3" i="34"/>
  <c r="W7" i="39"/>
  <c r="U7" i="39"/>
  <c r="B6" i="74"/>
  <c r="S6" i="79"/>
  <c r="T6" i="79"/>
  <c r="U6" i="79"/>
  <c r="V6" i="79"/>
  <c r="W6" i="79"/>
  <c r="S7" i="79"/>
  <c r="T7" i="79"/>
  <c r="U7" i="79"/>
  <c r="V7" i="79"/>
  <c r="W7" i="79"/>
  <c r="S8" i="79"/>
  <c r="T8" i="79"/>
  <c r="U8" i="79"/>
  <c r="V8" i="79"/>
  <c r="W8" i="79"/>
  <c r="R8" i="79"/>
  <c r="R7" i="79"/>
  <c r="R6" i="79"/>
  <c r="U28" i="79"/>
  <c r="S28" i="79"/>
  <c r="U27" i="79"/>
  <c r="S27" i="79"/>
  <c r="U26" i="79"/>
  <c r="S26" i="79"/>
  <c r="T28" i="79"/>
  <c r="W28" i="79"/>
  <c r="T27" i="79"/>
  <c r="W27" i="79"/>
  <c r="T26" i="79"/>
  <c r="W26" i="79"/>
  <c r="G16" i="1"/>
  <c r="F10" i="39"/>
  <c r="AA10" i="39"/>
  <c r="H10" i="39"/>
  <c r="AB10" i="39"/>
  <c r="J10" i="39"/>
  <c r="AC10" i="39"/>
  <c r="J10" i="40"/>
  <c r="H10" i="40"/>
  <c r="F10" i="40"/>
  <c r="U10" i="39"/>
  <c r="J38" i="39"/>
  <c r="W38" i="39"/>
  <c r="F37" i="67"/>
  <c r="F42" i="67"/>
  <c r="F6" i="73"/>
  <c r="D2" i="35"/>
  <c r="M9" i="15"/>
  <c r="M24" i="15"/>
  <c r="M29" i="67"/>
  <c r="B11" i="76"/>
  <c r="E2" i="68"/>
  <c r="F26" i="67"/>
  <c r="M8" i="15"/>
  <c r="F3" i="73"/>
  <c r="M28" i="15"/>
  <c r="M22" i="67"/>
  <c r="D2" i="36"/>
  <c r="F13" i="67"/>
  <c r="C14" i="15"/>
  <c r="M23" i="67"/>
  <c r="D2" i="21"/>
  <c r="F7" i="73"/>
  <c r="M24" i="67"/>
  <c r="D7" i="73"/>
  <c r="M21" i="15"/>
  <c r="F41" i="67"/>
  <c r="L48" i="15"/>
  <c r="D35" i="9"/>
  <c r="AO12" i="1"/>
  <c r="E13" i="76"/>
  <c r="M6" i="15"/>
  <c r="F36" i="15"/>
  <c r="F26" i="15"/>
  <c r="M27" i="15"/>
  <c r="F35" i="67"/>
  <c r="M21" i="67"/>
  <c r="D4" i="73"/>
  <c r="AO11" i="1"/>
  <c r="F8" i="15"/>
  <c r="AO8" i="1"/>
  <c r="F4" i="73"/>
  <c r="F42" i="15"/>
  <c r="M6" i="67"/>
  <c r="M23" i="15"/>
  <c r="D2" i="34"/>
  <c r="L47" i="15"/>
  <c r="L48" i="67"/>
  <c r="C76" i="67"/>
  <c r="L47" i="67"/>
  <c r="AO7" i="1"/>
  <c r="F38" i="67"/>
  <c r="F36" i="67"/>
  <c r="F6" i="15"/>
  <c r="AO13" i="1"/>
  <c r="M28" i="67"/>
  <c r="F40" i="15"/>
  <c r="F40" i="67"/>
  <c r="B13" i="76"/>
  <c r="F43" i="15"/>
  <c r="F41" i="15"/>
  <c r="B12" i="76"/>
  <c r="AO10" i="1"/>
  <c r="E7" i="76"/>
  <c r="F7" i="15"/>
  <c r="F9" i="15"/>
  <c r="E12" i="76"/>
  <c r="J15" i="15"/>
  <c r="B8" i="76"/>
  <c r="F7" i="67"/>
  <c r="B7" i="76"/>
  <c r="M9" i="67"/>
  <c r="F6" i="67"/>
  <c r="E10" i="76"/>
  <c r="AO9" i="1"/>
  <c r="F13" i="15"/>
  <c r="M26" i="67"/>
  <c r="F16" i="15"/>
  <c r="E9" i="76"/>
  <c r="F8" i="67"/>
  <c r="F38" i="15"/>
  <c r="E8" i="76"/>
  <c r="D2" i="37"/>
  <c r="E11" i="76"/>
  <c r="D3" i="73"/>
  <c r="M22" i="15"/>
  <c r="F20" i="31"/>
  <c r="E2" i="69"/>
  <c r="M29" i="15"/>
  <c r="C76" i="15"/>
  <c r="J15" i="67"/>
  <c r="M8" i="67"/>
  <c r="B10" i="76"/>
  <c r="F37" i="15"/>
  <c r="F9" i="67"/>
  <c r="D34" i="9"/>
  <c r="D2" i="33"/>
  <c r="F16" i="67"/>
  <c r="F35" i="15"/>
  <c r="B9" i="76"/>
  <c r="M27" i="67"/>
  <c r="D19" i="9"/>
  <c r="F43" i="67"/>
  <c r="F5" i="73"/>
  <c r="M26" i="15"/>
  <c r="AO6" i="1"/>
  <c r="W12" i="39"/>
  <c r="AC12" i="39"/>
  <c r="F88" i="39"/>
  <c r="G88" i="39"/>
  <c r="F15" i="39"/>
  <c r="J15" i="39"/>
  <c r="H15" i="39"/>
  <c r="F42" i="39"/>
  <c r="AC32" i="39"/>
  <c r="W42" i="39"/>
  <c r="S13" i="39"/>
  <c r="AA12" i="39"/>
  <c r="U17" i="39"/>
  <c r="AB31" i="39"/>
  <c r="S41" i="39"/>
  <c r="W40" i="39"/>
  <c r="AA40" i="39"/>
  <c r="U41" i="39"/>
  <c r="E65" i="39"/>
  <c r="U19" i="39"/>
  <c r="AA44" i="39"/>
  <c r="S44" i="39"/>
  <c r="U13" i="39"/>
  <c r="AB13" i="39"/>
  <c r="AB45" i="39"/>
  <c r="U45" i="39"/>
  <c r="F27" i="39"/>
  <c r="F100" i="39"/>
  <c r="G100" i="39"/>
  <c r="H27" i="39"/>
  <c r="J27" i="39"/>
  <c r="AB36" i="39"/>
  <c r="U36" i="39"/>
  <c r="AA43" i="39"/>
  <c r="S43" i="39"/>
  <c r="U32" i="39"/>
  <c r="AA32" i="39"/>
  <c r="AC41" i="39"/>
  <c r="S10" i="39"/>
  <c r="U12" i="39"/>
  <c r="AB14" i="39"/>
  <c r="AB42" i="39"/>
  <c r="AA17" i="39"/>
  <c r="S34" i="39"/>
  <c r="J36" i="39"/>
  <c r="F36" i="39"/>
  <c r="J45" i="39"/>
  <c r="H44" i="39"/>
  <c r="J11" i="39"/>
  <c r="W11" i="39"/>
  <c r="U29" i="39"/>
  <c r="J29" i="39"/>
  <c r="F38" i="39"/>
  <c r="S38" i="39"/>
  <c r="J44" i="39"/>
  <c r="F45" i="39"/>
  <c r="C40" i="68"/>
  <c r="C21" i="68"/>
  <c r="C40" i="69"/>
  <c r="C48" i="69"/>
  <c r="U10" i="40"/>
  <c r="AB10" i="40"/>
  <c r="W10" i="39"/>
  <c r="AA10" i="40"/>
  <c r="S10" i="40"/>
  <c r="W10" i="40"/>
  <c r="AC10" i="40"/>
  <c r="C7" i="34"/>
  <c r="C59" i="34"/>
  <c r="C7" i="33"/>
  <c r="C58" i="33"/>
  <c r="C7" i="40"/>
  <c r="C63" i="40"/>
  <c r="M47" i="9"/>
  <c r="C7" i="39"/>
  <c r="C7" i="37"/>
  <c r="C52" i="37"/>
  <c r="C7" i="36"/>
  <c r="C46" i="36"/>
  <c r="C42" i="1"/>
  <c r="C7" i="35"/>
  <c r="C48" i="35"/>
  <c r="C7" i="21"/>
  <c r="C58" i="21"/>
  <c r="D58" i="21"/>
  <c r="E58" i="21"/>
  <c r="F58" i="21"/>
  <c r="G58" i="21"/>
  <c r="H58" i="21"/>
  <c r="I58" i="21"/>
  <c r="J58" i="21"/>
  <c r="K58" i="21"/>
  <c r="L58" i="21"/>
  <c r="M58" i="21"/>
  <c r="N58" i="21"/>
  <c r="O58" i="21"/>
  <c r="G23" i="43"/>
  <c r="C36" i="11"/>
  <c r="C36" i="68"/>
  <c r="B3" i="78"/>
  <c r="H38" i="39"/>
  <c r="U38" i="39"/>
  <c r="C14" i="74"/>
  <c r="B2" i="74"/>
  <c r="AA38" i="39"/>
  <c r="H11" i="21"/>
  <c r="U11" i="21"/>
  <c r="J11" i="21"/>
  <c r="W11" i="21"/>
  <c r="K6" i="80"/>
  <c r="AC38" i="39"/>
  <c r="S23" i="21"/>
  <c r="F85" i="21"/>
  <c r="G85" i="21"/>
  <c r="I80" i="39"/>
  <c r="J80" i="39"/>
  <c r="K80" i="39"/>
  <c r="L80" i="39"/>
  <c r="M80" i="39"/>
  <c r="F11" i="39"/>
  <c r="H11" i="39"/>
  <c r="F23" i="39"/>
  <c r="J23" i="39"/>
  <c r="AC23" i="39"/>
  <c r="F96" i="39"/>
  <c r="G96" i="39"/>
  <c r="H23" i="39"/>
  <c r="U23" i="39"/>
  <c r="H25" i="39"/>
  <c r="J25" i="39"/>
  <c r="F98" i="39"/>
  <c r="G98" i="39"/>
  <c r="F25" i="39"/>
  <c r="AA25" i="39"/>
  <c r="H23" i="21"/>
  <c r="U23" i="21"/>
  <c r="C23" i="12"/>
  <c r="C34" i="11"/>
  <c r="C38" i="11"/>
  <c r="S17" i="21"/>
  <c r="W17" i="21"/>
  <c r="U17" i="21"/>
  <c r="F11" i="21"/>
  <c r="G69" i="21"/>
  <c r="H69" i="21"/>
  <c r="I69" i="21"/>
  <c r="J69" i="21"/>
  <c r="K69" i="21"/>
  <c r="L69" i="21"/>
  <c r="M69" i="21"/>
  <c r="AC15" i="21"/>
  <c r="AB15" i="21"/>
  <c r="AA15" i="21"/>
  <c r="J23" i="21"/>
  <c r="C34" i="68"/>
  <c r="C35" i="68"/>
  <c r="F13" i="49"/>
  <c r="H13" i="49"/>
  <c r="F7" i="49"/>
  <c r="H7" i="49"/>
  <c r="U31" i="21"/>
  <c r="AB31" i="21"/>
  <c r="H113" i="21"/>
  <c r="H37" i="21"/>
  <c r="F37" i="21"/>
  <c r="J37" i="21"/>
  <c r="AC32" i="21"/>
  <c r="AB39" i="21"/>
  <c r="U35" i="21"/>
  <c r="U26" i="21"/>
  <c r="AC28" i="21"/>
  <c r="AB30" i="21"/>
  <c r="B12" i="49"/>
  <c r="D12" i="49"/>
  <c r="F5" i="49"/>
  <c r="H5" i="49"/>
  <c r="B7" i="49"/>
  <c r="D7" i="49"/>
  <c r="F10" i="49"/>
  <c r="H10" i="49"/>
  <c r="B9" i="49"/>
  <c r="D9" i="49"/>
  <c r="B4" i="49"/>
  <c r="D4" i="49"/>
  <c r="F6" i="49"/>
  <c r="H6" i="49"/>
  <c r="B13" i="49"/>
  <c r="D13" i="49"/>
  <c r="F12" i="49"/>
  <c r="H12" i="49"/>
  <c r="F11" i="49"/>
  <c r="H11" i="49"/>
  <c r="C15" i="12"/>
  <c r="B11" i="49"/>
  <c r="D11" i="49"/>
  <c r="B8" i="49"/>
  <c r="D8" i="49"/>
  <c r="F4" i="49"/>
  <c r="H4" i="49"/>
  <c r="F8" i="49"/>
  <c r="H8" i="49"/>
  <c r="B5" i="49"/>
  <c r="D5" i="49"/>
  <c r="B10" i="49"/>
  <c r="D10" i="49"/>
  <c r="F9" i="49"/>
  <c r="H9" i="49"/>
  <c r="F14" i="49"/>
  <c r="H14" i="49"/>
  <c r="B14" i="49"/>
  <c r="D14" i="49"/>
  <c r="B6" i="49"/>
  <c r="D6" i="49"/>
  <c r="C14" i="12"/>
  <c r="R16" i="1"/>
  <c r="C47" i="68"/>
  <c r="D45" i="68"/>
  <c r="C29" i="68"/>
  <c r="D27" i="68"/>
  <c r="D19" i="68"/>
  <c r="C18" i="12"/>
  <c r="F64" i="67"/>
  <c r="D102" i="9"/>
  <c r="D21" i="9"/>
  <c r="J20" i="67"/>
  <c r="C10" i="69"/>
  <c r="B12" i="70"/>
  <c r="F69" i="67"/>
  <c r="F51" i="15"/>
  <c r="F63" i="67"/>
  <c r="C62" i="67"/>
  <c r="C34" i="67"/>
  <c r="M7" i="15"/>
  <c r="J6" i="15"/>
  <c r="F50" i="15"/>
  <c r="F63" i="15"/>
  <c r="C62" i="15"/>
  <c r="C34" i="15"/>
  <c r="B13" i="70"/>
  <c r="C6" i="15"/>
  <c r="B20" i="31"/>
  <c r="B21" i="31"/>
  <c r="J53" i="15"/>
  <c r="L56" i="15"/>
  <c r="I54" i="15"/>
  <c r="J57" i="15"/>
  <c r="J55" i="15"/>
  <c r="J58" i="15"/>
  <c r="Q50" i="15"/>
  <c r="C27" i="67"/>
  <c r="Q71" i="15"/>
  <c r="F65" i="67"/>
  <c r="Q71" i="67"/>
  <c r="B9" i="70"/>
  <c r="F65" i="15"/>
  <c r="F71" i="67"/>
  <c r="F68" i="15"/>
  <c r="F51" i="67"/>
  <c r="F64" i="15"/>
  <c r="B7" i="70"/>
  <c r="J20" i="15"/>
  <c r="C6" i="67"/>
  <c r="F68" i="67"/>
  <c r="F66" i="15"/>
  <c r="M59" i="15"/>
  <c r="N59" i="15"/>
  <c r="L59" i="15"/>
  <c r="L58" i="15"/>
  <c r="F71" i="15"/>
  <c r="I1" i="73"/>
  <c r="B39" i="1"/>
  <c r="I54" i="67"/>
  <c r="J57" i="67"/>
  <c r="J55" i="67"/>
  <c r="J58" i="67"/>
  <c r="Q50" i="67"/>
  <c r="L56" i="67"/>
  <c r="J53" i="67"/>
  <c r="F45" i="69"/>
  <c r="F69" i="15"/>
  <c r="B11" i="70"/>
  <c r="N59" i="67"/>
  <c r="L58" i="67"/>
  <c r="M59" i="67"/>
  <c r="L59" i="67"/>
  <c r="C15" i="15"/>
  <c r="C18" i="15"/>
  <c r="F66" i="67"/>
  <c r="M7" i="67"/>
  <c r="J6" i="67"/>
  <c r="F50" i="67"/>
  <c r="B8" i="70"/>
  <c r="B6" i="70"/>
  <c r="C27" i="15"/>
  <c r="C9" i="69"/>
  <c r="B10" i="70"/>
  <c r="C17" i="15"/>
  <c r="C17" i="67"/>
  <c r="C16" i="67"/>
  <c r="C16" i="15"/>
  <c r="C14" i="67"/>
  <c r="AB11" i="21"/>
  <c r="AC11" i="39"/>
  <c r="S15" i="39"/>
  <c r="AA15" i="39"/>
  <c r="AA42" i="39"/>
  <c r="S42" i="39"/>
  <c r="U15" i="39"/>
  <c r="AB15" i="39"/>
  <c r="AC15" i="39"/>
  <c r="W15" i="39"/>
  <c r="W44" i="39"/>
  <c r="AC44" i="39"/>
  <c r="AC36" i="39"/>
  <c r="W36" i="39"/>
  <c r="U44" i="39"/>
  <c r="AB44" i="39"/>
  <c r="AA27" i="39"/>
  <c r="S27" i="39"/>
  <c r="AC29" i="39"/>
  <c r="W29" i="39"/>
  <c r="W45" i="39"/>
  <c r="AC45" i="39"/>
  <c r="AC27" i="39"/>
  <c r="W27" i="39"/>
  <c r="S45" i="39"/>
  <c r="AA45" i="39"/>
  <c r="S36" i="39"/>
  <c r="AA36" i="39"/>
  <c r="U27" i="39"/>
  <c r="AB27" i="39"/>
  <c r="AC11" i="21"/>
  <c r="C38" i="68"/>
  <c r="C24" i="12"/>
  <c r="C29" i="12"/>
  <c r="D28" i="12"/>
  <c r="C28" i="15"/>
  <c r="C30" i="68"/>
  <c r="C28" i="67"/>
  <c r="C13" i="12"/>
  <c r="C16" i="12"/>
  <c r="C21" i="12"/>
  <c r="C22" i="12"/>
  <c r="C31" i="12"/>
  <c r="C77" i="9"/>
  <c r="C74" i="9"/>
  <c r="C48" i="68"/>
  <c r="D52" i="37"/>
  <c r="E52" i="37"/>
  <c r="F52" i="37"/>
  <c r="G52" i="37"/>
  <c r="H52" i="37"/>
  <c r="I52" i="37"/>
  <c r="J52" i="37"/>
  <c r="K52" i="37"/>
  <c r="L52" i="37"/>
  <c r="M52" i="37"/>
  <c r="N52" i="37"/>
  <c r="O52" i="37"/>
  <c r="J7" i="37"/>
  <c r="H7" i="37"/>
  <c r="F7" i="37"/>
  <c r="D58" i="33"/>
  <c r="E58" i="33"/>
  <c r="F58" i="33"/>
  <c r="G58" i="33"/>
  <c r="H58" i="33"/>
  <c r="I58" i="33"/>
  <c r="J58" i="33"/>
  <c r="K58" i="33"/>
  <c r="L58" i="33"/>
  <c r="M58" i="33"/>
  <c r="N58" i="33"/>
  <c r="O58" i="33"/>
  <c r="F7" i="33"/>
  <c r="C6" i="78"/>
  <c r="D6" i="78"/>
  <c r="C7" i="78"/>
  <c r="D7" i="78"/>
  <c r="C5" i="78"/>
  <c r="D5" i="78"/>
  <c r="P28" i="43"/>
  <c r="B66" i="40"/>
  <c r="P25" i="43"/>
  <c r="P27" i="43"/>
  <c r="B70" i="39"/>
  <c r="P26" i="43"/>
  <c r="P29" i="43"/>
  <c r="O23" i="43"/>
  <c r="A1" i="79"/>
  <c r="M24" i="43"/>
  <c r="C23" i="43"/>
  <c r="D48" i="35"/>
  <c r="E48" i="35"/>
  <c r="F48" i="35"/>
  <c r="G48" i="35"/>
  <c r="H48" i="35"/>
  <c r="I48" i="35"/>
  <c r="J48" i="35"/>
  <c r="K48" i="35"/>
  <c r="L48" i="35"/>
  <c r="M48" i="35"/>
  <c r="N48" i="35"/>
  <c r="O48" i="35"/>
  <c r="J7" i="35"/>
  <c r="D46" i="36"/>
  <c r="E46" i="36"/>
  <c r="F46" i="36"/>
  <c r="G46" i="36"/>
  <c r="H46" i="36"/>
  <c r="I46" i="36"/>
  <c r="J46" i="36"/>
  <c r="K46" i="36"/>
  <c r="L46" i="36"/>
  <c r="M46" i="36"/>
  <c r="N46" i="36"/>
  <c r="O46" i="36"/>
  <c r="I3" i="39"/>
  <c r="C67" i="39"/>
  <c r="C65" i="40"/>
  <c r="D63" i="40"/>
  <c r="D59" i="34"/>
  <c r="E59" i="34"/>
  <c r="F59" i="34"/>
  <c r="G59" i="34"/>
  <c r="H59" i="34"/>
  <c r="I59" i="34"/>
  <c r="J59" i="34"/>
  <c r="K59" i="34"/>
  <c r="L59" i="34"/>
  <c r="M59" i="34"/>
  <c r="N59" i="34"/>
  <c r="O59" i="34"/>
  <c r="W23" i="39"/>
  <c r="AB38" i="39"/>
  <c r="D7" i="74"/>
  <c r="D8" i="74"/>
  <c r="D6" i="74"/>
  <c r="AA11" i="39"/>
  <c r="S11" i="39"/>
  <c r="U11" i="39"/>
  <c r="AB11" i="39"/>
  <c r="AB23" i="39"/>
  <c r="S23" i="39"/>
  <c r="AA23" i="39"/>
  <c r="S25" i="39"/>
  <c r="AC25" i="39"/>
  <c r="V47" i="39"/>
  <c r="I47" i="39"/>
  <c r="W25" i="39"/>
  <c r="U25" i="39"/>
  <c r="AB25" i="39"/>
  <c r="AB23" i="21"/>
  <c r="C35" i="11"/>
  <c r="C33" i="11"/>
  <c r="C39" i="11"/>
  <c r="C46" i="11"/>
  <c r="C45" i="11"/>
  <c r="C19" i="69"/>
  <c r="S11" i="21"/>
  <c r="AA11" i="21"/>
  <c r="AC23" i="21"/>
  <c r="AC37" i="21"/>
  <c r="W23" i="21"/>
  <c r="W37" i="21"/>
  <c r="AB37" i="21"/>
  <c r="U37" i="21"/>
  <c r="AA37" i="21"/>
  <c r="S37" i="21"/>
  <c r="C19" i="68"/>
  <c r="D37" i="68"/>
  <c r="C37" i="68"/>
  <c r="C15" i="67"/>
  <c r="C18" i="67"/>
  <c r="C19" i="15"/>
  <c r="J18" i="67"/>
  <c r="J19" i="67"/>
  <c r="Q74" i="67"/>
  <c r="Q61" i="67"/>
  <c r="Q74" i="15"/>
  <c r="Q61" i="15"/>
  <c r="C32" i="15"/>
  <c r="C33" i="15"/>
  <c r="B2" i="70"/>
  <c r="B3" i="70"/>
  <c r="Q60" i="67"/>
  <c r="Q73" i="67"/>
  <c r="Q52" i="67"/>
  <c r="F1" i="67"/>
  <c r="M11" i="15"/>
  <c r="J10" i="15"/>
  <c r="J5" i="15"/>
  <c r="M11" i="67"/>
  <c r="J10" i="67"/>
  <c r="J5" i="67"/>
  <c r="F11" i="15"/>
  <c r="F11" i="67"/>
  <c r="Q73" i="15"/>
  <c r="Q60" i="15"/>
  <c r="C32" i="67"/>
  <c r="C33" i="67"/>
  <c r="C49" i="67"/>
  <c r="J19" i="15"/>
  <c r="J18" i="15"/>
  <c r="Q52" i="15"/>
  <c r="F1" i="15"/>
  <c r="C49" i="15"/>
  <c r="C33" i="68"/>
  <c r="C39" i="68"/>
  <c r="C46" i="68"/>
  <c r="C45" i="68"/>
  <c r="R47" i="39"/>
  <c r="E47" i="39"/>
  <c r="E49" i="39"/>
  <c r="H7" i="34"/>
  <c r="H7" i="36"/>
  <c r="AC7" i="35"/>
  <c r="V38" i="35"/>
  <c r="I38" i="35"/>
  <c r="W7" i="35"/>
  <c r="J7" i="34"/>
  <c r="F7" i="34"/>
  <c r="E63" i="40"/>
  <c r="D65" i="40"/>
  <c r="C69" i="39"/>
  <c r="D67" i="39"/>
  <c r="J7" i="36"/>
  <c r="F7" i="36"/>
  <c r="F7" i="35"/>
  <c r="H7" i="35"/>
  <c r="C42" i="43"/>
  <c r="C41" i="43"/>
  <c r="T6" i="43"/>
  <c r="V6" i="43"/>
  <c r="T3" i="43"/>
  <c r="V3" i="43"/>
  <c r="T8" i="43"/>
  <c r="V8" i="43"/>
  <c r="T12" i="43"/>
  <c r="V12" i="43"/>
  <c r="T16" i="43"/>
  <c r="V16" i="43"/>
  <c r="T9" i="43"/>
  <c r="V9" i="43"/>
  <c r="T13" i="43"/>
  <c r="V13" i="43"/>
  <c r="C40" i="43"/>
  <c r="C39" i="43"/>
  <c r="C37" i="43"/>
  <c r="T5" i="43"/>
  <c r="V5" i="43"/>
  <c r="T2" i="43"/>
  <c r="V2" i="43"/>
  <c r="T4" i="43"/>
  <c r="V4" i="43"/>
  <c r="T10" i="43"/>
  <c r="V10" i="43"/>
  <c r="T14" i="43"/>
  <c r="V14" i="43"/>
  <c r="T7" i="43"/>
  <c r="V7" i="43"/>
  <c r="T11" i="43"/>
  <c r="V11" i="43"/>
  <c r="T15" i="43"/>
  <c r="V15" i="43"/>
  <c r="C33" i="43"/>
  <c r="C38" i="43"/>
  <c r="S7" i="33"/>
  <c r="AA7" i="33"/>
  <c r="R48" i="33"/>
  <c r="S7" i="37"/>
  <c r="AA7" i="37"/>
  <c r="R42" i="37"/>
  <c r="W7" i="37"/>
  <c r="AC7" i="37"/>
  <c r="V42" i="37"/>
  <c r="I42" i="37"/>
  <c r="H7" i="33"/>
  <c r="J7" i="33"/>
  <c r="AB7" i="37"/>
  <c r="T42" i="37"/>
  <c r="G42" i="37"/>
  <c r="U7" i="37"/>
  <c r="T47" i="39"/>
  <c r="G47" i="39"/>
  <c r="G49" i="39"/>
  <c r="I49" i="39"/>
  <c r="I51" i="39"/>
  <c r="J51" i="39"/>
  <c r="I48" i="21"/>
  <c r="I52" i="21"/>
  <c r="J52" i="21"/>
  <c r="G50" i="21"/>
  <c r="G52" i="21"/>
  <c r="H52" i="21"/>
  <c r="C30" i="12"/>
  <c r="C28" i="12"/>
  <c r="C19" i="67"/>
  <c r="C20" i="67"/>
  <c r="C26" i="67"/>
  <c r="C20" i="68"/>
  <c r="C28" i="68"/>
  <c r="C27" i="68"/>
  <c r="J26" i="67"/>
  <c r="J29" i="67"/>
  <c r="J24" i="67"/>
  <c r="C61" i="15"/>
  <c r="C61" i="67"/>
  <c r="C10" i="67"/>
  <c r="C5" i="67"/>
  <c r="C53" i="67"/>
  <c r="C48" i="67"/>
  <c r="J17" i="15"/>
  <c r="J24" i="15"/>
  <c r="J26" i="15"/>
  <c r="J29" i="15"/>
  <c r="C31" i="67"/>
  <c r="C10" i="15"/>
  <c r="C5" i="15"/>
  <c r="C53" i="15"/>
  <c r="C48" i="15"/>
  <c r="C31" i="15"/>
  <c r="J17" i="67"/>
  <c r="F25" i="12"/>
  <c r="L36" i="43"/>
  <c r="F24" i="67"/>
  <c r="C24" i="67"/>
  <c r="F22" i="11"/>
  <c r="F24" i="15"/>
  <c r="C24" i="15"/>
  <c r="F22" i="68"/>
  <c r="C20" i="15"/>
  <c r="C26" i="15"/>
  <c r="E51" i="39"/>
  <c r="F51" i="39"/>
  <c r="I52" i="39"/>
  <c r="J52" i="39"/>
  <c r="G46" i="37"/>
  <c r="H46" i="37"/>
  <c r="G47" i="37"/>
  <c r="H47" i="37"/>
  <c r="U7" i="33"/>
  <c r="AB7" i="33"/>
  <c r="T48" i="33"/>
  <c r="G48" i="33"/>
  <c r="C34" i="43"/>
  <c r="E34" i="43"/>
  <c r="E33" i="43"/>
  <c r="G39" i="43"/>
  <c r="I39" i="43"/>
  <c r="E39" i="43"/>
  <c r="E42" i="43"/>
  <c r="G42" i="43"/>
  <c r="I42" i="43"/>
  <c r="S7" i="35"/>
  <c r="AA7" i="35"/>
  <c r="R38" i="35"/>
  <c r="W7" i="36"/>
  <c r="AC7" i="36"/>
  <c r="V36" i="36"/>
  <c r="I36" i="36"/>
  <c r="F63" i="40"/>
  <c r="E65" i="40"/>
  <c r="W7" i="34"/>
  <c r="AC7" i="34"/>
  <c r="V49" i="34"/>
  <c r="I49" i="34"/>
  <c r="I42" i="35"/>
  <c r="J42" i="35"/>
  <c r="AC7" i="33"/>
  <c r="V48" i="33"/>
  <c r="I48" i="33"/>
  <c r="W7" i="33"/>
  <c r="I46" i="37"/>
  <c r="J46" i="37"/>
  <c r="E42" i="37"/>
  <c r="I47" i="37"/>
  <c r="J47" i="37"/>
  <c r="R43" i="37"/>
  <c r="R49" i="33"/>
  <c r="E48" i="33"/>
  <c r="G38" i="43"/>
  <c r="I38" i="43"/>
  <c r="E38" i="43"/>
  <c r="G37" i="43"/>
  <c r="I37" i="43"/>
  <c r="E37" i="43"/>
  <c r="G40" i="43"/>
  <c r="I40" i="43"/>
  <c r="E40" i="43"/>
  <c r="G41" i="43"/>
  <c r="I41" i="43"/>
  <c r="E41" i="43"/>
  <c r="AB7" i="35"/>
  <c r="T38" i="35"/>
  <c r="G38" i="35"/>
  <c r="U7" i="35"/>
  <c r="S7" i="36"/>
  <c r="AA7" i="36"/>
  <c r="R36" i="36"/>
  <c r="D69" i="39"/>
  <c r="E67" i="39"/>
  <c r="S7" i="34"/>
  <c r="AA7" i="34"/>
  <c r="R49" i="34"/>
  <c r="U7" i="36"/>
  <c r="AB7" i="36"/>
  <c r="T36" i="36"/>
  <c r="G36" i="36"/>
  <c r="U7" i="34"/>
  <c r="AB7" i="34"/>
  <c r="T49" i="34"/>
  <c r="G49" i="34"/>
  <c r="E52" i="39"/>
  <c r="F52" i="39"/>
  <c r="G52" i="39"/>
  <c r="H52" i="39"/>
  <c r="R48" i="39"/>
  <c r="C47" i="39"/>
  <c r="G51" i="39"/>
  <c r="H51" i="39"/>
  <c r="G53" i="21"/>
  <c r="H53" i="21"/>
  <c r="E52" i="21"/>
  <c r="F52" i="21"/>
  <c r="E50" i="21"/>
  <c r="E53" i="21"/>
  <c r="F53" i="21"/>
  <c r="I53" i="21"/>
  <c r="J53" i="21"/>
  <c r="C60" i="67"/>
  <c r="C59" i="67"/>
  <c r="C66" i="67"/>
  <c r="F41" i="68"/>
  <c r="C24" i="68"/>
  <c r="C25" i="68"/>
  <c r="C26" i="68"/>
  <c r="D22" i="68"/>
  <c r="C42" i="68"/>
  <c r="C44" i="68"/>
  <c r="D41" i="68"/>
  <c r="C23" i="68"/>
  <c r="C43" i="68"/>
  <c r="Q36" i="43"/>
  <c r="L37" i="43"/>
  <c r="P36" i="43"/>
  <c r="N36" i="43"/>
  <c r="M36" i="43"/>
  <c r="O36" i="43"/>
  <c r="C23" i="15"/>
  <c r="C29" i="15"/>
  <c r="C26" i="12"/>
  <c r="D25" i="12"/>
  <c r="C27" i="12"/>
  <c r="C25" i="12"/>
  <c r="C38" i="67"/>
  <c r="C23" i="67"/>
  <c r="C29" i="67"/>
  <c r="C42" i="11"/>
  <c r="C25" i="11"/>
  <c r="C44" i="11"/>
  <c r="D41" i="11"/>
  <c r="C23" i="11"/>
  <c r="C26" i="11"/>
  <c r="D22" i="11"/>
  <c r="C43" i="11"/>
  <c r="C24" i="11"/>
  <c r="F41" i="69"/>
  <c r="C38" i="15"/>
  <c r="C60" i="15"/>
  <c r="C59" i="15"/>
  <c r="C66" i="15"/>
  <c r="G53" i="34"/>
  <c r="H53" i="34"/>
  <c r="G54" i="34"/>
  <c r="H54" i="34"/>
  <c r="G40" i="36"/>
  <c r="H40" i="36"/>
  <c r="G41" i="36"/>
  <c r="H41" i="36"/>
  <c r="E49" i="34"/>
  <c r="R50" i="34"/>
  <c r="F67" i="39"/>
  <c r="E69" i="39"/>
  <c r="R37" i="36"/>
  <c r="E36" i="36"/>
  <c r="E53" i="33"/>
  <c r="F53" i="33"/>
  <c r="E52" i="33"/>
  <c r="F52" i="33"/>
  <c r="C42" i="37"/>
  <c r="C43" i="37"/>
  <c r="I54" i="34"/>
  <c r="J54" i="34"/>
  <c r="I53" i="34"/>
  <c r="J53" i="34"/>
  <c r="I40" i="36"/>
  <c r="J40" i="36"/>
  <c r="I41" i="36"/>
  <c r="J41" i="36"/>
  <c r="E38" i="35"/>
  <c r="R39" i="35"/>
  <c r="C30" i="43"/>
  <c r="G52" i="33"/>
  <c r="H52" i="33"/>
  <c r="G53" i="33"/>
  <c r="H53" i="33"/>
  <c r="G42" i="35"/>
  <c r="H42" i="35"/>
  <c r="G43" i="35"/>
  <c r="H43" i="35"/>
  <c r="C48" i="33"/>
  <c r="C49" i="33"/>
  <c r="E46" i="37"/>
  <c r="F46" i="37"/>
  <c r="E47" i="37"/>
  <c r="F47" i="37"/>
  <c r="I53" i="33"/>
  <c r="J53" i="33"/>
  <c r="I52" i="33"/>
  <c r="J52" i="33"/>
  <c r="F65" i="40"/>
  <c r="G63" i="40"/>
  <c r="C31" i="43"/>
  <c r="C48" i="39"/>
  <c r="B62" i="39"/>
  <c r="F62" i="39"/>
  <c r="C48" i="21"/>
  <c r="D103" i="9"/>
  <c r="C22" i="11"/>
  <c r="C31" i="11"/>
  <c r="C32" i="12"/>
  <c r="B2" i="12"/>
  <c r="B3" i="12"/>
  <c r="J14" i="67"/>
  <c r="C13" i="67"/>
  <c r="C57" i="67"/>
  <c r="C64" i="67"/>
  <c r="C36" i="67"/>
  <c r="Q49" i="67"/>
  <c r="J59" i="67"/>
  <c r="J60" i="67"/>
  <c r="C57" i="15"/>
  <c r="C64" i="15"/>
  <c r="C13" i="15"/>
  <c r="C36" i="15"/>
  <c r="Q49" i="15"/>
  <c r="J14" i="15"/>
  <c r="J59" i="15"/>
  <c r="J60" i="15"/>
  <c r="C41" i="11"/>
  <c r="C49" i="11"/>
  <c r="C51" i="11"/>
  <c r="C22" i="68"/>
  <c r="C31" i="68"/>
  <c r="C41" i="68"/>
  <c r="C49" i="68"/>
  <c r="C51" i="68"/>
  <c r="M37" i="43"/>
  <c r="N37" i="43"/>
  <c r="O37" i="43"/>
  <c r="Q37" i="43"/>
  <c r="P37" i="43"/>
  <c r="E6" i="76"/>
  <c r="E2" i="76"/>
  <c r="C39" i="35"/>
  <c r="M3" i="35"/>
  <c r="C38" i="35"/>
  <c r="E40" i="36"/>
  <c r="F40" i="36"/>
  <c r="E41" i="36"/>
  <c r="F41" i="36"/>
  <c r="C50" i="34"/>
  <c r="C49" i="34"/>
  <c r="B2" i="43"/>
  <c r="E43" i="35"/>
  <c r="F43" i="35"/>
  <c r="E42" i="35"/>
  <c r="F42" i="35"/>
  <c r="I43" i="35"/>
  <c r="J43" i="35"/>
  <c r="C36" i="36"/>
  <c r="C37" i="36"/>
  <c r="F69" i="39"/>
  <c r="G67" i="39"/>
  <c r="E54" i="34"/>
  <c r="F54" i="34"/>
  <c r="E53" i="34"/>
  <c r="F53" i="34"/>
  <c r="H63" i="40"/>
  <c r="G65" i="40"/>
  <c r="C6" i="69"/>
  <c r="C7" i="69"/>
  <c r="C5" i="69"/>
  <c r="B56" i="39"/>
  <c r="F56" i="39"/>
  <c r="B61" i="39"/>
  <c r="F61" i="39"/>
  <c r="B57" i="39"/>
  <c r="F57" i="39"/>
  <c r="B58" i="39"/>
  <c r="F58" i="39"/>
  <c r="B60" i="39"/>
  <c r="F60" i="39"/>
  <c r="B64" i="39"/>
  <c r="F64" i="39"/>
  <c r="B59" i="39"/>
  <c r="F59" i="39"/>
  <c r="B63" i="39"/>
  <c r="F63" i="39"/>
  <c r="C52" i="11"/>
  <c r="B2" i="11"/>
  <c r="B3" i="11"/>
  <c r="C52" i="68"/>
  <c r="B2" i="68"/>
  <c r="B3" i="68"/>
  <c r="Q48" i="15"/>
  <c r="L46" i="15"/>
  <c r="C56" i="15"/>
  <c r="C65" i="15"/>
  <c r="C58" i="15"/>
  <c r="C67" i="15"/>
  <c r="C68" i="15"/>
  <c r="C37" i="15"/>
  <c r="C30" i="15"/>
  <c r="C39" i="15"/>
  <c r="Q70" i="15"/>
  <c r="C75" i="15"/>
  <c r="Q48" i="67"/>
  <c r="L46" i="67"/>
  <c r="C56" i="67"/>
  <c r="C65" i="67"/>
  <c r="C58" i="67"/>
  <c r="C67" i="67"/>
  <c r="C68" i="67"/>
  <c r="C37" i="67"/>
  <c r="C30" i="67"/>
  <c r="C39" i="67"/>
  <c r="C75" i="67"/>
  <c r="Q70" i="67"/>
  <c r="J13" i="15"/>
  <c r="J23" i="15"/>
  <c r="J22" i="15"/>
  <c r="J13" i="67"/>
  <c r="J23" i="67"/>
  <c r="J22" i="67"/>
  <c r="B6" i="76"/>
  <c r="B2" i="76"/>
  <c r="B3" i="76"/>
  <c r="H67" i="39"/>
  <c r="G69" i="39"/>
  <c r="I63" i="40"/>
  <c r="H65" i="40"/>
  <c r="B3" i="43"/>
  <c r="E30" i="69"/>
  <c r="F65" i="39"/>
  <c r="B2" i="39"/>
  <c r="B3" i="39"/>
  <c r="C20" i="69"/>
  <c r="C56" i="11"/>
  <c r="C57" i="11"/>
  <c r="J16" i="15"/>
  <c r="J25" i="15"/>
  <c r="C57" i="68"/>
  <c r="C56" i="68"/>
  <c r="C80" i="15"/>
  <c r="C79" i="15"/>
  <c r="C71" i="15"/>
  <c r="Q69" i="67"/>
  <c r="Q68" i="67"/>
  <c r="C40" i="67"/>
  <c r="C45" i="67"/>
  <c r="C46" i="67"/>
  <c r="C71" i="67"/>
  <c r="J16" i="67"/>
  <c r="J25" i="67"/>
  <c r="Q69" i="15"/>
  <c r="Q68" i="15"/>
  <c r="C40" i="15"/>
  <c r="C80" i="67"/>
  <c r="C79" i="67"/>
  <c r="L51" i="15"/>
  <c r="L51" i="67"/>
  <c r="J63" i="40"/>
  <c r="I65" i="40"/>
  <c r="H69" i="39"/>
  <c r="I67" i="39"/>
  <c r="Q67" i="15"/>
  <c r="L57" i="15"/>
  <c r="L60" i="15"/>
  <c r="Q67" i="67"/>
  <c r="L57" i="67"/>
  <c r="L60" i="67"/>
  <c r="Q65" i="67"/>
  <c r="Q56" i="67"/>
  <c r="Q47" i="67"/>
  <c r="Q53" i="67"/>
  <c r="D2" i="67"/>
  <c r="C43" i="67"/>
  <c r="C83" i="67"/>
  <c r="C82" i="67"/>
  <c r="C43" i="15"/>
  <c r="Q47" i="15"/>
  <c r="Q53" i="15"/>
  <c r="B2" i="15"/>
  <c r="B3" i="15"/>
  <c r="Q56" i="15"/>
  <c r="Q65" i="15"/>
  <c r="C83" i="15"/>
  <c r="C82" i="15"/>
  <c r="C46" i="15"/>
  <c r="J67" i="39"/>
  <c r="I69" i="39"/>
  <c r="K63" i="40"/>
  <c r="J65" i="40"/>
  <c r="B2" i="67"/>
  <c r="B3" i="67"/>
  <c r="Q66" i="67"/>
  <c r="Q75" i="67"/>
  <c r="Q57" i="67"/>
  <c r="Q62" i="67"/>
  <c r="Q57" i="15"/>
  <c r="Q62" i="15"/>
  <c r="Q66" i="15"/>
  <c r="Q75" i="15"/>
  <c r="L63" i="40"/>
  <c r="K65" i="40"/>
  <c r="J69" i="39"/>
  <c r="K67" i="39"/>
  <c r="C57" i="69"/>
  <c r="C56" i="69"/>
  <c r="C19" i="9"/>
  <c r="K69" i="39"/>
  <c r="L67" i="39"/>
  <c r="L65" i="40"/>
  <c r="M63" i="40"/>
  <c r="C102" i="9"/>
  <c r="C21" i="9"/>
  <c r="D22" i="9"/>
  <c r="G19" i="9"/>
  <c r="G21" i="9"/>
  <c r="N63" i="40"/>
  <c r="M65" i="40"/>
  <c r="L69" i="39"/>
  <c r="M67" i="39"/>
  <c r="G20" i="9"/>
  <c r="C32" i="9"/>
  <c r="I118" i="9"/>
  <c r="C103" i="9"/>
  <c r="J22" i="9"/>
  <c r="N67" i="39"/>
  <c r="M69" i="39"/>
  <c r="O63" i="40"/>
  <c r="O65" i="40"/>
  <c r="N65" i="40"/>
  <c r="C35" i="9"/>
  <c r="G118" i="9"/>
  <c r="G4" i="52"/>
  <c r="B52" i="72"/>
  <c r="C105" i="9"/>
  <c r="H118" i="9"/>
  <c r="I4" i="52"/>
  <c r="H102" i="9"/>
  <c r="D7" i="53"/>
  <c r="B21" i="72"/>
  <c r="F7" i="40"/>
  <c r="J7" i="40"/>
  <c r="H7" i="40"/>
  <c r="O67" i="39"/>
  <c r="O69" i="39"/>
  <c r="N69" i="39"/>
  <c r="E118" i="9"/>
  <c r="D118" i="9"/>
  <c r="F118" i="9"/>
  <c r="F119" i="9"/>
  <c r="F5" i="52"/>
  <c r="B53" i="72"/>
  <c r="C34" i="9"/>
  <c r="C104" i="9"/>
  <c r="H119" i="9"/>
  <c r="H5" i="52"/>
  <c r="H4" i="52"/>
  <c r="H101" i="9"/>
  <c r="AC7" i="40"/>
  <c r="V42" i="40"/>
  <c r="I42" i="40"/>
  <c r="W7" i="40"/>
  <c r="AB7" i="40"/>
  <c r="T42" i="40"/>
  <c r="G42" i="40"/>
  <c r="U7" i="40"/>
  <c r="S7" i="40"/>
  <c r="AA7" i="40"/>
  <c r="R42" i="40"/>
  <c r="F4" i="52"/>
  <c r="B51" i="72"/>
  <c r="E4" i="52"/>
  <c r="B48" i="72"/>
  <c r="H107" i="9"/>
  <c r="D5" i="53"/>
  <c r="D45" i="9"/>
  <c r="M48" i="9"/>
  <c r="D119" i="9"/>
  <c r="D5" i="52"/>
  <c r="B49" i="72"/>
  <c r="D4" i="52"/>
  <c r="B47" i="72"/>
  <c r="R43" i="40"/>
  <c r="E42" i="40"/>
  <c r="G47" i="40"/>
  <c r="H47" i="40"/>
  <c r="G46" i="40"/>
  <c r="H46" i="40"/>
  <c r="I46" i="40"/>
  <c r="J46" i="40"/>
  <c r="I47" i="40"/>
  <c r="J47" i="40"/>
  <c r="B20" i="72"/>
  <c r="D6" i="53"/>
  <c r="B22" i="72"/>
  <c r="C78" i="9"/>
  <c r="C73" i="9"/>
  <c r="C93" i="9"/>
  <c r="C86" i="9"/>
  <c r="D52" i="9"/>
  <c r="C72" i="9"/>
  <c r="D55" i="9"/>
  <c r="M53" i="9"/>
  <c r="D53" i="9"/>
  <c r="C64" i="9"/>
  <c r="C63" i="9"/>
  <c r="C67" i="9"/>
  <c r="C85" i="9"/>
  <c r="D122" i="9"/>
  <c r="H108" i="9"/>
  <c r="D13" i="53"/>
  <c r="E47" i="40"/>
  <c r="F47" i="40"/>
  <c r="E46" i="40"/>
  <c r="F46" i="40"/>
  <c r="C42" i="40"/>
  <c r="C43" i="40"/>
  <c r="C79" i="9"/>
  <c r="C80" i="9"/>
  <c r="E80" i="9"/>
  <c r="E81" i="9"/>
  <c r="C95" i="9"/>
  <c r="C96" i="9"/>
  <c r="E96" i="9"/>
  <c r="E97" i="9"/>
  <c r="C6" i="74"/>
  <c r="E14" i="74"/>
  <c r="D14" i="74"/>
  <c r="D15" i="53"/>
  <c r="B31" i="72"/>
  <c r="D14" i="53"/>
  <c r="B32" i="72"/>
  <c r="B30" i="72"/>
  <c r="D123" i="9"/>
  <c r="D9" i="52"/>
  <c r="D8" i="52"/>
  <c r="D59" i="9"/>
  <c r="M55" i="9"/>
  <c r="C68" i="9"/>
  <c r="D54" i="9"/>
  <c r="B58" i="40"/>
  <c r="F58" i="40"/>
  <c r="B54" i="40"/>
  <c r="F54" i="40"/>
  <c r="B53" i="40"/>
  <c r="F53" i="40"/>
  <c r="B59" i="40"/>
  <c r="F59" i="40"/>
  <c r="B52" i="40"/>
  <c r="F52" i="40"/>
  <c r="B56" i="40"/>
  <c r="F56" i="40"/>
  <c r="B60" i="40"/>
  <c r="F60" i="40"/>
  <c r="B57" i="40"/>
  <c r="F57" i="40"/>
  <c r="B51" i="40"/>
  <c r="F51" i="40"/>
  <c r="F61" i="40"/>
  <c r="B2" i="40"/>
  <c r="B3" i="40"/>
  <c r="F14" i="74"/>
  <c r="B5" i="74"/>
  <c r="C81" i="9"/>
  <c r="C97" i="9"/>
  <c r="D58" i="9"/>
  <c r="D56" i="9"/>
  <c r="M54" i="9"/>
  <c r="N57" i="9"/>
  <c r="N59" i="9"/>
  <c r="P57" i="9"/>
  <c r="N58" i="9"/>
  <c r="C5" i="74"/>
  <c r="D5" i="74"/>
  <c r="N60" i="9"/>
  <c r="N61" i="9"/>
</calcChain>
</file>

<file path=xl/comments1.xml><?xml version="1.0" encoding="utf-8"?>
<comments xmlns="http://schemas.openxmlformats.org/spreadsheetml/2006/main">
  <authors>
    <author>USER</author>
  </authors>
  <commentList>
    <comment ref="A13" authorId="0" shape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shapeId="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text>
        <r>
          <rPr>
            <sz val="11"/>
            <color indexed="81"/>
            <rFont val="宋体"/>
            <family val="3"/>
            <charset val="134"/>
          </rPr>
          <t>在建项目均选择“是”</t>
        </r>
      </text>
    </comment>
    <comment ref="F59" authorId="1"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shapeId="0">
      <text>
        <r>
          <rPr>
            <sz val="10"/>
            <color indexed="81"/>
            <rFont val="宋体"/>
            <family val="3"/>
            <charset val="134"/>
          </rPr>
          <t xml:space="preserve">在建
</t>
        </r>
      </text>
    </comment>
    <comment ref="N59" authorId="0" shapeId="0">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诗霖</author>
    <author>崔锴</author>
    <author>USER</author>
  </authors>
  <commentList>
    <comment ref="M8" authorId="0" shapeId="0">
      <text>
        <r>
          <rPr>
            <b/>
            <sz val="11"/>
            <color indexed="81"/>
            <rFont val="ＭＳ Ｐゴシック"/>
            <family val="2"/>
            <charset val="128"/>
          </rPr>
          <t>诗霖:</t>
        </r>
        <r>
          <rPr>
            <sz val="11"/>
            <color indexed="81"/>
            <rFont val="ＭＳ Ｐゴシック"/>
            <family val="2"/>
            <charset val="128"/>
          </rPr>
          <t xml:space="preserve">
分区</t>
        </r>
      </text>
    </comment>
    <comment ref="M23" authorId="0" shapeId="0">
      <text>
        <r>
          <rPr>
            <b/>
            <sz val="11"/>
            <color indexed="81"/>
            <rFont val="ＭＳ Ｐゴシック"/>
            <family val="2"/>
            <charset val="128"/>
          </rPr>
          <t>诗霖:</t>
        </r>
        <r>
          <rPr>
            <sz val="11"/>
            <color indexed="81"/>
            <rFont val="ＭＳ Ｐゴシック"/>
            <family val="2"/>
            <charset val="128"/>
          </rPr>
          <t xml:space="preserve">
不分区</t>
        </r>
      </text>
    </comment>
    <comment ref="K47" authorId="1" shapeId="0">
      <text>
        <r>
          <rPr>
            <b/>
            <sz val="9"/>
            <color indexed="81"/>
            <rFont val="宋体"/>
            <family val="3"/>
            <charset val="134"/>
          </rPr>
          <t>权重验证</t>
        </r>
        <r>
          <rPr>
            <sz val="9"/>
            <color indexed="81"/>
            <rFont val="宋体"/>
            <family val="3"/>
            <charset val="134"/>
          </rPr>
          <t xml:space="preserve">
</t>
        </r>
      </text>
    </comment>
    <comment ref="C69" authorId="2" shapeId="0">
      <text>
        <r>
          <rPr>
            <b/>
            <sz val="12"/>
            <color indexed="81"/>
            <rFont val="宋体"/>
            <family val="3"/>
            <charset val="134"/>
          </rPr>
          <t>价值时点所在季度</t>
        </r>
        <r>
          <rPr>
            <sz val="12"/>
            <color indexed="81"/>
            <rFont val="宋体"/>
            <family val="3"/>
            <charset val="134"/>
          </rPr>
          <t xml:space="preserve">
</t>
        </r>
      </text>
    </comment>
    <comment ref="B70" authorId="1" shapeId="0">
      <text>
        <r>
          <rPr>
            <sz val="11"/>
            <color indexed="81"/>
            <rFont val="宋体"/>
            <family val="3"/>
            <charset val="134"/>
          </rPr>
          <t xml:space="preserve">北京市公示数据计算的平均涨幅
</t>
        </r>
      </text>
    </comment>
  </commentList>
</comments>
</file>

<file path=xl/comments12.xml><?xml version="1.0" encoding="utf-8"?>
<comments xmlns="http://schemas.openxmlformats.org/spreadsheetml/2006/main">
  <authors>
    <author>崔锴</author>
  </authors>
  <commentList>
    <comment ref="I52" authorId="0"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text>
        <r>
          <rPr>
            <sz val="10"/>
            <color indexed="81"/>
            <rFont val="宋体"/>
            <family val="3"/>
            <charset val="134"/>
          </rPr>
          <t xml:space="preserve">需注意，采用基准地价系数修正法中土地结果计算时，土地报酬率应采用该方法中报酬率（还原率）。
</t>
        </r>
      </text>
    </comment>
    <comment ref="L55" authorId="0" shapeId="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text>
        <r>
          <rPr>
            <sz val="11"/>
            <color indexed="81"/>
            <rFont val="宋体"/>
            <family val="3"/>
            <charset val="134"/>
          </rPr>
          <t xml:space="preserve">在建项目均选择“是”
</t>
        </r>
      </text>
    </comment>
  </commentList>
</comments>
</file>

<file path=xl/comments13.xml><?xml version="1.0" encoding="utf-8"?>
<comments xmlns="http://schemas.openxmlformats.org/spreadsheetml/2006/main">
  <authors>
    <author>崔锴</author>
    <author>USER</author>
  </authors>
  <commentList>
    <comment ref="K48" authorId="0" shapeId="0">
      <text>
        <r>
          <rPr>
            <b/>
            <sz val="9"/>
            <color indexed="81"/>
            <rFont val="宋体"/>
            <family val="3"/>
            <charset val="134"/>
          </rPr>
          <t>权重验证</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8" authorId="0" shapeId="0">
      <text>
        <r>
          <rPr>
            <b/>
            <sz val="9"/>
            <color indexed="81"/>
            <rFont val="宋体"/>
            <family val="3"/>
            <charset val="134"/>
          </rPr>
          <t>权重验证</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9" authorId="0" shapeId="0">
      <text>
        <r>
          <rPr>
            <b/>
            <sz val="9"/>
            <color indexed="81"/>
            <rFont val="宋体"/>
            <family val="3"/>
            <charset val="134"/>
          </rPr>
          <t>权重验证</t>
        </r>
        <r>
          <rPr>
            <sz val="9"/>
            <color indexed="81"/>
            <rFont val="宋体"/>
            <family val="3"/>
            <charset val="134"/>
          </rPr>
          <t xml:space="preserve">
</t>
        </r>
      </text>
    </comment>
    <comment ref="C59" authorId="1" shapeId="0">
      <text>
        <r>
          <rPr>
            <b/>
            <sz val="12"/>
            <color indexed="81"/>
            <rFont val="宋体"/>
            <family val="3"/>
            <charset val="134"/>
          </rPr>
          <t>价值时点所在月度</t>
        </r>
        <r>
          <rPr>
            <sz val="12"/>
            <color indexed="81"/>
            <rFont val="宋体"/>
            <family val="3"/>
            <charset val="134"/>
          </rPr>
          <t xml:space="preserve">
</t>
        </r>
      </text>
    </comment>
    <comment ref="B103"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shapeId="0">
      <text>
        <r>
          <rPr>
            <b/>
            <sz val="9"/>
            <color indexed="81"/>
            <rFont val="宋体"/>
            <family val="3"/>
            <charset val="134"/>
          </rPr>
          <t>权重验证</t>
        </r>
        <r>
          <rPr>
            <sz val="9"/>
            <color indexed="81"/>
            <rFont val="宋体"/>
            <family val="3"/>
            <charset val="134"/>
          </rPr>
          <t xml:space="preserve">
</t>
        </r>
      </text>
    </comment>
    <comment ref="C52" authorId="1" shapeId="0">
      <text>
        <r>
          <rPr>
            <b/>
            <sz val="12"/>
            <color indexed="81"/>
            <rFont val="宋体"/>
            <family val="3"/>
            <charset val="134"/>
          </rPr>
          <t>价值时点所在月度</t>
        </r>
        <r>
          <rPr>
            <sz val="12"/>
            <color indexed="81"/>
            <rFont val="宋体"/>
            <family val="3"/>
            <charset val="134"/>
          </rPr>
          <t xml:space="preserve">
</t>
        </r>
      </text>
    </comment>
    <comment ref="B90"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shapeId="0">
      <text>
        <r>
          <rPr>
            <b/>
            <sz val="12"/>
            <color indexed="81"/>
            <rFont val="宋体"/>
            <family val="3"/>
            <charset val="134"/>
          </rPr>
          <t>主用途</t>
        </r>
        <r>
          <rPr>
            <sz val="12"/>
            <color indexed="81"/>
            <rFont val="宋体"/>
            <family val="3"/>
            <charset val="134"/>
          </rPr>
          <t xml:space="preserve">
</t>
        </r>
      </text>
    </comment>
    <comment ref="K38" authorId="1" shapeId="0">
      <text>
        <r>
          <rPr>
            <b/>
            <sz val="9"/>
            <color indexed="81"/>
            <rFont val="宋体"/>
            <family val="3"/>
            <charset val="134"/>
          </rPr>
          <t>权重验证</t>
        </r>
        <r>
          <rPr>
            <sz val="9"/>
            <color indexed="81"/>
            <rFont val="宋体"/>
            <family val="3"/>
            <charset val="134"/>
          </rPr>
          <t xml:space="preserve">
</t>
        </r>
      </text>
    </comment>
    <comment ref="C48" authorId="0" shapeId="0">
      <text>
        <r>
          <rPr>
            <b/>
            <sz val="12"/>
            <color indexed="81"/>
            <rFont val="宋体"/>
            <family val="3"/>
            <charset val="134"/>
          </rPr>
          <t>价值时点所在月度</t>
        </r>
        <r>
          <rPr>
            <sz val="12"/>
            <color indexed="81"/>
            <rFont val="宋体"/>
            <family val="3"/>
            <charset val="134"/>
          </rPr>
          <t xml:space="preserve">
</t>
        </r>
      </text>
    </comment>
    <comment ref="B88" authorId="0" shapeId="0">
      <text>
        <r>
          <rPr>
            <b/>
            <sz val="12"/>
            <color indexed="81"/>
            <rFont val="宋体"/>
            <family val="3"/>
            <charset val="134"/>
          </rPr>
          <t>所属项目品质或
物业管理</t>
        </r>
      </text>
    </comment>
    <comment ref="B90"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shape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text>
        <r>
          <rPr>
            <b/>
            <sz val="9"/>
            <color indexed="81"/>
            <rFont val="宋体"/>
            <family val="3"/>
            <charset val="134"/>
          </rPr>
          <t>权重验证</t>
        </r>
        <r>
          <rPr>
            <sz val="9"/>
            <color indexed="81"/>
            <rFont val="宋体"/>
            <family val="3"/>
            <charset val="134"/>
          </rPr>
          <t xml:space="preserve">
</t>
        </r>
      </text>
    </comment>
    <comment ref="C46" authorId="0" shapeId="0">
      <text>
        <r>
          <rPr>
            <b/>
            <sz val="12"/>
            <color indexed="81"/>
            <rFont val="宋体"/>
            <family val="3"/>
            <charset val="134"/>
          </rPr>
          <t>价值时点所在月度</t>
        </r>
        <r>
          <rPr>
            <sz val="12"/>
            <color indexed="81"/>
            <rFont val="宋体"/>
            <family val="3"/>
            <charset val="134"/>
          </rPr>
          <t xml:space="preserve">
</t>
        </r>
      </text>
    </comment>
    <comment ref="B82" authorId="0" shapeId="0">
      <text>
        <r>
          <rPr>
            <b/>
            <sz val="12"/>
            <color indexed="81"/>
            <rFont val="宋体"/>
            <family val="3"/>
            <charset val="134"/>
          </rPr>
          <t>所属项目品质或
物业管理</t>
        </r>
      </text>
    </comment>
    <comment ref="B86" authorId="0" shapeId="0">
      <text>
        <r>
          <rPr>
            <b/>
            <sz val="12"/>
            <color indexed="81"/>
            <rFont val="宋体"/>
            <family val="3"/>
            <charset val="134"/>
          </rPr>
          <t>所属项目品质</t>
        </r>
      </text>
    </comment>
    <comment ref="B89"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崔锴</author>
    <author>USER</author>
  </authors>
  <commentList>
    <comment ref="K42" authorId="0" shapeId="0">
      <text>
        <r>
          <rPr>
            <b/>
            <sz val="9"/>
            <color indexed="81"/>
            <rFont val="宋体"/>
            <family val="3"/>
            <charset val="134"/>
          </rPr>
          <t>权重验证</t>
        </r>
        <r>
          <rPr>
            <sz val="9"/>
            <color indexed="81"/>
            <rFont val="宋体"/>
            <family val="3"/>
            <charset val="134"/>
          </rPr>
          <t xml:space="preserve">
</t>
        </r>
      </text>
    </comment>
    <comment ref="C65" authorId="1" shapeId="0">
      <text>
        <r>
          <rPr>
            <b/>
            <sz val="12"/>
            <color indexed="81"/>
            <rFont val="宋体"/>
            <family val="3"/>
            <charset val="134"/>
          </rPr>
          <t>价值时点所在季度</t>
        </r>
        <r>
          <rPr>
            <sz val="12"/>
            <color indexed="81"/>
            <rFont val="宋体"/>
            <family val="3"/>
            <charset val="134"/>
          </rPr>
          <t xml:space="preserve">
</t>
        </r>
      </text>
    </comment>
    <comment ref="B66" authorId="0" shape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shapeId="0">
      <text>
        <r>
          <rPr>
            <sz val="12"/>
            <color indexed="81"/>
            <rFont val="仿宋_GB2312"/>
            <family val="3"/>
            <charset val="134"/>
          </rPr>
          <t>没有时，请选择"——"</t>
        </r>
        <r>
          <rPr>
            <sz val="9"/>
            <color indexed="81"/>
            <rFont val="宋体"/>
            <family val="3"/>
            <charset val="134"/>
          </rPr>
          <t xml:space="preserve">
</t>
        </r>
      </text>
    </comment>
    <comment ref="H4" authorId="0" shapeId="0">
      <text>
        <r>
          <rPr>
            <sz val="12"/>
            <color indexed="81"/>
            <rFont val="仿宋_GB2312"/>
            <family val="3"/>
            <charset val="134"/>
          </rPr>
          <t>没有时，请选择"——"</t>
        </r>
        <r>
          <rPr>
            <sz val="9"/>
            <color indexed="81"/>
            <rFont val="宋体"/>
            <family val="3"/>
            <charset val="134"/>
          </rPr>
          <t xml:space="preserve">
</t>
        </r>
      </text>
    </comment>
    <comment ref="B10" authorId="1" shapeId="0">
      <text>
        <r>
          <rPr>
            <sz val="12"/>
            <color indexed="81"/>
            <rFont val="DengXian"/>
            <family val="3"/>
            <charset val="134"/>
            <scheme val="minor"/>
          </rPr>
          <t>其它城市请在右侧录入</t>
        </r>
        <r>
          <rPr>
            <sz val="14"/>
            <color indexed="81"/>
            <rFont val="楷体_GB2312"/>
            <family val="3"/>
            <charset val="134"/>
          </rPr>
          <t xml:space="preserve">
</t>
        </r>
      </text>
    </comment>
    <comment ref="E10" authorId="0" shapeId="0">
      <text>
        <r>
          <rPr>
            <sz val="12"/>
            <color indexed="81"/>
            <rFont val="楷体_GB2312"/>
            <family val="3"/>
            <charset val="134"/>
          </rPr>
          <t>如果有推广名请自行加入</t>
        </r>
        <r>
          <rPr>
            <sz val="9"/>
            <color indexed="81"/>
            <rFont val="宋体"/>
            <family val="3"/>
            <charset val="134"/>
          </rPr>
          <t xml:space="preserve">
</t>
        </r>
      </text>
    </comment>
    <comment ref="B11" authorId="0" shapeId="0">
      <text>
        <r>
          <rPr>
            <sz val="12"/>
            <color indexed="81"/>
            <rFont val="宋体"/>
            <family val="3"/>
            <charset val="134"/>
          </rPr>
          <t xml:space="preserve">名称在右侧单元格录入
</t>
        </r>
      </text>
    </comment>
    <comment ref="B16" authorId="0" shapeId="0">
      <text>
        <r>
          <rPr>
            <sz val="12"/>
            <color indexed="81"/>
            <rFont val="宋体"/>
            <family val="3"/>
            <charset val="134"/>
          </rPr>
          <t>如：住宅、办公、地下车库</t>
        </r>
        <r>
          <rPr>
            <sz val="9"/>
            <color indexed="81"/>
            <rFont val="宋体"/>
            <family val="3"/>
            <charset val="134"/>
          </rPr>
          <t xml:space="preserve">
</t>
        </r>
      </text>
    </comment>
    <comment ref="F16" authorId="0" shapeId="0">
      <text>
        <r>
          <rPr>
            <sz val="12"/>
            <color indexed="81"/>
            <rFont val="宋体"/>
            <family val="3"/>
            <charset val="134"/>
          </rPr>
          <t>如：住宅67.6年、办公及车库37.6年</t>
        </r>
        <r>
          <rPr>
            <sz val="9"/>
            <color indexed="81"/>
            <rFont val="宋体"/>
            <family val="3"/>
            <charset val="134"/>
          </rPr>
          <t xml:space="preserve">
</t>
        </r>
      </text>
    </comment>
    <comment ref="E18" authorId="0" shapeId="0">
      <text>
        <r>
          <rPr>
            <sz val="11"/>
            <color indexed="81"/>
            <rFont val="宋体"/>
            <family val="3"/>
            <charset val="134"/>
          </rPr>
          <t xml:space="preserve">有相同面积依据时，仅在土地面积依据处录入。
</t>
        </r>
      </text>
    </comment>
    <comment ref="C28" authorId="1" shapeId="0">
      <text>
        <r>
          <rPr>
            <sz val="11"/>
            <color indexed="81"/>
            <rFont val="楷体_GB2312"/>
            <family val="3"/>
            <charset val="134"/>
          </rPr>
          <t>其他特殊项请在右侧录入</t>
        </r>
      </text>
    </comment>
    <comment ref="C30" authorId="1" shapeId="0">
      <text>
        <r>
          <rPr>
            <sz val="11"/>
            <color indexed="81"/>
            <rFont val="宋体"/>
            <family val="3"/>
            <charset val="134"/>
          </rPr>
          <t>廉租房、公租房、限价房、自住房</t>
        </r>
        <r>
          <rPr>
            <sz val="9"/>
            <color indexed="81"/>
            <rFont val="宋体"/>
            <family val="3"/>
            <charset val="134"/>
          </rPr>
          <t xml:space="preserve">
</t>
        </r>
      </text>
    </comment>
    <comment ref="E31" authorId="1" shapeId="0">
      <text>
        <r>
          <rPr>
            <sz val="11"/>
            <color indexed="81"/>
            <rFont val="宋体"/>
            <family val="3"/>
            <charset val="134"/>
          </rPr>
          <t xml:space="preserve">工程停工、土地闲置、年久失修等
</t>
        </r>
      </text>
    </comment>
    <comment ref="E32" authorId="1" shapeId="0">
      <text>
        <r>
          <rPr>
            <sz val="11"/>
            <color indexed="81"/>
            <rFont val="宋体"/>
            <family val="3"/>
            <charset val="134"/>
          </rPr>
          <t xml:space="preserve">工程停工、土地闲置、年久失修等
</t>
        </r>
      </text>
    </comment>
    <comment ref="E33" authorId="1" shapeId="0">
      <text>
        <r>
          <rPr>
            <sz val="11"/>
            <color indexed="81"/>
            <rFont val="宋体"/>
            <family val="3"/>
            <charset val="134"/>
          </rPr>
          <t xml:space="preserve">工程停工、土地闲置、年久失修等
</t>
        </r>
      </text>
    </comment>
    <comment ref="K42" authorId="1" shapeId="0">
      <text>
        <r>
          <rPr>
            <sz val="11"/>
            <color indexed="81"/>
            <rFont val="楷体_GB2312"/>
            <family val="3"/>
            <charset val="134"/>
          </rPr>
          <t>现房/在建（简单填写进度）/未建</t>
        </r>
        <r>
          <rPr>
            <sz val="9"/>
            <color indexed="81"/>
            <rFont val="宋体"/>
            <family val="3"/>
            <charset val="134"/>
          </rPr>
          <t xml:space="preserve">
</t>
        </r>
      </text>
    </comment>
    <comment ref="K43" authorId="1" shapeId="0">
      <text>
        <r>
          <rPr>
            <sz val="11"/>
            <color indexed="81"/>
            <rFont val="楷体_GB2312"/>
            <family val="3"/>
            <charset val="134"/>
          </rPr>
          <t>现房/在建（简单填写进度）/未建</t>
        </r>
        <r>
          <rPr>
            <sz val="9"/>
            <color indexed="81"/>
            <rFont val="宋体"/>
            <family val="3"/>
            <charset val="134"/>
          </rPr>
          <t xml:space="preserve">
</t>
        </r>
      </text>
    </comment>
    <comment ref="K44" authorId="1" shapeId="0">
      <text>
        <r>
          <rPr>
            <sz val="11"/>
            <color indexed="81"/>
            <rFont val="楷体_GB2312"/>
            <family val="3"/>
            <charset val="134"/>
          </rPr>
          <t>现房/在建（简单填写进度）/未建</t>
        </r>
        <r>
          <rPr>
            <sz val="9"/>
            <color indexed="81"/>
            <rFont val="宋体"/>
            <family val="3"/>
            <charset val="134"/>
          </rPr>
          <t xml:space="preserve">
</t>
        </r>
      </text>
    </comment>
    <comment ref="K45" authorId="1" shapeId="0">
      <text>
        <r>
          <rPr>
            <sz val="11"/>
            <color indexed="81"/>
            <rFont val="楷体_GB2312"/>
            <family val="3"/>
            <charset val="134"/>
          </rPr>
          <t>现房/在建（简单填写进度）/未建</t>
        </r>
        <r>
          <rPr>
            <sz val="9"/>
            <color indexed="81"/>
            <rFont val="宋体"/>
            <family val="3"/>
            <charset val="134"/>
          </rPr>
          <t xml:space="preserve">
</t>
        </r>
      </text>
    </comment>
    <comment ref="K46" authorId="1" shapeId="0">
      <text>
        <r>
          <rPr>
            <sz val="11"/>
            <color indexed="81"/>
            <rFont val="楷体_GB2312"/>
            <family val="3"/>
            <charset val="134"/>
          </rPr>
          <t>现房/在建（简单填写进度）/未建</t>
        </r>
        <r>
          <rPr>
            <sz val="9"/>
            <color indexed="81"/>
            <rFont val="宋体"/>
            <family val="3"/>
            <charset val="134"/>
          </rPr>
          <t xml:space="preserve">
</t>
        </r>
      </text>
    </comment>
    <comment ref="K47" authorId="1" shapeId="0">
      <text>
        <r>
          <rPr>
            <sz val="11"/>
            <color indexed="81"/>
            <rFont val="楷体_GB2312"/>
            <family val="3"/>
            <charset val="134"/>
          </rPr>
          <t>现房/在建（简单填写进度）/未建</t>
        </r>
        <r>
          <rPr>
            <sz val="9"/>
            <color indexed="81"/>
            <rFont val="宋体"/>
            <family val="3"/>
            <charset val="134"/>
          </rPr>
          <t xml:space="preserve">
</t>
        </r>
      </text>
    </comment>
    <comment ref="K52" authorId="1" shapeId="0">
      <text>
        <r>
          <rPr>
            <sz val="11"/>
            <color indexed="81"/>
            <rFont val="楷体_GB2312"/>
            <family val="3"/>
            <charset val="134"/>
          </rPr>
          <t>现房/在建（简单填写进度）/未建</t>
        </r>
        <r>
          <rPr>
            <sz val="9"/>
            <color indexed="81"/>
            <rFont val="宋体"/>
            <family val="3"/>
            <charset val="134"/>
          </rPr>
          <t xml:space="preserve">
</t>
        </r>
      </text>
    </comment>
    <comment ref="K53" authorId="1" shapeId="0">
      <text>
        <r>
          <rPr>
            <sz val="11"/>
            <color indexed="81"/>
            <rFont val="楷体_GB2312"/>
            <family val="3"/>
            <charset val="134"/>
          </rPr>
          <t>现房/在建（简单填写进度）/未建</t>
        </r>
        <r>
          <rPr>
            <sz val="9"/>
            <color indexed="81"/>
            <rFont val="宋体"/>
            <family val="3"/>
            <charset val="134"/>
          </rPr>
          <t xml:space="preserve">
</t>
        </r>
      </text>
    </comment>
    <comment ref="K54" authorId="1" shapeId="0">
      <text>
        <r>
          <rPr>
            <sz val="11"/>
            <color indexed="81"/>
            <rFont val="楷体_GB2312"/>
            <family val="3"/>
            <charset val="134"/>
          </rPr>
          <t>现房/在建（简单填写进度）/未建</t>
        </r>
        <r>
          <rPr>
            <sz val="9"/>
            <color indexed="81"/>
            <rFont val="宋体"/>
            <family val="3"/>
            <charset val="134"/>
          </rPr>
          <t xml:space="preserve">
</t>
        </r>
      </text>
    </comment>
    <comment ref="K55" authorId="1" shapeId="0">
      <text>
        <r>
          <rPr>
            <sz val="11"/>
            <color indexed="81"/>
            <rFont val="楷体_GB2312"/>
            <family val="3"/>
            <charset val="134"/>
          </rPr>
          <t>现房/在建（简单填写进度）/未建</t>
        </r>
        <r>
          <rPr>
            <sz val="9"/>
            <color indexed="81"/>
            <rFont val="宋体"/>
            <family val="3"/>
            <charset val="134"/>
          </rPr>
          <t xml:space="preserve">
</t>
        </r>
      </text>
    </comment>
    <comment ref="K56" authorId="1" shapeId="0">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B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Y9" authorId="1" shapeId="0">
      <text>
        <r>
          <rPr>
            <sz val="11"/>
            <color indexed="81"/>
            <rFont val="宋体"/>
            <family val="3"/>
            <charset val="134"/>
          </rPr>
          <t xml:space="preserve">录入层数，将对应的结果录入至左侧相应层的楼层修正系数单元格中
</t>
        </r>
      </text>
    </comment>
    <comment ref="C16" authorId="1" shapeId="0">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shapeId="0">
      <text>
        <r>
          <rPr>
            <sz val="12"/>
            <color indexed="81"/>
            <rFont val="宋体"/>
            <family val="3"/>
            <charset val="134"/>
          </rPr>
          <t>1.05~1.1</t>
        </r>
        <r>
          <rPr>
            <sz val="9"/>
            <color indexed="81"/>
            <rFont val="宋体"/>
            <family val="3"/>
            <charset val="134"/>
          </rPr>
          <t xml:space="preserve">
</t>
        </r>
      </text>
    </comment>
    <comment ref="E16" authorId="1" shapeId="0">
      <text>
        <r>
          <rPr>
            <sz val="12"/>
            <color indexed="81"/>
            <rFont val="宋体"/>
            <family val="3"/>
            <charset val="134"/>
          </rPr>
          <t>＜500米，   1.1  ~ 1.15
500~1000米，1.05 ~ 1.1
1000~1500,  1.0  ~ 1.05</t>
        </r>
        <r>
          <rPr>
            <sz val="9"/>
            <color indexed="81"/>
            <rFont val="宋体"/>
            <family val="3"/>
            <charset val="134"/>
          </rPr>
          <t xml:space="preserve">
</t>
        </r>
      </text>
    </comment>
    <comment ref="D21" authorId="2"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shapeId="0">
      <text>
        <r>
          <rPr>
            <b/>
            <sz val="14"/>
            <color indexed="81"/>
            <rFont val="宋体"/>
            <family val="3"/>
            <charset val="134"/>
          </rPr>
          <t>工业选“中心城区”</t>
        </r>
        <r>
          <rPr>
            <sz val="9"/>
            <color indexed="81"/>
            <rFont val="宋体"/>
            <family val="3"/>
            <charset val="134"/>
          </rPr>
          <t xml:space="preserve">
</t>
        </r>
      </text>
    </comment>
    <comment ref="B35" authorId="4" shapeId="0">
      <text>
        <r>
          <rPr>
            <sz val="9"/>
            <color indexed="81"/>
            <rFont val="宋体"/>
            <family val="3"/>
            <charset val="134"/>
          </rPr>
          <t xml:space="preserve">地下商业：地上主用途需选商业
地下办公：地上主用途需选办公
地下仓储及车库：按地上主用途计算
</t>
        </r>
      </text>
    </comment>
    <comment ref="G44" authorId="4" shapeId="0">
      <text>
        <r>
          <rPr>
            <sz val="9"/>
            <color indexed="81"/>
            <rFont val="宋体"/>
            <family val="3"/>
            <charset val="134"/>
          </rPr>
          <t xml:space="preserve">需在此处填写剩余土地年限
</t>
        </r>
      </text>
    </comment>
    <comment ref="C111" authorId="0" shapeId="0">
      <text>
        <r>
          <rPr>
            <b/>
            <sz val="9"/>
            <color indexed="81"/>
            <rFont val="宋体"/>
            <family val="3"/>
            <charset val="134"/>
          </rPr>
          <t xml:space="preserve">所在楼层
</t>
        </r>
        <r>
          <rPr>
            <sz val="9"/>
            <color indexed="81"/>
            <rFont val="宋体"/>
            <family val="3"/>
            <charset val="134"/>
          </rPr>
          <t xml:space="preserve">
</t>
        </r>
      </text>
    </comment>
    <comment ref="D111" authorId="0" shapeId="0">
      <text>
        <r>
          <rPr>
            <b/>
            <sz val="9"/>
            <color indexed="81"/>
            <rFont val="宋体"/>
            <family val="3"/>
            <charset val="134"/>
          </rPr>
          <t xml:space="preserve">所在楼层
</t>
        </r>
        <r>
          <rPr>
            <sz val="9"/>
            <color indexed="81"/>
            <rFont val="宋体"/>
            <family val="3"/>
            <charset val="134"/>
          </rPr>
          <t xml:space="preserve">
</t>
        </r>
      </text>
    </comment>
    <comment ref="E111" authorId="0" shapeId="0">
      <text>
        <r>
          <rPr>
            <b/>
            <sz val="9"/>
            <color indexed="81"/>
            <rFont val="宋体"/>
            <family val="3"/>
            <charset val="134"/>
          </rPr>
          <t xml:space="preserve">所在楼层
</t>
        </r>
        <r>
          <rPr>
            <sz val="9"/>
            <color indexed="81"/>
            <rFont val="宋体"/>
            <family val="3"/>
            <charset val="134"/>
          </rPr>
          <t xml:space="preserve">
</t>
        </r>
      </text>
    </comment>
    <comment ref="F111" authorId="0" shapeId="0">
      <text>
        <r>
          <rPr>
            <b/>
            <sz val="9"/>
            <color indexed="81"/>
            <rFont val="宋体"/>
            <family val="3"/>
            <charset val="134"/>
          </rPr>
          <t xml:space="preserve">所在楼层
</t>
        </r>
        <r>
          <rPr>
            <sz val="9"/>
            <color indexed="81"/>
            <rFont val="宋体"/>
            <family val="3"/>
            <charset val="134"/>
          </rPr>
          <t xml:space="preserve">
</t>
        </r>
      </text>
    </comment>
    <comment ref="G111" authorId="0" shapeId="0">
      <text>
        <r>
          <rPr>
            <b/>
            <sz val="9"/>
            <color indexed="81"/>
            <rFont val="宋体"/>
            <family val="3"/>
            <charset val="134"/>
          </rPr>
          <t xml:space="preserve">所在楼层
</t>
        </r>
        <r>
          <rPr>
            <sz val="9"/>
            <color indexed="81"/>
            <rFont val="宋体"/>
            <family val="3"/>
            <charset val="134"/>
          </rPr>
          <t xml:space="preserve">
</t>
        </r>
      </text>
    </comment>
    <comment ref="H111" authorId="0" shapeId="0">
      <text>
        <r>
          <rPr>
            <b/>
            <sz val="9"/>
            <color indexed="81"/>
            <rFont val="宋体"/>
            <family val="3"/>
            <charset val="134"/>
          </rPr>
          <t xml:space="preserve">所在楼层
</t>
        </r>
        <r>
          <rPr>
            <sz val="9"/>
            <color indexed="81"/>
            <rFont val="宋体"/>
            <family val="3"/>
            <charset val="134"/>
          </rPr>
          <t xml:space="preserve">
</t>
        </r>
      </text>
    </comment>
    <comment ref="I111" authorId="0" shapeId="0">
      <text>
        <r>
          <rPr>
            <b/>
            <sz val="9"/>
            <color indexed="81"/>
            <rFont val="宋体"/>
            <family val="3"/>
            <charset val="134"/>
          </rPr>
          <t xml:space="preserve">所在楼层
</t>
        </r>
        <r>
          <rPr>
            <sz val="9"/>
            <color indexed="81"/>
            <rFont val="宋体"/>
            <family val="3"/>
            <charset val="134"/>
          </rPr>
          <t xml:space="preserve">
</t>
        </r>
      </text>
    </comment>
    <comment ref="J111" authorId="0" shapeId="0">
      <text>
        <r>
          <rPr>
            <b/>
            <sz val="9"/>
            <color indexed="81"/>
            <rFont val="宋体"/>
            <family val="3"/>
            <charset val="134"/>
          </rPr>
          <t xml:space="preserve">所在楼层
</t>
        </r>
        <r>
          <rPr>
            <sz val="9"/>
            <color indexed="81"/>
            <rFont val="宋体"/>
            <family val="3"/>
            <charset val="134"/>
          </rPr>
          <t xml:space="preserve">
</t>
        </r>
      </text>
    </comment>
    <comment ref="K111" authorId="0" shapeId="0">
      <text>
        <r>
          <rPr>
            <b/>
            <sz val="9"/>
            <color indexed="81"/>
            <rFont val="宋体"/>
            <family val="3"/>
            <charset val="134"/>
          </rPr>
          <t xml:space="preserve">所在楼层
</t>
        </r>
        <r>
          <rPr>
            <sz val="9"/>
            <color indexed="81"/>
            <rFont val="宋体"/>
            <family val="3"/>
            <charset val="134"/>
          </rPr>
          <t xml:space="preserve">
</t>
        </r>
      </text>
    </comment>
    <comment ref="L111" authorId="0" shapeId="0">
      <text>
        <r>
          <rPr>
            <b/>
            <sz val="9"/>
            <color indexed="81"/>
            <rFont val="宋体"/>
            <family val="3"/>
            <charset val="134"/>
          </rPr>
          <t xml:space="preserve">所在楼层
</t>
        </r>
        <r>
          <rPr>
            <sz val="9"/>
            <color indexed="81"/>
            <rFont val="宋体"/>
            <family val="3"/>
            <charset val="134"/>
          </rPr>
          <t xml:space="preserve">
</t>
        </r>
      </text>
    </comment>
    <comment ref="M111" authorId="0" shapeId="0">
      <text>
        <r>
          <rPr>
            <b/>
            <sz val="9"/>
            <color indexed="81"/>
            <rFont val="宋体"/>
            <family val="3"/>
            <charset val="134"/>
          </rPr>
          <t xml:space="preserve">所在楼层
</t>
        </r>
        <r>
          <rPr>
            <sz val="9"/>
            <color indexed="81"/>
            <rFont val="宋体"/>
            <family val="3"/>
            <charset val="134"/>
          </rPr>
          <t xml:space="preserve">
</t>
        </r>
      </text>
    </comment>
    <comment ref="N111" authorId="0" shapeId="0">
      <text>
        <r>
          <rPr>
            <b/>
            <sz val="9"/>
            <color indexed="81"/>
            <rFont val="宋体"/>
            <family val="3"/>
            <charset val="134"/>
          </rPr>
          <t xml:space="preserve">所在楼层
</t>
        </r>
        <r>
          <rPr>
            <sz val="9"/>
            <color indexed="81"/>
            <rFont val="宋体"/>
            <family val="3"/>
            <charset val="134"/>
          </rPr>
          <t xml:space="preserve">
</t>
        </r>
      </text>
    </comment>
    <comment ref="D116"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shape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shapeId="0">
      <text>
        <r>
          <rPr>
            <sz val="10"/>
            <color indexed="81"/>
            <rFont val="宋体"/>
            <family val="3"/>
            <charset val="134"/>
          </rPr>
          <t>依《国土证》或《不动产证》录入</t>
        </r>
        <r>
          <rPr>
            <sz val="9"/>
            <color indexed="81"/>
            <rFont val="宋体"/>
            <family val="3"/>
            <charset val="134"/>
          </rPr>
          <t xml:space="preserve">
</t>
        </r>
      </text>
    </comment>
    <comment ref="AC8" authorId="0" shape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shape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shape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shapeId="0">
      <text>
        <r>
          <rPr>
            <sz val="12"/>
            <color indexed="81"/>
            <rFont val="宋体"/>
            <family val="3"/>
            <charset val="134"/>
          </rPr>
          <t xml:space="preserve">按套计取，在AF列录入套数；
按每车位计取，在AF列录入车位数；
按收益面积计取，在AF列录入收益面积
</t>
        </r>
      </text>
    </comment>
    <comment ref="W5" authorId="0" shape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shape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shapeId="0">
      <text>
        <r>
          <rPr>
            <sz val="10"/>
            <color indexed="81"/>
            <rFont val="宋体"/>
            <family val="3"/>
            <charset val="134"/>
          </rPr>
          <t>取值范围：
1.5%-2.5%</t>
        </r>
        <r>
          <rPr>
            <sz val="9"/>
            <color indexed="81"/>
            <rFont val="宋体"/>
            <family val="3"/>
            <charset val="134"/>
          </rPr>
          <t xml:space="preserve">
</t>
        </r>
      </text>
    </comment>
    <comment ref="AL5" authorId="0" shape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shapeId="0">
      <text>
        <r>
          <rPr>
            <sz val="10"/>
            <color indexed="81"/>
            <rFont val="宋体"/>
            <family val="3"/>
            <charset val="134"/>
          </rPr>
          <t>取值范围：
1%-3%</t>
        </r>
        <r>
          <rPr>
            <sz val="9"/>
            <color indexed="81"/>
            <rFont val="宋体"/>
            <family val="3"/>
            <charset val="134"/>
          </rPr>
          <t xml:space="preserve">
</t>
        </r>
      </text>
    </comment>
    <comment ref="B44" authorId="1" shapeId="0">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shapeId="0">
      <text>
        <r>
          <rPr>
            <sz val="12"/>
            <color indexed="81"/>
            <rFont val="宋体"/>
            <family val="3"/>
            <charset val="134"/>
          </rPr>
          <t xml:space="preserve">指区域居住用地比例、居住小区规模和社区发展完善程度
</t>
        </r>
      </text>
    </comment>
    <comment ref="F3" authorId="0" shapeId="0">
      <text>
        <r>
          <rPr>
            <sz val="12"/>
            <color indexed="81"/>
            <rFont val="宋体"/>
            <family val="3"/>
            <charset val="134"/>
          </rPr>
          <t xml:space="preserve">也指工业区成熟度，工业区性质、相关产业的配套及集聚状况
</t>
        </r>
      </text>
    </comment>
    <comment ref="B4" authorId="0" shape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text>
        <r>
          <rPr>
            <sz val="12"/>
            <color indexed="81"/>
            <rFont val="宋体"/>
            <family val="3"/>
            <charset val="134"/>
          </rPr>
          <t>侧重对外交通、货运交通状况</t>
        </r>
        <r>
          <rPr>
            <sz val="9"/>
            <color indexed="81"/>
            <rFont val="宋体"/>
            <family val="3"/>
            <charset val="134"/>
          </rPr>
          <t xml:space="preserve">
</t>
        </r>
      </text>
    </comment>
    <comment ref="B5" authorId="0" shape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text>
        <r>
          <rPr>
            <sz val="12"/>
            <color indexed="81"/>
            <rFont val="宋体"/>
            <family val="3"/>
            <charset val="134"/>
          </rPr>
          <t>侧重公共交通通达、停车便捷程度</t>
        </r>
        <r>
          <rPr>
            <sz val="9"/>
            <color indexed="81"/>
            <rFont val="宋体"/>
            <family val="3"/>
            <charset val="134"/>
          </rPr>
          <t xml:space="preserve">
</t>
        </r>
      </text>
    </comment>
    <comment ref="F7" authorId="0" shapeId="0">
      <text>
        <r>
          <rPr>
            <sz val="12"/>
            <color indexed="81"/>
            <rFont val="宋体"/>
            <family val="3"/>
            <charset val="134"/>
          </rPr>
          <t>主要指污染排放状况及治理状况、距离危险设施或污染源的临近程度、自然条件等</t>
        </r>
      </text>
    </comment>
    <comment ref="B9" authorId="0" shape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shapeId="0">
      <text>
        <r>
          <rPr>
            <sz val="12"/>
            <color indexed="81"/>
            <rFont val="楷体_GB2312"/>
            <family val="3"/>
            <charset val="134"/>
          </rPr>
          <t>不分项目类型时为空即可</t>
        </r>
        <r>
          <rPr>
            <sz val="9"/>
            <color indexed="81"/>
            <rFont val="宋体"/>
            <family val="3"/>
            <charset val="134"/>
          </rPr>
          <t xml:space="preserve">
</t>
        </r>
      </text>
    </comment>
    <comment ref="L18" authorId="0" shapeId="0">
      <text>
        <r>
          <rPr>
            <sz val="12"/>
            <color indexed="81"/>
            <rFont val="宋体"/>
            <family val="3"/>
            <charset val="134"/>
          </rPr>
          <t>C1单元格选空即为估价对象全部</t>
        </r>
        <r>
          <rPr>
            <sz val="9"/>
            <color indexed="81"/>
            <rFont val="宋体"/>
            <family val="3"/>
            <charset val="134"/>
          </rPr>
          <t xml:space="preserve">
</t>
        </r>
      </text>
    </comment>
    <comment ref="A24" authorId="1" shapeId="0">
      <text>
        <r>
          <rPr>
            <sz val="11"/>
            <color indexed="81"/>
            <rFont val="宋体"/>
            <family val="3"/>
            <charset val="134"/>
          </rPr>
          <t>需在下方列示计算过程</t>
        </r>
        <r>
          <rPr>
            <sz val="9"/>
            <color indexed="81"/>
            <rFont val="宋体"/>
            <family val="3"/>
            <charset val="134"/>
          </rPr>
          <t xml:space="preserve">
</t>
        </r>
      </text>
    </comment>
    <comment ref="H75" authorId="2"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shape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shape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<sst xmlns="http://schemas.openxmlformats.org/spreadsheetml/2006/main" count="10888" uniqueCount="4333">
  <si>
    <t>——</t>
    <phoneticPr fontId="3" type="noConversion"/>
  </si>
  <si>
    <t>——</t>
    <phoneticPr fontId="3" type="noConversion"/>
  </si>
  <si>
    <t>——</t>
    <phoneticPr fontId="3"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</si>
  <si>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</si>
  <si>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</si>
  <si>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</si>
  <si>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</si>
  <si>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</si>
  <si>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</si>
  <si>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</si>
  <si>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</si>
  <si>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</si>
  <si>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</si>
  <si>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</si>
  <si>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</si>
  <si>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</si>
  <si>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</si>
  <si>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</si>
  <si>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</si>
  <si>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</si>
  <si>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</si>
  <si>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办公</t>
  </si>
  <si>
    <t>-</t>
    <phoneticPr fontId="30" type="noConversion"/>
  </si>
  <si>
    <t>-</t>
    <phoneticPr fontId="30" type="noConversion"/>
  </si>
  <si>
    <t>五级</t>
    <phoneticPr fontId="3" type="noConversion"/>
  </si>
  <si>
    <t>六级</t>
    <phoneticPr fontId="3" type="noConversion"/>
  </si>
  <si>
    <t>——</t>
    <phoneticPr fontId="37" type="noConversion"/>
  </si>
  <si>
    <t>——</t>
    <phoneticPr fontId="24" type="noConversion"/>
  </si>
  <si>
    <t>——</t>
    <phoneticPr fontId="8"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</si>
  <si>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</si>
  <si>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</si>
  <si>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</si>
  <si>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</si>
  <si>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</si>
  <si>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</si>
  <si>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</si>
  <si>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</si>
  <si>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</si>
  <si>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</si>
  <si>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</si>
  <si>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</si>
  <si>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</si>
  <si>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</si>
  <si>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</si>
  <si>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</si>
  <si>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3" type="noConversion"/>
  </si>
  <si>
    <t>下拉菜单</t>
  </si>
  <si>
    <t>错误提示</t>
    <phoneticPr fontId="33" type="noConversion"/>
  </si>
  <si>
    <t>特别提示</t>
    <phoneticPr fontId="33" type="noConversion"/>
  </si>
  <si>
    <t>需要新增方法表时，请右键点击所选方法标签，选择‘移动或复制’，勾选建立副本，以保证公示链接无误</t>
    <phoneticPr fontId="3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</si>
  <si>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</si>
  <si>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</si>
  <si>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</si>
  <si>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</si>
  <si>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</si>
  <si>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</si>
  <si>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</si>
  <si>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</si>
  <si>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</si>
  <si>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</si>
  <si>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</si>
  <si>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</si>
  <si>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</si>
  <si>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</si>
  <si>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</si>
  <si>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</si>
  <si>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</si>
  <si>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</si>
  <si>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</si>
  <si>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</si>
  <si>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</si>
  <si>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</si>
  <si>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</si>
  <si>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</si>
  <si>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</si>
  <si>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</si>
  <si>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</si>
  <si>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</si>
  <si>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</si>
  <si>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</si>
  <si>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</si>
  <si>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</si>
  <si>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</si>
  <si>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</si>
  <si>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</si>
  <si>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</si>
  <si>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</si>
  <si>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</si>
  <si>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</si>
  <si>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</si>
  <si>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</si>
  <si>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</si>
  <si>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</si>
  <si>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</si>
  <si>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</si>
  <si>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</si>
  <si>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</si>
  <si>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</si>
  <si>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</si>
  <si>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</si>
  <si>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</si>
  <si>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</si>
  <si>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</si>
  <si>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</si>
  <si>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</si>
  <si>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</si>
  <si>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</si>
  <si>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</si>
  <si>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</si>
  <si>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</si>
  <si>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</si>
  <si>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</si>
  <si>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</si>
  <si>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</si>
  <si>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</si>
  <si>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</si>
  <si>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</si>
  <si>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</si>
  <si>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</si>
  <si>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</si>
  <si>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</si>
  <si>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</si>
  <si>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</si>
  <si>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</si>
  <si>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</si>
  <si>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</si>
  <si>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</si>
  <si>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</si>
  <si>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</si>
  <si>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</si>
  <si>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</si>
  <si>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</si>
  <si>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</si>
  <si>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</si>
  <si>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</si>
  <si>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</si>
  <si>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</si>
  <si>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</si>
  <si>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</si>
  <si>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</si>
  <si>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</si>
  <si>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</si>
  <si>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</si>
  <si>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</si>
  <si>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</si>
  <si>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</si>
  <si>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</si>
  <si>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</si>
  <si>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</si>
  <si>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</si>
  <si>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</si>
  <si>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</si>
  <si>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</si>
  <si>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</si>
  <si>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</si>
  <si>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</si>
  <si>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</si>
  <si>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</si>
  <si>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</si>
  <si>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</si>
  <si>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</si>
  <si>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</si>
  <si>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</si>
  <si>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</si>
  <si>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</si>
  <si>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</si>
  <si>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</si>
  <si>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</si>
  <si>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</si>
  <si>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</si>
  <si>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</si>
  <si>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</si>
  <si>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</si>
  <si>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</si>
  <si>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</si>
  <si>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</si>
  <si>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</si>
  <si>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</si>
  <si>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</si>
  <si>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</si>
  <si>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</si>
  <si>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</si>
  <si>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</si>
  <si>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</si>
  <si>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</si>
  <si>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</si>
  <si>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</si>
  <si>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</si>
  <si>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</si>
  <si>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</si>
  <si>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</si>
  <si>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</si>
  <si>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</si>
  <si>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</si>
  <si>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</si>
  <si>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</si>
  <si>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</si>
  <si>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</si>
  <si>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</si>
  <si>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</si>
  <si>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</si>
  <si>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</si>
  <si>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</si>
  <si>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</si>
  <si>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</si>
  <si>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</si>
  <si>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</si>
  <si>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</si>
  <si>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</si>
  <si>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</si>
  <si>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</si>
  <si>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</si>
  <si>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</si>
  <si>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</si>
  <si>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</si>
  <si>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</si>
  <si>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</si>
  <si>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</si>
  <si>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</si>
  <si>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</si>
  <si>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</si>
  <si>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</si>
  <si>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</si>
  <si>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</si>
  <si>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</si>
  <si>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</si>
  <si>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</si>
  <si>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</si>
  <si>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</si>
  <si>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</si>
  <si>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</si>
  <si>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</si>
  <si>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</si>
  <si>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</si>
  <si>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</si>
  <si>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</si>
  <si>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</si>
  <si>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</si>
  <si>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</si>
  <si>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</si>
  <si>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</si>
  <si>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</si>
  <si>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</si>
  <si>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</si>
  <si>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</si>
  <si>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</si>
  <si>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</si>
  <si>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</si>
  <si>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</si>
  <si>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</si>
  <si>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</si>
  <si>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</si>
  <si>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</si>
  <si>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</si>
  <si>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</si>
  <si>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</si>
  <si>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</si>
  <si>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</si>
  <si>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</si>
  <si>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</si>
  <si>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</si>
  <si>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</si>
  <si>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</si>
  <si>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</si>
  <si>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</si>
  <si>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</si>
  <si>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</si>
  <si>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</si>
  <si>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</si>
  <si>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</si>
  <si>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</si>
  <si>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</si>
  <si>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</si>
  <si>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</si>
  <si>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</si>
  <si>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</si>
  <si>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</si>
  <si>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</si>
  <si>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</si>
  <si>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</si>
  <si>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</si>
  <si>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</si>
  <si>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</si>
  <si>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</si>
  <si>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</si>
  <si>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</si>
  <si>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</si>
  <si>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</si>
  <si>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</si>
  <si>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</si>
  <si>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</si>
  <si>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</si>
  <si>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</si>
  <si>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</si>
  <si>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</si>
  <si>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</si>
  <si>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</si>
  <si>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</si>
  <si>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</si>
  <si>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</si>
  <si>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</si>
  <si>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</si>
  <si>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</si>
  <si>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</si>
  <si>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</si>
  <si>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</si>
  <si>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</si>
  <si>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</si>
  <si>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3" type="noConversion"/>
  </si>
  <si>
    <t>区域土地利用方向</t>
    <phoneticPr fontId="43" type="noConversion"/>
  </si>
  <si>
    <r>
      <rPr>
        <sz val="10"/>
        <color indexed="8"/>
        <rFont val="宋体"/>
        <family val="3"/>
        <charset val="134"/>
      </rPr>
      <t>修正系数</t>
    </r>
    <phoneticPr fontId="76"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</si>
  <si>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</si>
  <si>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</si>
  <si>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</si>
  <si>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</si>
  <si>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</si>
  <si>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</si>
  <si>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</si>
  <si>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</si>
  <si>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</si>
  <si>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</si>
  <si>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</si>
  <si>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</si>
  <si>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</si>
  <si>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</si>
  <si>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7" type="noConversion"/>
  </si>
  <si>
    <r>
      <rPr>
        <sz val="10"/>
        <color indexed="8"/>
        <rFont val="宋体"/>
        <family val="3"/>
        <charset val="134"/>
      </rPr>
      <t>（</t>
    </r>
    <r>
      <rPr>
        <sz val="10"/>
        <color indexed="8"/>
        <rFont val="Arial"/>
        <family val="2"/>
      </rPr>
      <t>2</t>
    </r>
    <r>
      <rPr>
        <sz val="10"/>
        <color indexed="8"/>
        <rFont val="宋体"/>
        <family val="3"/>
        <charset val="134"/>
      </rPr>
      <t>）</t>
    </r>
    <phoneticPr fontId="37" type="noConversion"/>
  </si>
  <si>
    <t>2.</t>
    <phoneticPr fontId="37" type="noConversion"/>
  </si>
  <si>
    <t>3.</t>
    <phoneticPr fontId="37" type="noConversion"/>
  </si>
  <si>
    <t>4.</t>
    <phoneticPr fontId="33" type="noConversion"/>
  </si>
  <si>
    <t>1.</t>
    <phoneticPr fontId="37" type="noConversion"/>
  </si>
  <si>
    <r>
      <t>1</t>
    </r>
    <r>
      <rPr>
        <sz val="10"/>
        <color indexed="8"/>
        <rFont val="宋体"/>
        <family val="3"/>
        <charset val="134"/>
      </rPr>
      <t>）</t>
    </r>
    <phoneticPr fontId="37" type="noConversion"/>
  </si>
  <si>
    <r>
      <t>2</t>
    </r>
    <r>
      <rPr>
        <sz val="10"/>
        <color indexed="8"/>
        <rFont val="宋体"/>
        <family val="3"/>
        <charset val="134"/>
      </rPr>
      <t>）</t>
    </r>
    <phoneticPr fontId="37" type="noConversion"/>
  </si>
  <si>
    <r>
      <t>3</t>
    </r>
    <r>
      <rPr>
        <sz val="10"/>
        <color indexed="8"/>
        <rFont val="宋体"/>
        <family val="3"/>
        <charset val="134"/>
      </rPr>
      <t>）</t>
    </r>
    <phoneticPr fontId="37" type="noConversion"/>
  </si>
  <si>
    <t>3.</t>
    <phoneticPr fontId="37" type="noConversion"/>
  </si>
  <si>
    <t>4.</t>
    <phoneticPr fontId="37" type="noConversion"/>
  </si>
  <si>
    <t>5.</t>
    <phoneticPr fontId="37"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</si>
  <si>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</si>
  <si>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</si>
  <si>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</si>
  <si>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</si>
  <si>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</si>
  <si>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</si>
  <si>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</si>
  <si>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</si>
  <si>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</si>
  <si>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</si>
  <si>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</si>
  <si>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</si>
  <si>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</si>
  <si>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</si>
  <si>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</si>
  <si>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</si>
  <si>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</si>
  <si>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</si>
  <si>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</si>
  <si>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</si>
  <si>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</si>
  <si>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</si>
  <si>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</si>
  <si>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</si>
  <si>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</si>
  <si>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6" type="noConversion"/>
  </si>
  <si>
    <t>2.</t>
    <phoneticPr fontId="76" type="noConversion"/>
  </si>
  <si>
    <t>3.</t>
    <phoneticPr fontId="76" type="noConversion"/>
  </si>
  <si>
    <t>4.</t>
    <phoneticPr fontId="3" type="noConversion"/>
  </si>
  <si>
    <t>5.</t>
    <phoneticPr fontId="3" type="noConversion"/>
  </si>
  <si>
    <t>6.</t>
    <phoneticPr fontId="3" type="noConversion"/>
  </si>
  <si>
    <t>7.</t>
    <phoneticPr fontId="3" type="noConversion"/>
  </si>
  <si>
    <t>十一级</t>
  </si>
  <si>
    <t>十二级</t>
  </si>
  <si>
    <t xml:space="preserve">— </t>
    <phoneticPr fontId="81" type="noConversion"/>
  </si>
  <si>
    <t>估价项目名称：</t>
    <phoneticPr fontId="81" type="noConversion"/>
  </si>
  <si>
    <t>估价委托人：</t>
    <phoneticPr fontId="81" type="noConversion"/>
  </si>
  <si>
    <t>房地产估价机构：</t>
    <phoneticPr fontId="81" type="noConversion"/>
  </si>
  <si>
    <t>北京康正宏基房地产评估有限公司</t>
    <phoneticPr fontId="81" type="noConversion"/>
  </si>
  <si>
    <t>注册房地产估价师：</t>
    <phoneticPr fontId="81" type="noConversion"/>
  </si>
  <si>
    <t>估价报告编号：</t>
    <phoneticPr fontId="81" type="noConversion"/>
  </si>
  <si>
    <t>估价目的</t>
    <phoneticPr fontId="83" type="noConversion"/>
  </si>
  <si>
    <t>优先受偿</t>
    <phoneticPr fontId="83" type="noConversion"/>
  </si>
  <si>
    <t>抵押</t>
    <phoneticPr fontId="83" type="noConversion"/>
  </si>
  <si>
    <t>2.估价师所知悉的法定优先受偿款</t>
    <phoneticPr fontId="83" type="noConversion"/>
  </si>
  <si>
    <t>2.估价师所知悉的除抵押担保权以外的法定优先受偿款</t>
    <phoneticPr fontId="83" type="noConversion"/>
  </si>
  <si>
    <t>价值类型及定义</t>
    <phoneticPr fontId="83" type="noConversion"/>
  </si>
  <si>
    <t>房地产价值</t>
    <phoneticPr fontId="83" type="noConversion"/>
  </si>
  <si>
    <t>房地产抵押价值</t>
    <phoneticPr fontId="83" type="noConversion"/>
  </si>
  <si>
    <t>已注销</t>
    <phoneticPr fontId="83" type="noConversion"/>
  </si>
  <si>
    <t>已注销及未注销</t>
    <phoneticPr fontId="83" type="noConversion"/>
  </si>
  <si>
    <t>抵押净值</t>
    <phoneticPr fontId="83" type="noConversion"/>
  </si>
  <si>
    <t>——</t>
    <phoneticPr fontId="16" type="noConversion"/>
  </si>
  <si>
    <t>XX</t>
  </si>
  <si>
    <t>附表：</t>
    <phoneticPr fontId="91"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</si>
  <si>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</si>
  <si>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</si>
  <si>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</si>
  <si>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</si>
  <si>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</si>
  <si>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</si>
  <si>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</si>
  <si>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</si>
  <si>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</si>
  <si>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</si>
  <si>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</si>
  <si>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</si>
  <si>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</si>
  <si>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</si>
  <si>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</si>
  <si>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</si>
  <si>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</si>
  <si>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</si>
  <si>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</si>
  <si>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</si>
  <si>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</si>
  <si>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</si>
  <si>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</si>
  <si>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</si>
  <si>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</si>
  <si>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</si>
  <si>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</si>
  <si>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</si>
  <si>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</si>
  <si>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</si>
  <si>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</si>
  <si>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</si>
  <si>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</si>
  <si>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</si>
  <si>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</si>
  <si>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</si>
  <si>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</si>
  <si>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</si>
  <si>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</si>
  <si>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</si>
  <si>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</si>
  <si>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</si>
  <si>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</si>
  <si>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</si>
  <si>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</si>
  <si>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</si>
  <si>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</si>
  <si>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</si>
  <si>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</si>
  <si>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</si>
  <si>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</si>
  <si>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</si>
  <si>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</si>
  <si>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</si>
  <si>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</si>
  <si>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</si>
  <si>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</si>
  <si>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</si>
  <si>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</si>
  <si>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</si>
  <si>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2" type="noConversion"/>
  </si>
  <si>
    <r>
      <rPr>
        <b/>
        <sz val="10"/>
        <color theme="1"/>
        <rFont val="楷体_GB2312"/>
        <family val="2"/>
        <charset val="134"/>
      </rPr>
      <t>公示增长率</t>
    </r>
    <phoneticPr fontId="142" type="noConversion"/>
  </si>
  <si>
    <r>
      <rPr>
        <b/>
        <sz val="10"/>
        <color theme="1"/>
        <rFont val="楷体_GB2312"/>
        <family val="2"/>
        <charset val="134"/>
      </rPr>
      <t>核算至百分数</t>
    </r>
    <phoneticPr fontId="142" type="noConversion"/>
  </si>
  <si>
    <r>
      <rPr>
        <b/>
        <sz val="10"/>
        <color theme="1"/>
        <rFont val="楷体_GB2312"/>
        <family val="2"/>
        <charset val="134"/>
      </rPr>
      <t>验证</t>
    </r>
    <phoneticPr fontId="142" type="noConversion"/>
  </si>
  <si>
    <t>季度连乘</t>
    <phoneticPr fontId="134" type="noConversion"/>
  </si>
  <si>
    <t>平均增幅</t>
    <phoneticPr fontId="134"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</si>
  <si>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</si>
  <si>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</si>
  <si>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</si>
  <si>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</si>
  <si>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</si>
  <si>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</si>
  <si>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34" type="noConversion"/>
  </si>
  <si>
    <t>2013-4</t>
    <phoneticPr fontId="134" type="noConversion"/>
  </si>
  <si>
    <t>2013-3</t>
    <phoneticPr fontId="134" type="noConversion"/>
  </si>
  <si>
    <t>2013-2</t>
    <phoneticPr fontId="134" type="noConversion"/>
  </si>
  <si>
    <t>2013-1</t>
    <phoneticPr fontId="134" type="noConversion"/>
  </si>
  <si>
    <r>
      <t>2</t>
    </r>
    <r>
      <rPr>
        <sz val="10"/>
        <color theme="1"/>
        <rFont val="Arial"/>
        <family val="2"/>
      </rPr>
      <t>012-4</t>
    </r>
    <phoneticPr fontId="134" type="noConversion"/>
  </si>
  <si>
    <r>
      <t>2</t>
    </r>
    <r>
      <rPr>
        <sz val="10"/>
        <color theme="1"/>
        <rFont val="Arial"/>
        <family val="2"/>
      </rPr>
      <t>012-3</t>
    </r>
    <phoneticPr fontId="134" type="noConversion"/>
  </si>
  <si>
    <r>
      <t>2</t>
    </r>
    <r>
      <rPr>
        <sz val="10"/>
        <color theme="1"/>
        <rFont val="Arial"/>
        <family val="2"/>
      </rPr>
      <t>012-2</t>
    </r>
    <phoneticPr fontId="134" type="noConversion"/>
  </si>
  <si>
    <r>
      <t>2</t>
    </r>
    <r>
      <rPr>
        <sz val="10"/>
        <color theme="1"/>
        <rFont val="Arial"/>
        <family val="2"/>
      </rPr>
      <t>012-1</t>
    </r>
    <phoneticPr fontId="134" type="noConversion"/>
  </si>
  <si>
    <r>
      <t>2</t>
    </r>
    <r>
      <rPr>
        <sz val="10"/>
        <color theme="1"/>
        <rFont val="Arial"/>
        <family val="2"/>
      </rPr>
      <t>011-4</t>
    </r>
    <phoneticPr fontId="134" type="noConversion"/>
  </si>
  <si>
    <r>
      <t>2</t>
    </r>
    <r>
      <rPr>
        <sz val="10"/>
        <color theme="1"/>
        <rFont val="Arial"/>
        <family val="2"/>
      </rPr>
      <t>011-3</t>
    </r>
    <phoneticPr fontId="134" type="noConversion"/>
  </si>
  <si>
    <r>
      <t>2</t>
    </r>
    <r>
      <rPr>
        <sz val="10"/>
        <color theme="1"/>
        <rFont val="Arial"/>
        <family val="2"/>
      </rPr>
      <t>011-2</t>
    </r>
    <phoneticPr fontId="134" type="noConversion"/>
  </si>
  <si>
    <r>
      <t>2</t>
    </r>
    <r>
      <rPr>
        <sz val="10"/>
        <color theme="1"/>
        <rFont val="Arial"/>
        <family val="2"/>
      </rPr>
      <t>011-1</t>
    </r>
    <phoneticPr fontId="134" type="noConversion"/>
  </si>
  <si>
    <r>
      <t>2</t>
    </r>
    <r>
      <rPr>
        <sz val="10"/>
        <color theme="1"/>
        <rFont val="Arial"/>
        <family val="2"/>
      </rPr>
      <t>010-4</t>
    </r>
    <phoneticPr fontId="134" type="noConversion"/>
  </si>
  <si>
    <r>
      <t>2</t>
    </r>
    <r>
      <rPr>
        <sz val="10"/>
        <color theme="1"/>
        <rFont val="Arial"/>
        <family val="2"/>
      </rPr>
      <t>010-3</t>
    </r>
    <phoneticPr fontId="134" type="noConversion"/>
  </si>
  <si>
    <r>
      <t>2</t>
    </r>
    <r>
      <rPr>
        <sz val="10"/>
        <color theme="1"/>
        <rFont val="Arial"/>
        <family val="2"/>
      </rPr>
      <t>010-2</t>
    </r>
    <phoneticPr fontId="134" type="noConversion"/>
  </si>
  <si>
    <r>
      <t>2</t>
    </r>
    <r>
      <rPr>
        <sz val="10"/>
        <color theme="1"/>
        <rFont val="Arial"/>
        <family val="2"/>
      </rPr>
      <t>010-1</t>
    </r>
    <phoneticPr fontId="134" type="noConversion"/>
  </si>
  <si>
    <r>
      <t>2</t>
    </r>
    <r>
      <rPr>
        <sz val="10"/>
        <color theme="1"/>
        <rFont val="Arial"/>
        <family val="2"/>
      </rPr>
      <t>009-4</t>
    </r>
    <phoneticPr fontId="134" type="noConversion"/>
  </si>
  <si>
    <r>
      <t>2</t>
    </r>
    <r>
      <rPr>
        <sz val="10"/>
        <color theme="1"/>
        <rFont val="Arial"/>
        <family val="2"/>
      </rPr>
      <t>009-3</t>
    </r>
    <phoneticPr fontId="134" type="noConversion"/>
  </si>
  <si>
    <r>
      <t>2</t>
    </r>
    <r>
      <rPr>
        <sz val="10"/>
        <color theme="1"/>
        <rFont val="Arial"/>
        <family val="2"/>
      </rPr>
      <t>009-2</t>
    </r>
    <phoneticPr fontId="134" type="noConversion"/>
  </si>
  <si>
    <r>
      <t>2</t>
    </r>
    <r>
      <rPr>
        <sz val="10"/>
        <color theme="1"/>
        <rFont val="Arial"/>
        <family val="2"/>
      </rPr>
      <t>009-1</t>
    </r>
    <phoneticPr fontId="134" type="noConversion"/>
  </si>
  <si>
    <r>
      <t>2</t>
    </r>
    <r>
      <rPr>
        <sz val="10"/>
        <color theme="1"/>
        <rFont val="Arial"/>
        <family val="2"/>
      </rPr>
      <t>008-4</t>
    </r>
    <phoneticPr fontId="134" type="noConversion"/>
  </si>
  <si>
    <r>
      <t>2</t>
    </r>
    <r>
      <rPr>
        <sz val="10"/>
        <color theme="1"/>
        <rFont val="Arial"/>
        <family val="2"/>
      </rPr>
      <t>008-3</t>
    </r>
    <phoneticPr fontId="134" type="noConversion"/>
  </si>
  <si>
    <r>
      <t>2</t>
    </r>
    <r>
      <rPr>
        <sz val="10"/>
        <color theme="1"/>
        <rFont val="Arial"/>
        <family val="2"/>
      </rPr>
      <t>008-2</t>
    </r>
    <phoneticPr fontId="134" type="noConversion"/>
  </si>
  <si>
    <r>
      <t>2</t>
    </r>
    <r>
      <rPr>
        <sz val="10"/>
        <color theme="1"/>
        <rFont val="Arial"/>
        <family val="2"/>
      </rPr>
      <t>008-1</t>
    </r>
    <phoneticPr fontId="134" type="noConversion"/>
  </si>
  <si>
    <r>
      <t>2</t>
    </r>
    <r>
      <rPr>
        <sz val="10"/>
        <color theme="1"/>
        <rFont val="Arial"/>
        <family val="2"/>
      </rPr>
      <t>007-4</t>
    </r>
    <phoneticPr fontId="134" type="noConversion"/>
  </si>
  <si>
    <r>
      <t>2</t>
    </r>
    <r>
      <rPr>
        <sz val="10"/>
        <color theme="1"/>
        <rFont val="Arial"/>
        <family val="2"/>
      </rPr>
      <t>007-3</t>
    </r>
    <phoneticPr fontId="134" type="noConversion"/>
  </si>
  <si>
    <r>
      <t>2</t>
    </r>
    <r>
      <rPr>
        <sz val="10"/>
        <color theme="1"/>
        <rFont val="Arial"/>
        <family val="2"/>
      </rPr>
      <t>007-2</t>
    </r>
    <phoneticPr fontId="134" type="noConversion"/>
  </si>
  <si>
    <r>
      <t>2</t>
    </r>
    <r>
      <rPr>
        <sz val="10"/>
        <color theme="1"/>
        <rFont val="Arial"/>
        <family val="2"/>
      </rPr>
      <t>007-1</t>
    </r>
    <phoneticPr fontId="134" type="noConversion"/>
  </si>
  <si>
    <r>
      <t>2</t>
    </r>
    <r>
      <rPr>
        <sz val="10"/>
        <color theme="1"/>
        <rFont val="Arial"/>
        <family val="2"/>
      </rPr>
      <t>006-4</t>
    </r>
    <phoneticPr fontId="134" type="noConversion"/>
  </si>
  <si>
    <t>2006-3</t>
    <phoneticPr fontId="134" type="noConversion"/>
  </si>
  <si>
    <t>2006-2</t>
    <phoneticPr fontId="134" type="noConversion"/>
  </si>
  <si>
    <t>2006-1</t>
    <phoneticPr fontId="134" type="noConversion"/>
  </si>
  <si>
    <r>
      <t>2</t>
    </r>
    <r>
      <rPr>
        <sz val="10"/>
        <color theme="1"/>
        <rFont val="Arial"/>
        <family val="2"/>
      </rPr>
      <t>005-4</t>
    </r>
    <phoneticPr fontId="134" type="noConversion"/>
  </si>
  <si>
    <r>
      <t>2</t>
    </r>
    <r>
      <rPr>
        <sz val="10"/>
        <color theme="1"/>
        <rFont val="Arial"/>
        <family val="2"/>
      </rPr>
      <t>005-3</t>
    </r>
    <phoneticPr fontId="134" type="noConversion"/>
  </si>
  <si>
    <r>
      <t>2</t>
    </r>
    <r>
      <rPr>
        <sz val="10"/>
        <color theme="1"/>
        <rFont val="Arial"/>
        <family val="2"/>
      </rPr>
      <t>005-2</t>
    </r>
    <phoneticPr fontId="134" type="noConversion"/>
  </si>
  <si>
    <r>
      <t>2</t>
    </r>
    <r>
      <rPr>
        <sz val="10"/>
        <color theme="1"/>
        <rFont val="Arial"/>
        <family val="2"/>
      </rPr>
      <t>005-1</t>
    </r>
    <phoneticPr fontId="134" type="noConversion"/>
  </si>
  <si>
    <r>
      <t>2</t>
    </r>
    <r>
      <rPr>
        <sz val="10"/>
        <color theme="1"/>
        <rFont val="Arial"/>
        <family val="2"/>
      </rPr>
      <t>004-4</t>
    </r>
    <phoneticPr fontId="134" type="noConversion"/>
  </si>
  <si>
    <r>
      <t>2</t>
    </r>
    <r>
      <rPr>
        <sz val="10"/>
        <color theme="1"/>
        <rFont val="Arial"/>
        <family val="2"/>
      </rPr>
      <t>004-3</t>
    </r>
    <phoneticPr fontId="134" type="noConversion"/>
  </si>
  <si>
    <r>
      <t>2</t>
    </r>
    <r>
      <rPr>
        <sz val="10"/>
        <color theme="1"/>
        <rFont val="Arial"/>
        <family val="2"/>
      </rPr>
      <t>004-2</t>
    </r>
    <phoneticPr fontId="134" type="noConversion"/>
  </si>
  <si>
    <r>
      <t>2</t>
    </r>
    <r>
      <rPr>
        <sz val="10"/>
        <color theme="1"/>
        <rFont val="Arial"/>
        <family val="2"/>
      </rPr>
      <t>004-1</t>
    </r>
    <phoneticPr fontId="134" type="noConversion"/>
  </si>
  <si>
    <r>
      <t>2</t>
    </r>
    <r>
      <rPr>
        <sz val="10"/>
        <color theme="1"/>
        <rFont val="Arial"/>
        <family val="2"/>
      </rPr>
      <t>003-4</t>
    </r>
    <phoneticPr fontId="134" type="noConversion"/>
  </si>
  <si>
    <r>
      <t>2</t>
    </r>
    <r>
      <rPr>
        <sz val="10"/>
        <color theme="1"/>
        <rFont val="Arial"/>
        <family val="2"/>
      </rPr>
      <t>003-3</t>
    </r>
    <phoneticPr fontId="134" type="noConversion"/>
  </si>
  <si>
    <r>
      <t>2</t>
    </r>
    <r>
      <rPr>
        <sz val="10"/>
        <color theme="1"/>
        <rFont val="Arial"/>
        <family val="2"/>
      </rPr>
      <t>003-2</t>
    </r>
    <phoneticPr fontId="134" type="noConversion"/>
  </si>
  <si>
    <r>
      <t>2</t>
    </r>
    <r>
      <rPr>
        <sz val="10"/>
        <color theme="1"/>
        <rFont val="Arial"/>
        <family val="2"/>
      </rPr>
      <t>003-1</t>
    </r>
    <phoneticPr fontId="134" type="noConversion"/>
  </si>
  <si>
    <r>
      <t>2</t>
    </r>
    <r>
      <rPr>
        <sz val="10"/>
        <color theme="1"/>
        <rFont val="Arial"/>
        <family val="2"/>
      </rPr>
      <t>002-4</t>
    </r>
    <phoneticPr fontId="134" type="noConversion"/>
  </si>
  <si>
    <r>
      <t>2</t>
    </r>
    <r>
      <rPr>
        <sz val="10"/>
        <color theme="1"/>
        <rFont val="Arial"/>
        <family val="2"/>
      </rPr>
      <t>002-3</t>
    </r>
    <phoneticPr fontId="134" type="noConversion"/>
  </si>
  <si>
    <r>
      <t>2</t>
    </r>
    <r>
      <rPr>
        <sz val="10"/>
        <color theme="1"/>
        <rFont val="Arial"/>
        <family val="2"/>
      </rPr>
      <t>002-2</t>
    </r>
    <phoneticPr fontId="134" type="noConversion"/>
  </si>
  <si>
    <r>
      <t>2</t>
    </r>
    <r>
      <rPr>
        <sz val="10"/>
        <color theme="1"/>
        <rFont val="Arial"/>
        <family val="2"/>
      </rPr>
      <t>002-1</t>
    </r>
    <phoneticPr fontId="134" type="noConversion"/>
  </si>
  <si>
    <t>说明</t>
    <phoneticPr fontId="13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</si>
  <si>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</si>
  <si>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</si>
  <si>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</si>
  <si>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</si>
  <si>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</si>
  <si>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</si>
  <si>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</si>
  <si>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4" type="noConversion"/>
  </si>
  <si>
    <t>封皮-估价项目名称</t>
    <phoneticPr fontId="134" type="noConversion"/>
  </si>
  <si>
    <t>封皮-估价委托人</t>
    <phoneticPr fontId="134" type="noConversion"/>
  </si>
  <si>
    <t>封皮-注册房地产估价师</t>
    <phoneticPr fontId="134" type="noConversion"/>
  </si>
  <si>
    <t>封皮-估价报告编号</t>
    <phoneticPr fontId="134" type="noConversion"/>
  </si>
  <si>
    <t>致函-委托事项</t>
    <phoneticPr fontId="134" type="noConversion"/>
  </si>
  <si>
    <t>致函-估价目的</t>
    <phoneticPr fontId="134" type="noConversion"/>
  </si>
  <si>
    <t>致函-价值时点</t>
    <phoneticPr fontId="134" type="noConversion"/>
  </si>
  <si>
    <t>致函-价值类型-房地产</t>
    <phoneticPr fontId="134" type="noConversion"/>
  </si>
  <si>
    <t>致函-价值类型-建筑物/土地</t>
    <phoneticPr fontId="142" type="noConversion"/>
  </si>
  <si>
    <t>致函-价值类型-抵押</t>
    <phoneticPr fontId="142" type="noConversion"/>
  </si>
  <si>
    <t>致函-价值类型-优先受偿</t>
    <phoneticPr fontId="142" type="noConversion"/>
  </si>
  <si>
    <t>致函-价值类型-净值</t>
    <phoneticPr fontId="142" type="noConversion"/>
  </si>
  <si>
    <t>致函-估价方法</t>
    <phoneticPr fontId="142" type="noConversion"/>
  </si>
  <si>
    <t>致函-估价结果</t>
    <phoneticPr fontId="134" type="noConversion"/>
  </si>
  <si>
    <t>致函-估价结果-表1-总</t>
    <phoneticPr fontId="142" type="noConversion"/>
  </si>
  <si>
    <t>致函-估价结果-表1-单</t>
    <phoneticPr fontId="142" type="noConversion"/>
  </si>
  <si>
    <t>致函-估价结果-表1-大</t>
    <phoneticPr fontId="142" type="noConversion"/>
  </si>
  <si>
    <t>致函-估价结果-表1-优先（大）</t>
    <phoneticPr fontId="142" type="noConversion"/>
  </si>
  <si>
    <t>致函-估价结果-表1-优先-抵押</t>
    <phoneticPr fontId="142" type="noConversion"/>
  </si>
  <si>
    <t>致函-估价结果-表1-优先-工程</t>
    <phoneticPr fontId="142" type="noConversion"/>
  </si>
  <si>
    <t>致函-估价结果-表1-优先-其他</t>
    <phoneticPr fontId="142" type="noConversion"/>
  </si>
  <si>
    <t>致函-估价结果-表1-抵押（大）</t>
    <phoneticPr fontId="142" type="noConversion"/>
  </si>
  <si>
    <t>致函-估价结果-表1-已注（大）</t>
    <phoneticPr fontId="142" type="noConversion"/>
  </si>
  <si>
    <t>致函-估价结果-表1-净值（单）</t>
    <phoneticPr fontId="142" type="noConversion"/>
  </si>
  <si>
    <t>致函-估价结果-表1-净值（大）</t>
    <phoneticPr fontId="142" type="noConversion"/>
  </si>
  <si>
    <t>致函-估价结果-表2-土地面积</t>
    <phoneticPr fontId="142" type="noConversion"/>
  </si>
  <si>
    <t>致函-估价结果-表2-地（总）</t>
    <phoneticPr fontId="142" type="noConversion"/>
  </si>
  <si>
    <t>致函-估价结果-表2-地（单）</t>
    <phoneticPr fontId="142" type="noConversion"/>
  </si>
  <si>
    <t>致函-估价结果-表2-地（大）</t>
    <phoneticPr fontId="142" type="noConversion"/>
  </si>
  <si>
    <t>致函-估价结果-表2-建（总）</t>
    <phoneticPr fontId="142" type="noConversion"/>
  </si>
  <si>
    <t>致函-估价结果-表2-建（单）</t>
    <phoneticPr fontId="142" type="noConversion"/>
  </si>
  <si>
    <t>致函-特别提示-1</t>
    <phoneticPr fontId="142" type="noConversion"/>
  </si>
  <si>
    <t>致函-特别提示-2</t>
  </si>
  <si>
    <t>致函-特别提示-优先受偿-1</t>
    <phoneticPr fontId="142" type="noConversion"/>
  </si>
  <si>
    <t>致函-特别提示-优先受偿-2</t>
  </si>
  <si>
    <t>致函-特别提示-优先受偿-3</t>
  </si>
  <si>
    <t>致函-特别提示-优先受偿-4</t>
  </si>
  <si>
    <t>致函-特别提示-4</t>
    <phoneticPr fontId="142" type="noConversion"/>
  </si>
  <si>
    <t>致函-特别提示-5</t>
  </si>
  <si>
    <t>致函-出具日期</t>
    <phoneticPr fontId="134" type="noConversion"/>
  </si>
  <si>
    <t>致函-估价师1</t>
    <phoneticPr fontId="134" type="noConversion"/>
  </si>
  <si>
    <t>致函-估价师1-证号</t>
    <phoneticPr fontId="134" type="noConversion"/>
  </si>
  <si>
    <t>致函-估价师2</t>
    <phoneticPr fontId="134" type="noConversion"/>
  </si>
  <si>
    <t>致函-估价师2-证号</t>
    <phoneticPr fontId="134" type="noConversion"/>
  </si>
  <si>
    <t>致函-估价对象-现房-1</t>
    <phoneticPr fontId="134" type="noConversion"/>
  </si>
  <si>
    <t>致函-估价对象-现房-2</t>
  </si>
  <si>
    <t>致函-估价对象-在建-1</t>
    <phoneticPr fontId="134" type="noConversion"/>
  </si>
  <si>
    <t>致函-估价对象-在建-2</t>
  </si>
  <si>
    <t>致函-特别提示-优先受偿-5</t>
  </si>
  <si>
    <t>致函-特别提示-6</t>
  </si>
  <si>
    <t>致函-特别提示-7</t>
  </si>
  <si>
    <t>致函-估价结果-表2-地（名称）</t>
    <phoneticPr fontId="142" type="noConversion"/>
  </si>
  <si>
    <t>致函-估价结果-表2-建（名称）</t>
    <phoneticPr fontId="142" type="noConversion"/>
  </si>
  <si>
    <t>致函-估价结果-表2-土地面积（名称）</t>
    <phoneticPr fontId="142" type="noConversion"/>
  </si>
  <si>
    <t>致函-估价结果-表1-抵押（单）</t>
    <phoneticPr fontId="142" type="noConversion"/>
  </si>
  <si>
    <t>致函-估价结果-表1-已注（单）</t>
    <phoneticPr fontId="142" type="noConversion"/>
  </si>
  <si>
    <t>致函-估价结果-表1-已注（名称）</t>
    <phoneticPr fontId="142" type="noConversion"/>
  </si>
  <si>
    <t>致函-估价结果-表1-净值（名称）</t>
    <phoneticPr fontId="142" type="noConversion"/>
  </si>
  <si>
    <t>致函-估价结果-表2-建（大）</t>
  </si>
  <si>
    <t>致函-估价结果-表2-已注（名称）</t>
    <phoneticPr fontId="142" type="noConversion"/>
  </si>
  <si>
    <t>致函-估价结果-表2-净值（名称）</t>
    <phoneticPr fontId="142" type="noConversion"/>
  </si>
  <si>
    <t>本次估价的“房地产抵押价值”是指估价对象在价值时点的“房地产价值”扣减估价师于价值时点所知悉的法定优先受偿款后的余额。</t>
    <phoneticPr fontId="83" type="noConversion"/>
  </si>
  <si>
    <t>本次估价的“抵押担保权已注销时的房地产抵押价值”是指估价对象在价值时点的“房地产价值”扣减估价师于价值时点所知悉的除抵押担保权以外的其他法定优先受偿款后的余额。</t>
    <phoneticPr fontId="83" type="noConversion"/>
  </si>
  <si>
    <t>本次估价的“抵押净值”是指估价对象“房地产抵押价值”减去估价对象在价值时点以“房地产销售收入”为基数计算的预计抵押权实现进行处置时需缴纳的各项费用、税金等相关费用后的价值。</t>
    <phoneticPr fontId="83"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</si>
  <si>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</si>
  <si>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</si>
  <si>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3" type="noConversion"/>
  </si>
  <si>
    <t>致函-估价结果-表1-优先（名称）</t>
    <phoneticPr fontId="142" type="noConversion"/>
  </si>
  <si>
    <t>致函-估价结果-表2-建筑面积（名称）</t>
    <phoneticPr fontId="142" type="noConversion"/>
  </si>
  <si>
    <t>致函-估价结果-表2-建筑面积</t>
    <phoneticPr fontId="142" type="noConversion"/>
  </si>
  <si>
    <t>致函-估价结果-表2-项目名称</t>
    <phoneticPr fontId="142" type="noConversion"/>
  </si>
  <si>
    <t>致函-估价结果-表1-抵押（名称）</t>
    <phoneticPr fontId="142" type="noConversion"/>
  </si>
  <si>
    <t>致函-估价结果-表1-抵押（总）</t>
    <phoneticPr fontId="142" type="noConversion"/>
  </si>
  <si>
    <t>致函-估价结果-表1-优先（总）</t>
    <phoneticPr fontId="142" type="noConversion"/>
  </si>
  <si>
    <t>致函-估价结果-表1-已注（总）</t>
    <phoneticPr fontId="142" type="noConversion"/>
  </si>
  <si>
    <t>致函-估价结果-表1-净值（总）</t>
    <phoneticPr fontId="142" type="noConversion"/>
  </si>
  <si>
    <t>致函-估价结果-表2-抵押（名称）</t>
    <phoneticPr fontId="134" type="noConversion"/>
  </si>
  <si>
    <t>致函-估价结果-表2-优先（名称）</t>
    <phoneticPr fontId="14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</si>
  <si>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2" type="noConversion"/>
  </si>
  <si>
    <t>致函-其他专业人员</t>
    <phoneticPr fontId="134" type="noConversion"/>
  </si>
  <si>
    <t>价值时点</t>
    <phoneticPr fontId="3" type="noConversion"/>
  </si>
  <si>
    <t>开发期</t>
    <phoneticPr fontId="134" type="noConversion"/>
  </si>
  <si>
    <t>贷款利率</t>
    <phoneticPr fontId="3" type="noConversion"/>
  </si>
  <si>
    <t>贷款利率</t>
    <phoneticPr fontId="134" type="noConversion"/>
  </si>
  <si>
    <t>存款利率</t>
    <phoneticPr fontId="134"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</si>
  <si>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</si>
  <si>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</si>
  <si>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</si>
  <si>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</si>
  <si>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</si>
  <si>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3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</si>
  <si>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</si>
  <si>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</si>
  <si>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</si>
  <si>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</si>
  <si>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</si>
  <si>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</si>
  <si>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</si>
  <si>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</si>
  <si>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</si>
  <si>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</si>
  <si>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</si>
  <si>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</si>
  <si>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</si>
  <si>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</si>
  <si>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</si>
  <si>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</si>
  <si>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</si>
  <si>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</si>
  <si>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</si>
  <si>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</si>
  <si>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</si>
  <si>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</si>
  <si>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</si>
  <si>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</si>
  <si>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</si>
  <si>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</si>
  <si>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</si>
  <si>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</si>
  <si>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</si>
  <si>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</si>
  <si>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</si>
  <si>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</si>
  <si>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</si>
  <si>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</si>
  <si>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</si>
  <si>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</si>
  <si>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34" type="noConversion"/>
  </si>
  <si>
    <t>估价对象1（本表）</t>
    <phoneticPr fontId="134" type="noConversion"/>
  </si>
  <si>
    <t>抵押净值（万元）</t>
    <phoneticPr fontId="134" type="noConversion"/>
  </si>
  <si>
    <t>抵押价值（万元）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</si>
  <si>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</si>
  <si>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租金</t>
    <phoneticPr fontId="134" type="noConversion"/>
  </si>
  <si>
    <t>总投</t>
    <phoneticPr fontId="134" type="noConversion"/>
  </si>
  <si>
    <t>抵押价值</t>
  </si>
  <si>
    <t>市场价值</t>
  </si>
  <si>
    <t>地面单价（元/平方米）</t>
    <phoneticPr fontId="134" type="noConversion"/>
  </si>
  <si>
    <t>楼面单价（元/平方米）</t>
  </si>
  <si>
    <t>总价（万元）</t>
  </si>
  <si>
    <t>价值类型</t>
  </si>
  <si>
    <t>价值时点/估价期日</t>
    <phoneticPr fontId="134" type="noConversion"/>
  </si>
  <si>
    <t>抵押价值-已注销（万元）</t>
    <phoneticPr fontId="134" type="noConversion"/>
  </si>
  <si>
    <t>抵押价值-已注销</t>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</si>
  <si>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</si>
  <si>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</si>
  <si>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t>市场价值（万元）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</si>
  <si>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</si>
  <si>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项目名称</t>
    <phoneticPr fontId="134" type="noConversion"/>
  </si>
  <si>
    <t>重置成新价</t>
    <phoneticPr fontId="13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</si>
  <si>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</si>
  <si>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用途</t>
  </si>
  <si>
    <t>商业</t>
  </si>
  <si>
    <t>居住</t>
  </si>
  <si>
    <t>土地级别</t>
  </si>
  <si>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</si>
  <si>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</si>
  <si>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</si>
  <si>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</si>
  <si>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</si>
  <si>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</si>
  <si>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</si>
  <si>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</si>
  <si>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</si>
  <si>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</si>
  <si>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</si>
  <si>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</si>
  <si>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</si>
  <si>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</si>
  <si>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</si>
  <si>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</si>
  <si>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</si>
  <si>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</si>
  <si>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</si>
  <si>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</si>
  <si>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</si>
  <si>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</si>
  <si>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</si>
  <si>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</si>
  <si>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</si>
  <si>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</si>
  <si>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</si>
  <si>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</si>
  <si>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</si>
  <si>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</si>
  <si>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</si>
  <si>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</si>
  <si>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</si>
  <si>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</si>
  <si>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</si>
  <si>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</si>
  <si>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</si>
  <si>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</si>
  <si>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</si>
  <si>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</si>
  <si>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</si>
  <si>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</si>
  <si>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</si>
  <si>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</si>
  <si>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</si>
  <si>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</si>
  <si>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</si>
  <si>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</si>
  <si>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</si>
  <si>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</si>
  <si>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</si>
  <si>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</si>
  <si>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</si>
  <si>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</si>
  <si>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</si>
  <si>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</si>
  <si>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</si>
  <si>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</si>
  <si>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</si>
  <si>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</si>
  <si>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</si>
  <si>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</si>
  <si>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</si>
  <si>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</si>
  <si>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</si>
  <si>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</si>
  <si>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</si>
  <si>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</si>
  <si>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</si>
  <si>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</si>
  <si>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</si>
  <si>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</si>
  <si>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</si>
  <si>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</si>
  <si>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</si>
  <si>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</si>
  <si>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</si>
  <si>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</si>
  <si>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</si>
  <si>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</si>
  <si>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</si>
  <si>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</si>
  <si>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</si>
  <si>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</si>
  <si>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</si>
  <si>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</si>
  <si>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</si>
  <si>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</si>
  <si>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</si>
  <si>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</si>
  <si>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</si>
  <si>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</si>
  <si>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</si>
  <si>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</si>
  <si>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</si>
  <si>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</si>
  <si>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</si>
  <si>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</si>
  <si>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</si>
  <si>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</si>
  <si>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</si>
  <si>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</si>
  <si>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</si>
  <si>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</si>
  <si>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</si>
  <si>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</si>
  <si>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</si>
  <si>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</si>
  <si>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</si>
  <si>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</si>
  <si>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</si>
  <si>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</si>
  <si>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</si>
  <si>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</si>
  <si>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</si>
  <si>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</si>
  <si>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</si>
  <si>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</si>
  <si>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</si>
  <si>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</si>
  <si>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</si>
  <si>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</si>
  <si>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</si>
  <si>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</si>
  <si>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</si>
  <si>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</si>
  <si>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</si>
  <si>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</si>
  <si>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</si>
  <si>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</si>
  <si>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</si>
  <si>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</si>
  <si>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</si>
  <si>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</si>
  <si>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</si>
  <si>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</si>
  <si>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</si>
  <si>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</si>
  <si>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</si>
  <si>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</si>
  <si>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</si>
  <si>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</si>
  <si>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</si>
  <si>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</si>
  <si>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</si>
  <si>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</si>
  <si>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</si>
  <si>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</si>
  <si>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</si>
  <si>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</si>
  <si>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</si>
  <si>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</si>
  <si>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</si>
  <si>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</si>
  <si>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</si>
  <si>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</si>
  <si>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</si>
  <si>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</si>
  <si>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</si>
  <si>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</si>
  <si>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</si>
  <si>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</si>
  <si>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</si>
  <si>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</si>
  <si>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</si>
  <si>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</si>
  <si>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</si>
  <si>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</si>
  <si>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</si>
  <si>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</si>
  <si>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</si>
  <si>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</si>
  <si>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</si>
  <si>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</si>
  <si>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</si>
  <si>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</si>
  <si>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</si>
  <si>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</si>
  <si>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</si>
  <si>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</si>
  <si>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</si>
  <si>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</si>
  <si>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</si>
  <si>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</si>
  <si>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</si>
  <si>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</si>
  <si>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</si>
  <si>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</si>
  <si>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</si>
  <si>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</si>
  <si>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</si>
  <si>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</si>
  <si>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</si>
  <si>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</si>
  <si>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</si>
  <si>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</si>
  <si>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</si>
  <si>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</si>
  <si>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</si>
  <si>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</si>
  <si>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</si>
  <si>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</si>
  <si>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</si>
  <si>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</si>
  <si>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37"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</si>
  <si>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</si>
  <si>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</si>
  <si>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</si>
  <si>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</si>
  <si>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</si>
  <si>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</si>
  <si>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</si>
  <si>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</si>
  <si>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</si>
  <si>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</si>
  <si>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</si>
  <si>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</si>
  <si>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</si>
  <si>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</si>
  <si>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</si>
  <si>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3" type="noConversion"/>
  </si>
  <si>
    <r>
      <rPr>
        <sz val="14"/>
        <color theme="9" tint="-0.249977111117893"/>
        <rFont val="宋体"/>
        <family val="3"/>
        <charset val="134"/>
      </rPr>
      <t>（本页下方空白无内容）</t>
    </r>
  </si>
  <si>
    <r>
      <rPr>
        <b/>
        <sz val="18"/>
        <color theme="1"/>
        <rFont val="宋体"/>
        <family val="3"/>
        <charset val="134"/>
      </rPr>
      <t>评估意见函</t>
    </r>
    <phoneticPr fontId="83" type="noConversion"/>
  </si>
  <si>
    <r>
      <rPr>
        <b/>
        <sz val="14"/>
        <color rgb="FF000000"/>
        <rFont val="宋体"/>
        <family val="3"/>
        <charset val="134"/>
      </rPr>
      <t>估价对象：</t>
    </r>
    <phoneticPr fontId="83" type="noConversion"/>
  </si>
  <si>
    <r>
      <rPr>
        <b/>
        <i/>
        <sz val="14"/>
        <color theme="3" tint="0.39997558519241921"/>
        <rFont val="宋体"/>
        <family val="3"/>
        <charset val="134"/>
      </rPr>
      <t>现房：</t>
    </r>
    <phoneticPr fontId="83"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</si>
  <si>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4" type="noConversion"/>
  </si>
  <si>
    <r>
      <rPr>
        <b/>
        <i/>
        <sz val="14"/>
        <color theme="3" tint="0.39997558519241921"/>
        <rFont val="宋体"/>
        <family val="3"/>
        <charset val="134"/>
      </rPr>
      <t>在建：</t>
    </r>
    <phoneticPr fontId="83"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</si>
  <si>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4" type="noConversion"/>
  </si>
  <si>
    <r>
      <rPr>
        <b/>
        <sz val="14"/>
        <color rgb="FF000000"/>
        <rFont val="宋体"/>
        <family val="3"/>
        <charset val="134"/>
      </rPr>
      <t>估价目的：</t>
    </r>
    <phoneticPr fontId="83" type="noConversion"/>
  </si>
  <si>
    <r>
      <rPr>
        <b/>
        <sz val="14"/>
        <color theme="1"/>
        <rFont val="宋体"/>
        <family val="3"/>
        <charset val="134"/>
      </rPr>
      <t>价值时点：</t>
    </r>
    <phoneticPr fontId="83" type="noConversion"/>
  </si>
  <si>
    <r>
      <rPr>
        <b/>
        <sz val="14"/>
        <color theme="1"/>
        <rFont val="宋体"/>
        <family val="3"/>
        <charset val="134"/>
      </rPr>
      <t>价值类型：</t>
    </r>
    <phoneticPr fontId="83"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</si>
  <si>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3" type="noConversion"/>
  </si>
  <si>
    <r>
      <rPr>
        <b/>
        <sz val="14"/>
        <color theme="1"/>
        <rFont val="宋体"/>
        <family val="3"/>
        <charset val="134"/>
      </rPr>
      <t>估价结果：</t>
    </r>
    <phoneticPr fontId="83" type="noConversion"/>
  </si>
  <si>
    <r>
      <t>1.</t>
    </r>
    <r>
      <rPr>
        <b/>
        <sz val="12"/>
        <color indexed="8"/>
        <rFont val="宋体"/>
        <family val="3"/>
        <charset val="134"/>
      </rPr>
      <t>房地产价值</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</si>
  <si>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</si>
  <si>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</si>
  <si>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2"/>
        <color theme="1"/>
        <rFont val="宋体"/>
        <family val="3"/>
        <charset val="134"/>
      </rPr>
      <t>单价</t>
    </r>
    <phoneticPr fontId="83" type="noConversion"/>
  </si>
  <si>
    <r>
      <rPr>
        <b/>
        <sz val="12"/>
        <color rgb="FF000000"/>
        <rFont val="宋体"/>
        <family val="3"/>
        <charset val="134"/>
      </rPr>
      <t>总额</t>
    </r>
    <phoneticPr fontId="83" type="noConversion"/>
  </si>
  <si>
    <r>
      <rPr>
        <sz val="12"/>
        <color rgb="FF000000"/>
        <rFont val="宋体"/>
        <family val="3"/>
        <charset val="134"/>
      </rPr>
      <t>总额</t>
    </r>
    <phoneticPr fontId="83" type="noConversion"/>
  </si>
  <si>
    <r>
      <rPr>
        <sz val="14"/>
        <color theme="1"/>
        <rFont val="宋体"/>
        <family val="3"/>
        <charset val="134"/>
      </rPr>
      <t>（转下页）</t>
    </r>
    <phoneticPr fontId="85"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</si>
  <si>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3" type="noConversion"/>
  </si>
  <si>
    <r>
      <rPr>
        <b/>
        <sz val="14"/>
        <color theme="1"/>
        <rFont val="宋体"/>
        <family val="3"/>
        <charset val="134"/>
      </rPr>
      <t>结果表</t>
    </r>
    <r>
      <rPr>
        <b/>
        <sz val="14"/>
        <color theme="1"/>
        <rFont val="Arial"/>
        <family val="2"/>
      </rPr>
      <t>-1</t>
    </r>
    <phoneticPr fontId="85"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</si>
  <si>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3" type="noConversion"/>
  </si>
  <si>
    <r>
      <rPr>
        <sz val="12"/>
        <color rgb="FF000000"/>
        <rFont val="宋体"/>
        <family val="3"/>
        <charset val="134"/>
      </rPr>
      <t>总额</t>
    </r>
    <phoneticPr fontId="83"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</si>
  <si>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3" type="noConversion"/>
  </si>
  <si>
    <r>
      <rPr>
        <sz val="12"/>
        <color theme="1"/>
        <rFont val="宋体"/>
        <family val="3"/>
        <charset val="134"/>
      </rPr>
      <t>单价</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</si>
  <si>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</si>
  <si>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</si>
  <si>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5"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</si>
  <si>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</si>
  <si>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</si>
  <si>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</si>
  <si>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5" type="noConversion"/>
  </si>
  <si>
    <r>
      <rPr>
        <sz val="12"/>
        <color indexed="8"/>
        <rFont val="宋体"/>
        <family val="3"/>
        <charset val="134"/>
      </rPr>
      <t>建筑面积</t>
    </r>
    <phoneticPr fontId="83"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</si>
  <si>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3" type="noConversion"/>
  </si>
  <si>
    <r>
      <rPr>
        <sz val="12"/>
        <color indexed="8"/>
        <rFont val="宋体"/>
        <family val="3"/>
        <charset val="134"/>
      </rPr>
      <t>楼面单价</t>
    </r>
    <phoneticPr fontId="83"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</si>
  <si>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3"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</si>
  <si>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</si>
  <si>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</si>
  <si>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</si>
  <si>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</si>
  <si>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</si>
  <si>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</si>
  <si>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0"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</si>
  <si>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</si>
  <si>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</si>
  <si>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89"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</si>
  <si>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0"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</si>
  <si>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</si>
  <si>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7"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</si>
  <si>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</si>
  <si>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</si>
  <si>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</si>
  <si>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</si>
  <si>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DengXian"/>
        <family val="3"/>
        <charset val="134"/>
        <scheme val="minor"/>
      </rPr>
      <t>请用EXCEL2010以上版本打开，否则个别格式设置会与原表不一致，影响使用</t>
    </r>
    <phoneticPr fontId="33" type="noConversion"/>
  </si>
  <si>
    <r>
      <rPr>
        <sz val="11"/>
        <color indexed="8"/>
        <rFont val="DengXian"/>
        <family val="3"/>
        <charset val="134"/>
        <scheme val="minor"/>
      </rPr>
      <t>无底纹单元格</t>
    </r>
    <phoneticPr fontId="33" type="noConversion"/>
  </si>
  <si>
    <r>
      <rPr>
        <sz val="11"/>
        <color indexed="8"/>
        <rFont val="DengXian"/>
        <family val="3"/>
        <charset val="134"/>
        <scheme val="minor"/>
      </rPr>
      <t>黄色底纹单元格</t>
    </r>
    <phoneticPr fontId="33" type="noConversion"/>
  </si>
  <si>
    <r>
      <rPr>
        <sz val="11"/>
        <color indexed="8"/>
        <rFont val="DengXian"/>
        <family val="3"/>
        <charset val="134"/>
        <scheme val="minor"/>
      </rPr>
      <t>灰色底纹单元格</t>
    </r>
    <phoneticPr fontId="33" type="noConversion"/>
  </si>
  <si>
    <r>
      <rPr>
        <sz val="11"/>
        <color indexed="8"/>
        <rFont val="DengXian"/>
        <family val="3"/>
        <charset val="134"/>
        <scheme val="minor"/>
      </rPr>
      <t>红色底纹黄色字体</t>
    </r>
    <phoneticPr fontId="33" type="noConversion"/>
  </si>
  <si>
    <r>
      <rPr>
        <b/>
        <sz val="12"/>
        <color indexed="8"/>
        <rFont val="DengXian"/>
        <family val="3"/>
        <charset val="134"/>
        <scheme val="minor"/>
      </rPr>
      <t>关注批注角标</t>
    </r>
    <phoneticPr fontId="33" type="noConversion"/>
  </si>
  <si>
    <r>
      <rPr>
        <sz val="11"/>
        <color indexed="8"/>
        <rFont val="DengXian"/>
        <family val="3"/>
        <charset val="134"/>
        <scheme val="minor"/>
      </rPr>
      <t>基础表</t>
    </r>
    <phoneticPr fontId="3" type="noConversion"/>
  </si>
  <si>
    <r>
      <rPr>
        <sz val="11"/>
        <color indexed="8"/>
        <rFont val="DengXian"/>
        <family val="3"/>
        <charset val="134"/>
        <scheme val="minor"/>
      </rPr>
      <t>数据表</t>
    </r>
    <phoneticPr fontId="3" type="noConversion"/>
  </si>
  <si>
    <r>
      <rPr>
        <sz val="11"/>
        <color indexed="8"/>
        <rFont val="DengXian"/>
        <family val="3"/>
        <charset val="134"/>
        <scheme val="minor"/>
      </rPr>
      <t>汇总表</t>
    </r>
    <phoneticPr fontId="3" type="noConversion"/>
  </si>
  <si>
    <r>
      <rPr>
        <sz val="11"/>
        <color indexed="8"/>
        <rFont val="DengXian"/>
        <family val="3"/>
        <charset val="134"/>
        <scheme val="minor"/>
      </rPr>
      <t>取费表</t>
    </r>
    <phoneticPr fontId="3" type="noConversion"/>
  </si>
  <si>
    <r>
      <rPr>
        <sz val="11"/>
        <color indexed="8"/>
        <rFont val="DengXian"/>
        <family val="3"/>
        <charset val="134"/>
        <scheme val="minor"/>
      </rPr>
      <t>房地状况</t>
    </r>
    <phoneticPr fontId="3" type="noConversion"/>
  </si>
  <si>
    <r>
      <rPr>
        <sz val="11"/>
        <color indexed="8"/>
        <rFont val="DengXian"/>
        <family val="3"/>
        <charset val="134"/>
        <scheme val="minor"/>
      </rPr>
      <t>结果表</t>
    </r>
    <phoneticPr fontId="3" type="noConversion"/>
  </si>
  <si>
    <r>
      <rPr>
        <sz val="11"/>
        <color indexed="8"/>
        <rFont val="DengXian"/>
        <family val="3"/>
        <charset val="134"/>
        <scheme val="minor"/>
      </rPr>
      <t>方法</t>
    </r>
    <phoneticPr fontId="3" type="noConversion"/>
  </si>
  <si>
    <r>
      <rPr>
        <sz val="11"/>
        <color indexed="8"/>
        <rFont val="DengXian"/>
        <family val="3"/>
        <charset val="134"/>
        <scheme val="minor"/>
      </rPr>
      <t>成本</t>
    </r>
    <phoneticPr fontId="3" type="noConversion"/>
  </si>
  <si>
    <r>
      <rPr>
        <sz val="11"/>
        <color indexed="8"/>
        <rFont val="DengXian"/>
        <family val="3"/>
        <charset val="134"/>
        <scheme val="minor"/>
      </rPr>
      <t>假开</t>
    </r>
    <phoneticPr fontId="3" type="noConversion"/>
  </si>
  <si>
    <r>
      <rPr>
        <sz val="11"/>
        <color indexed="8"/>
        <rFont val="DengXian"/>
        <family val="3"/>
        <charset val="134"/>
        <scheme val="minor"/>
      </rPr>
      <t>收益</t>
    </r>
    <phoneticPr fontId="3" type="noConversion"/>
  </si>
  <si>
    <r>
      <rPr>
        <sz val="11"/>
        <color indexed="8"/>
        <rFont val="DengXian"/>
        <family val="3"/>
        <charset val="134"/>
        <scheme val="minor"/>
      </rPr>
      <t>比较</t>
    </r>
    <phoneticPr fontId="3" type="noConversion"/>
  </si>
  <si>
    <r>
      <rPr>
        <sz val="11"/>
        <color indexed="8"/>
        <rFont val="DengXian"/>
        <family val="3"/>
        <charset val="134"/>
        <scheme val="minor"/>
      </rPr>
      <t>住宅</t>
    </r>
    <phoneticPr fontId="3" type="noConversion"/>
  </si>
  <si>
    <r>
      <rPr>
        <sz val="11"/>
        <color indexed="8"/>
        <rFont val="DengXian"/>
        <family val="3"/>
        <charset val="134"/>
        <scheme val="minor"/>
      </rPr>
      <t>商业</t>
    </r>
    <phoneticPr fontId="3" type="noConversion"/>
  </si>
  <si>
    <r>
      <rPr>
        <sz val="11"/>
        <color indexed="8"/>
        <rFont val="DengXian"/>
        <family val="3"/>
        <charset val="134"/>
        <scheme val="minor"/>
      </rPr>
      <t>办公</t>
    </r>
    <phoneticPr fontId="3" type="noConversion"/>
  </si>
  <si>
    <r>
      <rPr>
        <sz val="11"/>
        <color indexed="8"/>
        <rFont val="DengXian"/>
        <family val="3"/>
        <charset val="134"/>
        <scheme val="minor"/>
      </rPr>
      <t>工业</t>
    </r>
    <phoneticPr fontId="33" type="noConversion"/>
  </si>
  <si>
    <r>
      <rPr>
        <sz val="11"/>
        <color indexed="8"/>
        <rFont val="DengXian"/>
        <family val="3"/>
        <charset val="134"/>
        <scheme val="minor"/>
      </rPr>
      <t>车位</t>
    </r>
    <phoneticPr fontId="33" type="noConversion"/>
  </si>
  <si>
    <r>
      <rPr>
        <sz val="11"/>
        <color indexed="8"/>
        <rFont val="DengXian"/>
        <family val="3"/>
        <charset val="134"/>
        <scheme val="minor"/>
      </rPr>
      <t>仓储</t>
    </r>
    <phoneticPr fontId="33" type="noConversion"/>
  </si>
  <si>
    <r>
      <rPr>
        <sz val="11"/>
        <color indexed="8"/>
        <rFont val="DengXian"/>
        <family val="3"/>
        <charset val="134"/>
        <scheme val="minor"/>
      </rPr>
      <t>土地-住宅、综合</t>
    </r>
    <phoneticPr fontId="33" type="noConversion"/>
  </si>
  <si>
    <r>
      <rPr>
        <sz val="11"/>
        <color indexed="8"/>
        <rFont val="DengXian"/>
        <family val="3"/>
        <charset val="134"/>
        <scheme val="minor"/>
      </rPr>
      <t>土地-工业</t>
    </r>
    <phoneticPr fontId="33" type="noConversion"/>
  </si>
  <si>
    <r>
      <rPr>
        <sz val="11"/>
        <color indexed="8"/>
        <rFont val="DengXian"/>
        <family val="3"/>
        <charset val="134"/>
        <scheme val="minor"/>
      </rPr>
      <t>典型户型修正</t>
    </r>
    <phoneticPr fontId="33" type="noConversion"/>
  </si>
  <si>
    <r>
      <rPr>
        <b/>
        <sz val="12"/>
        <color indexed="10"/>
        <rFont val="DengXian"/>
        <family val="3"/>
        <charset val="134"/>
        <scheme val="minor"/>
      </rPr>
      <t>数据-基础表  面积录入特殊说明</t>
    </r>
    <phoneticPr fontId="33" type="noConversion"/>
  </si>
  <si>
    <r>
      <rPr>
        <sz val="11"/>
        <color indexed="8"/>
        <rFont val="DengXian"/>
        <family val="3"/>
        <charset val="134"/>
        <scheme val="minor"/>
      </rPr>
      <t>估价方法</t>
    </r>
    <phoneticPr fontId="16" type="noConversion"/>
  </si>
  <si>
    <r>
      <rPr>
        <sz val="11"/>
        <color indexed="8"/>
        <rFont val="DengXian"/>
        <family val="3"/>
        <charset val="134"/>
        <scheme val="minor"/>
      </rPr>
      <t>位置</t>
    </r>
    <phoneticPr fontId="16" type="noConversion"/>
  </si>
  <si>
    <r>
      <rPr>
        <sz val="11"/>
        <color indexed="8"/>
        <rFont val="DengXian"/>
        <family val="3"/>
        <charset val="134"/>
        <scheme val="minor"/>
      </rPr>
      <t>主用途</t>
    </r>
    <phoneticPr fontId="16" type="noConversion"/>
  </si>
  <si>
    <r>
      <rPr>
        <sz val="11"/>
        <color indexed="8"/>
        <rFont val="DengXian"/>
        <family val="3"/>
        <charset val="134"/>
        <scheme val="minor"/>
      </rPr>
      <t>法定最高年限</t>
    </r>
    <phoneticPr fontId="16" type="noConversion"/>
  </si>
  <si>
    <r>
      <rPr>
        <sz val="11"/>
        <color indexed="8"/>
        <rFont val="DengXian"/>
        <family val="3"/>
        <charset val="134"/>
        <scheme val="minor"/>
      </rPr>
      <t>地类判定</t>
    </r>
    <phoneticPr fontId="16" type="noConversion"/>
  </si>
  <si>
    <r>
      <rPr>
        <sz val="11"/>
        <color indexed="8"/>
        <rFont val="DengXian"/>
        <family val="3"/>
        <charset val="134"/>
        <scheme val="minor"/>
      </rPr>
      <t>土地年限区间</t>
    </r>
    <phoneticPr fontId="16" type="noConversion"/>
  </si>
  <si>
    <r>
      <rPr>
        <sz val="11"/>
        <color indexed="8"/>
        <rFont val="DengXian"/>
        <family val="3"/>
        <charset val="134"/>
        <scheme val="minor"/>
      </rPr>
      <t>类别</t>
    </r>
    <phoneticPr fontId="16" type="noConversion"/>
  </si>
  <si>
    <r>
      <rPr>
        <sz val="11"/>
        <color indexed="8"/>
        <rFont val="DengXian"/>
        <family val="3"/>
        <charset val="134"/>
        <scheme val="minor"/>
      </rPr>
      <t>居住社区成熟度</t>
    </r>
    <phoneticPr fontId="16" type="noConversion"/>
  </si>
  <si>
    <r>
      <rPr>
        <sz val="11"/>
        <color indexed="8"/>
        <rFont val="DengXian"/>
        <family val="3"/>
        <charset val="134"/>
        <scheme val="minor"/>
      </rPr>
      <t>商业繁华度</t>
    </r>
    <phoneticPr fontId="16" type="noConversion"/>
  </si>
  <si>
    <r>
      <rPr>
        <sz val="11"/>
        <color indexed="8"/>
        <rFont val="DengXian"/>
        <family val="3"/>
        <charset val="134"/>
        <scheme val="minor"/>
      </rPr>
      <t>办公集聚程度</t>
    </r>
    <phoneticPr fontId="16" type="noConversion"/>
  </si>
  <si>
    <r>
      <rPr>
        <sz val="11"/>
        <color indexed="8"/>
        <rFont val="DengXian"/>
        <family val="3"/>
        <charset val="134"/>
        <scheme val="minor"/>
      </rPr>
      <t>产业集聚程度</t>
    </r>
    <phoneticPr fontId="16" type="noConversion"/>
  </si>
  <si>
    <r>
      <rPr>
        <sz val="11"/>
        <color indexed="8"/>
        <rFont val="DengXian"/>
        <family val="3"/>
        <charset val="134"/>
        <scheme val="minor"/>
      </rPr>
      <t>交通便捷度</t>
    </r>
    <phoneticPr fontId="16" type="noConversion"/>
  </si>
  <si>
    <r>
      <rPr>
        <sz val="11"/>
        <color indexed="8"/>
        <rFont val="DengXian"/>
        <family val="3"/>
        <charset val="134"/>
        <scheme val="minor"/>
      </rPr>
      <t>环境质量</t>
    </r>
    <phoneticPr fontId="16" type="noConversion"/>
  </si>
  <si>
    <t>临街状况</t>
    <phoneticPr fontId="43" type="noConversion"/>
  </si>
  <si>
    <r>
      <rPr>
        <sz val="11"/>
        <color indexed="8"/>
        <rFont val="DengXian"/>
        <family val="3"/>
        <charset val="134"/>
        <scheme val="minor"/>
      </rPr>
      <t>内部装修维护情况</t>
    </r>
    <phoneticPr fontId="16" type="noConversion"/>
  </si>
  <si>
    <r>
      <rPr>
        <sz val="11"/>
        <color indexed="8"/>
        <rFont val="DengXian"/>
        <family val="3"/>
        <charset val="134"/>
        <scheme val="minor"/>
      </rPr>
      <t>单价内涵</t>
    </r>
    <phoneticPr fontId="16" type="noConversion"/>
  </si>
  <si>
    <r>
      <rPr>
        <sz val="11"/>
        <color indexed="8"/>
        <rFont val="DengXian"/>
        <family val="3"/>
        <charset val="134"/>
        <scheme val="minor"/>
      </rPr>
      <t>成本法</t>
    </r>
    <phoneticPr fontId="16" type="noConversion"/>
  </si>
  <si>
    <r>
      <rPr>
        <sz val="11"/>
        <color indexed="8"/>
        <rFont val="DengXian"/>
        <family val="3"/>
        <charset val="134"/>
        <scheme val="minor"/>
      </rPr>
      <t>是</t>
    </r>
    <phoneticPr fontId="16" type="noConversion"/>
  </si>
  <si>
    <r>
      <rPr>
        <sz val="11"/>
        <color indexed="8"/>
        <rFont val="DengXian"/>
        <family val="3"/>
        <charset val="134"/>
        <scheme val="minor"/>
      </rPr>
      <t>地上</t>
    </r>
    <phoneticPr fontId="16" type="noConversion"/>
  </si>
  <si>
    <r>
      <rPr>
        <sz val="11"/>
        <color indexed="8"/>
        <rFont val="DengXian"/>
        <family val="3"/>
        <charset val="134"/>
        <scheme val="minor"/>
      </rPr>
      <t>住宅</t>
    </r>
    <phoneticPr fontId="16" type="noConversion"/>
  </si>
  <si>
    <r>
      <rPr>
        <sz val="11"/>
        <color indexed="8"/>
        <rFont val="DengXian"/>
        <family val="3"/>
        <charset val="134"/>
        <scheme val="minor"/>
      </rPr>
      <t>经营性</t>
    </r>
    <phoneticPr fontId="16" type="noConversion"/>
  </si>
  <si>
    <r>
      <rPr>
        <sz val="11"/>
        <color indexed="8"/>
        <rFont val="DengXian"/>
        <family val="3"/>
        <charset val="134"/>
        <scheme val="minor"/>
      </rPr>
      <t>好</t>
    </r>
  </si>
  <si>
    <r>
      <rPr>
        <sz val="11"/>
        <color indexed="8"/>
        <rFont val="DengXian"/>
        <family val="3"/>
        <charset val="134"/>
        <scheme val="minor"/>
      </rPr>
      <t>多面临街</t>
    </r>
    <phoneticPr fontId="43" type="noConversion"/>
  </si>
  <si>
    <r>
      <rPr>
        <sz val="11"/>
        <color indexed="8"/>
        <rFont val="DengXian"/>
        <family val="3"/>
        <charset val="134"/>
        <scheme val="minor"/>
      </rPr>
      <t>单位面积地价</t>
    </r>
    <phoneticPr fontId="16" type="noConversion"/>
  </si>
  <si>
    <r>
      <rPr>
        <sz val="11"/>
        <color indexed="8"/>
        <rFont val="DengXian"/>
        <family val="3"/>
        <charset val="134"/>
        <scheme val="minor"/>
      </rPr>
      <t>平层住宅</t>
    </r>
    <phoneticPr fontId="16" type="noConversion"/>
  </si>
  <si>
    <r>
      <rPr>
        <sz val="11"/>
        <color indexed="8"/>
        <rFont val="DengXian"/>
        <family val="3"/>
        <charset val="134"/>
        <scheme val="minor"/>
      </rPr>
      <t>否</t>
    </r>
    <phoneticPr fontId="16" type="noConversion"/>
  </si>
  <si>
    <r>
      <rPr>
        <sz val="11"/>
        <color indexed="8"/>
        <rFont val="DengXian"/>
        <family val="3"/>
        <charset val="134"/>
        <scheme val="minor"/>
      </rPr>
      <t>商业</t>
    </r>
    <phoneticPr fontId="16" type="noConversion"/>
  </si>
  <si>
    <r>
      <rPr>
        <sz val="11"/>
        <color indexed="8"/>
        <rFont val="DengXian"/>
        <family val="3"/>
        <charset val="134"/>
        <scheme val="minor"/>
      </rPr>
      <t>非经营性</t>
    </r>
    <phoneticPr fontId="16" type="noConversion"/>
  </si>
  <si>
    <r>
      <rPr>
        <sz val="11"/>
        <color indexed="8"/>
        <rFont val="DengXian"/>
        <family val="3"/>
        <charset val="134"/>
        <scheme val="minor"/>
      </rPr>
      <t>较好</t>
    </r>
  </si>
  <si>
    <r>
      <rPr>
        <sz val="11"/>
        <color indexed="8"/>
        <rFont val="DengXian"/>
        <family val="3"/>
        <charset val="134"/>
        <scheme val="minor"/>
      </rPr>
      <t>双面临街</t>
    </r>
    <phoneticPr fontId="43" type="noConversion"/>
  </si>
  <si>
    <r>
      <rPr>
        <sz val="11"/>
        <color indexed="8"/>
        <rFont val="DengXian"/>
        <family val="3"/>
        <charset val="134"/>
        <scheme val="minor"/>
      </rPr>
      <t>楼面地价</t>
    </r>
    <phoneticPr fontId="16" type="noConversion"/>
  </si>
  <si>
    <r>
      <t>LOFT</t>
    </r>
    <r>
      <rPr>
        <sz val="11"/>
        <color indexed="8"/>
        <rFont val="DengXian"/>
        <family val="3"/>
        <charset val="134"/>
        <scheme val="minor"/>
      </rPr>
      <t>住宅</t>
    </r>
    <phoneticPr fontId="16" type="noConversion"/>
  </si>
  <si>
    <r>
      <rPr>
        <sz val="11"/>
        <color indexed="8"/>
        <rFont val="DengXian"/>
        <family val="3"/>
        <charset val="134"/>
        <scheme val="minor"/>
      </rPr>
      <t>假设开发法</t>
    </r>
    <phoneticPr fontId="16" type="noConversion"/>
  </si>
  <si>
    <r>
      <rPr>
        <sz val="11"/>
        <color indexed="8"/>
        <rFont val="DengXian"/>
        <family val="3"/>
        <charset val="134"/>
        <scheme val="minor"/>
      </rPr>
      <t>地下</t>
    </r>
    <phoneticPr fontId="16" type="noConversion"/>
  </si>
  <si>
    <r>
      <rPr>
        <sz val="11"/>
        <color indexed="8"/>
        <rFont val="DengXian"/>
        <family val="3"/>
        <charset val="134"/>
        <scheme val="minor"/>
      </rPr>
      <t>办公</t>
    </r>
    <phoneticPr fontId="16" type="noConversion"/>
  </si>
  <si>
    <r>
      <rPr>
        <sz val="11"/>
        <color indexed="8"/>
        <rFont val="DengXian"/>
        <family val="3"/>
        <charset val="134"/>
        <scheme val="minor"/>
      </rPr>
      <t>一般</t>
    </r>
  </si>
  <si>
    <r>
      <rPr>
        <sz val="11"/>
        <color indexed="8"/>
        <rFont val="DengXian"/>
        <family val="3"/>
        <charset val="134"/>
        <scheme val="minor"/>
      </rPr>
      <t>单面临街</t>
    </r>
    <phoneticPr fontId="43" type="noConversion"/>
  </si>
  <si>
    <r>
      <rPr>
        <sz val="11"/>
        <color indexed="8"/>
        <rFont val="DengXian"/>
        <family val="3"/>
        <charset val="134"/>
        <scheme val="minor"/>
      </rPr>
      <t>普通住宅</t>
    </r>
    <phoneticPr fontId="16" type="noConversion"/>
  </si>
  <si>
    <r>
      <rPr>
        <sz val="11"/>
        <color indexed="8"/>
        <rFont val="DengXian"/>
        <family val="3"/>
        <charset val="134"/>
        <scheme val="minor"/>
      </rPr>
      <t>收益法</t>
    </r>
    <phoneticPr fontId="16" type="noConversion"/>
  </si>
  <si>
    <r>
      <rPr>
        <sz val="11"/>
        <color indexed="8"/>
        <rFont val="DengXian"/>
        <family val="3"/>
        <charset val="134"/>
        <scheme val="minor"/>
      </rPr>
      <t>工业</t>
    </r>
    <phoneticPr fontId="16" type="noConversion"/>
  </si>
  <si>
    <r>
      <rPr>
        <sz val="11"/>
        <color indexed="8"/>
        <rFont val="DengXian"/>
        <family val="3"/>
        <charset val="134"/>
        <scheme val="minor"/>
      </rPr>
      <t>车库</t>
    </r>
    <phoneticPr fontId="16" type="noConversion"/>
  </si>
  <si>
    <r>
      <rPr>
        <sz val="11"/>
        <color indexed="8"/>
        <rFont val="DengXian"/>
        <family val="3"/>
        <charset val="134"/>
        <scheme val="minor"/>
      </rPr>
      <t>较差</t>
    </r>
  </si>
  <si>
    <r>
      <rPr>
        <sz val="11"/>
        <color indexed="8"/>
        <rFont val="DengXian"/>
        <family val="3"/>
        <charset val="134"/>
        <scheme val="minor"/>
      </rPr>
      <t>不临街</t>
    </r>
    <phoneticPr fontId="43" type="noConversion"/>
  </si>
  <si>
    <r>
      <rPr>
        <sz val="11"/>
        <color indexed="8"/>
        <rFont val="DengXian"/>
        <family val="3"/>
        <charset val="134"/>
        <scheme val="minor"/>
      </rPr>
      <t>公寓</t>
    </r>
    <phoneticPr fontId="16" type="noConversion"/>
  </si>
  <si>
    <r>
      <rPr>
        <sz val="11"/>
        <color indexed="8"/>
        <rFont val="DengXian"/>
        <family val="3"/>
        <charset val="134"/>
        <scheme val="minor"/>
      </rPr>
      <t>仓储</t>
    </r>
    <phoneticPr fontId="16" type="noConversion"/>
  </si>
  <si>
    <r>
      <rPr>
        <sz val="11"/>
        <color indexed="8"/>
        <rFont val="DengXian"/>
        <family val="3"/>
        <charset val="134"/>
        <scheme val="minor"/>
      </rPr>
      <t>差</t>
    </r>
  </si>
  <si>
    <r>
      <rPr>
        <sz val="11"/>
        <color indexed="8"/>
        <rFont val="DengXian"/>
        <family val="3"/>
        <charset val="134"/>
        <scheme val="minor"/>
      </rPr>
      <t>洋房</t>
    </r>
    <phoneticPr fontId="16" type="noConversion"/>
  </si>
  <si>
    <r>
      <rPr>
        <sz val="11"/>
        <color indexed="8"/>
        <rFont val="DengXian"/>
        <family val="3"/>
        <charset val="134"/>
        <scheme val="minor"/>
      </rPr>
      <t>车库—商业</t>
    </r>
    <phoneticPr fontId="16" type="noConversion"/>
  </si>
  <si>
    <r>
      <rPr>
        <sz val="11"/>
        <color indexed="8"/>
        <rFont val="DengXian"/>
        <family val="3"/>
        <charset val="134"/>
        <scheme val="minor"/>
      </rPr>
      <t>工业</t>
    </r>
    <phoneticPr fontId="16" type="noConversion"/>
  </si>
  <si>
    <r>
      <rPr>
        <sz val="11"/>
        <color indexed="8"/>
        <rFont val="DengXian"/>
        <family val="3"/>
        <charset val="134"/>
        <scheme val="minor"/>
      </rPr>
      <t>叠拼</t>
    </r>
    <phoneticPr fontId="16" type="noConversion"/>
  </si>
  <si>
    <r>
      <rPr>
        <sz val="11"/>
        <color indexed="8"/>
        <rFont val="DengXian"/>
        <family val="3"/>
        <charset val="134"/>
        <scheme val="minor"/>
      </rPr>
      <t>比较法-住宅</t>
    </r>
    <phoneticPr fontId="16" type="noConversion"/>
  </si>
  <si>
    <r>
      <rPr>
        <sz val="11"/>
        <color indexed="8"/>
        <rFont val="DengXian"/>
        <family val="3"/>
        <charset val="134"/>
        <scheme val="minor"/>
      </rPr>
      <t>车库—办公</t>
    </r>
    <phoneticPr fontId="16" type="noConversion"/>
  </si>
  <si>
    <r>
      <rPr>
        <sz val="11"/>
        <color indexed="8"/>
        <rFont val="DengXian"/>
        <family val="3"/>
        <charset val="134"/>
        <scheme val="minor"/>
      </rPr>
      <t>联排</t>
    </r>
    <phoneticPr fontId="16" type="noConversion"/>
  </si>
  <si>
    <r>
      <rPr>
        <sz val="11"/>
        <color indexed="8"/>
        <rFont val="DengXian"/>
        <family val="3"/>
        <charset val="134"/>
        <scheme val="minor"/>
      </rPr>
      <t>比较法-商业</t>
    </r>
    <phoneticPr fontId="16" type="noConversion"/>
  </si>
  <si>
    <r>
      <rPr>
        <sz val="11"/>
        <color indexed="8"/>
        <rFont val="DengXian"/>
        <family val="3"/>
        <charset val="134"/>
        <scheme val="minor"/>
      </rPr>
      <t>仓储</t>
    </r>
    <phoneticPr fontId="16" type="noConversion"/>
  </si>
  <si>
    <r>
      <rPr>
        <sz val="11"/>
        <color indexed="8"/>
        <rFont val="DengXian"/>
        <family val="3"/>
        <charset val="134"/>
        <scheme val="minor"/>
      </rPr>
      <t>双拼</t>
    </r>
    <phoneticPr fontId="16" type="noConversion"/>
  </si>
  <si>
    <r>
      <rPr>
        <sz val="11"/>
        <color indexed="8"/>
        <rFont val="DengXian"/>
        <family val="3"/>
        <charset val="134"/>
        <scheme val="minor"/>
      </rPr>
      <t>比较法-办公</t>
    </r>
    <phoneticPr fontId="16" type="noConversion"/>
  </si>
  <si>
    <r>
      <rPr>
        <sz val="11"/>
        <color indexed="8"/>
        <rFont val="DengXian"/>
        <family val="3"/>
        <charset val="134"/>
        <scheme val="minor"/>
      </rPr>
      <t>独栋</t>
    </r>
    <phoneticPr fontId="16" type="noConversion"/>
  </si>
  <si>
    <r>
      <rPr>
        <sz val="11"/>
        <color indexed="8"/>
        <rFont val="DengXian"/>
        <family val="3"/>
        <charset val="134"/>
        <scheme val="minor"/>
      </rPr>
      <t>比较法-工业</t>
    </r>
    <phoneticPr fontId="16" type="noConversion"/>
  </si>
  <si>
    <r>
      <rPr>
        <sz val="11"/>
        <color indexed="8"/>
        <rFont val="DengXian"/>
        <family val="3"/>
        <charset val="134"/>
        <scheme val="minor"/>
      </rPr>
      <t>底商</t>
    </r>
    <phoneticPr fontId="16" type="noConversion"/>
  </si>
  <si>
    <r>
      <rPr>
        <sz val="11"/>
        <color indexed="8"/>
        <rFont val="DengXian"/>
        <family val="3"/>
        <charset val="134"/>
        <scheme val="minor"/>
      </rPr>
      <t>比较法-车位</t>
    </r>
    <phoneticPr fontId="16" type="noConversion"/>
  </si>
  <si>
    <r>
      <rPr>
        <sz val="11"/>
        <color indexed="8"/>
        <rFont val="DengXian"/>
        <family val="3"/>
        <charset val="134"/>
        <scheme val="minor"/>
      </rPr>
      <t>独立商业</t>
    </r>
    <phoneticPr fontId="16" type="noConversion"/>
  </si>
  <si>
    <r>
      <rPr>
        <sz val="11"/>
        <color indexed="8"/>
        <rFont val="DengXian"/>
        <family val="3"/>
        <charset val="134"/>
        <scheme val="minor"/>
      </rPr>
      <t>比较法-仓储</t>
    </r>
    <phoneticPr fontId="16" type="noConversion"/>
  </si>
  <si>
    <r>
      <rPr>
        <sz val="11"/>
        <color indexed="8"/>
        <rFont val="DengXian"/>
        <family val="3"/>
        <charset val="134"/>
        <scheme val="minor"/>
      </rPr>
      <t>商业街</t>
    </r>
    <phoneticPr fontId="16" type="noConversion"/>
  </si>
  <si>
    <r>
      <rPr>
        <sz val="11"/>
        <color indexed="8"/>
        <rFont val="DengXian"/>
        <family val="3"/>
        <charset val="134"/>
        <scheme val="minor"/>
      </rPr>
      <t>土地比较法-住宅、综合</t>
    </r>
    <phoneticPr fontId="16" type="noConversion"/>
  </si>
  <si>
    <r>
      <rPr>
        <sz val="11"/>
        <color indexed="8"/>
        <rFont val="DengXian"/>
        <family val="3"/>
        <charset val="134"/>
        <scheme val="minor"/>
      </rPr>
      <t>酒店</t>
    </r>
    <phoneticPr fontId="16" type="noConversion"/>
  </si>
  <si>
    <r>
      <rPr>
        <sz val="11"/>
        <color indexed="8"/>
        <rFont val="DengXian"/>
        <family val="3"/>
        <charset val="134"/>
        <scheme val="minor"/>
      </rPr>
      <t>土地比较法-工业</t>
    </r>
    <phoneticPr fontId="16" type="noConversion"/>
  </si>
  <si>
    <r>
      <rPr>
        <sz val="11"/>
        <color indexed="8"/>
        <rFont val="DengXian"/>
        <family val="3"/>
        <charset val="134"/>
        <scheme val="minor"/>
      </rPr>
      <t>标准厂房</t>
    </r>
    <phoneticPr fontId="16" type="noConversion"/>
  </si>
  <si>
    <r>
      <rPr>
        <sz val="11"/>
        <color indexed="8"/>
        <rFont val="DengXian"/>
        <family val="3"/>
        <charset val="134"/>
        <scheme val="minor"/>
      </rPr>
      <t>特殊厂房</t>
    </r>
    <phoneticPr fontId="16" type="noConversion"/>
  </si>
  <si>
    <r>
      <rPr>
        <sz val="11"/>
        <color indexed="8"/>
        <rFont val="DengXian"/>
        <family val="3"/>
        <charset val="134"/>
        <scheme val="minor"/>
      </rPr>
      <t>办公楼</t>
    </r>
    <phoneticPr fontId="16" type="noConversion"/>
  </si>
  <si>
    <r>
      <rPr>
        <sz val="11"/>
        <color indexed="8"/>
        <rFont val="DengXian"/>
        <family val="3"/>
        <charset val="134"/>
        <scheme val="minor"/>
      </rPr>
      <t>宿舍</t>
    </r>
    <phoneticPr fontId="16" type="noConversion"/>
  </si>
  <si>
    <r>
      <rPr>
        <sz val="11"/>
        <color indexed="8"/>
        <rFont val="DengXian"/>
        <family val="3"/>
        <charset val="134"/>
        <scheme val="minor"/>
      </rPr>
      <t>食堂</t>
    </r>
    <phoneticPr fontId="16" type="noConversion"/>
  </si>
  <si>
    <r>
      <rPr>
        <sz val="11"/>
        <color indexed="8"/>
        <rFont val="DengXian"/>
        <family val="3"/>
        <charset val="134"/>
        <scheme val="minor"/>
      </rPr>
      <t>车库</t>
    </r>
    <phoneticPr fontId="16" type="noConversion"/>
  </si>
  <si>
    <r>
      <rPr>
        <sz val="11"/>
        <color indexed="8"/>
        <rFont val="DengXian"/>
        <family val="3"/>
        <charset val="134"/>
        <scheme val="minor"/>
      </rPr>
      <t>戊类库房</t>
    </r>
    <phoneticPr fontId="16" type="noConversion"/>
  </si>
  <si>
    <r>
      <rPr>
        <sz val="11"/>
        <color indexed="8"/>
        <rFont val="DengXian"/>
        <family val="3"/>
        <charset val="134"/>
        <scheme val="minor"/>
      </rPr>
      <t>燃品库房</t>
    </r>
    <phoneticPr fontId="16" type="noConversion"/>
  </si>
  <si>
    <r>
      <rPr>
        <sz val="11"/>
        <color indexed="8"/>
        <rFont val="DengXian"/>
        <family val="3"/>
        <charset val="134"/>
        <scheme val="minor"/>
      </rPr>
      <t>非燃品库房</t>
    </r>
    <phoneticPr fontId="16" type="noConversion"/>
  </si>
  <si>
    <r>
      <rPr>
        <sz val="11"/>
        <color indexed="8"/>
        <rFont val="DengXian"/>
        <family val="3"/>
        <charset val="134"/>
        <scheme val="minor"/>
      </rPr>
      <t>限价商品房</t>
    </r>
    <phoneticPr fontId="40" type="noConversion"/>
  </si>
  <si>
    <r>
      <rPr>
        <sz val="11"/>
        <color indexed="8"/>
        <rFont val="DengXian"/>
        <family val="3"/>
        <charset val="134"/>
        <scheme val="minor"/>
      </rPr>
      <t>自住商品房</t>
    </r>
    <phoneticPr fontId="40" type="noConversion"/>
  </si>
  <si>
    <r>
      <rPr>
        <sz val="10"/>
        <color indexed="8"/>
        <rFont val="宋体"/>
        <family val="3"/>
        <charset val="134"/>
      </rPr>
      <t>权利状况（抵押）</t>
    </r>
    <phoneticPr fontId="83" type="noConversion"/>
  </si>
  <si>
    <r>
      <rPr>
        <sz val="10"/>
        <color indexed="8"/>
        <rFont val="宋体"/>
        <family val="3"/>
        <charset val="134"/>
      </rPr>
      <t>其他资料</t>
    </r>
    <phoneticPr fontId="83"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</si>
  <si>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</si>
  <si>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</si>
  <si>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3" type="noConversion"/>
  </si>
  <si>
    <r>
      <rPr>
        <sz val="10"/>
        <color indexed="8"/>
        <rFont val="宋体"/>
        <family val="3"/>
        <charset val="134"/>
      </rPr>
      <t>权利范围</t>
    </r>
    <phoneticPr fontId="83" type="noConversion"/>
  </si>
  <si>
    <r>
      <rPr>
        <sz val="10"/>
        <color indexed="8"/>
        <rFont val="宋体"/>
        <family val="3"/>
        <charset val="134"/>
      </rPr>
      <t>权利价值</t>
    </r>
    <phoneticPr fontId="83"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</si>
  <si>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</si>
  <si>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</si>
  <si>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</si>
  <si>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</si>
  <si>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</si>
  <si>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</si>
  <si>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</si>
  <si>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</si>
  <si>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</si>
  <si>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</si>
  <si>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</si>
  <si>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</si>
  <si>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</si>
  <si>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</si>
  <si>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</si>
  <si>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</si>
  <si>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</si>
  <si>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</si>
  <si>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</si>
  <si>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</si>
  <si>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</si>
  <si>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</si>
  <si>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</si>
  <si>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</si>
  <si>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</si>
  <si>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</si>
  <si>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</si>
  <si>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</si>
  <si>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</si>
  <si>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</si>
  <si>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</si>
  <si>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</si>
  <si>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</si>
  <si>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</si>
  <si>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</si>
  <si>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</si>
  <si>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</si>
  <si>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</si>
  <si>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</si>
  <si>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</si>
  <si>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</si>
  <si>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</si>
  <si>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</si>
  <si>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</si>
  <si>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</si>
  <si>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</si>
  <si>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</si>
  <si>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</si>
  <si>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</si>
  <si>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</si>
  <si>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</si>
  <si>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</si>
  <si>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</si>
  <si>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</si>
  <si>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</si>
  <si>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</si>
  <si>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</si>
  <si>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</si>
  <si>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</si>
  <si>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</si>
  <si>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</si>
  <si>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</si>
  <si>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</si>
  <si>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</si>
  <si>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</si>
  <si>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</si>
  <si>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</si>
  <si>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</si>
  <si>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</si>
  <si>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</si>
  <si>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</si>
  <si>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</si>
  <si>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</si>
  <si>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</si>
  <si>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</si>
  <si>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</si>
  <si>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</si>
  <si>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</si>
  <si>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</si>
  <si>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</si>
  <si>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</si>
  <si>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</si>
  <si>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</si>
  <si>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</si>
  <si>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</si>
  <si>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</si>
  <si>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</si>
  <si>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</si>
  <si>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</si>
  <si>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</si>
  <si>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</si>
  <si>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</si>
  <si>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</si>
  <si>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</si>
  <si>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</si>
  <si>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</si>
  <si>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</si>
  <si>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</si>
  <si>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</si>
  <si>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</si>
  <si>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</si>
  <si>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</si>
  <si>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</si>
  <si>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</si>
  <si>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</si>
  <si>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</si>
  <si>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</si>
  <si>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</si>
  <si>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</si>
  <si>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</si>
  <si>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</si>
  <si>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</si>
  <si>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</si>
  <si>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</si>
  <si>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</si>
  <si>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</si>
  <si>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</si>
  <si>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</si>
  <si>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</si>
  <si>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</si>
  <si>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</si>
  <si>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</si>
  <si>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</si>
  <si>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</si>
  <si>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</si>
  <si>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</si>
  <si>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</si>
  <si>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</si>
  <si>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</si>
  <si>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</si>
  <si>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</si>
  <si>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</si>
  <si>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</si>
  <si>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</si>
  <si>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</si>
  <si>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</si>
  <si>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</si>
  <si>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</si>
  <si>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</si>
  <si>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</si>
  <si>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</si>
  <si>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</si>
  <si>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</si>
  <si>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</si>
  <si>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</si>
  <si>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</si>
  <si>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</si>
  <si>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</si>
  <si>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</si>
  <si>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</si>
  <si>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</si>
  <si>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</si>
  <si>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</si>
  <si>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</si>
  <si>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</si>
  <si>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</si>
  <si>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</si>
  <si>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</si>
  <si>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</si>
  <si>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</si>
  <si>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</si>
  <si>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</si>
  <si>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</si>
  <si>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</si>
  <si>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</si>
  <si>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</si>
  <si>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</si>
  <si>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</si>
  <si>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</si>
  <si>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</si>
  <si>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</si>
  <si>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</si>
  <si>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</si>
  <si>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</si>
  <si>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</si>
  <si>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</si>
  <si>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</si>
  <si>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</si>
  <si>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</si>
  <si>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</si>
  <si>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</si>
  <si>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</si>
  <si>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</si>
  <si>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</si>
  <si>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</si>
  <si>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</si>
  <si>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</si>
  <si>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</si>
  <si>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</si>
  <si>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</si>
  <si>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</si>
  <si>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</si>
  <si>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</si>
  <si>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</si>
  <si>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</si>
  <si>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</si>
  <si>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4" type="noConversion"/>
  </si>
  <si>
    <r>
      <rPr>
        <sz val="11"/>
        <color indexed="8"/>
        <rFont val="宋体"/>
        <family val="3"/>
        <charset val="134"/>
      </rPr>
      <t>交通便捷度</t>
    </r>
  </si>
  <si>
    <r>
      <rPr>
        <sz val="11"/>
        <color indexed="8"/>
        <rFont val="宋体"/>
        <family val="3"/>
        <charset val="134"/>
      </rPr>
      <t>基础设施水平</t>
    </r>
    <phoneticPr fontId="24"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</si>
  <si>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</si>
  <si>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</si>
  <si>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</si>
  <si>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</si>
  <si>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</si>
  <si>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</si>
  <si>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</si>
  <si>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</si>
  <si>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</si>
  <si>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</si>
  <si>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</si>
  <si>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</si>
  <si>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</si>
  <si>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</si>
  <si>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</si>
  <si>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</si>
  <si>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</si>
  <si>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</si>
  <si>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</si>
  <si>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</si>
  <si>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</si>
  <si>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</si>
  <si>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</si>
  <si>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</si>
  <si>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</si>
  <si>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</si>
  <si>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</si>
  <si>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</si>
  <si>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</si>
  <si>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</si>
  <si>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</si>
  <si>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</si>
  <si>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</si>
  <si>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</si>
  <si>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</si>
  <si>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</si>
  <si>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</si>
  <si>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</si>
  <si>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</si>
  <si>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</si>
  <si>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</si>
  <si>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</si>
  <si>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</si>
  <si>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</si>
  <si>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</si>
  <si>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</si>
  <si>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8" type="noConversion"/>
  </si>
  <si>
    <r>
      <rPr>
        <sz val="11"/>
        <color indexed="8"/>
        <rFont val="宋体"/>
        <family val="3"/>
        <charset val="134"/>
      </rPr>
      <t>土地价值</t>
    </r>
    <phoneticPr fontId="8" type="noConversion"/>
  </si>
  <si>
    <r>
      <rPr>
        <sz val="10"/>
        <color indexed="8"/>
        <rFont val="宋体"/>
        <family val="3"/>
        <charset val="134"/>
      </rPr>
      <t>土地价值</t>
    </r>
    <phoneticPr fontId="88" type="noConversion"/>
  </si>
  <si>
    <r>
      <rPr>
        <sz val="11"/>
        <color indexed="8"/>
        <rFont val="宋体"/>
        <family val="3"/>
        <charset val="134"/>
      </rPr>
      <t>建筑物价值</t>
    </r>
    <phoneticPr fontId="8" type="noConversion"/>
  </si>
  <si>
    <r>
      <rPr>
        <sz val="10"/>
        <color indexed="8"/>
        <rFont val="宋体"/>
        <family val="3"/>
        <charset val="134"/>
      </rPr>
      <t>建筑物价值</t>
    </r>
    <phoneticPr fontId="8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</si>
  <si>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</si>
  <si>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</si>
  <si>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</si>
  <si>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</si>
  <si>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</si>
  <si>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</si>
  <si>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</si>
  <si>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</si>
  <si>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</si>
  <si>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</si>
  <si>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</si>
  <si>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</si>
  <si>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</si>
  <si>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</si>
  <si>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</si>
  <si>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</si>
  <si>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</si>
  <si>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</si>
  <si>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</si>
  <si>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</si>
  <si>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</si>
  <si>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</si>
  <si>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</si>
  <si>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</si>
  <si>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</si>
  <si>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</si>
  <si>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</si>
  <si>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</si>
  <si>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</si>
  <si>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</si>
  <si>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</si>
  <si>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</si>
  <si>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</si>
  <si>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</si>
  <si>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</si>
  <si>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</si>
  <si>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</si>
  <si>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</si>
  <si>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</si>
  <si>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</si>
  <si>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</si>
  <si>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</si>
  <si>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</si>
  <si>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</si>
  <si>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</si>
  <si>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</si>
  <si>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</si>
  <si>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</si>
  <si>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</si>
  <si>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</si>
  <si>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</si>
  <si>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</si>
  <si>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</si>
  <si>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</si>
  <si>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</si>
  <si>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</si>
  <si>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</si>
  <si>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</si>
  <si>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</si>
  <si>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</si>
  <si>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</si>
  <si>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3" type="noConversion"/>
  </si>
  <si>
    <r>
      <rPr>
        <sz val="10"/>
        <color theme="1"/>
        <rFont val="宋体"/>
        <family val="3"/>
        <charset val="134"/>
      </rPr>
      <t>抵押净值单价</t>
    </r>
    <phoneticPr fontId="8" type="noConversion"/>
  </si>
  <si>
    <r>
      <rPr>
        <b/>
        <sz val="10"/>
        <rFont val="宋体"/>
        <family val="3"/>
        <charset val="134"/>
      </rPr>
      <t>项目</t>
    </r>
    <phoneticPr fontId="37" type="noConversion"/>
  </si>
  <si>
    <r>
      <rPr>
        <b/>
        <sz val="10"/>
        <rFont val="宋体"/>
        <family val="3"/>
        <charset val="134"/>
      </rPr>
      <t>系数</t>
    </r>
    <phoneticPr fontId="37" type="noConversion"/>
  </si>
  <si>
    <r>
      <rPr>
        <sz val="10"/>
        <color indexed="8"/>
        <rFont val="宋体"/>
        <family val="3"/>
        <charset val="134"/>
      </rPr>
      <t>备注</t>
    </r>
    <phoneticPr fontId="37" type="noConversion"/>
  </si>
  <si>
    <r>
      <rPr>
        <b/>
        <sz val="10"/>
        <rFont val="宋体"/>
        <family val="3"/>
        <charset val="134"/>
      </rPr>
      <t>销售额</t>
    </r>
    <phoneticPr fontId="33"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</si>
  <si>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</si>
  <si>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</si>
  <si>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7"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</si>
  <si>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</si>
  <si>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</si>
  <si>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3"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</si>
  <si>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</si>
  <si>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7"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</si>
  <si>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</si>
  <si>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</si>
  <si>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7" type="noConversion"/>
  </si>
  <si>
    <r>
      <rPr>
        <sz val="10"/>
        <color rgb="FF000000"/>
        <rFont val="宋体"/>
        <family val="3"/>
        <charset val="134"/>
      </rPr>
      <t>评估费</t>
    </r>
  </si>
  <si>
    <r>
      <rPr>
        <b/>
        <sz val="10"/>
        <rFont val="宋体"/>
        <family val="3"/>
        <charset val="134"/>
      </rPr>
      <t>纳税额</t>
    </r>
    <phoneticPr fontId="33"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</si>
  <si>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</si>
  <si>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</si>
  <si>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7" type="noConversion"/>
  </si>
  <si>
    <r>
      <rPr>
        <b/>
        <sz val="10"/>
        <rFont val="宋体"/>
        <family val="3"/>
        <charset val="134"/>
      </rPr>
      <t>转让收入</t>
    </r>
    <phoneticPr fontId="37" type="noConversion"/>
  </si>
  <si>
    <r>
      <rPr>
        <b/>
        <sz val="10"/>
        <color indexed="8"/>
        <rFont val="宋体"/>
        <family val="3"/>
        <charset val="134"/>
      </rPr>
      <t>扣除项合计</t>
    </r>
    <phoneticPr fontId="37" type="noConversion"/>
  </si>
  <si>
    <r>
      <rPr>
        <sz val="10"/>
        <rFont val="宋体"/>
        <family val="3"/>
        <charset val="134"/>
      </rPr>
      <t>原购房价及相关税费</t>
    </r>
    <phoneticPr fontId="37" type="noConversion"/>
  </si>
  <si>
    <r>
      <rPr>
        <sz val="10"/>
        <rFont val="宋体"/>
        <family val="3"/>
        <charset val="134"/>
      </rPr>
      <t>原购房价</t>
    </r>
    <phoneticPr fontId="37" type="noConversion"/>
  </si>
  <si>
    <r>
      <rPr>
        <sz val="11"/>
        <color indexed="8"/>
        <rFont val="宋体"/>
        <family val="3"/>
        <charset val="134"/>
      </rPr>
      <t>原购房价依据</t>
    </r>
    <phoneticPr fontId="33" type="noConversion"/>
  </si>
  <si>
    <r>
      <rPr>
        <sz val="11"/>
        <color indexed="8"/>
        <rFont val="宋体"/>
        <family val="3"/>
        <charset val="134"/>
      </rPr>
      <t>已购年限</t>
    </r>
    <phoneticPr fontId="33" type="noConversion"/>
  </si>
  <si>
    <r>
      <rPr>
        <sz val="10"/>
        <rFont val="宋体"/>
        <family val="3"/>
        <charset val="134"/>
      </rPr>
      <t>加计扣减项</t>
    </r>
    <phoneticPr fontId="33"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</si>
  <si>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7" type="noConversion"/>
  </si>
  <si>
    <r>
      <rPr>
        <sz val="10"/>
        <rFont val="宋体"/>
        <family val="3"/>
        <charset val="134"/>
      </rPr>
      <t>相关税费</t>
    </r>
    <phoneticPr fontId="37" type="noConversion"/>
  </si>
  <si>
    <r>
      <rPr>
        <sz val="10"/>
        <color indexed="8"/>
        <rFont val="宋体"/>
        <family val="3"/>
        <charset val="134"/>
      </rPr>
      <t>含契税及印花税</t>
    </r>
    <phoneticPr fontId="37" type="noConversion"/>
  </si>
  <si>
    <r>
      <rPr>
        <sz val="10"/>
        <rFont val="宋体"/>
        <family val="3"/>
        <charset val="134"/>
      </rPr>
      <t>转让税金支出</t>
    </r>
    <phoneticPr fontId="37" type="noConversion"/>
  </si>
  <si>
    <r>
      <rPr>
        <sz val="10"/>
        <color indexed="8"/>
        <rFont val="宋体"/>
        <family val="3"/>
        <charset val="134"/>
      </rPr>
      <t>不含增值税，仅附加税</t>
    </r>
    <phoneticPr fontId="33" type="noConversion"/>
  </si>
  <si>
    <r>
      <rPr>
        <b/>
        <sz val="10"/>
        <rFont val="宋体"/>
        <family val="3"/>
        <charset val="134"/>
      </rPr>
      <t>增值额</t>
    </r>
    <phoneticPr fontId="37" type="noConversion"/>
  </si>
  <si>
    <r>
      <rPr>
        <b/>
        <sz val="10"/>
        <rFont val="宋体"/>
        <family val="3"/>
        <charset val="134"/>
      </rPr>
      <t>增值额与扣除项比率</t>
    </r>
    <phoneticPr fontId="37" type="noConversion"/>
  </si>
  <si>
    <r>
      <rPr>
        <b/>
        <sz val="10"/>
        <rFont val="宋体"/>
        <family val="3"/>
        <charset val="134"/>
      </rPr>
      <t>应纳增值税税额</t>
    </r>
    <phoneticPr fontId="37" type="noConversion"/>
  </si>
  <si>
    <r>
      <rPr>
        <b/>
        <sz val="10"/>
        <rFont val="宋体"/>
        <family val="3"/>
        <charset val="134"/>
      </rPr>
      <t>土地增值税（自行开发建设）</t>
    </r>
    <phoneticPr fontId="37" type="noConversion"/>
  </si>
  <si>
    <r>
      <rPr>
        <sz val="10"/>
        <rFont val="宋体"/>
        <family val="3"/>
        <charset val="134"/>
      </rPr>
      <t>土地取得成本</t>
    </r>
    <phoneticPr fontId="37" type="noConversion"/>
  </si>
  <si>
    <r>
      <rPr>
        <sz val="10"/>
        <rFont val="宋体"/>
        <family val="3"/>
        <charset val="134"/>
      </rPr>
      <t>土地取得费用</t>
    </r>
    <phoneticPr fontId="37" type="noConversion"/>
  </si>
  <si>
    <r>
      <rPr>
        <sz val="10"/>
        <color indexed="8"/>
        <rFont val="宋体"/>
        <family val="3"/>
        <charset val="134"/>
      </rPr>
      <t>依据出让合同</t>
    </r>
    <phoneticPr fontId="33" type="noConversion"/>
  </si>
  <si>
    <r>
      <rPr>
        <sz val="9"/>
        <color indexed="8"/>
        <rFont val="宋体"/>
        <family val="3"/>
        <charset val="134"/>
      </rPr>
      <t>出让价款内涵：</t>
    </r>
    <phoneticPr fontId="33" type="noConversion"/>
  </si>
  <si>
    <r>
      <rPr>
        <sz val="10"/>
        <color indexed="8"/>
        <rFont val="宋体"/>
        <family val="3"/>
        <charset val="134"/>
      </rPr>
      <t>契税及印花税</t>
    </r>
    <phoneticPr fontId="33" type="noConversion"/>
  </si>
  <si>
    <r>
      <rPr>
        <sz val="10"/>
        <rFont val="宋体"/>
        <family val="3"/>
        <charset val="134"/>
      </rPr>
      <t>土地开发费</t>
    </r>
    <phoneticPr fontId="37" type="noConversion"/>
  </si>
  <si>
    <r>
      <rPr>
        <sz val="10"/>
        <color indexed="8"/>
        <rFont val="宋体"/>
        <family val="3"/>
        <charset val="134"/>
      </rPr>
      <t>（</t>
    </r>
    <r>
      <rPr>
        <sz val="10"/>
        <color indexed="8"/>
        <rFont val="Arial"/>
        <family val="2"/>
      </rPr>
      <t>3</t>
    </r>
    <r>
      <rPr>
        <sz val="10"/>
        <color indexed="8"/>
        <rFont val="宋体"/>
        <family val="3"/>
        <charset val="134"/>
      </rPr>
      <t>）</t>
    </r>
    <phoneticPr fontId="37" type="noConversion"/>
  </si>
  <si>
    <r>
      <rPr>
        <sz val="10"/>
        <rFont val="宋体"/>
        <family val="3"/>
        <charset val="134"/>
      </rPr>
      <t>建造成本</t>
    </r>
    <phoneticPr fontId="37" type="noConversion"/>
  </si>
  <si>
    <r>
      <rPr>
        <sz val="10"/>
        <color indexed="8"/>
        <rFont val="宋体"/>
        <family val="3"/>
        <charset val="134"/>
      </rPr>
      <t>包括前期工程费、建筑安装工程费、基础设施费和公共配套费等</t>
    </r>
    <phoneticPr fontId="33" type="noConversion"/>
  </si>
  <si>
    <r>
      <rPr>
        <sz val="10"/>
        <color indexed="8"/>
        <rFont val="宋体"/>
        <family val="3"/>
        <charset val="134"/>
      </rPr>
      <t>（</t>
    </r>
    <r>
      <rPr>
        <sz val="10"/>
        <color indexed="8"/>
        <rFont val="Arial"/>
        <family val="2"/>
      </rPr>
      <t>4</t>
    </r>
    <r>
      <rPr>
        <sz val="10"/>
        <color indexed="8"/>
        <rFont val="宋体"/>
        <family val="3"/>
        <charset val="134"/>
      </rPr>
      <t>）</t>
    </r>
    <phoneticPr fontId="37" type="noConversion"/>
  </si>
  <si>
    <r>
      <rPr>
        <sz val="10"/>
        <rFont val="宋体"/>
        <family val="3"/>
        <charset val="134"/>
      </rPr>
      <t>开发费用扣除</t>
    </r>
    <phoneticPr fontId="37"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</si>
  <si>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3" type="noConversion"/>
  </si>
  <si>
    <r>
      <rPr>
        <sz val="10"/>
        <color indexed="8"/>
        <rFont val="宋体"/>
        <family val="3"/>
        <charset val="134"/>
      </rPr>
      <t>（</t>
    </r>
    <r>
      <rPr>
        <sz val="10"/>
        <color indexed="8"/>
        <rFont val="Arial"/>
        <family val="2"/>
      </rPr>
      <t>5</t>
    </r>
    <r>
      <rPr>
        <sz val="10"/>
        <color indexed="8"/>
        <rFont val="宋体"/>
        <family val="3"/>
        <charset val="134"/>
      </rPr>
      <t>）</t>
    </r>
    <phoneticPr fontId="37" type="noConversion"/>
  </si>
  <si>
    <r>
      <rPr>
        <sz val="10"/>
        <color indexed="8"/>
        <rFont val="宋体"/>
        <family val="3"/>
        <charset val="134"/>
      </rPr>
      <t>（</t>
    </r>
    <r>
      <rPr>
        <sz val="10"/>
        <color indexed="8"/>
        <rFont val="Arial"/>
        <family val="2"/>
      </rPr>
      <t>6</t>
    </r>
    <r>
      <rPr>
        <sz val="10"/>
        <color indexed="8"/>
        <rFont val="宋体"/>
        <family val="3"/>
        <charset val="134"/>
      </rPr>
      <t>）</t>
    </r>
    <phoneticPr fontId="37" type="noConversion"/>
  </si>
  <si>
    <r>
      <rPr>
        <sz val="10"/>
        <rFont val="宋体"/>
        <family val="3"/>
        <charset val="134"/>
      </rPr>
      <t>加计扣除金额</t>
    </r>
    <phoneticPr fontId="37"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</si>
  <si>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3"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</si>
  <si>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</si>
  <si>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</si>
  <si>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</si>
  <si>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</si>
  <si>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</si>
  <si>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</si>
  <si>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</si>
  <si>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</si>
  <si>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</si>
  <si>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</si>
  <si>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</si>
  <si>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</si>
  <si>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</si>
  <si>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</si>
  <si>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</si>
  <si>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</si>
  <si>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</si>
  <si>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</si>
  <si>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</si>
  <si>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</si>
  <si>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</si>
  <si>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</si>
  <si>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</si>
  <si>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</si>
  <si>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</si>
  <si>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</si>
  <si>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2"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</si>
  <si>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</si>
  <si>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</si>
  <si>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</si>
  <si>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</si>
  <si>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</si>
  <si>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</si>
  <si>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</si>
  <si>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</si>
  <si>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</si>
  <si>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</si>
  <si>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</si>
  <si>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</si>
  <si>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</si>
  <si>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</si>
  <si>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</si>
  <si>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</si>
  <si>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</si>
  <si>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</si>
  <si>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</si>
  <si>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</si>
  <si>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</si>
  <si>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</si>
  <si>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</si>
  <si>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</si>
  <si>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</si>
  <si>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34"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</si>
  <si>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</si>
  <si>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</si>
  <si>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</si>
  <si>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</si>
  <si>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</si>
  <si>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</si>
  <si>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</si>
  <si>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</si>
  <si>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</si>
  <si>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</si>
  <si>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</si>
  <si>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</si>
  <si>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</si>
  <si>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</si>
  <si>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</si>
  <si>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</si>
  <si>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</si>
  <si>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</si>
  <si>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</si>
  <si>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</si>
  <si>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</si>
  <si>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</si>
  <si>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</si>
  <si>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</si>
  <si>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</si>
  <si>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</si>
  <si>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</si>
  <si>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</si>
  <si>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</si>
  <si>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</si>
  <si>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</si>
  <si>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</si>
  <si>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</si>
  <si>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</si>
  <si>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</si>
  <si>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</si>
  <si>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</si>
  <si>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</si>
  <si>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</si>
  <si>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</si>
  <si>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</si>
  <si>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</si>
  <si>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</si>
  <si>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</si>
  <si>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</si>
  <si>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</si>
  <si>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</si>
  <si>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</si>
  <si>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</si>
  <si>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</si>
  <si>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</si>
  <si>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</si>
  <si>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</si>
  <si>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</si>
  <si>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</si>
  <si>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</si>
  <si>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</si>
  <si>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</si>
  <si>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</si>
  <si>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</si>
  <si>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</si>
  <si>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</si>
  <si>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</si>
  <si>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</si>
  <si>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</si>
  <si>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</si>
  <si>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</si>
  <si>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</si>
  <si>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</si>
  <si>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</si>
  <si>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</si>
  <si>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</si>
  <si>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</si>
  <si>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</si>
  <si>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</si>
  <si>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</si>
  <si>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</si>
  <si>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</si>
  <si>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</si>
  <si>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</si>
  <si>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</si>
  <si>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</si>
  <si>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</si>
  <si>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34"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</si>
  <si>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</si>
  <si>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</si>
  <si>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</si>
  <si>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</si>
  <si>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</si>
  <si>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</si>
  <si>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</si>
  <si>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</si>
  <si>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</si>
  <si>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</si>
  <si>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</si>
  <si>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</si>
  <si>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</si>
  <si>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</si>
  <si>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</si>
  <si>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</si>
  <si>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</si>
  <si>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</si>
  <si>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</si>
  <si>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</si>
  <si>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</si>
  <si>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</si>
  <si>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</si>
  <si>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</si>
  <si>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</si>
  <si>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</si>
  <si>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</si>
  <si>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</si>
  <si>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</si>
  <si>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</si>
  <si>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</si>
  <si>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</si>
  <si>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</si>
  <si>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</si>
  <si>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</si>
  <si>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</si>
  <si>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</si>
  <si>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</si>
  <si>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</si>
  <si>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</si>
  <si>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</si>
  <si>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</si>
  <si>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</si>
  <si>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</si>
  <si>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</si>
  <si>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</si>
  <si>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</si>
  <si>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</si>
  <si>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</si>
  <si>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</si>
  <si>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</si>
  <si>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</si>
  <si>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</si>
  <si>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</si>
  <si>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</si>
  <si>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</si>
  <si>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</si>
  <si>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</si>
  <si>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</si>
  <si>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</si>
  <si>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</si>
  <si>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</si>
  <si>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</si>
  <si>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</si>
  <si>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</si>
  <si>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</si>
  <si>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</si>
  <si>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</si>
  <si>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</si>
  <si>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</si>
  <si>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</si>
  <si>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</si>
  <si>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</si>
  <si>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</si>
  <si>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</si>
  <si>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</si>
  <si>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</si>
  <si>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</si>
  <si>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</si>
  <si>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</si>
  <si>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</si>
  <si>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</si>
  <si>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</si>
  <si>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</si>
  <si>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</si>
  <si>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</si>
  <si>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</si>
  <si>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</si>
  <si>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34" type="noConversion"/>
  </si>
  <si>
    <r>
      <rPr>
        <b/>
        <sz val="11"/>
        <color theme="1"/>
        <rFont val="宋体"/>
        <family val="3"/>
        <charset val="134"/>
      </rPr>
      <t>本次评估所采用的收益法</t>
    </r>
    <phoneticPr fontId="134" type="noConversion"/>
  </si>
  <si>
    <r>
      <rPr>
        <b/>
        <sz val="11"/>
        <color theme="1"/>
        <rFont val="宋体"/>
        <family val="3"/>
        <charset val="134"/>
      </rPr>
      <t>估价结果</t>
    </r>
    <phoneticPr fontId="134" type="noConversion"/>
  </si>
  <si>
    <r>
      <rPr>
        <b/>
        <sz val="11"/>
        <color theme="1"/>
        <rFont val="宋体"/>
        <family val="3"/>
        <charset val="134"/>
      </rPr>
      <t>建筑面积</t>
    </r>
    <phoneticPr fontId="134" type="noConversion"/>
  </si>
  <si>
    <r>
      <rPr>
        <sz val="11"/>
        <color theme="1"/>
        <rFont val="宋体"/>
        <family val="3"/>
        <charset val="134"/>
      </rPr>
      <t>是否参与计算</t>
    </r>
    <phoneticPr fontId="134"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</si>
  <si>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</si>
  <si>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</si>
  <si>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</si>
  <si>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</si>
  <si>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</si>
  <si>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</si>
  <si>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</si>
  <si>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万元</t>
    </r>
    <phoneticPr fontId="18"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</si>
  <si>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</si>
  <si>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</si>
  <si>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</si>
  <si>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</si>
  <si>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</si>
  <si>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</si>
  <si>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</si>
  <si>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</si>
  <si>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</si>
  <si>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</si>
  <si>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</si>
  <si>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</si>
  <si>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</si>
  <si>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</si>
  <si>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</si>
  <si>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</si>
  <si>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</si>
  <si>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</si>
  <si>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</si>
  <si>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</si>
  <si>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</si>
  <si>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</si>
  <si>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</si>
  <si>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</si>
  <si>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</si>
  <si>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</si>
  <si>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</si>
  <si>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4"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</si>
  <si>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</si>
  <si>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</si>
  <si>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</si>
  <si>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</si>
  <si>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</si>
  <si>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</si>
  <si>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</si>
  <si>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</si>
  <si>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</si>
  <si>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</si>
  <si>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4"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</si>
  <si>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</si>
  <si>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</si>
  <si>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</si>
  <si>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</si>
  <si>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</si>
  <si>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</si>
  <si>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</si>
  <si>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</si>
  <si>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</si>
  <si>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</si>
  <si>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</si>
  <si>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</si>
  <si>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4" type="noConversion"/>
  </si>
  <si>
    <r>
      <rPr>
        <b/>
        <sz val="11"/>
        <color indexed="8"/>
        <rFont val="宋体"/>
        <family val="3"/>
        <charset val="134"/>
      </rPr>
      <t>交易情况</t>
    </r>
    <phoneticPr fontId="3" type="noConversion"/>
  </si>
  <si>
    <r>
      <rPr>
        <sz val="11"/>
        <color indexed="8"/>
        <rFont val="宋体"/>
        <family val="3"/>
        <charset val="134"/>
      </rPr>
      <t>正常</t>
    </r>
    <phoneticPr fontId="24" type="noConversion"/>
  </si>
  <si>
    <r>
      <rPr>
        <b/>
        <sz val="11"/>
        <rFont val="宋体"/>
        <family val="3"/>
        <charset val="134"/>
      </rPr>
      <t>权益状况</t>
    </r>
    <phoneticPr fontId="3"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</si>
  <si>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</si>
  <si>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</si>
  <si>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</si>
  <si>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</si>
  <si>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</si>
  <si>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</si>
  <si>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</si>
  <si>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</si>
  <si>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4" type="noConversion"/>
  </si>
  <si>
    <r>
      <rPr>
        <sz val="11"/>
        <rFont val="宋体"/>
        <family val="3"/>
        <charset val="134"/>
      </rPr>
      <t>六通</t>
    </r>
    <phoneticPr fontId="24" type="noConversion"/>
  </si>
  <si>
    <r>
      <rPr>
        <sz val="11"/>
        <rFont val="宋体"/>
        <family val="3"/>
        <charset val="134"/>
      </rPr>
      <t>五通</t>
    </r>
    <phoneticPr fontId="24" type="noConversion"/>
  </si>
  <si>
    <r>
      <rPr>
        <sz val="11"/>
        <rFont val="宋体"/>
        <family val="3"/>
        <charset val="134"/>
      </rPr>
      <t>四通</t>
    </r>
    <phoneticPr fontId="24" type="noConversion"/>
  </si>
  <si>
    <r>
      <rPr>
        <sz val="11"/>
        <rFont val="宋体"/>
        <family val="3"/>
        <charset val="134"/>
      </rPr>
      <t>三通</t>
    </r>
    <phoneticPr fontId="24"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</si>
  <si>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</si>
  <si>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</si>
  <si>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</si>
  <si>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</si>
  <si>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</si>
  <si>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</si>
  <si>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</si>
  <si>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</si>
  <si>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</si>
  <si>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</si>
  <si>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</si>
  <si>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</si>
  <si>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</si>
  <si>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</si>
  <si>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</si>
  <si>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</si>
  <si>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</si>
  <si>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</si>
  <si>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</si>
  <si>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</si>
  <si>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</si>
  <si>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</si>
  <si>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</si>
  <si>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</si>
  <si>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</si>
  <si>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</si>
  <si>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</si>
  <si>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</si>
  <si>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</si>
  <si>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</si>
  <si>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</si>
  <si>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</si>
  <si>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</si>
  <si>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</si>
  <si>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</si>
  <si>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</si>
  <si>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</si>
  <si>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</si>
  <si>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</si>
  <si>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</si>
  <si>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</si>
  <si>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</si>
  <si>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</si>
  <si>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4" type="noConversion"/>
  </si>
  <si>
    <r>
      <rPr>
        <sz val="11"/>
        <color indexed="8"/>
        <rFont val="宋体"/>
        <family val="3"/>
        <charset val="134"/>
      </rPr>
      <t>商业繁华度</t>
    </r>
    <phoneticPr fontId="30" type="noConversion"/>
  </si>
  <si>
    <r>
      <rPr>
        <sz val="11"/>
        <color indexed="8"/>
        <rFont val="宋体"/>
        <family val="3"/>
        <charset val="134"/>
      </rPr>
      <t>公共配套设施</t>
    </r>
    <phoneticPr fontId="30" type="noConversion"/>
  </si>
  <si>
    <r>
      <rPr>
        <sz val="11"/>
        <color indexed="8"/>
        <rFont val="宋体"/>
        <family val="3"/>
        <charset val="134"/>
      </rPr>
      <t>基础设施水平</t>
    </r>
    <phoneticPr fontId="30" type="noConversion"/>
  </si>
  <si>
    <r>
      <rPr>
        <sz val="11"/>
        <color indexed="8"/>
        <rFont val="宋体"/>
        <family val="3"/>
        <charset val="134"/>
      </rPr>
      <t>临街状况</t>
    </r>
    <phoneticPr fontId="30"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</si>
  <si>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0" type="noConversion"/>
  </si>
  <si>
    <r>
      <rPr>
        <sz val="11"/>
        <color indexed="8"/>
        <rFont val="宋体"/>
        <family val="3"/>
        <charset val="134"/>
      </rPr>
      <t>人流量</t>
    </r>
    <phoneticPr fontId="30" type="noConversion"/>
  </si>
  <si>
    <r>
      <rPr>
        <sz val="11"/>
        <color indexed="8"/>
        <rFont val="宋体"/>
        <family val="3"/>
        <charset val="134"/>
      </rPr>
      <t>楼层</t>
    </r>
    <phoneticPr fontId="30" type="noConversion"/>
  </si>
  <si>
    <r>
      <rPr>
        <sz val="11"/>
        <color indexed="8"/>
        <rFont val="宋体"/>
        <family val="3"/>
        <charset val="134"/>
      </rPr>
      <t>商业类型</t>
    </r>
    <phoneticPr fontId="30" type="noConversion"/>
  </si>
  <si>
    <r>
      <rPr>
        <sz val="11"/>
        <color indexed="8"/>
        <rFont val="宋体"/>
        <family val="3"/>
        <charset val="134"/>
      </rPr>
      <t>公共部分装修</t>
    </r>
    <phoneticPr fontId="30" type="noConversion"/>
  </si>
  <si>
    <r>
      <rPr>
        <sz val="11"/>
        <color indexed="8"/>
        <rFont val="宋体"/>
        <family val="3"/>
        <charset val="134"/>
      </rPr>
      <t>成新度</t>
    </r>
    <phoneticPr fontId="30" type="noConversion"/>
  </si>
  <si>
    <r>
      <rPr>
        <sz val="11"/>
        <color indexed="8"/>
        <rFont val="宋体"/>
        <family val="3"/>
        <charset val="134"/>
      </rPr>
      <t>市政基础设施</t>
    </r>
    <phoneticPr fontId="30" type="noConversion"/>
  </si>
  <si>
    <r>
      <rPr>
        <sz val="11"/>
        <color indexed="8"/>
        <rFont val="宋体"/>
        <family val="3"/>
        <charset val="134"/>
      </rPr>
      <t>业态</t>
    </r>
    <phoneticPr fontId="30" type="noConversion"/>
  </si>
  <si>
    <r>
      <rPr>
        <sz val="11"/>
        <color indexed="8"/>
        <rFont val="宋体"/>
        <family val="3"/>
        <charset val="134"/>
      </rPr>
      <t>层高</t>
    </r>
    <phoneticPr fontId="30" type="noConversion"/>
  </si>
  <si>
    <r>
      <rPr>
        <sz val="11"/>
        <color indexed="8"/>
        <rFont val="宋体"/>
        <family val="3"/>
        <charset val="134"/>
      </rPr>
      <t>单套建筑面积</t>
    </r>
    <phoneticPr fontId="30" type="noConversion"/>
  </si>
  <si>
    <r>
      <rPr>
        <sz val="11"/>
        <rFont val="宋体"/>
        <family val="3"/>
        <charset val="134"/>
      </rPr>
      <t>进深比</t>
    </r>
    <phoneticPr fontId="3" type="noConversion"/>
  </si>
  <si>
    <r>
      <rPr>
        <sz val="11"/>
        <color indexed="8"/>
        <rFont val="宋体"/>
        <family val="3"/>
        <charset val="134"/>
      </rPr>
      <t>内部装修</t>
    </r>
    <phoneticPr fontId="30"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</si>
  <si>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</si>
  <si>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</si>
  <si>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</si>
  <si>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</si>
  <si>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</si>
  <si>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</si>
  <si>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0" type="noConversion"/>
  </si>
  <si>
    <r>
      <rPr>
        <sz val="11"/>
        <rFont val="宋体"/>
        <family val="3"/>
        <charset val="134"/>
      </rPr>
      <t>六通</t>
    </r>
    <phoneticPr fontId="30" type="noConversion"/>
  </si>
  <si>
    <r>
      <rPr>
        <sz val="11"/>
        <rFont val="宋体"/>
        <family val="3"/>
        <charset val="134"/>
      </rPr>
      <t>五通</t>
    </r>
    <phoneticPr fontId="30" type="noConversion"/>
  </si>
  <si>
    <r>
      <rPr>
        <sz val="11"/>
        <rFont val="宋体"/>
        <family val="3"/>
        <charset val="134"/>
      </rPr>
      <t>四通</t>
    </r>
    <phoneticPr fontId="30" type="noConversion"/>
  </si>
  <si>
    <r>
      <rPr>
        <sz val="11"/>
        <rFont val="宋体"/>
        <family val="3"/>
        <charset val="134"/>
      </rPr>
      <t>三通</t>
    </r>
    <phoneticPr fontId="30"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</si>
  <si>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</si>
  <si>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</si>
  <si>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</si>
  <si>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</si>
  <si>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</si>
  <si>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</si>
  <si>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0" type="noConversion"/>
  </si>
  <si>
    <r>
      <rPr>
        <sz val="11"/>
        <color indexed="8"/>
        <rFont val="宋体"/>
        <family val="3"/>
        <charset val="134"/>
      </rPr>
      <t>办公集聚程度</t>
    </r>
    <phoneticPr fontId="30"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</si>
  <si>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</si>
  <si>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</si>
  <si>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环境质量</t>
    </r>
    <phoneticPr fontId="31" type="noConversion"/>
  </si>
  <si>
    <r>
      <rPr>
        <sz val="11"/>
        <color indexed="8"/>
        <rFont val="宋体"/>
        <family val="3"/>
        <charset val="134"/>
      </rPr>
      <t>毗邻道路的类型与等级</t>
    </r>
    <phoneticPr fontId="30" type="noConversion"/>
  </si>
  <si>
    <r>
      <rPr>
        <sz val="11"/>
        <color indexed="8"/>
        <rFont val="宋体"/>
        <family val="3"/>
        <charset val="134"/>
      </rPr>
      <t>朝向</t>
    </r>
    <phoneticPr fontId="30" type="noConversion"/>
  </si>
  <si>
    <r>
      <rPr>
        <sz val="11"/>
        <color indexed="8"/>
        <rFont val="宋体"/>
        <family val="3"/>
        <charset val="134"/>
      </rPr>
      <t>建筑类型</t>
    </r>
    <phoneticPr fontId="30" type="noConversion"/>
  </si>
  <si>
    <r>
      <rPr>
        <sz val="11"/>
        <color indexed="8"/>
        <rFont val="宋体"/>
        <family val="3"/>
        <charset val="134"/>
      </rPr>
      <t>写字楼等级</t>
    </r>
    <phoneticPr fontId="30" type="noConversion"/>
  </si>
  <si>
    <r>
      <rPr>
        <sz val="11"/>
        <color indexed="8"/>
        <rFont val="宋体"/>
        <family val="3"/>
        <charset val="134"/>
      </rPr>
      <t>物业管理</t>
    </r>
    <phoneticPr fontId="30"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</si>
  <si>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</si>
  <si>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</si>
  <si>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</si>
  <si>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</si>
  <si>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</si>
  <si>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</si>
  <si>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</si>
  <si>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0" type="noConversion"/>
  </si>
  <si>
    <r>
      <rPr>
        <sz val="11"/>
        <color indexed="8"/>
        <rFont val="宋体"/>
        <family val="3"/>
        <charset val="134"/>
      </rPr>
      <t>内部装修状况</t>
    </r>
    <phoneticPr fontId="30"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</si>
  <si>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</si>
  <si>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</si>
  <si>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</si>
  <si>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4" type="noConversion"/>
  </si>
  <si>
    <r>
      <rPr>
        <sz val="11"/>
        <color indexed="8"/>
        <rFont val="宋体"/>
        <family val="3"/>
        <charset val="134"/>
      </rPr>
      <t>交通便捷度</t>
    </r>
    <phoneticPr fontId="30" type="noConversion"/>
  </si>
  <si>
    <r>
      <rPr>
        <sz val="11"/>
        <color indexed="8"/>
        <rFont val="宋体"/>
        <family val="3"/>
        <charset val="134"/>
      </rPr>
      <t>自然及人文环境</t>
    </r>
    <phoneticPr fontId="31" type="noConversion"/>
  </si>
  <si>
    <r>
      <rPr>
        <sz val="11"/>
        <color indexed="8"/>
        <rFont val="宋体"/>
        <family val="3"/>
        <charset val="134"/>
      </rPr>
      <t>楼层</t>
    </r>
    <phoneticPr fontId="31" type="noConversion"/>
  </si>
  <si>
    <r>
      <rPr>
        <sz val="11"/>
        <color indexed="8"/>
        <rFont val="宋体"/>
        <family val="3"/>
        <charset val="134"/>
      </rPr>
      <t>配套类型</t>
    </r>
    <phoneticPr fontId="30" type="noConversion"/>
  </si>
  <si>
    <r>
      <rPr>
        <sz val="11"/>
        <color indexed="8"/>
        <rFont val="宋体"/>
        <family val="3"/>
        <charset val="134"/>
      </rPr>
      <t>项目停车位配比</t>
    </r>
    <phoneticPr fontId="31" type="noConversion"/>
  </si>
  <si>
    <r>
      <rPr>
        <sz val="11"/>
        <color indexed="8"/>
        <rFont val="宋体"/>
        <family val="3"/>
        <charset val="134"/>
      </rPr>
      <t>公共部分装修</t>
    </r>
    <phoneticPr fontId="31" type="noConversion"/>
  </si>
  <si>
    <r>
      <rPr>
        <sz val="11"/>
        <color indexed="8"/>
        <rFont val="宋体"/>
        <family val="3"/>
        <charset val="134"/>
      </rPr>
      <t>成新率</t>
    </r>
    <phoneticPr fontId="30" type="noConversion"/>
  </si>
  <si>
    <r>
      <rPr>
        <sz val="11"/>
        <color indexed="8"/>
        <rFont val="宋体"/>
        <family val="3"/>
        <charset val="134"/>
      </rPr>
      <t>物业等级</t>
    </r>
    <phoneticPr fontId="30" type="noConversion"/>
  </si>
  <si>
    <r>
      <rPr>
        <sz val="11"/>
        <color indexed="8"/>
        <rFont val="宋体"/>
        <family val="3"/>
        <charset val="134"/>
      </rPr>
      <t>停车位面积</t>
    </r>
    <phoneticPr fontId="30" type="noConversion"/>
  </si>
  <si>
    <r>
      <rPr>
        <sz val="11"/>
        <color indexed="8"/>
        <rFont val="宋体"/>
        <family val="3"/>
        <charset val="134"/>
      </rPr>
      <t>车位类型</t>
    </r>
    <phoneticPr fontId="30" type="noConversion"/>
  </si>
  <si>
    <r>
      <rPr>
        <sz val="11"/>
        <color indexed="8"/>
        <rFont val="宋体"/>
        <family val="3"/>
        <charset val="134"/>
      </rPr>
      <t>是否直接入户</t>
    </r>
    <phoneticPr fontId="30" type="noConversion"/>
  </si>
  <si>
    <r>
      <rPr>
        <b/>
        <sz val="11"/>
        <rFont val="宋体"/>
        <family val="3"/>
        <charset val="134"/>
      </rPr>
      <t>成交单价</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</si>
  <si>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</si>
  <si>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</si>
  <si>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</si>
  <si>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</si>
  <si>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</si>
  <si>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</si>
  <si>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</si>
  <si>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</si>
  <si>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</si>
  <si>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</si>
  <si>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</si>
  <si>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1"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</si>
  <si>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</si>
  <si>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</si>
  <si>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</si>
  <si>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0" type="noConversion"/>
  </si>
  <si>
    <r>
      <rPr>
        <sz val="11"/>
        <color indexed="8"/>
        <rFont val="宋体"/>
        <family val="3"/>
        <charset val="134"/>
      </rPr>
      <t>建筑面积</t>
    </r>
    <phoneticPr fontId="30" type="noConversion"/>
  </si>
  <si>
    <r>
      <rPr>
        <sz val="11"/>
        <color indexed="8"/>
        <rFont val="宋体"/>
        <family val="3"/>
        <charset val="134"/>
      </rPr>
      <t>是否封闭</t>
    </r>
    <phoneticPr fontId="30"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</si>
  <si>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</si>
  <si>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</si>
  <si>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1"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</si>
  <si>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</si>
  <si>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</si>
  <si>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0" type="noConversion"/>
  </si>
  <si>
    <r>
      <rPr>
        <b/>
        <sz val="12"/>
        <rFont val="宋体"/>
        <family val="3"/>
        <charset val="134"/>
      </rPr>
      <t>建筑面积</t>
    </r>
    <phoneticPr fontId="18" type="noConversion"/>
  </si>
  <si>
    <r>
      <rPr>
        <sz val="11"/>
        <color indexed="8"/>
        <rFont val="宋体"/>
        <family val="3"/>
        <charset val="134"/>
      </rPr>
      <t>配建</t>
    </r>
    <phoneticPr fontId="30" type="noConversion"/>
  </si>
  <si>
    <r>
      <rPr>
        <sz val="11"/>
        <color indexed="8"/>
        <rFont val="宋体"/>
        <family val="3"/>
        <charset val="134"/>
      </rPr>
      <t>区域土地利用方向</t>
    </r>
    <phoneticPr fontId="30" type="noConversion"/>
  </si>
  <si>
    <r>
      <rPr>
        <sz val="11"/>
        <color indexed="8"/>
        <rFont val="宋体"/>
        <family val="3"/>
        <charset val="134"/>
      </rPr>
      <t>自然及人文环境状况</t>
    </r>
    <phoneticPr fontId="30" type="noConversion"/>
  </si>
  <si>
    <r>
      <rPr>
        <sz val="11"/>
        <color indexed="8"/>
        <rFont val="宋体"/>
        <family val="3"/>
        <charset val="134"/>
      </rPr>
      <t>土地级别</t>
    </r>
    <phoneticPr fontId="30" type="noConversion"/>
  </si>
  <si>
    <r>
      <rPr>
        <sz val="11"/>
        <color indexed="8"/>
        <rFont val="宋体"/>
        <family val="3"/>
        <charset val="134"/>
      </rPr>
      <t>宗地面积</t>
    </r>
    <phoneticPr fontId="30" type="noConversion"/>
  </si>
  <si>
    <r>
      <rPr>
        <sz val="11"/>
        <color indexed="8"/>
        <rFont val="宋体"/>
        <family val="3"/>
        <charset val="134"/>
      </rPr>
      <t>宗地形状</t>
    </r>
    <phoneticPr fontId="30" type="noConversion"/>
  </si>
  <si>
    <r>
      <rPr>
        <sz val="11"/>
        <color indexed="8"/>
        <rFont val="宋体"/>
        <family val="3"/>
        <charset val="134"/>
      </rPr>
      <t>临街宽度及深度</t>
    </r>
    <phoneticPr fontId="30" type="noConversion"/>
  </si>
  <si>
    <r>
      <rPr>
        <sz val="11"/>
        <color indexed="8"/>
        <rFont val="宋体"/>
        <family val="3"/>
        <charset val="134"/>
      </rPr>
      <t>宗地开发程度</t>
    </r>
    <phoneticPr fontId="30" type="noConversion"/>
  </si>
  <si>
    <r>
      <rPr>
        <sz val="11"/>
        <color indexed="8"/>
        <rFont val="宋体"/>
        <family val="3"/>
        <charset val="134"/>
      </rPr>
      <t>工程地质条件</t>
    </r>
    <phoneticPr fontId="30"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</si>
  <si>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</si>
  <si>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</si>
  <si>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0" type="noConversion"/>
  </si>
  <si>
    <r>
      <rPr>
        <sz val="11"/>
        <rFont val="宋体"/>
        <family val="3"/>
        <charset val="134"/>
      </rPr>
      <t>修正单价</t>
    </r>
    <phoneticPr fontId="30"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</si>
  <si>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</si>
  <si>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</si>
  <si>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0" type="noConversion"/>
  </si>
  <si>
    <r>
      <rPr>
        <sz val="11"/>
        <rFont val="宋体"/>
        <family val="3"/>
        <charset val="134"/>
      </rPr>
      <t>总价</t>
    </r>
    <phoneticPr fontId="30" type="noConversion"/>
  </si>
  <si>
    <r>
      <rPr>
        <sz val="11"/>
        <rFont val="宋体"/>
        <family val="3"/>
        <charset val="134"/>
      </rPr>
      <t>对应的地上用途及土地级别（北京市）</t>
    </r>
    <phoneticPr fontId="30" type="noConversion"/>
  </si>
  <si>
    <r>
      <rPr>
        <sz val="11"/>
        <color theme="1"/>
        <rFont val="宋体"/>
        <family val="3"/>
        <charset val="134"/>
      </rPr>
      <t>北京市</t>
    </r>
    <phoneticPr fontId="30" type="noConversion"/>
  </si>
  <si>
    <r>
      <rPr>
        <sz val="11"/>
        <color rgb="FFFF0000"/>
        <rFont val="宋体"/>
        <family val="3"/>
        <charset val="134"/>
      </rPr>
      <t>外省市地下修正系数请自行录入</t>
    </r>
    <phoneticPr fontId="30"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</si>
  <si>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</si>
  <si>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</si>
  <si>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0"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</si>
  <si>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</si>
  <si>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</si>
  <si>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</si>
  <si>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0"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</si>
  <si>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</si>
  <si>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</si>
  <si>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</si>
  <si>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</si>
  <si>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</si>
  <si>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</si>
  <si>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</si>
  <si>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</si>
  <si>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</si>
  <si>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</si>
  <si>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</si>
  <si>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</si>
  <si>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0" type="noConversion"/>
  </si>
  <si>
    <r>
      <rPr>
        <sz val="11"/>
        <rFont val="宋体"/>
        <family val="3"/>
        <charset val="134"/>
      </rPr>
      <t>双面临街</t>
    </r>
    <phoneticPr fontId="30" type="noConversion"/>
  </si>
  <si>
    <r>
      <rPr>
        <sz val="11"/>
        <rFont val="宋体"/>
        <family val="3"/>
        <charset val="134"/>
      </rPr>
      <t>单面临街</t>
    </r>
    <phoneticPr fontId="30" type="noConversion"/>
  </si>
  <si>
    <r>
      <rPr>
        <sz val="11"/>
        <rFont val="宋体"/>
        <family val="3"/>
        <charset val="134"/>
      </rPr>
      <t>不临街</t>
    </r>
    <phoneticPr fontId="30"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</si>
  <si>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</si>
  <si>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</si>
  <si>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</si>
  <si>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</si>
  <si>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</si>
  <si>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0" type="noConversion"/>
  </si>
  <si>
    <r>
      <rPr>
        <sz val="11"/>
        <rFont val="宋体"/>
        <family val="3"/>
        <charset val="134"/>
      </rPr>
      <t>项目位置</t>
    </r>
    <phoneticPr fontId="3" type="noConversion"/>
  </si>
  <si>
    <r>
      <rPr>
        <sz val="11"/>
        <color indexed="8"/>
        <rFont val="宋体"/>
        <family val="3"/>
        <charset val="134"/>
      </rPr>
      <t>产业集聚程度</t>
    </r>
    <phoneticPr fontId="32" type="noConversion"/>
  </si>
  <si>
    <r>
      <rPr>
        <sz val="11"/>
        <color indexed="8"/>
        <rFont val="宋体"/>
        <family val="3"/>
        <charset val="134"/>
      </rPr>
      <t>环境状况</t>
    </r>
    <phoneticPr fontId="30" type="noConversion"/>
  </si>
  <si>
    <r>
      <rPr>
        <b/>
        <sz val="11"/>
        <rFont val="宋体"/>
        <family val="3"/>
        <charset val="134"/>
      </rPr>
      <t>单价内涵</t>
    </r>
  </si>
  <si>
    <r>
      <rPr>
        <sz val="11"/>
        <rFont val="宋体"/>
        <family val="3"/>
        <charset val="134"/>
      </rPr>
      <t>北京市</t>
    </r>
    <phoneticPr fontId="30" type="noConversion"/>
  </si>
  <si>
    <r>
      <rPr>
        <b/>
        <sz val="11"/>
        <color indexed="8"/>
        <rFont val="宋体"/>
        <family val="3"/>
        <charset val="134"/>
      </rPr>
      <t>工业</t>
    </r>
    <phoneticPr fontId="32" type="noConversion"/>
  </si>
  <si>
    <r>
      <rPr>
        <sz val="11"/>
        <color indexed="8"/>
        <rFont val="宋体"/>
        <family val="3"/>
        <charset val="134"/>
      </rPr>
      <t>基础设施水平</t>
    </r>
    <phoneticPr fontId="32" type="noConversion"/>
  </si>
  <si>
    <r>
      <rPr>
        <b/>
        <sz val="16"/>
        <color indexed="10"/>
        <rFont val="宋体"/>
        <family val="3"/>
        <charset val="134"/>
      </rPr>
      <t>基准地价系数修正法</t>
    </r>
    <phoneticPr fontId="3" type="noConversion"/>
  </si>
  <si>
    <r>
      <rPr>
        <b/>
        <sz val="12"/>
        <rFont val="宋体"/>
        <family val="3"/>
        <charset val="134"/>
      </rPr>
      <t>建筑面积</t>
    </r>
    <phoneticPr fontId="76"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</si>
  <si>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</si>
  <si>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</si>
  <si>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</si>
  <si>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</si>
  <si>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</si>
  <si>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</si>
  <si>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</si>
  <si>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</si>
  <si>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</si>
  <si>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</si>
  <si>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</si>
  <si>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</si>
  <si>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</si>
  <si>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</si>
  <si>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</si>
  <si>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</si>
  <si>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</si>
  <si>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</si>
  <si>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</si>
  <si>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</si>
  <si>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</si>
  <si>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6" type="noConversion"/>
  </si>
  <si>
    <r>
      <rPr>
        <b/>
        <sz val="10"/>
        <rFont val="宋体"/>
        <family val="3"/>
        <charset val="134"/>
      </rPr>
      <t>适用的楼面熟地价</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</si>
  <si>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</si>
  <si>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</si>
  <si>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</si>
  <si>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</si>
  <si>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</si>
  <si>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</si>
  <si>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</si>
  <si>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</si>
  <si>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</si>
  <si>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</si>
  <si>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</si>
  <si>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</si>
  <si>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</si>
  <si>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</si>
  <si>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</si>
  <si>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</si>
  <si>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</si>
  <si>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</si>
  <si>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</si>
  <si>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</si>
  <si>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</si>
  <si>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</si>
  <si>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</si>
  <si>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</si>
  <si>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</si>
  <si>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</si>
  <si>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</si>
  <si>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</si>
  <si>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</si>
  <si>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</si>
  <si>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</si>
  <si>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</si>
  <si>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</si>
  <si>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</si>
  <si>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</si>
  <si>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</si>
  <si>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</si>
  <si>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轨道交通站点周边</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</si>
  <si>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</si>
  <si>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</si>
  <si>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</si>
  <si>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</si>
  <si>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</si>
  <si>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</si>
  <si>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</si>
  <si>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</si>
  <si>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</si>
  <si>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</si>
  <si>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</si>
  <si>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</si>
  <si>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</si>
  <si>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</si>
  <si>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</si>
  <si>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6" type="noConversion"/>
  </si>
  <si>
    <r>
      <rPr>
        <sz val="10"/>
        <rFont val="宋体"/>
        <family val="3"/>
        <charset val="134"/>
      </rPr>
      <t>相差季度数</t>
    </r>
    <phoneticPr fontId="76"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</si>
  <si>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</si>
  <si>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</si>
  <si>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</si>
  <si>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6"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</si>
  <si>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</si>
  <si>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</si>
  <si>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</si>
  <si>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</si>
  <si>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6" type="noConversion"/>
  </si>
  <si>
    <r>
      <rPr>
        <sz val="11"/>
        <rFont val="宋体"/>
        <family val="3"/>
        <charset val="134"/>
      </rPr>
      <t>容积率修正系数</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</si>
  <si>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</si>
  <si>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6"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</si>
  <si>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</si>
  <si>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</si>
  <si>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</si>
  <si>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</si>
  <si>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</si>
  <si>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</si>
  <si>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6" type="noConversion"/>
  </si>
  <si>
    <r>
      <rPr>
        <sz val="11"/>
        <rFont val="宋体"/>
        <family val="3"/>
        <charset val="134"/>
      </rPr>
      <t>政府土地出让收益</t>
    </r>
    <phoneticPr fontId="76"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</si>
  <si>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</si>
  <si>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</si>
  <si>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</si>
  <si>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</si>
  <si>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</si>
  <si>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</si>
  <si>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</si>
  <si>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</si>
  <si>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6"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</si>
  <si>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</si>
  <si>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</si>
  <si>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</si>
  <si>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</si>
  <si>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6" type="noConversion"/>
  </si>
  <si>
    <r>
      <rPr>
        <sz val="10"/>
        <color theme="1"/>
        <rFont val="宋体"/>
        <family val="3"/>
        <charset val="134"/>
      </rPr>
      <t>地下仓储</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</si>
  <si>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</si>
  <si>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</si>
  <si>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</si>
  <si>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</si>
  <si>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</si>
  <si>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</si>
  <si>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</si>
  <si>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</si>
  <si>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6" type="noConversion"/>
  </si>
  <si>
    <r>
      <rPr>
        <sz val="10"/>
        <color rgb="FFFF0000"/>
        <rFont val="宋体"/>
        <family val="3"/>
        <charset val="134"/>
      </rPr>
      <t>各因素幅度控制</t>
    </r>
    <r>
      <rPr>
        <sz val="10"/>
        <color rgb="FFFF0000"/>
        <rFont val="Arial"/>
        <family val="2"/>
      </rPr>
      <t>(±)</t>
    </r>
    <phoneticPr fontId="76"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</si>
  <si>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</si>
  <si>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</si>
  <si>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</si>
  <si>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</si>
  <si>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6"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</si>
  <si>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</si>
  <si>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</si>
  <si>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6"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</si>
  <si>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</si>
  <si>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</si>
  <si>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</si>
  <si>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</si>
  <si>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6"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</si>
  <si>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</si>
  <si>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</si>
  <si>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</si>
  <si>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</si>
  <si>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</si>
  <si>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</si>
  <si>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</si>
  <si>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</si>
  <si>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</si>
  <si>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</si>
  <si>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</si>
  <si>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</si>
  <si>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</si>
  <si>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</si>
  <si>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</si>
  <si>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</si>
  <si>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</si>
  <si>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</si>
  <si>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</si>
  <si>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</si>
  <si>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</si>
  <si>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</si>
  <si>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</si>
  <si>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</si>
  <si>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</si>
  <si>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</si>
  <si>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</si>
  <si>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</si>
  <si>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</si>
  <si>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</si>
  <si>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</si>
  <si>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4" type="noConversion"/>
  </si>
  <si>
    <r>
      <rPr>
        <b/>
        <sz val="12"/>
        <color indexed="8"/>
        <rFont val="宋体"/>
        <family val="3"/>
        <charset val="134"/>
      </rPr>
      <t>总价</t>
    </r>
    <phoneticPr fontId="24" type="noConversion"/>
  </si>
  <si>
    <r>
      <rPr>
        <sz val="10"/>
        <color indexed="8"/>
        <rFont val="宋体"/>
        <family val="3"/>
        <charset val="134"/>
      </rPr>
      <t>万元</t>
    </r>
    <phoneticPr fontId="24" type="noConversion"/>
  </si>
  <si>
    <r>
      <rPr>
        <b/>
        <sz val="12"/>
        <color indexed="8"/>
        <rFont val="宋体"/>
        <family val="3"/>
        <charset val="134"/>
      </rPr>
      <t>楼面单价</t>
    </r>
    <phoneticPr fontId="24" type="noConversion"/>
  </si>
  <si>
    <r>
      <rPr>
        <b/>
        <sz val="10"/>
        <color indexed="8"/>
        <rFont val="宋体"/>
        <family val="3"/>
        <charset val="134"/>
      </rPr>
      <t>合计</t>
    </r>
    <phoneticPr fontId="24"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</si>
  <si>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4" type="noConversion"/>
  </si>
  <si>
    <r>
      <rPr>
        <sz val="10"/>
        <color indexed="8"/>
        <rFont val="宋体"/>
        <family val="3"/>
        <charset val="134"/>
      </rPr>
      <t>建筑面积</t>
    </r>
    <phoneticPr fontId="24" type="noConversion"/>
  </si>
  <si>
    <r>
      <rPr>
        <sz val="10"/>
        <color indexed="8"/>
        <rFont val="宋体"/>
        <family val="3"/>
        <charset val="134"/>
      </rPr>
      <t>修正系数</t>
    </r>
    <phoneticPr fontId="24" type="noConversion"/>
  </si>
  <si>
    <r>
      <rPr>
        <sz val="10"/>
        <color indexed="8"/>
        <rFont val="宋体"/>
        <family val="3"/>
        <charset val="134"/>
      </rPr>
      <t>修正单价</t>
    </r>
    <phoneticPr fontId="24" type="noConversion"/>
  </si>
  <si>
    <r>
      <rPr>
        <sz val="10"/>
        <color indexed="8"/>
        <rFont val="宋体"/>
        <family val="3"/>
        <charset val="134"/>
      </rPr>
      <t>总价</t>
    </r>
    <phoneticPr fontId="24" type="noConversion"/>
  </si>
  <si>
    <r>
      <rPr>
        <b/>
        <sz val="10"/>
        <color indexed="10"/>
        <rFont val="宋体"/>
        <family val="3"/>
        <charset val="134"/>
      </rPr>
      <t>基准户型</t>
    </r>
    <phoneticPr fontId="24"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</si>
  <si>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</si>
  <si>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</si>
  <si>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</si>
  <si>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</si>
  <si>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</si>
  <si>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</si>
  <si>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</si>
  <si>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</si>
  <si>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3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</si>
  <si>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</si>
  <si>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</si>
  <si>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</si>
  <si>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</si>
  <si>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</si>
  <si>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</si>
  <si>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</si>
  <si>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</si>
  <si>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</si>
  <si>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</si>
  <si>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</si>
  <si>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</si>
  <si>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</si>
  <si>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</si>
  <si>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</si>
  <si>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</si>
  <si>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</si>
  <si>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</si>
  <si>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</si>
  <si>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</si>
  <si>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</si>
  <si>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</si>
  <si>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</si>
  <si>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</si>
  <si>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</si>
  <si>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</si>
  <si>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</si>
  <si>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</si>
  <si>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</si>
  <si>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</si>
  <si>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</si>
  <si>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</si>
  <si>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</si>
  <si>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</si>
  <si>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</si>
  <si>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</si>
  <si>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</si>
  <si>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</si>
  <si>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</si>
  <si>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</si>
  <si>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</si>
  <si>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</si>
  <si>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</si>
  <si>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</si>
  <si>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</si>
  <si>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</si>
  <si>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</si>
  <si>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</si>
  <si>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</si>
  <si>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</si>
  <si>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</si>
  <si>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</si>
  <si>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</si>
  <si>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</si>
  <si>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</si>
  <si>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3" type="noConversion"/>
  </si>
  <si>
    <r>
      <rPr>
        <sz val="10"/>
        <color indexed="8"/>
        <rFont val="宋体"/>
        <family val="3"/>
        <charset val="134"/>
      </rPr>
      <t>价值时点</t>
    </r>
    <phoneticPr fontId="83" type="noConversion"/>
  </si>
  <si>
    <r>
      <rPr>
        <sz val="10"/>
        <color indexed="8"/>
        <rFont val="宋体"/>
        <family val="3"/>
        <charset val="134"/>
      </rPr>
      <t>签字估价师</t>
    </r>
    <phoneticPr fontId="83" type="noConversion"/>
  </si>
  <si>
    <r>
      <rPr>
        <sz val="10"/>
        <color indexed="8"/>
        <rFont val="宋体"/>
        <family val="3"/>
        <charset val="134"/>
      </rPr>
      <t>估价委托人</t>
    </r>
    <r>
      <rPr>
        <sz val="10"/>
        <color indexed="8"/>
        <rFont val="Arial"/>
        <family val="2"/>
      </rPr>
      <t xml:space="preserve">  </t>
    </r>
    <phoneticPr fontId="81"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</si>
  <si>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1" type="noConversion"/>
  </si>
  <si>
    <r>
      <rPr>
        <sz val="10"/>
        <color indexed="8"/>
        <rFont val="宋体"/>
        <family val="3"/>
        <charset val="134"/>
      </rPr>
      <t>借款方</t>
    </r>
    <phoneticPr fontId="6" type="noConversion"/>
  </si>
  <si>
    <r>
      <rPr>
        <sz val="10"/>
        <color indexed="8"/>
        <rFont val="宋体"/>
        <family val="3"/>
        <charset val="134"/>
      </rPr>
      <t>估价目的</t>
    </r>
    <phoneticPr fontId="81" type="noConversion"/>
  </si>
  <si>
    <r>
      <rPr>
        <sz val="10"/>
        <color indexed="8"/>
        <rFont val="宋体"/>
        <family val="3"/>
        <charset val="134"/>
      </rPr>
      <t>抵押结果包含：</t>
    </r>
    <phoneticPr fontId="83" type="noConversion"/>
  </si>
  <si>
    <r>
      <rPr>
        <sz val="10"/>
        <color indexed="8"/>
        <rFont val="宋体"/>
        <family val="3"/>
        <charset val="134"/>
      </rPr>
      <t>价值类型</t>
    </r>
    <phoneticPr fontId="81" type="noConversion"/>
  </si>
  <si>
    <r>
      <rPr>
        <sz val="10"/>
        <color indexed="8"/>
        <rFont val="宋体"/>
        <family val="3"/>
        <charset val="134"/>
      </rPr>
      <t>项目所在城市</t>
    </r>
    <phoneticPr fontId="6" type="noConversion"/>
  </si>
  <si>
    <r>
      <rPr>
        <sz val="10"/>
        <color indexed="8"/>
        <rFont val="宋体"/>
        <family val="3"/>
        <charset val="134"/>
      </rPr>
      <t>坐落</t>
    </r>
    <phoneticPr fontId="81" type="noConversion"/>
  </si>
  <si>
    <r>
      <rPr>
        <sz val="10"/>
        <color indexed="8"/>
        <rFont val="宋体"/>
        <family val="3"/>
        <charset val="134"/>
      </rPr>
      <t>不动产权利人</t>
    </r>
    <phoneticPr fontId="6" type="noConversion"/>
  </si>
  <si>
    <r>
      <rPr>
        <sz val="10"/>
        <color indexed="8"/>
        <rFont val="宋体"/>
        <family val="3"/>
        <charset val="134"/>
      </rPr>
      <t>土地性质</t>
    </r>
    <phoneticPr fontId="81"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</si>
  <si>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</si>
  <si>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</si>
  <si>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</si>
  <si>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</si>
  <si>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</si>
  <si>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</si>
  <si>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</si>
  <si>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</si>
  <si>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</si>
  <si>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</si>
  <si>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1" type="noConversion"/>
  </si>
  <si>
    <r>
      <rPr>
        <sz val="10"/>
        <color indexed="8"/>
        <rFont val="宋体"/>
        <family val="3"/>
        <charset val="134"/>
      </rPr>
      <t>剩余土地年限</t>
    </r>
    <phoneticPr fontId="6" type="noConversion"/>
  </si>
  <si>
    <r>
      <rPr>
        <sz val="10"/>
        <color indexed="8"/>
        <rFont val="宋体"/>
        <family val="3"/>
        <charset val="134"/>
      </rPr>
      <t>面积指标</t>
    </r>
    <phoneticPr fontId="81" type="noConversion"/>
  </si>
  <si>
    <r>
      <rPr>
        <sz val="10"/>
        <color indexed="8"/>
        <rFont val="宋体"/>
        <family val="3"/>
        <charset val="134"/>
      </rPr>
      <t>建筑面积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</si>
  <si>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</si>
  <si>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</si>
  <si>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</si>
  <si>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</si>
  <si>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</si>
  <si>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</si>
  <si>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3" type="noConversion"/>
  </si>
  <si>
    <r>
      <rPr>
        <sz val="10"/>
        <color indexed="8"/>
        <rFont val="宋体"/>
        <family val="3"/>
        <charset val="134"/>
      </rPr>
      <t>权属证件是否登记权利价值</t>
    </r>
    <phoneticPr fontId="83" type="noConversion"/>
  </si>
  <si>
    <r>
      <rPr>
        <sz val="10"/>
        <color indexed="8"/>
        <rFont val="宋体"/>
        <family val="3"/>
        <charset val="134"/>
      </rPr>
      <t>依据</t>
    </r>
    <phoneticPr fontId="83" type="noConversion"/>
  </si>
  <si>
    <r>
      <rPr>
        <sz val="10"/>
        <color indexed="8"/>
        <rFont val="宋体"/>
        <family val="3"/>
        <charset val="134"/>
      </rPr>
      <t>权属文件</t>
    </r>
    <phoneticPr fontId="83" type="noConversion"/>
  </si>
  <si>
    <r>
      <rPr>
        <sz val="10"/>
        <color indexed="8"/>
        <rFont val="宋体"/>
        <family val="3"/>
        <charset val="134"/>
      </rPr>
      <t>他项权证</t>
    </r>
    <phoneticPr fontId="83" type="noConversion"/>
  </si>
  <si>
    <r>
      <rPr>
        <sz val="10"/>
        <color indexed="8"/>
        <rFont val="宋体"/>
        <family val="3"/>
        <charset val="134"/>
      </rPr>
      <t>抵押情况描述</t>
    </r>
    <phoneticPr fontId="83" type="noConversion"/>
  </si>
  <si>
    <r>
      <rPr>
        <sz val="10"/>
        <color indexed="8"/>
        <rFont val="宋体"/>
        <family val="3"/>
        <charset val="134"/>
      </rPr>
      <t>《房屋所有权证》</t>
    </r>
  </si>
  <si>
    <r>
      <rPr>
        <sz val="10"/>
        <color theme="9" tint="-0.249977111117893"/>
        <rFont val="宋体"/>
        <family val="3"/>
        <charset val="134"/>
      </rPr>
      <t>《房屋他项权利证书》</t>
    </r>
    <phoneticPr fontId="83" type="noConversion"/>
  </si>
  <si>
    <r>
      <rPr>
        <sz val="10"/>
        <color indexed="8"/>
        <rFont val="宋体"/>
        <family val="3"/>
        <charset val="134"/>
      </rPr>
      <t>《国有土地使用权》</t>
    </r>
  </si>
  <si>
    <r>
      <rPr>
        <sz val="10"/>
        <color indexed="8"/>
        <rFont val="宋体"/>
        <family val="3"/>
        <charset val="134"/>
      </rPr>
      <t>抵押信息</t>
    </r>
    <phoneticPr fontId="83" type="noConversion"/>
  </si>
  <si>
    <r>
      <rPr>
        <sz val="10"/>
        <color indexed="8"/>
        <rFont val="宋体"/>
        <family val="3"/>
        <charset val="134"/>
      </rPr>
      <t>设定日期</t>
    </r>
    <phoneticPr fontId="83"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</si>
  <si>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</si>
  <si>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</si>
  <si>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</si>
  <si>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</si>
  <si>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</si>
  <si>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</si>
  <si>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</si>
  <si>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88" type="noConversion"/>
  </si>
  <si>
    <r>
      <rPr>
        <sz val="10"/>
        <color indexed="8"/>
        <rFont val="宋体"/>
        <family val="3"/>
        <charset val="134"/>
      </rPr>
      <t>二通</t>
    </r>
    <phoneticPr fontId="88" type="noConversion"/>
  </si>
  <si>
    <r>
      <rPr>
        <sz val="10"/>
        <color indexed="8"/>
        <rFont val="宋体"/>
        <family val="3"/>
        <charset val="134"/>
      </rPr>
      <t>三通</t>
    </r>
    <phoneticPr fontId="88" type="noConversion"/>
  </si>
  <si>
    <r>
      <rPr>
        <sz val="10"/>
        <color indexed="8"/>
        <rFont val="宋体"/>
        <family val="3"/>
        <charset val="134"/>
      </rPr>
      <t>四通</t>
    </r>
    <phoneticPr fontId="88" type="noConversion"/>
  </si>
  <si>
    <r>
      <rPr>
        <sz val="10"/>
        <color indexed="8"/>
        <rFont val="宋体"/>
        <family val="3"/>
        <charset val="134"/>
      </rPr>
      <t>五通</t>
    </r>
    <phoneticPr fontId="88" type="noConversion"/>
  </si>
  <si>
    <r>
      <rPr>
        <sz val="10"/>
        <color indexed="8"/>
        <rFont val="宋体"/>
        <family val="3"/>
        <charset val="134"/>
      </rPr>
      <t>六通</t>
    </r>
    <phoneticPr fontId="88" type="noConversion"/>
  </si>
  <si>
    <r>
      <rPr>
        <sz val="10"/>
        <color indexed="8"/>
        <rFont val="宋体"/>
        <family val="3"/>
        <charset val="134"/>
      </rPr>
      <t>七通</t>
    </r>
    <phoneticPr fontId="88" type="noConversion"/>
  </si>
  <si>
    <r>
      <rPr>
        <sz val="10"/>
        <color indexed="8"/>
        <rFont val="宋体"/>
        <family val="3"/>
        <charset val="134"/>
      </rPr>
      <t>估价对象</t>
    </r>
    <phoneticPr fontId="88"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</si>
  <si>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</si>
  <si>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</si>
  <si>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</si>
  <si>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</si>
  <si>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</si>
  <si>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</si>
  <si>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</si>
  <si>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</si>
  <si>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</si>
  <si>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</si>
  <si>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</si>
  <si>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</si>
  <si>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</si>
  <si>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</si>
  <si>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</si>
  <si>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</si>
  <si>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</si>
  <si>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</si>
  <si>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</si>
  <si>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</si>
  <si>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</si>
  <si>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</si>
  <si>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</si>
  <si>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</si>
  <si>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</si>
  <si>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8" type="noConversion"/>
  </si>
  <si>
    <r>
      <rPr>
        <sz val="10"/>
        <color indexed="8"/>
        <rFont val="宋体"/>
        <family val="3"/>
        <charset val="134"/>
      </rPr>
      <t>交通便捷度</t>
    </r>
    <phoneticPr fontId="28" type="noConversion"/>
  </si>
  <si>
    <r>
      <rPr>
        <sz val="10"/>
        <color theme="9" tint="-0.249977111117893"/>
        <rFont val="宋体"/>
        <family val="3"/>
        <charset val="134"/>
      </rPr>
      <t>估价对象周边道路状况、公共交通通达情况、停车便捷程度，综合评价交通便捷度较好</t>
    </r>
    <phoneticPr fontId="40" type="noConversion"/>
  </si>
  <si>
    <r>
      <rPr>
        <sz val="10"/>
        <color indexed="8"/>
        <rFont val="宋体"/>
        <family val="3"/>
        <charset val="134"/>
      </rPr>
      <t>办公集聚程度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</si>
  <si>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4" type="noConversion"/>
  </si>
  <si>
    <r>
      <rPr>
        <sz val="10"/>
        <color indexed="8"/>
        <rFont val="宋体"/>
        <family val="3"/>
        <charset val="134"/>
      </rPr>
      <t>公共配套设施</t>
    </r>
    <phoneticPr fontId="24" type="noConversion"/>
  </si>
  <si>
    <r>
      <rPr>
        <sz val="10"/>
        <color theme="9" tint="-0.249977111117893"/>
        <rFont val="宋体"/>
        <family val="3"/>
        <charset val="134"/>
      </rPr>
      <t>估价对象所在区域公共配套设施齐备情况</t>
    </r>
    <phoneticPr fontId="40" type="noConversion"/>
  </si>
  <si>
    <r>
      <rPr>
        <sz val="10"/>
        <color indexed="8"/>
        <rFont val="宋体"/>
        <family val="3"/>
        <charset val="134"/>
      </rPr>
      <t>交通便捷度</t>
    </r>
  </si>
  <si>
    <r>
      <rPr>
        <sz val="10"/>
        <color indexed="8"/>
        <rFont val="宋体"/>
        <family val="3"/>
        <charset val="134"/>
      </rPr>
      <t>基础设施水平</t>
    </r>
    <phoneticPr fontId="24" type="noConversion"/>
  </si>
  <si>
    <r>
      <rPr>
        <sz val="10"/>
        <color theme="9" tint="-0.249977111117893"/>
        <rFont val="宋体"/>
        <family val="3"/>
        <charset val="134"/>
      </rPr>
      <t>估价对象所在区域基础设施水平</t>
    </r>
    <phoneticPr fontId="24" type="noConversion"/>
  </si>
  <si>
    <r>
      <rPr>
        <sz val="10"/>
        <color indexed="8"/>
        <rFont val="宋体"/>
        <family val="3"/>
        <charset val="134"/>
      </rPr>
      <t>环境状况</t>
    </r>
    <phoneticPr fontId="28" type="noConversion"/>
  </si>
  <si>
    <r>
      <rPr>
        <sz val="10"/>
        <color theme="9" tint="-0.249977111117893"/>
        <rFont val="宋体"/>
        <family val="3"/>
        <charset val="134"/>
      </rPr>
      <t>该园区内是否有污染型企业，绿化情况，卫生条件，整体环境状况判断</t>
    </r>
    <phoneticPr fontId="40" type="noConversion"/>
  </si>
  <si>
    <r>
      <rPr>
        <sz val="10"/>
        <color indexed="8"/>
        <rFont val="宋体"/>
        <family val="3"/>
        <charset val="134"/>
      </rPr>
      <t>自然及人文环境</t>
    </r>
  </si>
  <si>
    <r>
      <rPr>
        <sz val="10"/>
        <color indexed="8"/>
        <rFont val="宋体"/>
        <family val="3"/>
        <charset val="134"/>
      </rPr>
      <t>毗邻道路的类型与等级</t>
    </r>
    <phoneticPr fontId="28" type="noConversion"/>
  </si>
  <si>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</si>
  <si>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</si>
  <si>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8" type="noConversion"/>
  </si>
  <si>
    <r>
      <rPr>
        <b/>
        <sz val="10"/>
        <color indexed="8"/>
        <rFont val="宋体"/>
        <family val="3"/>
        <charset val="134"/>
      </rPr>
      <t>区位状况</t>
    </r>
    <phoneticPr fontId="24" type="noConversion"/>
  </si>
  <si>
    <r>
      <rPr>
        <sz val="10"/>
        <color indexed="8"/>
        <rFont val="宋体"/>
        <family val="3"/>
        <charset val="134"/>
      </rPr>
      <t>产业集聚程度</t>
    </r>
    <phoneticPr fontId="28" type="noConversion"/>
  </si>
  <si>
    <r>
      <rPr>
        <sz val="10"/>
        <color indexed="8"/>
        <rFont val="宋体"/>
        <family val="3"/>
        <charset val="134"/>
      </rPr>
      <t>区域土地利用方向</t>
    </r>
    <phoneticPr fontId="28"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</si>
  <si>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</si>
  <si>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</si>
  <si>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</si>
  <si>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8" type="noConversion"/>
  </si>
  <si>
    <r>
      <rPr>
        <sz val="10"/>
        <color indexed="8"/>
        <rFont val="宋体"/>
        <family val="3"/>
        <charset val="134"/>
      </rPr>
      <t>毗邻道路的类型与等级</t>
    </r>
  </si>
  <si>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</si>
  <si>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</si>
  <si>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</si>
  <si>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0"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</si>
  <si>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</si>
  <si>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</si>
  <si>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</si>
  <si>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</si>
  <si>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</si>
  <si>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</si>
  <si>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</si>
  <si>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</si>
  <si>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</si>
  <si>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</si>
  <si>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</si>
  <si>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</si>
  <si>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</si>
  <si>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</si>
  <si>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</si>
  <si>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</si>
  <si>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</si>
  <si>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</si>
  <si>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</si>
  <si>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</si>
  <si>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</si>
  <si>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</si>
  <si>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</si>
  <si>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</si>
  <si>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</si>
  <si>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</si>
  <si>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</si>
  <si>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</si>
  <si>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</si>
  <si>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</si>
  <si>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</si>
  <si>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</si>
  <si>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</si>
  <si>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</si>
  <si>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</si>
  <si>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</si>
  <si>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</si>
  <si>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</si>
  <si>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</si>
  <si>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</si>
  <si>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</si>
  <si>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</si>
  <si>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</si>
  <si>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</si>
  <si>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</si>
  <si>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</si>
  <si>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</si>
  <si>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</si>
  <si>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</si>
  <si>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</si>
  <si>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</si>
  <si>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</si>
  <si>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</si>
  <si>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</si>
  <si>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</si>
  <si>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</si>
  <si>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</si>
  <si>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</si>
  <si>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</si>
  <si>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</si>
  <si>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</si>
  <si>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</si>
  <si>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</si>
  <si>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</si>
  <si>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</si>
  <si>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</si>
  <si>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</si>
  <si>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</si>
  <si>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</si>
  <si>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</si>
  <si>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</si>
  <si>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</si>
  <si>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</si>
  <si>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</si>
  <si>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</si>
  <si>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</si>
  <si>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</si>
  <si>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</si>
  <si>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</si>
  <si>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</si>
  <si>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</si>
  <si>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</si>
  <si>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</si>
  <si>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</si>
  <si>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</si>
  <si>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</si>
  <si>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</si>
  <si>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</si>
  <si>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</si>
  <si>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</si>
  <si>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</si>
  <si>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</si>
  <si>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</si>
  <si>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</si>
  <si>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</si>
  <si>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</si>
  <si>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</si>
  <si>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</si>
  <si>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</si>
  <si>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</si>
  <si>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</si>
  <si>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</si>
  <si>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</si>
  <si>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</si>
  <si>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</si>
  <si>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</si>
  <si>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</si>
  <si>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</si>
  <si>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</si>
  <si>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</si>
  <si>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</si>
  <si>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</si>
  <si>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</si>
  <si>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</si>
  <si>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</si>
  <si>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</si>
  <si>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</si>
  <si>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</si>
  <si>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</si>
  <si>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</si>
  <si>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</si>
  <si>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</si>
  <si>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</si>
  <si>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</si>
  <si>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</si>
  <si>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</si>
  <si>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</si>
  <si>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</si>
  <si>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</si>
  <si>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</si>
  <si>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</si>
  <si>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</si>
  <si>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</si>
  <si>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</si>
  <si>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</si>
  <si>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</si>
  <si>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</si>
  <si>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</si>
  <si>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</si>
  <si>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</si>
  <si>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</si>
  <si>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</si>
  <si>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</si>
  <si>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</si>
  <si>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</si>
  <si>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</si>
  <si>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</si>
  <si>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</si>
  <si>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</si>
  <si>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</si>
  <si>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</si>
  <si>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</si>
  <si>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</si>
  <si>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</si>
  <si>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宁小鳗</t>
    <phoneticPr fontId="82" type="noConversion"/>
  </si>
  <si>
    <t>2022A-022</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</si>
  <si>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</si>
  <si>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</si>
  <si>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</si>
  <si>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</si>
  <si>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</si>
  <si>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</si>
  <si>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</si>
  <si>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</si>
  <si>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</si>
  <si>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</si>
  <si>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</si>
  <si>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</si>
  <si>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</si>
  <si>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</si>
  <si>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</si>
  <si>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</si>
  <si>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</si>
  <si>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</si>
  <si>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</si>
  <si>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</si>
  <si>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</si>
  <si>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</si>
  <si>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</si>
  <si>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</si>
  <si>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</si>
  <si>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</si>
  <si>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</si>
  <si>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</si>
  <si>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</si>
  <si>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</si>
  <si>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</si>
  <si>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</si>
  <si>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</si>
  <si>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</si>
  <si>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</si>
  <si>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</si>
  <si>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</si>
  <si>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</si>
  <si>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</si>
  <si>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</si>
  <si>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</si>
  <si>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</si>
  <si>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</si>
  <si>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</si>
  <si>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</si>
  <si>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</si>
  <si>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</si>
  <si>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</si>
  <si>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</si>
  <si>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</si>
  <si>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</si>
  <si>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</si>
  <si>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</si>
  <si>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</si>
  <si>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</si>
  <si>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</si>
  <si>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</si>
  <si>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</si>
  <si>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</si>
  <si>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</si>
  <si>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</si>
  <si>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4"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</si>
  <si>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</si>
  <si>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</si>
  <si>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</si>
  <si>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</si>
  <si>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</si>
  <si>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</si>
  <si>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</si>
  <si>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</si>
  <si>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</si>
  <si>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</si>
  <si>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</si>
  <si>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</si>
  <si>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</si>
  <si>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</si>
  <si>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</si>
  <si>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</si>
  <si>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</si>
  <si>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</si>
  <si>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4" type="noConversion"/>
  </si>
  <si>
    <t>出让年限</t>
    <phoneticPr fontId="247" type="noConversion"/>
  </si>
  <si>
    <t>剩余土地使用年限</t>
    <phoneticPr fontId="247" type="noConversion"/>
  </si>
  <si>
    <t>报酬率</t>
    <phoneticPr fontId="247" type="noConversion"/>
  </si>
  <si>
    <t>年期修正系数</t>
    <phoneticPr fontId="247" type="noConversion"/>
  </si>
  <si>
    <t>地价贡献率（参考下表）</t>
    <phoneticPr fontId="247" type="noConversion"/>
  </si>
  <si>
    <t>房价修正系数</t>
    <phoneticPr fontId="247" type="noConversion"/>
  </si>
  <si>
    <t>估价对象</t>
    <phoneticPr fontId="247" type="noConversion"/>
  </si>
  <si>
    <t>案例A</t>
    <phoneticPr fontId="247" type="noConversion"/>
  </si>
  <si>
    <t>案例B</t>
    <phoneticPr fontId="247" type="noConversion"/>
  </si>
  <si>
    <t>案例C</t>
    <phoneticPr fontId="247" type="noConversion"/>
  </si>
  <si>
    <t>推导公式</t>
    <phoneticPr fontId="247" type="noConversion"/>
  </si>
  <si>
    <t>1.建+50年地价×20年年期修正系数＝20年房价</t>
    <phoneticPr fontId="247" type="noConversion"/>
  </si>
  <si>
    <t>2.建+50年地价＝50年房价</t>
    <phoneticPr fontId="247" type="noConversion"/>
  </si>
  <si>
    <t>1、2步得出</t>
    <phoneticPr fontId="247" type="noConversion"/>
  </si>
  <si>
    <t>3.50年房价－50年地价+50年地价×20年年期修正系数＝20年房价</t>
    <phoneticPr fontId="247" type="noConversion"/>
  </si>
  <si>
    <t>4.20年房价＝50年房价×20年房价修正系数</t>
    <phoneticPr fontId="247" type="noConversion"/>
  </si>
  <si>
    <t>4步代入3步</t>
    <phoneticPr fontId="247" type="noConversion"/>
  </si>
  <si>
    <t>5.50年房价－50年地价+50年地价×20年年期修正系数＝50年房价×20年房价修正系数</t>
    <phoneticPr fontId="247" type="noConversion"/>
  </si>
  <si>
    <t>6.20年房价修正系数＝1-50年地价×（1-20年年期修正系数）÷50年房价</t>
    <phoneticPr fontId="247" type="noConversion"/>
  </si>
  <si>
    <t>7.50年地价＝50年房价×地价贡献率</t>
    <phoneticPr fontId="247" type="noConversion"/>
  </si>
  <si>
    <t>7步代入6步</t>
    <phoneticPr fontId="247" type="noConversion"/>
  </si>
  <si>
    <t>8.20年房价修正系数＝1-50年房价×地价贡献率×（1-20年年期修正系数）÷50年房价＝1-地价贡献率×（1-20年年期修正系数）</t>
    <phoneticPr fontId="247" type="noConversion"/>
  </si>
  <si>
    <t>以北京为例验算</t>
    <phoneticPr fontId="134" type="noConversion"/>
  </si>
  <si>
    <t>用途</t>
    <phoneticPr fontId="134" type="noConversion"/>
  </si>
  <si>
    <t>综合地价贡献率</t>
    <phoneticPr fontId="134" type="noConversion"/>
  </si>
  <si>
    <t>收益法地价房价比</t>
    <phoneticPr fontId="134" type="noConversion"/>
  </si>
  <si>
    <t>地价售价比</t>
    <phoneticPr fontId="134" type="noConversion"/>
  </si>
  <si>
    <t>工业</t>
    <phoneticPr fontId="134" type="noConversion"/>
  </si>
  <si>
    <t>20%-30%</t>
    <phoneticPr fontId="134" type="noConversion"/>
  </si>
  <si>
    <t>20%-30%</t>
    <phoneticPr fontId="134" type="noConversion"/>
  </si>
  <si>
    <t>15%-40%</t>
    <phoneticPr fontId="134" type="noConversion"/>
  </si>
  <si>
    <t>8000地价，20000售价；地价950，售价6500</t>
    <phoneticPr fontId="134" type="noConversion"/>
  </si>
  <si>
    <t>住宅</t>
    <phoneticPr fontId="134" type="noConversion"/>
  </si>
  <si>
    <t>60%-70%</t>
    <phoneticPr fontId="134" type="noConversion"/>
  </si>
  <si>
    <t>65%-75%</t>
    <phoneticPr fontId="134" type="noConversion"/>
  </si>
  <si>
    <t>50%-65%</t>
    <phoneticPr fontId="134" type="noConversion"/>
  </si>
  <si>
    <t>当前北京市基本控制在50%-65%</t>
    <phoneticPr fontId="134" type="noConversion"/>
  </si>
  <si>
    <t>商业/办公</t>
    <phoneticPr fontId="134" type="noConversion"/>
  </si>
  <si>
    <t>50%-60%</t>
    <phoneticPr fontId="134" type="noConversion"/>
  </si>
  <si>
    <t>70%-80%</t>
    <phoneticPr fontId="134" type="noConversion"/>
  </si>
  <si>
    <t>15000地价，30000售价</t>
    <phoneticPr fontId="134" type="noConversion"/>
  </si>
  <si>
    <t>车库/仓储</t>
    <phoneticPr fontId="134" type="noConversion"/>
  </si>
  <si>
    <t>35%-45%</t>
    <phoneticPr fontId="134" type="noConversion"/>
  </si>
  <si>
    <t>四级或五级地，地价2500-3000熟地价，售价5500-8000</t>
    <phoneticPr fontId="134" type="noConversion"/>
  </si>
  <si>
    <t>试算</t>
    <phoneticPr fontId="134" type="noConversion"/>
  </si>
  <si>
    <t>可见随着土地使用年期的减少，影响幅度逐渐增大</t>
    <phoneticPr fontId="134" type="noConversion"/>
  </si>
  <si>
    <t>0~5（含）,5~10（含）</t>
    <phoneticPr fontId="134" type="noConversion"/>
  </si>
  <si>
    <t>区间</t>
    <phoneticPr fontId="134" type="noConversion"/>
  </si>
  <si>
    <t>修正幅度</t>
    <phoneticPr fontId="134" type="noConversion"/>
  </si>
  <si>
    <t>满年期50年，报酬率5%，贡献率60%</t>
    <phoneticPr fontId="134" type="noConversion"/>
  </si>
  <si>
    <t>10~15（含），15~20（含）</t>
    <phoneticPr fontId="134" type="noConversion"/>
  </si>
  <si>
    <t>20~25（含），25~30（含）</t>
    <phoneticPr fontId="134" type="noConversion"/>
  </si>
  <si>
    <t>30~35（含），35~40（含）</t>
    <phoneticPr fontId="134" type="noConversion"/>
  </si>
  <si>
    <t>40~45（含），45~50（含）</t>
    <phoneticPr fontId="134" type="noConversion"/>
  </si>
  <si>
    <t>满年期40年，报酬率5%，贡献率60%</t>
    <phoneticPr fontId="134" type="noConversion"/>
  </si>
  <si>
    <t>满年期70年，报酬率4%，贡献率70%</t>
    <phoneticPr fontId="134" type="noConversion"/>
  </si>
  <si>
    <t>公共服务</t>
    <phoneticPr fontId="6" type="noConversion"/>
  </si>
  <si>
    <t>公共服务</t>
    <phoneticPr fontId="16" type="noConversion"/>
  </si>
  <si>
    <t>公共服务</t>
    <phoneticPr fontId="16" type="noConversion"/>
  </si>
  <si>
    <t>公共服务</t>
    <phoneticPr fontId="6" type="noConversion"/>
  </si>
  <si>
    <t>基础设施建设费（土地开发费）    土地面积单价</t>
    <phoneticPr fontId="134" type="noConversion"/>
  </si>
  <si>
    <t>一至二级</t>
    <phoneticPr fontId="134" type="noConversion"/>
  </si>
  <si>
    <t>三至七级</t>
    <phoneticPr fontId="134" type="noConversion"/>
  </si>
  <si>
    <t>八至九级</t>
    <phoneticPr fontId="134" type="noConversion"/>
  </si>
  <si>
    <t>通路</t>
    <phoneticPr fontId="134" type="noConversion"/>
  </si>
  <si>
    <t>通电</t>
    <phoneticPr fontId="134" type="noConversion"/>
  </si>
  <si>
    <t>通讯</t>
    <phoneticPr fontId="134" type="noConversion"/>
  </si>
  <si>
    <t>通上水</t>
    <phoneticPr fontId="134" type="noConversion"/>
  </si>
  <si>
    <t>通下水</t>
    <phoneticPr fontId="134" type="noConversion"/>
  </si>
  <si>
    <t>通热</t>
    <phoneticPr fontId="134" type="noConversion"/>
  </si>
  <si>
    <t>通燃气</t>
    <phoneticPr fontId="134" type="noConversion"/>
  </si>
  <si>
    <t>平整</t>
    <phoneticPr fontId="134" type="noConversion"/>
  </si>
  <si>
    <t>合计</t>
    <phoneticPr fontId="134" type="noConversion"/>
  </si>
  <si>
    <t>红线外基础设施建设费（北京）</t>
    <phoneticPr fontId="134" type="noConversion"/>
  </si>
  <si>
    <t>土地级别</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</si>
  <si>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</si>
  <si>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</si>
  <si>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</si>
  <si>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</si>
  <si>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</si>
  <si>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</si>
  <si>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</si>
  <si>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</si>
  <si>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</si>
  <si>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</si>
  <si>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</si>
  <si>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</si>
  <si>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</si>
  <si>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</si>
  <si>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</si>
  <si>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</si>
  <si>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</si>
  <si>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</si>
  <si>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</si>
  <si>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</si>
  <si>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</si>
  <si>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</si>
  <si>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</si>
  <si>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</si>
  <si>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</si>
  <si>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</si>
  <si>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</si>
  <si>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级别开发程度</t>
    <phoneticPr fontId="3" type="noConversion"/>
  </si>
  <si>
    <t>北京市基准地价用途修正系数表</t>
    <phoneticPr fontId="3" type="noConversion"/>
  </si>
  <si>
    <t>参照基准</t>
    <phoneticPr fontId="3" type="noConversion"/>
  </si>
  <si>
    <t>一级类</t>
    <phoneticPr fontId="3" type="noConversion"/>
  </si>
  <si>
    <t>二级分类</t>
    <phoneticPr fontId="3" type="noConversion"/>
  </si>
  <si>
    <t>用途修正系数</t>
    <phoneticPr fontId="3" type="noConversion"/>
  </si>
  <si>
    <t>商服</t>
    <phoneticPr fontId="3" type="noConversion"/>
  </si>
  <si>
    <t>办公</t>
    <phoneticPr fontId="3" type="noConversion"/>
  </si>
  <si>
    <t>商务金融用地</t>
    <phoneticPr fontId="3" type="noConversion"/>
  </si>
  <si>
    <t>公共服务</t>
    <phoneticPr fontId="3" type="noConversion"/>
  </si>
  <si>
    <t>特殊</t>
    <phoneticPr fontId="3" type="noConversion"/>
  </si>
  <si>
    <t>城镇住宅用地</t>
    <phoneticPr fontId="3" type="noConversion"/>
  </si>
  <si>
    <t>工矿仓储</t>
    <phoneticPr fontId="3" type="noConversion"/>
  </si>
  <si>
    <t>公共服务</t>
    <phoneticPr fontId="3" type="noConversion"/>
  </si>
  <si>
    <t>M4科研用地</t>
    <phoneticPr fontId="3" type="noConversion"/>
  </si>
  <si>
    <t>交通运输</t>
    <phoneticPr fontId="3" type="noConversion"/>
  </si>
  <si>
    <t>地下</t>
    <phoneticPr fontId="3" type="noConversion"/>
  </si>
  <si>
    <t>地下仓储</t>
    <phoneticPr fontId="3" type="noConversion"/>
  </si>
  <si>
    <t>地下</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</si>
  <si>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</si>
  <si>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</si>
  <si>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</si>
  <si>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</si>
  <si>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</si>
  <si>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</si>
  <si>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</si>
  <si>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</si>
  <si>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</si>
  <si>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</si>
  <si>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</si>
  <si>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</si>
  <si>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</si>
  <si>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</si>
  <si>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</si>
  <si>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</si>
  <si>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</si>
  <si>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</si>
  <si>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</si>
  <si>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</si>
  <si>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</si>
  <si>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</si>
  <si>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</si>
  <si>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</si>
  <si>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</si>
  <si>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</si>
  <si>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</si>
  <si>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</si>
  <si>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</si>
  <si>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</si>
  <si>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</si>
  <si>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</si>
  <si>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</si>
  <si>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</si>
  <si>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</si>
  <si>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</si>
  <si>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</si>
  <si>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</si>
  <si>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</si>
  <si>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</si>
  <si>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</si>
  <si>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</si>
  <si>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</si>
  <si>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</si>
  <si>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</si>
  <si>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</si>
  <si>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</si>
  <si>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</si>
  <si>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</si>
  <si>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</si>
  <si>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</si>
  <si>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</si>
  <si>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</si>
  <si>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</si>
  <si>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</si>
  <si>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</si>
  <si>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</si>
  <si>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</si>
  <si>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</si>
  <si>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</si>
  <si>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</si>
  <si>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</si>
  <si>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</si>
  <si>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</si>
  <si>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</si>
  <si>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</si>
  <si>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</si>
  <si>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</si>
  <si>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</si>
  <si>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</si>
  <si>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</si>
  <si>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</si>
  <si>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</si>
  <si>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</si>
  <si>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</si>
  <si>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</si>
  <si>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</si>
  <si>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</si>
  <si>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</si>
  <si>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</si>
  <si>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</si>
  <si>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</si>
  <si>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</si>
  <si>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</si>
  <si>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</si>
  <si>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</si>
  <si>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</si>
  <si>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</si>
  <si>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</si>
  <si>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</si>
  <si>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</si>
  <si>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</si>
  <si>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</si>
  <si>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</si>
  <si>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</si>
  <si>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</si>
  <si>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</si>
  <si>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</si>
  <si>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</si>
  <si>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</si>
  <si>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</si>
  <si>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</si>
  <si>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</si>
  <si>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</si>
  <si>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</si>
  <si>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</si>
  <si>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</si>
  <si>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</si>
  <si>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</si>
  <si>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</si>
  <si>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</si>
  <si>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</si>
  <si>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</si>
  <si>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</si>
  <si>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</si>
  <si>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</si>
  <si>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</si>
  <si>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</si>
  <si>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</si>
  <si>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</si>
  <si>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</si>
  <si>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</si>
  <si>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</si>
  <si>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</si>
  <si>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</si>
  <si>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</si>
  <si>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</si>
  <si>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</si>
  <si>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</si>
  <si>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</si>
  <si>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</si>
  <si>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</si>
  <si>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</si>
  <si>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</si>
  <si>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</si>
  <si>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</si>
  <si>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</si>
  <si>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</si>
  <si>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</si>
  <si>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</si>
  <si>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</si>
  <si>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</si>
  <si>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</si>
  <si>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</si>
  <si>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</si>
  <si>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</si>
  <si>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</si>
  <si>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</si>
  <si>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</si>
  <si>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</si>
  <si>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</si>
  <si>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</si>
  <si>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</si>
  <si>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</si>
  <si>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</si>
  <si>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</si>
  <si>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t>
    <phoneticPr fontId="3" type="noConversion"/>
  </si>
  <si>
    <t>北京市基准地价容积率修正系数表（商业）</t>
    <phoneticPr fontId="3" type="noConversion"/>
  </si>
  <si>
    <t>容积率</t>
    <phoneticPr fontId="3" type="noConversion"/>
  </si>
  <si>
    <t>北京市基准地价容积率修正系数表（办公）</t>
    <phoneticPr fontId="3" type="noConversion"/>
  </si>
  <si>
    <t>北京市基准地价容积率修正系数表（住宅）</t>
    <phoneticPr fontId="3" type="noConversion"/>
  </si>
  <si>
    <t>北京市基准地价容积率修正系数表（工业）</t>
    <phoneticPr fontId="3" type="noConversion"/>
  </si>
  <si>
    <t>北京市基准地价容积率修正系数表（公共服务及M4科研）</t>
    <phoneticPr fontId="3" type="noConversion"/>
  </si>
  <si>
    <t>R</t>
    <phoneticPr fontId="3" type="noConversion"/>
  </si>
  <si>
    <t>1~2级</t>
    <phoneticPr fontId="3" type="noConversion"/>
  </si>
  <si>
    <t>3~7级</t>
    <phoneticPr fontId="3" type="noConversion"/>
  </si>
  <si>
    <t>8~12级</t>
    <phoneticPr fontId="3" type="noConversion"/>
  </si>
  <si>
    <t>3~5级</t>
    <phoneticPr fontId="3" type="noConversion"/>
  </si>
  <si>
    <t>6~7级</t>
    <phoneticPr fontId="3" type="noConversion"/>
  </si>
  <si>
    <t>平均</t>
    <phoneticPr fontId="3" type="noConversion"/>
  </si>
  <si>
    <t>商业</t>
    <phoneticPr fontId="3" type="noConversion"/>
  </si>
  <si>
    <t>办公</t>
    <phoneticPr fontId="134" type="noConversion"/>
  </si>
  <si>
    <t>住宅</t>
    <phoneticPr fontId="3" type="noConversion"/>
  </si>
  <si>
    <t>工业</t>
    <phoneticPr fontId="134" type="noConversion"/>
  </si>
  <si>
    <t>工业</t>
    <phoneticPr fontId="134" type="noConversion"/>
  </si>
  <si>
    <t>住宅</t>
    <phoneticPr fontId="3" type="noConversion"/>
  </si>
  <si>
    <t>工业</t>
    <phoneticPr fontId="134" type="noConversion"/>
  </si>
  <si>
    <t>住宅</t>
    <phoneticPr fontId="3" type="noConversion"/>
  </si>
  <si>
    <t>本行不参与计算</t>
    <phoneticPr fontId="134" type="noConversion"/>
  </si>
  <si>
    <t>2023-1</t>
    <phoneticPr fontId="3" type="noConversion"/>
  </si>
  <si>
    <t>2022-4</t>
    <phoneticPr fontId="3" type="noConversion"/>
  </si>
  <si>
    <t>2022-1</t>
    <phoneticPr fontId="3" type="noConversion"/>
  </si>
  <si>
    <t>2021-4</t>
    <phoneticPr fontId="3" type="noConversion"/>
  </si>
  <si>
    <t>2021-3</t>
    <phoneticPr fontId="3" type="noConversion"/>
  </si>
  <si>
    <t>2021-2</t>
    <phoneticPr fontId="3" type="noConversion"/>
  </si>
  <si>
    <t>2021-1</t>
    <phoneticPr fontId="3" type="noConversion"/>
  </si>
  <si>
    <t xml:space="preserve"> </t>
    <phoneticPr fontId="134" type="noConversion"/>
  </si>
  <si>
    <t>公示增长率-非中心城区</t>
    <phoneticPr fontId="142" type="noConversion"/>
  </si>
  <si>
    <r>
      <rPr>
        <b/>
        <sz val="10"/>
        <color theme="1"/>
        <rFont val="楷体_GB2312"/>
        <family val="2"/>
        <charset val="134"/>
      </rPr>
      <t>核算至百分数</t>
    </r>
    <phoneticPr fontId="142" type="noConversion"/>
  </si>
  <si>
    <t>季度连乘</t>
    <phoneticPr fontId="134" type="noConversion"/>
  </si>
  <si>
    <t>平均增幅</t>
    <phoneticPr fontId="134" type="noConversion"/>
  </si>
  <si>
    <t>平均</t>
    <phoneticPr fontId="3" type="noConversion"/>
  </si>
  <si>
    <t>商业</t>
    <phoneticPr fontId="3" type="noConversion"/>
  </si>
  <si>
    <t>办公</t>
    <phoneticPr fontId="134" type="noConversion"/>
  </si>
  <si>
    <t>住宅</t>
    <phoneticPr fontId="3" type="noConversion"/>
  </si>
  <si>
    <t>公共服务</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</si>
  <si>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</si>
  <si>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</si>
  <si>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</si>
  <si>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</si>
  <si>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</si>
  <si>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公示增长率-中心城区</t>
    <phoneticPr fontId="142" type="noConversion"/>
  </si>
  <si>
    <t>北京市区片基准地价表（楼面地价）</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</si>
  <si>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</si>
  <si>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</si>
  <si>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</si>
  <si>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</si>
  <si>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</si>
  <si>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</si>
  <si>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</si>
  <si>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</si>
  <si>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</si>
  <si>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</si>
  <si>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</si>
  <si>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</si>
  <si>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 xml:space="preserve">基准日期：2021年1月1日                                                             </t>
    <phoneticPr fontId="3" type="noConversion"/>
  </si>
  <si>
    <t>单位：元/平方米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</si>
  <si>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</si>
  <si>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</si>
  <si>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</si>
  <si>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</si>
  <si>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</si>
  <si>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</si>
  <si>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</si>
  <si>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</si>
  <si>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</si>
  <si>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</si>
  <si>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</si>
  <si>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</si>
  <si>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</si>
  <si>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办公</t>
    <phoneticPr fontId="3" type="noConversion"/>
  </si>
  <si>
    <t>工业</t>
    <phoneticPr fontId="3" type="noConversion"/>
  </si>
  <si>
    <t>Ⅰ—02</t>
    <phoneticPr fontId="3" type="noConversion"/>
  </si>
  <si>
    <t>Ⅺ-门斋</t>
    <phoneticPr fontId="3" type="noConversion"/>
  </si>
  <si>
    <t>Ⅻ-房1</t>
    <phoneticPr fontId="3" type="noConversion"/>
  </si>
  <si>
    <t>区片编号</t>
    <phoneticPr fontId="3" type="noConversion"/>
  </si>
  <si>
    <t>区片价格</t>
    <phoneticPr fontId="3" type="noConversion"/>
  </si>
  <si>
    <t>Ⅸ-门1</t>
    <phoneticPr fontId="3" type="noConversion"/>
  </si>
  <si>
    <t>Ⅹ-门1</t>
    <phoneticPr fontId="3" type="noConversion"/>
  </si>
  <si>
    <t>Ⅺ-房1</t>
    <phoneticPr fontId="3" type="noConversion"/>
  </si>
  <si>
    <t>Ⅻ-昌1</t>
    <phoneticPr fontId="3" type="noConversion"/>
  </si>
  <si>
    <t>Ⅸ-门2</t>
    <phoneticPr fontId="3" type="noConversion"/>
  </si>
  <si>
    <t>Ⅹ-房1</t>
    <phoneticPr fontId="3" type="noConversion"/>
  </si>
  <si>
    <t>Ⅻ-怀1</t>
    <phoneticPr fontId="3" type="noConversion"/>
  </si>
  <si>
    <t>Ⅷ-05</t>
  </si>
  <si>
    <t>Ⅸ-门潭</t>
    <phoneticPr fontId="3" type="noConversion"/>
  </si>
  <si>
    <t>Ⅺ-顺1</t>
    <phoneticPr fontId="3" type="noConversion"/>
  </si>
  <si>
    <t>Ⅻ-平1</t>
    <phoneticPr fontId="3" type="noConversion"/>
  </si>
  <si>
    <t>Ⅷ-门1</t>
    <phoneticPr fontId="3" type="noConversion"/>
  </si>
  <si>
    <t>Ⅸ-房1</t>
    <phoneticPr fontId="3" type="noConversion"/>
  </si>
  <si>
    <t>Ⅹ-房3</t>
  </si>
  <si>
    <t>Ⅺ-顺2</t>
  </si>
  <si>
    <t>Ⅻ-密1</t>
    <phoneticPr fontId="3" type="noConversion"/>
  </si>
  <si>
    <t>Ⅷ-门军</t>
    <phoneticPr fontId="3" type="noConversion"/>
  </si>
  <si>
    <t>Ⅹ-顺1</t>
    <phoneticPr fontId="3" type="noConversion"/>
  </si>
  <si>
    <t>Ⅺ-昌1</t>
    <phoneticPr fontId="3" type="noConversion"/>
  </si>
  <si>
    <t>Ⅻ-延1</t>
    <phoneticPr fontId="3" type="noConversion"/>
  </si>
  <si>
    <t>Ⅷ-房1</t>
    <phoneticPr fontId="3" type="noConversion"/>
  </si>
  <si>
    <t>Ⅺ-昌3</t>
  </si>
  <si>
    <t>Ⅶ-门1</t>
    <phoneticPr fontId="3" type="noConversion"/>
  </si>
  <si>
    <t>Ⅹ-顺4</t>
  </si>
  <si>
    <t>Ⅺ-怀1</t>
    <phoneticPr fontId="3" type="noConversion"/>
  </si>
  <si>
    <t>Ⅶ-门2</t>
  </si>
  <si>
    <t>Ⅷ-通1</t>
    <phoneticPr fontId="3" type="noConversion"/>
  </si>
  <si>
    <t>Ⅸ-通1</t>
    <phoneticPr fontId="3" type="noConversion"/>
  </si>
  <si>
    <t>Ⅹ-昌1</t>
    <phoneticPr fontId="3" type="noConversion"/>
  </si>
  <si>
    <t>Ⅺ-平1</t>
    <phoneticPr fontId="3" type="noConversion"/>
  </si>
  <si>
    <t>Ⅶ-房1</t>
    <phoneticPr fontId="3" type="noConversion"/>
  </si>
  <si>
    <t>Ⅱ—13</t>
    <phoneticPr fontId="3" type="noConversion"/>
  </si>
  <si>
    <t>Ⅸ-顺1</t>
    <phoneticPr fontId="3" type="noConversion"/>
  </si>
  <si>
    <t>Ⅶ-通1</t>
    <phoneticPr fontId="3" type="noConversion"/>
  </si>
  <si>
    <t>Ⅷ-顺1</t>
    <phoneticPr fontId="3" type="noConversion"/>
  </si>
  <si>
    <t>Ⅹ-兴1</t>
    <phoneticPr fontId="3" type="noConversion"/>
  </si>
  <si>
    <t>Ⅶ-通2</t>
  </si>
  <si>
    <t>Ⅺ-密1</t>
    <phoneticPr fontId="3" type="noConversion"/>
  </si>
  <si>
    <t>Ⅶ-通3</t>
  </si>
  <si>
    <t>Ⅷ-顺3</t>
    <phoneticPr fontId="3" type="noConversion"/>
  </si>
  <si>
    <t>Ⅹ-怀1</t>
    <phoneticPr fontId="3" type="noConversion"/>
  </si>
  <si>
    <t>Ⅶ-通4</t>
  </si>
  <si>
    <t>Ⅸ-顺5</t>
  </si>
  <si>
    <t>Ⅶ-通5</t>
  </si>
  <si>
    <t>Ⅸ-昌1</t>
    <phoneticPr fontId="3" type="noConversion"/>
  </si>
  <si>
    <t>Ⅺ-延1</t>
    <phoneticPr fontId="3" type="noConversion"/>
  </si>
  <si>
    <t>Ⅶ-顺1</t>
    <phoneticPr fontId="3" type="noConversion"/>
  </si>
  <si>
    <t>Ⅷ-昌1</t>
    <phoneticPr fontId="3" type="noConversion"/>
  </si>
  <si>
    <t>Ⅹ-怀4</t>
  </si>
  <si>
    <t>Ⅱ—20</t>
  </si>
  <si>
    <t>Ⅹ-平1</t>
    <phoneticPr fontId="3" type="noConversion"/>
  </si>
  <si>
    <t>Ⅺ-延3</t>
  </si>
  <si>
    <t>Ⅲ—21</t>
  </si>
  <si>
    <t>Ⅶ-顺3</t>
  </si>
  <si>
    <t>Ⅲ—22</t>
  </si>
  <si>
    <t>Ⅵ-门1</t>
    <phoneticPr fontId="3" type="noConversion"/>
  </si>
  <si>
    <t>Ⅶ-昌1</t>
    <phoneticPr fontId="3" type="noConversion"/>
  </si>
  <si>
    <t>Ⅹ-平3</t>
  </si>
  <si>
    <t>Ⅲ—23</t>
  </si>
  <si>
    <t>Ⅵ-通1</t>
    <phoneticPr fontId="3" type="noConversion"/>
  </si>
  <si>
    <t>Ⅷ-兴1</t>
    <phoneticPr fontId="3" type="noConversion"/>
  </si>
  <si>
    <t>Ⅸ-兴1</t>
  </si>
  <si>
    <t>Ⅹ-平4</t>
  </si>
  <si>
    <t>Ⅲ—24</t>
  </si>
  <si>
    <t>Ⅳ-24</t>
  </si>
  <si>
    <t>Ⅹ-密1</t>
    <phoneticPr fontId="3" type="noConversion"/>
  </si>
  <si>
    <t>Ⅲ—25</t>
  </si>
  <si>
    <t>Ⅳ-25</t>
  </si>
  <si>
    <t>Ⅶ-兴1</t>
    <phoneticPr fontId="3" type="noConversion"/>
  </si>
  <si>
    <t>Ⅷ-兴3</t>
  </si>
  <si>
    <t>Ⅹ-密2</t>
  </si>
  <si>
    <t>Ⅳ-26</t>
  </si>
  <si>
    <t>Ⅶ-兴2</t>
    <phoneticPr fontId="3" type="noConversion"/>
  </si>
  <si>
    <t>Ⅷ-怀1</t>
    <phoneticPr fontId="3" type="noConversion"/>
  </si>
  <si>
    <t>Ⅸ-怀1</t>
    <phoneticPr fontId="3" type="noConversion"/>
  </si>
  <si>
    <t>Ⅹ-密3</t>
  </si>
  <si>
    <t>Ⅳ-27</t>
  </si>
  <si>
    <t>Ⅴ-27</t>
  </si>
  <si>
    <t>Ⅵ-通5</t>
  </si>
  <si>
    <t>Ⅶ-亦1</t>
    <phoneticPr fontId="3" type="noConversion"/>
  </si>
  <si>
    <t>Ⅷ-平1</t>
    <phoneticPr fontId="3" type="noConversion"/>
  </si>
  <si>
    <t>Ⅸ-怀2</t>
  </si>
  <si>
    <t>Ⅹ-延1</t>
    <phoneticPr fontId="3" type="noConversion"/>
  </si>
  <si>
    <t>Ⅳ-28</t>
  </si>
  <si>
    <t>Ⅴ-28</t>
  </si>
  <si>
    <t>Ⅵ-顺1</t>
    <phoneticPr fontId="3" type="noConversion"/>
  </si>
  <si>
    <t>Ⅶ-亦2</t>
  </si>
  <si>
    <t>Ⅷ-密1</t>
    <phoneticPr fontId="3" type="noConversion"/>
  </si>
  <si>
    <t>Ⅸ-怀3</t>
  </si>
  <si>
    <t>Ⅳ-电子城东</t>
    <phoneticPr fontId="3" type="noConversion"/>
  </si>
  <si>
    <t>Ⅴ-29</t>
  </si>
  <si>
    <t>Ⅵ-顺2</t>
  </si>
  <si>
    <t>Ⅶ-创新园</t>
    <phoneticPr fontId="3" type="noConversion"/>
  </si>
  <si>
    <t>Ⅷ-延1</t>
    <phoneticPr fontId="3" type="noConversion"/>
  </si>
  <si>
    <t>Ⅸ-怀4</t>
  </si>
  <si>
    <t>Ⅹ-延3</t>
  </si>
  <si>
    <t>Ⅳ-电子城西</t>
    <phoneticPr fontId="3" type="noConversion"/>
  </si>
  <si>
    <t>Ⅴ-30</t>
  </si>
  <si>
    <t>Ⅵ-昌1</t>
    <phoneticPr fontId="3" type="noConversion"/>
  </si>
  <si>
    <t>Ⅶ-海淀环保园</t>
    <phoneticPr fontId="3" type="noConversion"/>
  </si>
  <si>
    <t>Ⅷ-亦1</t>
    <phoneticPr fontId="3" type="noConversion"/>
  </si>
  <si>
    <t>Ⅸ-平1</t>
    <phoneticPr fontId="3" type="noConversion"/>
  </si>
  <si>
    <t>Ⅹ-延4</t>
  </si>
  <si>
    <t>Ⅳ-丰台园东</t>
    <phoneticPr fontId="3" type="noConversion"/>
  </si>
  <si>
    <t>Ⅴ-31</t>
  </si>
  <si>
    <t>Ⅶ-温泉科技园Ⅰ</t>
    <phoneticPr fontId="3" type="noConversion"/>
  </si>
  <si>
    <t>Ⅸ-平2</t>
  </si>
  <si>
    <t>Ⅹ-亦1</t>
    <phoneticPr fontId="3" type="noConversion"/>
  </si>
  <si>
    <t>Ⅳ-通1</t>
    <phoneticPr fontId="3" type="noConversion"/>
  </si>
  <si>
    <t>Ⅴ-32</t>
  </si>
  <si>
    <t>Ⅶ-温泉科技园Ⅱ</t>
    <phoneticPr fontId="3" type="noConversion"/>
  </si>
  <si>
    <t>Ⅷ-文化教育基地</t>
    <phoneticPr fontId="3" type="noConversion"/>
  </si>
  <si>
    <t>Ⅸ-密1</t>
    <phoneticPr fontId="3" type="noConversion"/>
  </si>
  <si>
    <t>Ⅴ-33</t>
  </si>
  <si>
    <t>Ⅶ-温泉科技园Ⅲ</t>
    <phoneticPr fontId="3" type="noConversion"/>
  </si>
  <si>
    <t>Ⅷ-苏家坨科技Ⅰ</t>
    <phoneticPr fontId="3" type="noConversion"/>
  </si>
  <si>
    <t>Ⅸ-延1</t>
    <phoneticPr fontId="3" type="noConversion"/>
  </si>
  <si>
    <t>Ⅴ-上地核心</t>
    <phoneticPr fontId="3" type="noConversion"/>
  </si>
  <si>
    <t>Ⅵ-兴1</t>
    <phoneticPr fontId="3" type="noConversion"/>
  </si>
  <si>
    <t>Ⅶ-国际教育园</t>
    <phoneticPr fontId="3" type="noConversion"/>
  </si>
  <si>
    <t>Ⅷ-苏家坨科技Ⅱ</t>
    <phoneticPr fontId="3" type="noConversion"/>
  </si>
  <si>
    <t>Ⅸ-延2</t>
  </si>
  <si>
    <t>Ⅴ-电子城北</t>
    <phoneticPr fontId="3" type="noConversion"/>
  </si>
  <si>
    <t>Ⅵ-兴2</t>
  </si>
  <si>
    <t>Ⅶ-农林园</t>
    <phoneticPr fontId="3" type="noConversion"/>
  </si>
  <si>
    <t>Ⅷ-通州环保园</t>
    <phoneticPr fontId="3" type="noConversion"/>
  </si>
  <si>
    <t>Ⅸ-亦1</t>
    <phoneticPr fontId="3" type="noConversion"/>
  </si>
  <si>
    <t>Ⅴ-通1</t>
    <phoneticPr fontId="3" type="noConversion"/>
  </si>
  <si>
    <t>Ⅵ-兴3</t>
  </si>
  <si>
    <t>Ⅶ-上庄科技</t>
    <phoneticPr fontId="3" type="noConversion"/>
  </si>
  <si>
    <t>Ⅷ-通州开发区东</t>
    <phoneticPr fontId="3" type="noConversion"/>
  </si>
  <si>
    <t>Ⅸ-亦2</t>
  </si>
  <si>
    <t>Ⅴ-通2</t>
  </si>
  <si>
    <t>Ⅵ-兴4</t>
  </si>
  <si>
    <t>Ⅶ-石龙开发区</t>
    <phoneticPr fontId="3" type="noConversion"/>
  </si>
  <si>
    <t>Ⅷ-空港北区B</t>
    <phoneticPr fontId="3" type="noConversion"/>
  </si>
  <si>
    <t>Ⅸ-亦3</t>
  </si>
  <si>
    <t>Ⅴ-通3</t>
  </si>
  <si>
    <t>Ⅵ-兴5</t>
  </si>
  <si>
    <r>
      <t>Ⅶ-良乡开发区</t>
    </r>
    <r>
      <rPr>
        <sz val="9"/>
        <color indexed="8"/>
        <rFont val="仿宋_GB2312"/>
        <family val="3"/>
        <charset val="134"/>
      </rPr>
      <t>A</t>
    </r>
    <phoneticPr fontId="3" type="noConversion"/>
  </si>
  <si>
    <t>Ⅷ-昌平园北Ⅱ</t>
    <phoneticPr fontId="3" type="noConversion"/>
  </si>
  <si>
    <t>Ⅸ-房山工业园西</t>
    <phoneticPr fontId="3" type="noConversion"/>
  </si>
  <si>
    <t>Ⅴ-通4</t>
  </si>
  <si>
    <t>Ⅵ-亦1</t>
    <phoneticPr fontId="3" type="noConversion"/>
  </si>
  <si>
    <r>
      <t>Ⅶ-良乡开发区</t>
    </r>
    <r>
      <rPr>
        <sz val="9"/>
        <color indexed="8"/>
        <rFont val="仿宋_GB2312"/>
        <family val="3"/>
        <charset val="134"/>
      </rPr>
      <t>B</t>
    </r>
    <phoneticPr fontId="3" type="noConversion"/>
  </si>
  <si>
    <t>Ⅷ-昌平园北Ⅲ</t>
    <phoneticPr fontId="3" type="noConversion"/>
  </si>
  <si>
    <t>Ⅸ-房山工业园东</t>
    <phoneticPr fontId="3" type="noConversion"/>
  </si>
  <si>
    <t>Ⅴ-亦1</t>
    <phoneticPr fontId="3" type="noConversion"/>
  </si>
  <si>
    <t>Ⅵ-亦2</t>
  </si>
  <si>
    <r>
      <t>Ⅶ-良乡开发区</t>
    </r>
    <r>
      <rPr>
        <sz val="9"/>
        <color indexed="8"/>
        <rFont val="仿宋_GB2312"/>
        <family val="3"/>
        <charset val="134"/>
      </rPr>
      <t>C</t>
    </r>
    <phoneticPr fontId="3" type="noConversion"/>
  </si>
  <si>
    <t>Ⅷ-昌平园南Ⅰ</t>
    <phoneticPr fontId="3" type="noConversion"/>
  </si>
  <si>
    <t>Ⅸ-永乐开发区</t>
    <phoneticPr fontId="3" type="noConversion"/>
  </si>
  <si>
    <t>Ⅵ-亦3</t>
  </si>
  <si>
    <t>Ⅶ-林河开发区</t>
    <phoneticPr fontId="3" type="noConversion"/>
  </si>
  <si>
    <t>Ⅷ-昌平园南Ⅱ</t>
    <phoneticPr fontId="3" type="noConversion"/>
  </si>
  <si>
    <t>Ⅸ-采育开发区</t>
    <phoneticPr fontId="3" type="noConversion"/>
  </si>
  <si>
    <t>三级</t>
    <phoneticPr fontId="3" type="noConversion"/>
  </si>
  <si>
    <t>Ⅵ-亦4</t>
  </si>
  <si>
    <t>Ⅶ-空港北区A</t>
    <phoneticPr fontId="3" type="noConversion"/>
  </si>
  <si>
    <t>Ⅷ-小汤山工业园</t>
    <phoneticPr fontId="3" type="noConversion"/>
  </si>
  <si>
    <t>Ⅸ-雁栖开发区A</t>
    <phoneticPr fontId="3" type="noConversion"/>
  </si>
  <si>
    <t>Ⅵ-永丰产业基地</t>
    <phoneticPr fontId="3" type="noConversion"/>
  </si>
  <si>
    <r>
      <t>Ⅶ-昌平园北</t>
    </r>
    <r>
      <rPr>
        <sz val="9"/>
        <color indexed="8"/>
        <rFont val="宋体"/>
        <family val="3"/>
        <charset val="134"/>
      </rPr>
      <t>Ⅰ</t>
    </r>
    <phoneticPr fontId="3" type="noConversion"/>
  </si>
  <si>
    <t>Ⅷ-生物医药基地</t>
    <phoneticPr fontId="3" type="noConversion"/>
  </si>
  <si>
    <t>Ⅸ-雁栖开发区B</t>
    <phoneticPr fontId="3" type="noConversion"/>
  </si>
  <si>
    <t>Ⅵ-航天城</t>
    <phoneticPr fontId="3" type="noConversion"/>
  </si>
  <si>
    <t>Ⅶ-BDA南</t>
    <phoneticPr fontId="3" type="noConversion"/>
  </si>
  <si>
    <t>Ⅸ-雁栖开发区C</t>
    <phoneticPr fontId="3" type="noConversion"/>
  </si>
  <si>
    <t>Ⅵ-西北旺Ⅰ</t>
    <phoneticPr fontId="3" type="noConversion"/>
  </si>
  <si>
    <t>Ⅸ-兴谷开发区A</t>
    <phoneticPr fontId="3" type="noConversion"/>
  </si>
  <si>
    <t>Ⅵ-西北旺Ⅱ</t>
    <phoneticPr fontId="3" type="noConversion"/>
  </si>
  <si>
    <t>Ⅸ-兴谷开发区B</t>
    <phoneticPr fontId="3" type="noConversion"/>
  </si>
  <si>
    <t>Ⅵ-丰台西园Ⅰ</t>
    <phoneticPr fontId="3" type="noConversion"/>
  </si>
  <si>
    <t>Ⅸ-马坊工业园</t>
    <phoneticPr fontId="3" type="noConversion"/>
  </si>
  <si>
    <t>Ⅵ-丰台西园Ⅱ</t>
    <phoneticPr fontId="3" type="noConversion"/>
  </si>
  <si>
    <t>Ⅸ-密云开发区</t>
    <phoneticPr fontId="3" type="noConversion"/>
  </si>
  <si>
    <t>Ⅵ-石景山园北Ⅰ</t>
    <phoneticPr fontId="3" type="noConversion"/>
  </si>
  <si>
    <t>Ⅸ-延庆开发区</t>
    <phoneticPr fontId="3" type="noConversion"/>
  </si>
  <si>
    <t>Ⅵ-石景山园北Ⅱ</t>
    <phoneticPr fontId="3" type="noConversion"/>
  </si>
  <si>
    <t>Ⅸ-八达岭开发区</t>
    <phoneticPr fontId="3" type="noConversion"/>
  </si>
  <si>
    <t>Ⅵ-石景山园南</t>
    <phoneticPr fontId="3" type="noConversion"/>
  </si>
  <si>
    <t>Ⅵ-通州开发区西</t>
    <phoneticPr fontId="3" type="noConversion"/>
  </si>
  <si>
    <t>Ⅵ-光机电</t>
    <phoneticPr fontId="3" type="noConversion"/>
  </si>
  <si>
    <t>Ⅳ-01</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</si>
  <si>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</si>
  <si>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</si>
  <si>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</si>
  <si>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</si>
  <si>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</si>
  <si>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</si>
  <si>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</si>
  <si>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</si>
  <si>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</si>
  <si>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</si>
  <si>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Ⅳ-电子城东</t>
    <phoneticPr fontId="3" type="noConversion"/>
  </si>
  <si>
    <t>Ⅳ-电子城西</t>
    <phoneticPr fontId="3" type="noConversion"/>
  </si>
  <si>
    <t>Ⅳ-丰台园东</t>
    <phoneticPr fontId="3" type="noConversion"/>
  </si>
  <si>
    <t>Ⅳ-通1</t>
    <phoneticPr fontId="3" type="noConversion"/>
  </si>
  <si>
    <t>Ⅴ-01</t>
    <phoneticPr fontId="3" type="noConversion"/>
  </si>
  <si>
    <t>Ⅴ-上地核心</t>
    <phoneticPr fontId="3" type="noConversion"/>
  </si>
  <si>
    <t>Ⅴ-电子城北</t>
    <phoneticPr fontId="3" type="noConversion"/>
  </si>
  <si>
    <t>Ⅴ-通1</t>
    <phoneticPr fontId="3" type="noConversion"/>
  </si>
  <si>
    <t>Ⅵ-01</t>
    <phoneticPr fontId="3" type="noConversion"/>
  </si>
  <si>
    <t>Ⅵ-门1</t>
    <phoneticPr fontId="3" type="noConversion"/>
  </si>
  <si>
    <t>Ⅵ-通1</t>
    <phoneticPr fontId="3" type="noConversion"/>
  </si>
  <si>
    <t>Ⅵ-顺1</t>
    <phoneticPr fontId="3" type="noConversion"/>
  </si>
  <si>
    <t>Ⅵ-昌1</t>
    <phoneticPr fontId="3" type="noConversion"/>
  </si>
  <si>
    <t>Ⅵ-兴1</t>
    <phoneticPr fontId="3" type="noConversion"/>
  </si>
  <si>
    <t>Ⅵ-亦1</t>
    <phoneticPr fontId="3" type="noConversion"/>
  </si>
  <si>
    <t>Ⅵ-永丰产业基地</t>
    <phoneticPr fontId="3" type="noConversion"/>
  </si>
  <si>
    <t>Ⅵ-石景山园南</t>
    <phoneticPr fontId="3" type="noConversion"/>
  </si>
  <si>
    <t>Ⅵ-通州开发区西</t>
    <phoneticPr fontId="3" type="noConversion"/>
  </si>
  <si>
    <t>Ⅵ-光机电</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</si>
  <si>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</si>
  <si>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</si>
  <si>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</si>
  <si>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</si>
  <si>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</si>
  <si>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Ⅶ-昌1</t>
    <phoneticPr fontId="3" type="noConversion"/>
  </si>
  <si>
    <t>Ⅶ-兴1</t>
    <phoneticPr fontId="3" type="noConversion"/>
  </si>
  <si>
    <t>Ⅶ-兴2</t>
    <phoneticPr fontId="3" type="noConversion"/>
  </si>
  <si>
    <t>Ⅶ-亦1</t>
    <phoneticPr fontId="3" type="noConversion"/>
  </si>
  <si>
    <t>Ⅶ-创新园</t>
    <phoneticPr fontId="3" type="noConversion"/>
  </si>
  <si>
    <t>Ⅶ-海淀环保园</t>
    <phoneticPr fontId="3" type="noConversion"/>
  </si>
  <si>
    <t>Ⅶ-温泉科技园Ⅰ</t>
    <phoneticPr fontId="3" type="noConversion"/>
  </si>
  <si>
    <t>Ⅶ-温泉科技园Ⅱ</t>
    <phoneticPr fontId="3" type="noConversion"/>
  </si>
  <si>
    <t>Ⅶ-温泉科技园Ⅲ</t>
    <phoneticPr fontId="3" type="noConversion"/>
  </si>
  <si>
    <t>Ⅶ-国际教育园</t>
    <phoneticPr fontId="3" type="noConversion"/>
  </si>
  <si>
    <t>Ⅶ-农林园</t>
    <phoneticPr fontId="3" type="noConversion"/>
  </si>
  <si>
    <t>Ⅶ-上庄科技</t>
    <phoneticPr fontId="3" type="noConversion"/>
  </si>
  <si>
    <t>Ⅶ-石龙开发区</t>
    <phoneticPr fontId="3" type="noConversion"/>
  </si>
  <si>
    <r>
      <t>Ⅶ-良乡开发区</t>
    </r>
    <r>
      <rPr>
        <sz val="9"/>
        <color indexed="8"/>
        <rFont val="仿宋_GB2312"/>
        <family val="3"/>
        <charset val="134"/>
      </rPr>
      <t>A</t>
    </r>
    <phoneticPr fontId="3" type="noConversion"/>
  </si>
  <si>
    <r>
      <t>Ⅶ-良乡开发区</t>
    </r>
    <r>
      <rPr>
        <sz val="9"/>
        <color indexed="8"/>
        <rFont val="仿宋_GB2312"/>
        <family val="3"/>
        <charset val="134"/>
      </rPr>
      <t>B</t>
    </r>
    <phoneticPr fontId="3" type="noConversion"/>
  </si>
  <si>
    <t>Ⅶ-林河开发区</t>
    <phoneticPr fontId="3" type="noConversion"/>
  </si>
  <si>
    <t>Ⅶ-空港北区A</t>
    <phoneticPr fontId="3" type="noConversion"/>
  </si>
  <si>
    <r>
      <t>Ⅶ-昌平园北</t>
    </r>
    <r>
      <rPr>
        <sz val="9"/>
        <color indexed="8"/>
        <rFont val="宋体"/>
        <family val="3"/>
        <charset val="134"/>
      </rPr>
      <t>Ⅰ</t>
    </r>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</si>
  <si>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</si>
  <si>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</si>
  <si>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</si>
  <si>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</si>
  <si>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</si>
  <si>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</si>
  <si>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</si>
  <si>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Ⅷ-昌1</t>
    <phoneticPr fontId="3" type="noConversion"/>
  </si>
  <si>
    <t>Ⅷ-兴1</t>
    <phoneticPr fontId="3" type="noConversion"/>
  </si>
  <si>
    <t>Ⅷ-怀1</t>
    <phoneticPr fontId="3" type="noConversion"/>
  </si>
  <si>
    <t>Ⅷ-平1</t>
    <phoneticPr fontId="3" type="noConversion"/>
  </si>
  <si>
    <t>Ⅷ-密1</t>
    <phoneticPr fontId="3" type="noConversion"/>
  </si>
  <si>
    <t>Ⅷ-延1</t>
    <phoneticPr fontId="3" type="noConversion"/>
  </si>
  <si>
    <t>Ⅷ-亦1</t>
    <phoneticPr fontId="3" type="noConversion"/>
  </si>
  <si>
    <t>Ⅷ-文化教育基地</t>
    <phoneticPr fontId="3" type="noConversion"/>
  </si>
  <si>
    <t>Ⅷ-苏家坨科技Ⅰ</t>
    <phoneticPr fontId="3" type="noConversion"/>
  </si>
  <si>
    <t>Ⅷ-苏家坨科技Ⅱ</t>
    <phoneticPr fontId="3" type="noConversion"/>
  </si>
  <si>
    <t>Ⅷ-通州环保园</t>
    <phoneticPr fontId="3" type="noConversion"/>
  </si>
  <si>
    <t>Ⅷ-通州开发区东</t>
    <phoneticPr fontId="3" type="noConversion"/>
  </si>
  <si>
    <t>Ⅷ-空港北区B</t>
    <phoneticPr fontId="3" type="noConversion"/>
  </si>
  <si>
    <t>Ⅷ-昌平园北Ⅱ</t>
    <phoneticPr fontId="3" type="noConversion"/>
  </si>
  <si>
    <t>Ⅷ-昌平园北Ⅲ</t>
    <phoneticPr fontId="3" type="noConversion"/>
  </si>
  <si>
    <t>Ⅷ-昌平园南Ⅱ</t>
    <phoneticPr fontId="3" type="noConversion"/>
  </si>
  <si>
    <t>Ⅷ-小汤山工业园</t>
    <phoneticPr fontId="3" type="noConversion"/>
  </si>
  <si>
    <t>Ⅷ-生物医药基地</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</si>
  <si>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</si>
  <si>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</si>
  <si>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</si>
  <si>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</si>
  <si>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</si>
  <si>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</si>
  <si>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</si>
  <si>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Ⅸ-昌1</t>
    <phoneticPr fontId="3" type="noConversion"/>
  </si>
  <si>
    <t>Ⅸ-怀1</t>
    <phoneticPr fontId="3" type="noConversion"/>
  </si>
  <si>
    <t>Ⅸ-平1</t>
    <phoneticPr fontId="3" type="noConversion"/>
  </si>
  <si>
    <t>Ⅸ-密1</t>
    <phoneticPr fontId="3" type="noConversion"/>
  </si>
  <si>
    <t>Ⅸ-延1</t>
    <phoneticPr fontId="3" type="noConversion"/>
  </si>
  <si>
    <t>Ⅸ-亦1</t>
    <phoneticPr fontId="3" type="noConversion"/>
  </si>
  <si>
    <t>Ⅸ-房山工业园西</t>
    <phoneticPr fontId="3" type="noConversion"/>
  </si>
  <si>
    <t>Ⅸ-房山工业园东</t>
    <phoneticPr fontId="3" type="noConversion"/>
  </si>
  <si>
    <t>Ⅸ-采育开发区</t>
    <phoneticPr fontId="3" type="noConversion"/>
  </si>
  <si>
    <t>Ⅸ-雁栖开发区A</t>
    <phoneticPr fontId="3" type="noConversion"/>
  </si>
  <si>
    <t>Ⅹ-01</t>
    <phoneticPr fontId="3" type="noConversion"/>
  </si>
  <si>
    <t>Ⅹ-门1</t>
    <phoneticPr fontId="3" type="noConversion"/>
  </si>
  <si>
    <t>Ⅹ-房1</t>
    <phoneticPr fontId="3" type="noConversion"/>
  </si>
  <si>
    <t>Ⅹ-顺1</t>
    <phoneticPr fontId="3" type="noConversion"/>
  </si>
  <si>
    <t>Ⅹ-昌1</t>
    <phoneticPr fontId="3" type="noConversion"/>
  </si>
  <si>
    <t>Ⅹ-兴1</t>
    <phoneticPr fontId="3" type="noConversion"/>
  </si>
  <si>
    <t>Ⅹ-怀1</t>
    <phoneticPr fontId="3" type="noConversion"/>
  </si>
  <si>
    <t>Ⅹ-平1</t>
    <phoneticPr fontId="3" type="noConversion"/>
  </si>
  <si>
    <t>Ⅹ-密1</t>
    <phoneticPr fontId="3" type="noConversion"/>
  </si>
  <si>
    <t>Ⅹ-延1</t>
    <phoneticPr fontId="3" type="noConversion"/>
  </si>
  <si>
    <t>Ⅹ-亦1</t>
    <phoneticPr fontId="3" type="noConversion"/>
  </si>
  <si>
    <t>十一级</t>
    <phoneticPr fontId="3" type="noConversion"/>
  </si>
  <si>
    <t>Ⅺ-门1</t>
    <phoneticPr fontId="3" type="noConversion"/>
  </si>
  <si>
    <t>Ⅺ-门斋</t>
    <phoneticPr fontId="3" type="noConversion"/>
  </si>
  <si>
    <t>Ⅺ-房1</t>
    <phoneticPr fontId="3" type="noConversion"/>
  </si>
  <si>
    <t>Ⅺ-顺1</t>
    <phoneticPr fontId="3" type="noConversion"/>
  </si>
  <si>
    <t>Ⅺ-昌1</t>
    <phoneticPr fontId="3" type="noConversion"/>
  </si>
  <si>
    <t>Ⅺ-怀1</t>
    <phoneticPr fontId="3" type="noConversion"/>
  </si>
  <si>
    <t>Ⅺ-平1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</si>
  <si>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</si>
  <si>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</si>
  <si>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</si>
  <si>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</si>
  <si>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</si>
  <si>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</si>
  <si>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Ⅻ-怀1</t>
    <phoneticPr fontId="3" type="noConversion"/>
  </si>
  <si>
    <t>Ⅻ-平1</t>
    <phoneticPr fontId="3" type="noConversion"/>
  </si>
  <si>
    <t>Ⅻ-密1</t>
    <phoneticPr fontId="3" type="noConversion"/>
  </si>
  <si>
    <t>Ⅻ-延1</t>
    <phoneticPr fontId="3" type="noConversion"/>
  </si>
  <si>
    <t>北京市区片基准地价因素总修正幅度表</t>
    <phoneticPr fontId="3" type="noConversion"/>
  </si>
  <si>
    <t>Ⅴ-亦1</t>
    <phoneticPr fontId="3" type="noConversion"/>
  </si>
  <si>
    <t>Ⅵ-亦1</t>
    <phoneticPr fontId="3" type="noConversion"/>
  </si>
  <si>
    <t>Ⅵ-永丰产业基地</t>
    <phoneticPr fontId="3" type="noConversion"/>
  </si>
  <si>
    <t>Ⅵ-航天城</t>
    <phoneticPr fontId="3" type="noConversion"/>
  </si>
  <si>
    <t>Ⅵ-西北旺Ⅰ</t>
    <phoneticPr fontId="3" type="noConversion"/>
  </si>
  <si>
    <t>Ⅵ-西北旺Ⅱ</t>
    <phoneticPr fontId="3" type="noConversion"/>
  </si>
  <si>
    <t>Ⅵ-丰台西园Ⅰ</t>
    <phoneticPr fontId="3" type="noConversion"/>
  </si>
  <si>
    <t>Ⅵ-丰台西园Ⅱ</t>
    <phoneticPr fontId="3" type="noConversion"/>
  </si>
  <si>
    <t>Ⅵ-石景山园北Ⅰ</t>
    <phoneticPr fontId="3" type="noConversion"/>
  </si>
  <si>
    <t>Ⅵ-石景山园北Ⅱ</t>
    <phoneticPr fontId="3" type="noConversion"/>
  </si>
  <si>
    <t>Ⅵ-石景山园南</t>
    <phoneticPr fontId="3" type="noConversion"/>
  </si>
  <si>
    <t>Ⅵ-通州开发区西</t>
    <phoneticPr fontId="3" type="noConversion"/>
  </si>
  <si>
    <t>Ⅵ-光机电</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</si>
  <si>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</si>
  <si>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</si>
  <si>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</si>
  <si>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</si>
  <si>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</si>
  <si>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</si>
  <si>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</si>
  <si>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</si>
  <si>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</si>
  <si>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</si>
  <si>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Ⅶ-石龙开发区</t>
    <phoneticPr fontId="3" type="noConversion"/>
  </si>
  <si>
    <r>
      <t>Ⅶ-良乡开发区</t>
    </r>
    <r>
      <rPr>
        <sz val="8"/>
        <color indexed="8"/>
        <rFont val="仿宋_GB2312"/>
        <family val="3"/>
        <charset val="134"/>
      </rPr>
      <t>A</t>
    </r>
    <phoneticPr fontId="3" type="noConversion"/>
  </si>
  <si>
    <r>
      <t>Ⅶ-良乡开发区</t>
    </r>
    <r>
      <rPr>
        <sz val="8"/>
        <color indexed="8"/>
        <rFont val="仿宋_GB2312"/>
        <family val="3"/>
        <charset val="134"/>
      </rPr>
      <t>B</t>
    </r>
    <phoneticPr fontId="3" type="noConversion"/>
  </si>
  <si>
    <r>
      <t>Ⅶ-良乡开发区</t>
    </r>
    <r>
      <rPr>
        <sz val="8"/>
        <color indexed="8"/>
        <rFont val="仿宋_GB2312"/>
        <family val="3"/>
        <charset val="134"/>
      </rPr>
      <t>C</t>
    </r>
    <phoneticPr fontId="3" type="noConversion"/>
  </si>
  <si>
    <t>Ⅶ-林河开发区</t>
    <phoneticPr fontId="3" type="noConversion"/>
  </si>
  <si>
    <t>Ⅶ-空港北区A</t>
    <phoneticPr fontId="3" type="noConversion"/>
  </si>
  <si>
    <r>
      <t>Ⅶ-昌平园北</t>
    </r>
    <r>
      <rPr>
        <sz val="8"/>
        <color indexed="8"/>
        <rFont val="宋体"/>
        <family val="3"/>
        <charset val="134"/>
      </rPr>
      <t>Ⅰ</t>
    </r>
    <phoneticPr fontId="3" type="noConversion"/>
  </si>
  <si>
    <t>Ⅶ-BDA南</t>
    <phoneticPr fontId="3" type="noConversion"/>
  </si>
  <si>
    <t>Ⅷ-昌平园北Ⅱ</t>
    <phoneticPr fontId="3" type="noConversion"/>
  </si>
  <si>
    <t>Ⅷ-昌平园北Ⅲ</t>
    <phoneticPr fontId="3" type="noConversion"/>
  </si>
  <si>
    <t>Ⅷ-昌平园南Ⅰ</t>
    <phoneticPr fontId="3" type="noConversion"/>
  </si>
  <si>
    <t>Ⅷ-昌平园南Ⅱ</t>
    <phoneticPr fontId="3" type="noConversion"/>
  </si>
  <si>
    <t>Ⅷ-小汤山工业园</t>
    <phoneticPr fontId="3" type="noConversion"/>
  </si>
  <si>
    <t>Ⅷ-生物医药基地</t>
    <phoneticPr fontId="3" type="noConversion"/>
  </si>
  <si>
    <t>Ⅸ-房山工业园西</t>
    <phoneticPr fontId="3" type="noConversion"/>
  </si>
  <si>
    <t>Ⅸ-房山工业园东</t>
    <phoneticPr fontId="3" type="noConversion"/>
  </si>
  <si>
    <t>Ⅸ-永乐开发区</t>
    <phoneticPr fontId="3" type="noConversion"/>
  </si>
  <si>
    <t>Ⅸ-采育开发区</t>
    <phoneticPr fontId="3" type="noConversion"/>
  </si>
  <si>
    <t>Ⅸ-雁栖开发区A</t>
    <phoneticPr fontId="3" type="noConversion"/>
  </si>
  <si>
    <t>Ⅸ-雁栖开发区B</t>
    <phoneticPr fontId="3" type="noConversion"/>
  </si>
  <si>
    <t>Ⅸ-雁栖开发区C</t>
    <phoneticPr fontId="3" type="noConversion"/>
  </si>
  <si>
    <t>Ⅸ-兴谷开发区A</t>
    <phoneticPr fontId="3" type="noConversion"/>
  </si>
  <si>
    <t>Ⅸ-兴谷开发区B</t>
    <phoneticPr fontId="3" type="noConversion"/>
  </si>
  <si>
    <t>Ⅸ-马坊工业园</t>
    <phoneticPr fontId="3" type="noConversion"/>
  </si>
  <si>
    <t>Ⅸ-密云开发区</t>
    <phoneticPr fontId="3" type="noConversion"/>
  </si>
  <si>
    <t>Ⅸ-延庆开发区</t>
    <phoneticPr fontId="3" type="noConversion"/>
  </si>
  <si>
    <t>Ⅸ-八达岭开发区</t>
    <phoneticPr fontId="3" type="noConversion"/>
  </si>
  <si>
    <t>北京市级别基准地价表（楼面地价）</t>
    <phoneticPr fontId="134" type="noConversion"/>
  </si>
  <si>
    <t>（一）北京市级别基准地价表</t>
    <phoneticPr fontId="134" type="noConversion"/>
  </si>
  <si>
    <t xml:space="preserve">基准期日：2021年１月１日                        </t>
    <phoneticPr fontId="134" type="noConversion"/>
  </si>
  <si>
    <t>单位：元／平方米</t>
    <phoneticPr fontId="134" type="noConversion"/>
  </si>
  <si>
    <t>公共服务</t>
    <phoneticPr fontId="134" type="noConversion"/>
  </si>
  <si>
    <t>（2）</t>
    <phoneticPr fontId="76" type="noConversion"/>
  </si>
  <si>
    <t>（3）</t>
    <phoneticPr fontId="76"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</si>
  <si>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3" type="noConversion"/>
  </si>
  <si>
    <r>
      <rPr>
        <sz val="10"/>
        <rFont val="宋体"/>
        <family val="3"/>
        <charset val="134"/>
      </rPr>
      <t>浮动范围</t>
    </r>
    <r>
      <rPr>
        <sz val="10"/>
        <rFont val="Arial"/>
        <family val="2"/>
      </rPr>
      <t>1.00~1.05</t>
    </r>
    <phoneticPr fontId="3" type="noConversion"/>
  </si>
  <si>
    <r>
      <rPr>
        <sz val="10"/>
        <color rgb="FFFF0000"/>
        <rFont val="宋体"/>
        <family val="3"/>
        <charset val="134"/>
      </rPr>
      <t xml:space="preserve">不需调整填 " 1 </t>
    </r>
    <r>
      <rPr>
        <sz val="10"/>
        <rFont val="宋体"/>
        <family val="3"/>
        <charset val="134"/>
      </rPr>
      <t>"</t>
    </r>
    <phoneticPr fontId="3" type="noConversion"/>
  </si>
  <si>
    <t>（4）</t>
    <phoneticPr fontId="76" type="noConversion"/>
  </si>
  <si>
    <r>
      <rPr>
        <sz val="10"/>
        <rFont val="宋体"/>
        <family val="3"/>
        <charset val="134"/>
      </rPr>
      <t>无</t>
    </r>
    <phoneticPr fontId="3"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</si>
  <si>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3" type="noConversion"/>
  </si>
  <si>
    <t>（5）</t>
    <phoneticPr fontId="76" type="noConversion"/>
  </si>
  <si>
    <t>自持修正</t>
    <phoneticPr fontId="3" type="noConversion"/>
  </si>
  <si>
    <t>自持年期修正系数</t>
    <phoneticPr fontId="3" type="noConversion"/>
  </si>
  <si>
    <t>自持年期（n)</t>
    <phoneticPr fontId="3" type="noConversion"/>
  </si>
  <si>
    <t>自持面积</t>
    <phoneticPr fontId="3" type="noConversion"/>
  </si>
  <si>
    <t>自持面积比例</t>
    <phoneticPr fontId="3" type="noConversion"/>
  </si>
  <si>
    <t>Kn</t>
    <phoneticPr fontId="3" type="noConversion"/>
  </si>
  <si>
    <t>全部面积</t>
    <phoneticPr fontId="3" type="noConversion"/>
  </si>
  <si>
    <t>KN</t>
    <phoneticPr fontId="3" type="noConversion"/>
  </si>
  <si>
    <t>（6）</t>
    <phoneticPr fontId="76" type="noConversion"/>
  </si>
  <si>
    <t>中心城区</t>
  </si>
  <si>
    <t>按公示增长率计算</t>
  </si>
  <si>
    <r>
      <t>R</t>
    </r>
    <r>
      <rPr>
        <sz val="11"/>
        <rFont val="宋体"/>
        <family val="3"/>
        <charset val="134"/>
      </rPr>
      <t>＜</t>
    </r>
    <r>
      <rPr>
        <sz val="11"/>
        <rFont val="Arial"/>
        <family val="2"/>
      </rPr>
      <t>10</t>
    </r>
    <phoneticPr fontId="3" type="noConversion"/>
  </si>
  <si>
    <r>
      <t>R</t>
    </r>
    <r>
      <rPr>
        <sz val="11"/>
        <rFont val="宋体"/>
        <family val="3"/>
        <charset val="134"/>
      </rPr>
      <t>≥</t>
    </r>
    <r>
      <rPr>
        <sz val="11"/>
        <rFont val="Arial"/>
        <family val="2"/>
      </rPr>
      <t>10</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</si>
  <si>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3" type="noConversion"/>
  </si>
  <si>
    <t>楼面熟地价=适用的基准地价×用途修正系数×期日修正系数×年期修正系数×（容积率修正系数或楼层修正系数）×因素修正系数</t>
    <phoneticPr fontId="3" type="noConversion"/>
  </si>
  <si>
    <t>楼面熟地价=适用的基准地价×用途修正系数×期日修正系数×年期修正系数×因素修正系数×相应用途地下空间修正系数</t>
    <phoneticPr fontId="76" type="noConversion"/>
  </si>
  <si>
    <t>公共服务</t>
    <phoneticPr fontId="76" type="noConversion"/>
  </si>
  <si>
    <t>不低于</t>
    <phoneticPr fontId="3" type="noConversion"/>
  </si>
  <si>
    <t>不高于</t>
    <phoneticPr fontId="3" type="noConversion"/>
  </si>
  <si>
    <t>lpr</t>
    <phoneticPr fontId="3" type="noConversion"/>
  </si>
  <si>
    <t>加浮动点数</t>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</si>
  <si>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3" type="noConversion"/>
  </si>
  <si>
    <r>
      <t>6</t>
    </r>
    <r>
      <rPr>
        <sz val="10"/>
        <color theme="1"/>
        <rFont val="宋体"/>
        <family val="3"/>
        <charset val="134"/>
      </rPr>
      <t>层及以上</t>
    </r>
    <phoneticPr fontId="3" type="noConversion"/>
  </si>
  <si>
    <t>城市规划及区域土地利用方向</t>
    <phoneticPr fontId="3" type="noConversion"/>
  </si>
  <si>
    <t>城市规划及区域土地利用方向</t>
    <phoneticPr fontId="3" type="noConversion"/>
  </si>
  <si>
    <r>
      <rPr>
        <sz val="10"/>
        <color theme="1"/>
        <rFont val="宋体"/>
        <family val="3"/>
        <charset val="134"/>
      </rPr>
      <t>影响因素</t>
    </r>
    <phoneticPr fontId="3" type="noConversion"/>
  </si>
  <si>
    <t>物业聚集程度</t>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</si>
  <si>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</si>
  <si>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</si>
  <si>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</si>
  <si>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</si>
  <si>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</si>
  <si>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</si>
  <si>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</si>
  <si>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</si>
  <si>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</si>
  <si>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</si>
  <si>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幅度控制</t>
    </r>
    <r>
      <rPr>
        <sz val="10"/>
        <color rgb="FFFF0000"/>
        <rFont val="Arial"/>
        <family val="2"/>
      </rPr>
      <t>(±)</t>
    </r>
    <phoneticPr fontId="3" type="noConversion"/>
  </si>
  <si>
    <r>
      <rPr>
        <sz val="10"/>
        <color indexed="8"/>
        <rFont val="宋体"/>
        <family val="3"/>
        <charset val="134"/>
      </rPr>
      <t>修正系数</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</si>
  <si>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3" type="noConversion"/>
  </si>
  <si>
    <r>
      <rPr>
        <sz val="10"/>
        <color theme="9" tint="-0.249977111117893"/>
        <rFont val="宋体"/>
        <family val="3"/>
        <charset val="134"/>
      </rPr>
      <t>宗地形状？，但对宗地利用影响？</t>
    </r>
    <phoneticPr fontId="3" type="noConversion"/>
  </si>
  <si>
    <r>
      <rPr>
        <sz val="10"/>
        <color rgb="FFFF0000"/>
        <rFont val="宋体"/>
        <family val="3"/>
        <charset val="134"/>
      </rPr>
      <t>各因素幅度控制</t>
    </r>
    <r>
      <rPr>
        <sz val="10"/>
        <color rgb="FFFF0000"/>
        <rFont val="Arial"/>
        <family val="2"/>
      </rPr>
      <t>(±)</t>
    </r>
    <phoneticPr fontId="3" type="noConversion"/>
  </si>
  <si>
    <r>
      <rPr>
        <sz val="10"/>
        <color indexed="8"/>
        <rFont val="宋体"/>
        <family val="3"/>
        <charset val="134"/>
      </rPr>
      <t>权重</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</si>
  <si>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</si>
  <si>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</si>
  <si>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</si>
  <si>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</si>
  <si>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</si>
  <si>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</si>
  <si>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</si>
  <si>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</si>
  <si>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</si>
  <si>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</si>
  <si>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</si>
  <si>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</si>
  <si>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</si>
  <si>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</si>
  <si>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</si>
  <si>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</si>
  <si>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</si>
  <si>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</si>
  <si>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</si>
  <si>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</si>
  <si>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</si>
  <si>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</si>
  <si>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</si>
  <si>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</si>
  <si>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</si>
  <si>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</si>
  <si>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</si>
  <si>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</si>
  <si>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</si>
  <si>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</si>
  <si>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</si>
  <si>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</si>
  <si>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</si>
  <si>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</si>
  <si>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</si>
  <si>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</si>
  <si>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</si>
  <si>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</si>
  <si>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</si>
  <si>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</si>
  <si>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</si>
  <si>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</si>
  <si>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</si>
  <si>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t>出让</t>
  </si>
  <si>
    <t>车库</t>
  </si>
  <si>
    <t>仓储</t>
  </si>
  <si>
    <t>容积率修正</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</si>
  <si>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</si>
  <si>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</si>
  <si>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</si>
  <si>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</si>
  <si>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</si>
  <si>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</si>
  <si>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</si>
  <si>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</si>
  <si>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</si>
  <si>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</si>
  <si>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</si>
  <si>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</si>
  <si>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</si>
  <si>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</si>
  <si>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</si>
  <si>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6" type="noConversion"/>
  </si>
  <si>
    <t>承租人权益价值（单套）</t>
    <phoneticPr fontId="3" type="noConversion"/>
  </si>
  <si>
    <t>万元</t>
    <phoneticPr fontId="137" type="noConversion"/>
  </si>
  <si>
    <t>元/平方米</t>
  </si>
  <si>
    <t>2022-2</t>
    <phoneticPr fontId="3" type="noConversion"/>
  </si>
  <si>
    <t>需转化为价格</t>
    <phoneticPr fontId="134" type="noConversion"/>
  </si>
  <si>
    <t>租金</t>
    <phoneticPr fontId="134" type="noConversion"/>
  </si>
  <si>
    <t>直接资本化率</t>
    <phoneticPr fontId="134" type="noConversion"/>
  </si>
  <si>
    <t>需考虑建筑物残值</t>
  </si>
  <si>
    <t>2022-3</t>
    <phoneticPr fontId="134" type="noConversion"/>
  </si>
  <si>
    <t>2022-2</t>
    <phoneticPr fontId="3" type="noConversion"/>
  </si>
  <si>
    <t>2022-1</t>
    <phoneticPr fontId="3" type="noConversion"/>
  </si>
  <si>
    <t>2022-4</t>
    <phoneticPr fontId="3" type="noConversion"/>
  </si>
  <si>
    <t>2022-3</t>
    <phoneticPr fontId="3" type="noConversion"/>
  </si>
  <si>
    <t>2022-4</t>
    <phoneticPr fontId="3" type="noConversion"/>
  </si>
  <si>
    <t>2022-3</t>
    <phoneticPr fontId="3" type="noConversion"/>
  </si>
  <si>
    <t>中心城区：城六区，对应北京市地价动态监测结果的国家级样点和市级样点中办公（市区）</t>
    <phoneticPr fontId="142" type="noConversion"/>
  </si>
  <si>
    <r>
      <t>非中心城区：除城六区外其余十一区，对应北京市地价动态监测结果的市级样点，即</t>
    </r>
    <r>
      <rPr>
        <sz val="10"/>
        <rFont val="楷体_GB2312"/>
        <family val="3"/>
        <charset val="134"/>
      </rPr>
      <t>规划新城</t>
    </r>
    <phoneticPr fontId="142" type="noConversion"/>
  </si>
  <si>
    <t>2023-2</t>
  </si>
  <si>
    <t>2023-4</t>
  </si>
  <si>
    <t>2023-3</t>
  </si>
  <si>
    <t>核定资产</t>
  </si>
  <si>
    <t>房地产市场价值</t>
  </si>
  <si>
    <t>北京市</t>
  </si>
  <si>
    <t>企业</t>
  </si>
  <si>
    <t>序号</t>
    <phoneticPr fontId="134" type="noConversion"/>
  </si>
  <si>
    <t>用地性质</t>
    <phoneticPr fontId="134" type="noConversion"/>
  </si>
  <si>
    <t>建筑密度（%）</t>
    <phoneticPr fontId="134" type="noConversion"/>
  </si>
  <si>
    <t>地块编号</t>
  </si>
  <si>
    <t>绿地率（%）</t>
    <rPh sb="1" eb="2">
      <t>di</t>
    </rPh>
    <phoneticPr fontId="134" type="noConversion"/>
  </si>
  <si>
    <t>备注</t>
    <rPh sb="0" eb="1">
      <t>bei zhu</t>
    </rPh>
    <phoneticPr fontId="134" type="noConversion"/>
  </si>
  <si>
    <t>建设共有产权房</t>
    <phoneticPr fontId="134" type="noConversion"/>
  </si>
  <si>
    <t>合计</t>
    <rPh sb="0" eb="1">
      <t>he ji</t>
    </rPh>
    <phoneticPr fontId="134" type="noConversion"/>
  </si>
  <si>
    <t>-</t>
    <phoneticPr fontId="134" type="noConversion"/>
  </si>
  <si>
    <t>地上</t>
  </si>
  <si>
    <t>住宅</t>
  </si>
  <si>
    <t>是</t>
  </si>
  <si>
    <t>住宅</t>
    <rPh sb="0" eb="1">
      <t>zhu zhai</t>
    </rPh>
    <phoneticPr fontId="7" type="noConversion"/>
  </si>
  <si>
    <t>利息：取LPR加浮动点数</t>
  </si>
  <si>
    <t>成新度</t>
  </si>
  <si>
    <t>现房</t>
  </si>
  <si>
    <t>项目局部</t>
  </si>
  <si>
    <t>成本法 (元)</t>
  </si>
  <si>
    <t>比较法-住宅</t>
  </si>
  <si>
    <t>楼面单价</t>
  </si>
  <si>
    <t>已包含在土地取得成本中</t>
  </si>
  <si>
    <t>地块名称</t>
  </si>
  <si>
    <t>用地性质</t>
  </si>
  <si>
    <t>建设用地面积(㎡)</t>
  </si>
  <si>
    <t>规划建筑面积(㎡)</t>
  </si>
  <si>
    <t>容积率</t>
  </si>
  <si>
    <t>出让方式</t>
  </si>
  <si>
    <t>详细规划</t>
  </si>
  <si>
    <t>集中供地</t>
  </si>
  <si>
    <t>截止日期</t>
  </si>
  <si>
    <t>成交日期</t>
  </si>
  <si>
    <t>成交状态</t>
  </si>
  <si>
    <t>受让单位</t>
  </si>
  <si>
    <t>起始价(万元)</t>
  </si>
  <si>
    <t>保证金(万元)</t>
  </si>
  <si>
    <t>保证金截止时间</t>
  </si>
  <si>
    <t>成交价(万元)</t>
  </si>
  <si>
    <t>成交楼面价(元/㎡)</t>
  </si>
  <si>
    <t>溢价率(%)</t>
  </si>
  <si>
    <t>北京城建北方瀛海国际人才公寓1号地</t>
    <phoneticPr fontId="134" type="noConversion"/>
  </si>
  <si>
    <t>北京市大兴区瀛海镇集体经营性建设用地入市试点(一期) YZ00-0803-0012 地块</t>
    <phoneticPr fontId="134" type="noConversion"/>
  </si>
  <si>
    <t>YZ00-0803-0012</t>
  </si>
  <si>
    <t xml:space="preserve"> 住宅用地</t>
  </si>
  <si>
    <t xml:space="preserve"> 挂牌</t>
  </si>
  <si>
    <t xml:space="preserve"> F81绿隔产业用地(建设人才公寓)</t>
    <phoneticPr fontId="134" type="noConversion"/>
  </si>
  <si>
    <t xml:space="preserve">-- </t>
  </si>
  <si>
    <t xml:space="preserve"> 已成交</t>
  </si>
  <si>
    <t xml:space="preserve"> 北京博大新元房地产开发有限公司  </t>
  </si>
  <si>
    <t>50年</t>
    <phoneticPr fontId="134" type="noConversion"/>
  </si>
  <si>
    <t>北京市大兴区魏善庄镇集体经营性建设用地(北部组团)项目DX07-0303-0009地块</t>
    <phoneticPr fontId="134" type="noConversion"/>
  </si>
  <si>
    <t>京土集使挂(兴)[2021]001号</t>
  </si>
  <si>
    <t xml:space="preserve"> 其它用地</t>
  </si>
  <si>
    <t xml:space="preserve"> ≤2.2</t>
  </si>
  <si>
    <t xml:space="preserve"> F81绿隔产业用地</t>
  </si>
  <si>
    <t xml:space="preserve"> 北京兴瑞众信投资管理有限公司  </t>
  </si>
  <si>
    <t>2021-07-29 17:00</t>
  </si>
  <si>
    <t>兴海星光里（南五环外，京台高速西侧）</t>
    <phoneticPr fontId="134" type="noConversion"/>
  </si>
  <si>
    <t>集体建设用地区级统筹大兴区瀛海镇YZ00-0803-2009、2012A、2012B、2015地块</t>
    <phoneticPr fontId="134" type="noConversion"/>
  </si>
  <si>
    <t>京土集使挂(兴)[2019]001号</t>
  </si>
  <si>
    <t xml:space="preserve"> 综合用地(含住宅)</t>
  </si>
  <si>
    <t xml:space="preserve"> f81≤2.5</t>
  </si>
  <si>
    <t>北投如郡（南五环外，京台高速西侧）</t>
    <phoneticPr fontId="134" type="noConversion"/>
  </si>
  <si>
    <t>集体建设用地区级统筹大兴区瀛海镇YZ00-0803-2003、2004、2005A、2005B、2008地块</t>
    <phoneticPr fontId="134" type="noConversion"/>
  </si>
  <si>
    <t>京土集使挂(兴)[2019]003号</t>
  </si>
  <si>
    <t xml:space="preserve"> F81绿隔产业用地(建设共有产权房)</t>
    <phoneticPr fontId="134" type="noConversion"/>
  </si>
  <si>
    <t xml:space="preserve"> 北京北投如郡房地产开发有限公司  </t>
    <phoneticPr fontId="134" type="noConversion"/>
  </si>
  <si>
    <t>2020-12-24 17:00</t>
  </si>
  <si>
    <t>槐房西路西侧（南五环内）40年</t>
    <phoneticPr fontId="134" type="noConversion"/>
  </si>
  <si>
    <t>北京市大兴区西红门镇集体经营性建设用地2号地D地块</t>
    <phoneticPr fontId="134" type="noConversion"/>
  </si>
  <si>
    <t>京土集使挂(兴)[2020]003号</t>
  </si>
  <si>
    <t xml:space="preserve"> 中节能首座(北京)建设有限公司  </t>
  </si>
  <si>
    <t>2020-12-23 17:00</t>
  </si>
  <si>
    <t>狼垡东桥东南侧（南五环边）50年</t>
    <phoneticPr fontId="134" type="noConversion"/>
  </si>
  <si>
    <t>北京市大兴区黄村镇狼垡地区集体产业用地2号地DX00-1002-L06地块</t>
    <phoneticPr fontId="134" type="noConversion"/>
  </si>
  <si>
    <t>京土集使挂(兴)[2020]001号</t>
  </si>
  <si>
    <t xml:space="preserve"> ≤2.5</t>
  </si>
  <si>
    <t xml:space="preserve"> F81绿隔产业用地</t>
    <phoneticPr fontId="134" type="noConversion"/>
  </si>
  <si>
    <t xml:space="preserve"> 北京兴业恒盛置业有限公司  </t>
  </si>
  <si>
    <t>2020-12-17 17:00</t>
  </si>
  <si>
    <t>北京市大兴区旧宫镇绿隔地区农村集体经营性建设用地试点项目用地</t>
  </si>
  <si>
    <t>京土集使挂(兴)[2020]002号</t>
  </si>
  <si>
    <t xml:space="preserve"> --</t>
  </si>
  <si>
    <t xml:space="preserve"> 流拍</t>
  </si>
  <si>
    <t xml:space="preserve"> -- </t>
  </si>
  <si>
    <t>正商杏海苑（南五环外，京台高速西侧）</t>
    <phoneticPr fontId="134" type="noConversion"/>
  </si>
  <si>
    <t>集体建设用地区级统筹大兴区瀛海镇YZ00-0803-2010、2013A、2013B、2014、2016地块</t>
    <phoneticPr fontId="134" type="noConversion"/>
  </si>
  <si>
    <t>京土集使挂(兴)[2019]002号</t>
  </si>
  <si>
    <t xml:space="preserve"> 北京上瑞置业有限公司  </t>
    <phoneticPr fontId="134" type="noConversion"/>
  </si>
  <si>
    <t>人才公寓</t>
    <phoneticPr fontId="134" type="noConversion"/>
  </si>
  <si>
    <t>北京市大兴区西红门镇集体经营性建设用地入市试点2号地C地块(2-006-1)F81绿隔产业用地</t>
    <phoneticPr fontId="134" type="noConversion"/>
  </si>
  <si>
    <t>京土集使挂(兴)[2018]002号</t>
  </si>
  <si>
    <t xml:space="preserve"> ≤2.0</t>
  </si>
  <si>
    <t xml:space="preserve"> 中铁第五勘察设计院集团有限公司 、中国铁建投资集团有限公司 、中铁十一局集团有限公司 、中铁磁浮交通投资建设有限公司 、中铁建设集团房地产有限公司  </t>
  </si>
  <si>
    <t>集体建设用地区级统筹大兴区瀛海镇YZ00-0803-2009、2012A、2012B、2015地块</t>
  </si>
  <si>
    <t>京土集使挂(兴)[2018]003号</t>
  </si>
  <si>
    <t xml:space="preserve"> F81绿隔产业用地(建设共有产权住房)</t>
  </si>
  <si>
    <t xml:space="preserve"> 中止交易</t>
  </si>
  <si>
    <t>集体建设用地区级统筹大兴区瀛海镇YZ00-0803-2010、2013A、2013B、2014、2016地块</t>
  </si>
  <si>
    <t>京土集使挂(兴)[2018]004号</t>
  </si>
  <si>
    <t>集体建设用地区级统筹大兴区瀛海镇YZ00-0803-2003、2004、2005A、2005B、2008地块</t>
  </si>
  <si>
    <t>京土集使挂(兴)[2018]005号</t>
  </si>
  <si>
    <t>正常</t>
  </si>
  <si>
    <t>F81绿隔产业用地（建设共有产权住房）</t>
    <rPh sb="3" eb="4">
      <t>lü ge chan ye</t>
    </rPh>
    <rPh sb="7" eb="8">
      <t>yong di</t>
    </rPh>
    <rPh sb="10" eb="11">
      <t>jian she</t>
    </rPh>
    <rPh sb="12" eb="13">
      <t>gong you</t>
    </rPh>
    <rPh sb="14" eb="15">
      <t>chan quan</t>
    </rPh>
    <rPh sb="16" eb="17">
      <t>zhu fang</t>
    </rPh>
    <phoneticPr fontId="30" type="noConversion"/>
  </si>
  <si>
    <t>2019-4</t>
    <phoneticPr fontId="30" type="noConversion"/>
  </si>
  <si>
    <t>2019-3</t>
    <phoneticPr fontId="30" type="noConversion"/>
  </si>
  <si>
    <t>70</t>
    <phoneticPr fontId="3" type="noConversion"/>
  </si>
  <si>
    <t>设定为挂牌出让</t>
  </si>
  <si>
    <t>设定为挂牌出让</t>
    <phoneticPr fontId="3" type="noConversion"/>
  </si>
  <si>
    <t>挂牌出让</t>
    <rPh sb="0" eb="1">
      <t>gua pai</t>
    </rPh>
    <rPh sb="2" eb="3">
      <t>chu rang</t>
    </rPh>
    <phoneticPr fontId="30" type="noConversion"/>
  </si>
  <si>
    <t>一般</t>
  </si>
  <si>
    <t>周边3公里范围内有南海子公园、志远庄公园等自然景观，人文景观较少，综合评价环境状况一般</t>
    <phoneticPr fontId="3" type="noConversion"/>
  </si>
  <si>
    <t>估价对象周边有瀛海家园、永旭家园、兴海园、玉璟园等住宅小区，居住用地比例、居住小区规模和社区发展完善程度，综合评价居住社区成熟度一般</t>
    <rPh sb="25" eb="26">
      <t>zhu zahi</t>
    </rPh>
    <phoneticPr fontId="40"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</si>
  <si>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4" type="noConversion"/>
  </si>
  <si>
    <t>估价对象邻近城市高速路-京台高速，附近有兴16路、兴38路、专83路等公交线路，周边道路状况、公共交通通达情况、停车便捷程度，综合评价交通便捷度较好</t>
    <phoneticPr fontId="40" type="noConversion"/>
  </si>
  <si>
    <t>估价对象周边有红星中学、瀛海镇第一中心小学、瀛海一幼幼儿园等教育机构，有肃宁正骨医院医疗设施，有北京农商银行等金融机构，公共配套设施状况一般</t>
    <phoneticPr fontId="40" type="noConversion"/>
  </si>
  <si>
    <t>估价对象所在区域基础设施水平-六通</t>
    <phoneticPr fontId="24" type="noConversion"/>
  </si>
  <si>
    <t>周边有瀛海家园、永旭家园、兴海园、玉璟园等住宅小区，居住用地比例、居住小区规模和社区发展完善程度，综合评价居住社区成熟度一般</t>
    <phoneticPr fontId="3" type="noConversion"/>
  </si>
  <si>
    <t>邻近城市高速路-京台高速，附近有兴16路、兴38路、专83路等公交线路，周边道路状况、公共交通通达情况、停车便捷程度，综合评价交通便捷度较好</t>
    <phoneticPr fontId="3" type="noConversion"/>
  </si>
  <si>
    <t>周边有红星中学、瀛海镇第一中心小学、瀛海一幼幼儿园等教育机构，有肃宁正骨医院医疗设施，有北京农商银行等金融机构，公共配套设施状况一般</t>
    <phoneticPr fontId="3" type="noConversion"/>
  </si>
  <si>
    <t>城市高速路</t>
    <phoneticPr fontId="3" type="noConversion"/>
  </si>
  <si>
    <t>城市主干道</t>
    <phoneticPr fontId="3" type="noConversion"/>
  </si>
  <si>
    <t>城市次干道</t>
    <phoneticPr fontId="3" type="noConversion"/>
  </si>
  <si>
    <t>城市支路</t>
    <phoneticPr fontId="3" type="noConversion"/>
  </si>
  <si>
    <t>规划道路</t>
    <phoneticPr fontId="3" type="noConversion"/>
  </si>
  <si>
    <t>规则</t>
    <phoneticPr fontId="3" type="noConversion"/>
  </si>
  <si>
    <t>较规则</t>
    <phoneticPr fontId="3" type="noConversion"/>
  </si>
  <si>
    <t>一般</t>
    <phoneticPr fontId="3" type="noConversion"/>
  </si>
  <si>
    <t>较不规则</t>
    <phoneticPr fontId="3" type="noConversion"/>
  </si>
  <si>
    <t>不规则</t>
    <phoneticPr fontId="3" type="noConversion"/>
  </si>
  <si>
    <t>七通一平</t>
    <phoneticPr fontId="3" type="noConversion"/>
  </si>
  <si>
    <t>六通一平</t>
    <phoneticPr fontId="3" type="noConversion"/>
  </si>
  <si>
    <t>五通一平</t>
    <phoneticPr fontId="3" type="noConversion"/>
  </si>
  <si>
    <t>四通一平</t>
    <phoneticPr fontId="3" type="noConversion"/>
  </si>
  <si>
    <t>三通一平</t>
    <phoneticPr fontId="3" type="noConversion"/>
  </si>
  <si>
    <t>二通一平</t>
    <phoneticPr fontId="3" type="noConversion"/>
  </si>
  <si>
    <t>一通一平</t>
    <phoneticPr fontId="3" type="noConversion"/>
  </si>
  <si>
    <t>一通或一平</t>
    <phoneticPr fontId="3" type="noConversion"/>
  </si>
  <si>
    <t>好</t>
    <phoneticPr fontId="3" type="noConversion"/>
  </si>
  <si>
    <t>较好</t>
    <phoneticPr fontId="3" type="noConversion"/>
  </si>
  <si>
    <t>较差</t>
    <phoneticPr fontId="3" type="noConversion"/>
  </si>
  <si>
    <t>差</t>
    <phoneticPr fontId="3" type="noConversion"/>
  </si>
  <si>
    <t>六通</t>
  </si>
  <si>
    <t>多面临街</t>
  </si>
  <si>
    <t>较规则</t>
  </si>
  <si>
    <t>宗地规划限制</t>
    <rPh sb="0" eb="1">
      <t>zong di gui hua</t>
    </rPh>
    <rPh sb="4" eb="5">
      <t>xian zhi</t>
    </rPh>
    <phoneticPr fontId="3" type="noConversion"/>
  </si>
  <si>
    <t>较好</t>
  </si>
  <si>
    <t>无</t>
    <rPh sb="0" eb="1">
      <t>wu</t>
    </rPh>
    <phoneticPr fontId="3" type="noConversion"/>
  </si>
  <si>
    <t>公式增长率</t>
    <rPh sb="0" eb="1">
      <t>gong shi zeng zhang lü</t>
    </rPh>
    <phoneticPr fontId="3" type="noConversion"/>
  </si>
  <si>
    <t>季度</t>
    <rPh sb="0" eb="1">
      <t>ji du</t>
    </rPh>
    <phoneticPr fontId="3" type="noConversion"/>
  </si>
  <si>
    <t>售价</t>
  </si>
  <si>
    <r>
      <rPr>
        <sz val="11"/>
        <color theme="1"/>
        <rFont val="宋体"/>
        <family val="3"/>
        <charset val="134"/>
      </rPr>
      <t>项目位置</t>
    </r>
    <phoneticPr fontId="3" type="noConversion"/>
  </si>
  <si>
    <t>住宅</t>
    <rPh sb="0" eb="1">
      <t>zhu zhai</t>
    </rPh>
    <phoneticPr fontId="24" type="noConversion"/>
  </si>
  <si>
    <t>60-70（含）</t>
    <phoneticPr fontId="24" type="noConversion"/>
  </si>
  <si>
    <t>产权性质</t>
    <rPh sb="0" eb="1">
      <t>chan quan xing zhi</t>
    </rPh>
    <phoneticPr fontId="24" type="noConversion"/>
  </si>
  <si>
    <t>共有产权住房</t>
    <rPh sb="0" eb="1">
      <t>gong you chan quan</t>
    </rPh>
    <rPh sb="4" eb="5">
      <t>zhu fang</t>
    </rPh>
    <phoneticPr fontId="24" type="noConversion"/>
  </si>
  <si>
    <t>所在楼层</t>
    <rPh sb="0" eb="1">
      <t>suo zai</t>
    </rPh>
    <rPh sb="2" eb="3">
      <t>lou ceng</t>
    </rPh>
    <phoneticPr fontId="24" type="noConversion"/>
  </si>
  <si>
    <t>设定为中楼层</t>
    <rPh sb="0" eb="1">
      <t>she ding wei</t>
    </rPh>
    <rPh sb="3" eb="4">
      <t>zhong lou ceng</t>
    </rPh>
    <phoneticPr fontId="24" type="noConversion"/>
  </si>
  <si>
    <t>设定为南北</t>
    <rPh sb="0" eb="1">
      <t>she ding wei</t>
    </rPh>
    <rPh sb="3" eb="4">
      <t>nan bei</t>
    </rPh>
    <phoneticPr fontId="24" type="noConversion"/>
  </si>
  <si>
    <t>朝向</t>
    <rPh sb="0" eb="1">
      <t>chao xiang</t>
    </rPh>
    <phoneticPr fontId="24" type="noConversion"/>
  </si>
  <si>
    <t>临街状况</t>
    <rPh sb="0" eb="1">
      <t>lin jie</t>
    </rPh>
    <rPh sb="2" eb="3">
      <t>zhuang kuang</t>
    </rPh>
    <phoneticPr fontId="24" type="noConversion"/>
  </si>
  <si>
    <t>多面临街</t>
    <rPh sb="0" eb="1">
      <t>duo mian lin jie</t>
    </rPh>
    <phoneticPr fontId="24" type="noConversion"/>
  </si>
  <si>
    <t>60-7-（含）</t>
    <rPh sb="6" eb="7">
      <t>han</t>
    </rPh>
    <phoneticPr fontId="24" type="noConversion"/>
  </si>
  <si>
    <t>共有产权房</t>
    <phoneticPr fontId="3" type="noConversion"/>
  </si>
  <si>
    <t>单面临街</t>
    <phoneticPr fontId="3" type="noConversion"/>
  </si>
  <si>
    <t>双面临街</t>
    <phoneticPr fontId="3" type="noConversion"/>
  </si>
  <si>
    <t>多面临街</t>
    <phoneticPr fontId="3" type="noConversion"/>
  </si>
  <si>
    <t>小高层板楼</t>
    <phoneticPr fontId="3" type="noConversion"/>
  </si>
  <si>
    <t>高层板楼</t>
    <phoneticPr fontId="3" type="noConversion"/>
  </si>
  <si>
    <t>多层板楼</t>
    <rPh sb="0" eb="1">
      <t>duo ceng</t>
    </rPh>
    <rPh sb="2" eb="3">
      <t>ban lou</t>
    </rPh>
    <phoneticPr fontId="24" type="noConversion"/>
  </si>
  <si>
    <t>板塔结合</t>
    <rPh sb="0" eb="1">
      <t>ban ta jie he</t>
    </rPh>
    <phoneticPr fontId="24" type="noConversion"/>
  </si>
  <si>
    <t>塔楼</t>
    <rPh sb="0" eb="1">
      <t>ta lou</t>
    </rPh>
    <phoneticPr fontId="24" type="noConversion"/>
  </si>
  <si>
    <t>专业物业公司管理</t>
    <phoneticPr fontId="3" type="noConversion"/>
  </si>
  <si>
    <t>平层</t>
    <phoneticPr fontId="3" type="noConversion"/>
  </si>
  <si>
    <t>套型总建筑面积原则上不超过120平方米，严格限制套型总建筑面积在60平方米以下的套型比例</t>
    <phoneticPr fontId="3" type="noConversion"/>
  </si>
  <si>
    <t>全装修</t>
    <phoneticPr fontId="3" type="noConversion"/>
  </si>
  <si>
    <t>30%-40%</t>
    <phoneticPr fontId="3" type="noConversion"/>
  </si>
  <si>
    <r>
      <rPr>
        <sz val="11"/>
        <rFont val="宋体"/>
        <family val="3"/>
        <charset val="134"/>
      </rPr>
      <t>≤</t>
    </r>
    <r>
      <rPr>
        <sz val="11"/>
        <rFont val="Arial"/>
        <family val="2"/>
      </rPr>
      <t>30%</t>
    </r>
    <phoneticPr fontId="3" type="noConversion"/>
  </si>
  <si>
    <t>高层板楼</t>
  </si>
  <si>
    <t>钢混</t>
    <rPh sb="0" eb="1">
      <t>gang hun</t>
    </rPh>
    <phoneticPr fontId="24" type="noConversion"/>
  </si>
  <si>
    <t>专业物业公司管理</t>
  </si>
  <si>
    <t>平层</t>
  </si>
  <si>
    <t>全装修</t>
  </si>
  <si>
    <t>套型总建筑面积在90平方米以下的占建设总量的70%以上，最大不超过120平方米</t>
    <phoneticPr fontId="24" type="noConversion"/>
  </si>
  <si>
    <t>设施设备情况</t>
    <rPh sb="0" eb="1">
      <t>she shi she bei</t>
    </rPh>
    <rPh sb="4" eb="5">
      <t>qing kuang</t>
    </rPh>
    <phoneticPr fontId="24" type="noConversion"/>
  </si>
  <si>
    <t>有电梯</t>
    <rPh sb="0" eb="1">
      <t>you dian ti</t>
    </rPh>
    <phoneticPr fontId="24" type="noConversion"/>
  </si>
  <si>
    <t xml:space="preserve"> 居住70年商业40年办公50年</t>
  </si>
  <si>
    <t xml:space="preserve"> 混合所有制</t>
  </si>
  <si>
    <t xml:space="preserve"> 万科</t>
  </si>
  <si>
    <t xml:space="preserve"> 北京万科企业有限公司 、国开东方城镇发展投资有限公司联合体  </t>
  </si>
  <si>
    <t xml:space="preserve"> 京土整储挂(丰)[2018]069号</t>
  </si>
  <si>
    <t xml:space="preserve"> 限地价,限房价</t>
  </si>
  <si>
    <t xml:space="preserve"> 限地价,限房价,竞自持,报高标准商品住宅建设方案</t>
  </si>
  <si>
    <t xml:space="preserve"> R2≤18米,A33≤12米</t>
  </si>
  <si>
    <t xml:space="preserve"> ≤30%</t>
  </si>
  <si>
    <t xml:space="preserve"> R2二类居住用地、A33基础教育用地</t>
  </si>
  <si>
    <t xml:space="preserve"> r2=1.1,a33=0.8</t>
  </si>
  <si>
    <t xml:space="preserve"> 丰台区王佐镇魏各庄</t>
  </si>
  <si>
    <t xml:space="preserve"> 长辛店</t>
  </si>
  <si>
    <t xml:space="preserve"> 丰台区</t>
  </si>
  <si>
    <t xml:space="preserve"> 北京</t>
  </si>
  <si>
    <t>京土整储挂(丰)[2018]069号</t>
  </si>
  <si>
    <t>北京市丰台区王佐镇魏各庄FT00-0503-0092等地块(丰台区青龙湖国际会都核心区C地块)二类居住及基础教育用地</t>
  </si>
  <si>
    <t xml:space="preserve"> 居住70年,商业40年,办公50年</t>
  </si>
  <si>
    <t xml:space="preserve"> 金地集团</t>
  </si>
  <si>
    <t xml:space="preserve"> 北京金地达远企业管理咨询有限公司  </t>
  </si>
  <si>
    <t xml:space="preserve"> 京土整储挂(兴)[2019]002号</t>
  </si>
  <si>
    <t xml:space="preserve"> 限地价,限房价,90/70</t>
  </si>
  <si>
    <t xml:space="preserve"> 限地价,限房价,竞自持,报高标准商品住宅建设方案,90/70</t>
  </si>
  <si>
    <t xml:space="preserve"> ≤50米</t>
  </si>
  <si>
    <t xml:space="preserve"> F1住宅混合公建用地</t>
  </si>
  <si>
    <t xml:space="preserve"> 大兴区黄村镇三合庄村</t>
  </si>
  <si>
    <t xml:space="preserve"> 兴丰街道</t>
  </si>
  <si>
    <t xml:space="preserve"> 大兴区</t>
  </si>
  <si>
    <t>京土整储挂(兴)[2019]002号</t>
  </si>
  <si>
    <t>北京市大兴区黄村镇三合庄村DX00-0202-6009地块F1住宅混合公建用地</t>
  </si>
  <si>
    <t xml:space="preserve"> 中央国有企业</t>
  </si>
  <si>
    <t xml:space="preserve"> 中海地产</t>
  </si>
  <si>
    <t xml:space="preserve"> 北京中海地产有限公司  </t>
  </si>
  <si>
    <t xml:space="preserve"> 京土整储挂(兴)[2019]001号</t>
  </si>
  <si>
    <t xml:space="preserve"> F1≤60米,A33≤12米</t>
  </si>
  <si>
    <t xml:space="preserve"> F1住宅混合公建用地、A33基础教育用地、S32公交场站设施用地</t>
  </si>
  <si>
    <t xml:space="preserve"> f1=2.5,a33=0.8</t>
  </si>
  <si>
    <t xml:space="preserve"> 大兴区瀛海镇</t>
  </si>
  <si>
    <t xml:space="preserve"> 瀛海</t>
  </si>
  <si>
    <t>京土整储挂(兴)[2019]001号</t>
  </si>
  <si>
    <t>北京市大兴区瀛海镇YZ00-0803-6024、6025、6032、6035、6038地块F1住宅混合公建用地、A33基础教育用地、S32公交场站设施用地</t>
  </si>
  <si>
    <t xml:space="preserve"> 居住70年、商业40年、办公50年</t>
  </si>
  <si>
    <t xml:space="preserve"> 港中旅</t>
  </si>
  <si>
    <t xml:space="preserve"> 港中旅房地产开发有限公司  </t>
  </si>
  <si>
    <t xml:space="preserve"> 京土整储挂(开)[2019]011号</t>
  </si>
  <si>
    <t xml:space="preserve"> &lt;45米</t>
  </si>
  <si>
    <t xml:space="preserve"> R2二类居住用地</t>
  </si>
  <si>
    <t xml:space="preserve"> 北京经济技术开发区河西区X92R2地块</t>
  </si>
  <si>
    <t>京土整储挂(开)[2019]011号</t>
  </si>
  <si>
    <t>北京经济技术开发区河西区X92R2地块R2二类居住用地</t>
  </si>
  <si>
    <t xml:space="preserve"> 民营企业</t>
  </si>
  <si>
    <t xml:space="preserve"> 雅居乐集团</t>
  </si>
  <si>
    <t xml:space="preserve"> 北京雅信房地产开发有限公司  </t>
  </si>
  <si>
    <t xml:space="preserve"> 京土整储挂(开)[2019]010号</t>
  </si>
  <si>
    <t xml:space="preserve"> 北京经济技术开发区河西区X92R1地块</t>
  </si>
  <si>
    <t>京土整储挂(开)[2019]010号</t>
  </si>
  <si>
    <t>北京经济技术开发区河西区X92R1地块R2二类居住用地</t>
  </si>
  <si>
    <t xml:space="preserve"> 京土整储挂(丰)[2019]016号</t>
  </si>
  <si>
    <t xml:space="preserve"> 限地价</t>
  </si>
  <si>
    <t xml:space="preserve"> 限地价,竞自持,报高标准商品住宅建设方案</t>
  </si>
  <si>
    <t xml:space="preserve"> ≤80米</t>
  </si>
  <si>
    <t xml:space="preserve"> R2≤30%,B4≤40%</t>
  </si>
  <si>
    <t xml:space="preserve"> R2二类居住用地、B4综合性商业金融服务业用地</t>
  </si>
  <si>
    <t xml:space="preserve"> b4≤5,r2≤2.8</t>
  </si>
  <si>
    <t xml:space="preserve"> 丰台区花乡造甲村</t>
  </si>
  <si>
    <t xml:space="preserve"> 丰台</t>
  </si>
  <si>
    <t>京土整储挂(丰)[2019]016号</t>
  </si>
  <si>
    <t>北京市丰台区花乡造甲村1512-653等地块(丰台区花乡造甲村土地一级开发项目南地块)综合性商业金融服务业及二类居住用地</t>
  </si>
  <si>
    <t xml:space="preserve"> 地方国有企业</t>
  </si>
  <si>
    <t xml:space="preserve"> 北投集团</t>
  </si>
  <si>
    <t xml:space="preserve"> 北京北投如郡房地产开发有限公司  </t>
  </si>
  <si>
    <t xml:space="preserve"> 京土集使挂(兴)[2019]003号</t>
  </si>
  <si>
    <t xml:space="preserve"> 配建自住房/共有产权房用地</t>
  </si>
  <si>
    <t xml:space="preserve"> 限房价</t>
  </si>
  <si>
    <t xml:space="preserve"> F81绿隔产业用地(建设共有产权房)</t>
  </si>
  <si>
    <t xml:space="preserve"> 湖北文化旅游</t>
  </si>
  <si>
    <t xml:space="preserve"> 中建三局房地产开发有限公司 、湖北省鄂旅投置业集团有限公司  </t>
  </si>
  <si>
    <t xml:space="preserve"> 京土集使挂(兴)[2019]001号</t>
  </si>
  <si>
    <t xml:space="preserve"> 配建自住房/共有产权房用地,纯自住房/共有产权房用地</t>
  </si>
  <si>
    <t xml:space="preserve"> 正商集团</t>
  </si>
  <si>
    <t xml:space="preserve"> 北京上瑞置业有限公司  </t>
  </si>
  <si>
    <t xml:space="preserve"> 京土集使挂(兴)[2019]002号</t>
  </si>
  <si>
    <t>2019-09-24 15:00</t>
  </si>
  <si>
    <t xml:space="preserve"> 中央国有企业,民营企业</t>
  </si>
  <si>
    <t xml:space="preserve"> 中国金茂,合生创展</t>
  </si>
  <si>
    <t xml:space="preserve"> 金茂北方企业管理(天津)有限公司 、廊坊市合恩房地产开发有限公司联合体  </t>
  </si>
  <si>
    <t xml:space="preserve"> 京土整储挂(丰)[2019]021号</t>
  </si>
  <si>
    <t xml:space="preserve"> ≤40%</t>
  </si>
  <si>
    <t xml:space="preserve"> ≤3</t>
  </si>
  <si>
    <t xml:space="preserve"> 丰台区南苑石榴庄</t>
  </si>
  <si>
    <t xml:space="preserve"> 刘家窑、大红门</t>
  </si>
  <si>
    <t>京土整储挂(丰)[2019]021号</t>
  </si>
  <si>
    <t>北京市丰台区南苑石榴庄0517-L02地块F1住宅混合公建用地</t>
  </si>
  <si>
    <t xml:space="preserve"> 京土整储挂(兴)[2019]022号</t>
  </si>
  <si>
    <t xml:space="preserve"> ≤45米</t>
  </si>
  <si>
    <t>京土整储挂(兴)[2019]022号</t>
  </si>
  <si>
    <t>北京市大兴区瀛海镇YZ00-0803-0802、6021地块R2二类居住用地</t>
  </si>
  <si>
    <t xml:space="preserve"> 保利发展</t>
  </si>
  <si>
    <t xml:space="preserve"> 保利(北京)房地产开发有限公司  </t>
  </si>
  <si>
    <t xml:space="preserve"> 京土整储挂(兴)[2019]023号</t>
  </si>
  <si>
    <t xml:space="preserve"> 限地价,90/70,限房价</t>
  </si>
  <si>
    <t xml:space="preserve"> A33≤12米</t>
  </si>
  <si>
    <t xml:space="preserve"> r2≤2,a33≤0.8</t>
  </si>
  <si>
    <t xml:space="preserve"> 大兴区庞各庄镇</t>
  </si>
  <si>
    <t xml:space="preserve"> 庞各庄</t>
  </si>
  <si>
    <t>京土整储挂(兴)[2019]023号</t>
  </si>
  <si>
    <t>北京市大兴区庞各庄镇DX06-0103-6001、6002、6003地块R2二类居住用地、A33基础教育用地</t>
  </si>
  <si>
    <t>2019-10-14 15:00</t>
  </si>
  <si>
    <t xml:space="preserve"> 中央国有企业,地方国有企业</t>
  </si>
  <si>
    <t xml:space="preserve"> 电建地产,京能置业</t>
  </si>
  <si>
    <t xml:space="preserve"> 中国电建地产集团有限公司 、京能置业股份有限公司联合体  </t>
  </si>
  <si>
    <t xml:space="preserve"> 京土整储挂(兴)[2019]026号</t>
  </si>
  <si>
    <t xml:space="preserve"> R2≤60米,幼儿园≤12米,A33≤24米</t>
  </si>
  <si>
    <t xml:space="preserve"> R2居住用地及A334基础教育用地及S1城市道路用地</t>
  </si>
  <si>
    <t xml:space="preserve"> r2≤2.5,幼儿园≤0.8,a33≤0.8</t>
  </si>
  <si>
    <t xml:space="preserve"> 大兴区旧宫镇</t>
  </si>
  <si>
    <t xml:space="preserve"> 旧宫</t>
  </si>
  <si>
    <t>京土整储挂(兴)[2019]026号</t>
  </si>
  <si>
    <t>北京市大兴区地铁亦庄线旧宫东站2号地项目DX05-0102-6003、6004、6005地块R2居住用地、A334基础教育用地及S1城市道路用地</t>
  </si>
  <si>
    <t xml:space="preserve"> 融创中国</t>
  </si>
  <si>
    <t xml:space="preserve"> 北京融创恒基地产有限公司 、北京昌政大道实业有限公司联合体  </t>
  </si>
  <si>
    <t xml:space="preserve"> 京土整储挂(兴)[2019]025号</t>
  </si>
  <si>
    <t xml:space="preserve"> R2≤24米,A33≤18米</t>
  </si>
  <si>
    <t xml:space="preserve"> r2≤1.8,a33≤0.8</t>
  </si>
  <si>
    <t xml:space="preserve"> 大兴区黄村镇</t>
  </si>
  <si>
    <t xml:space="preserve"> 黄村南</t>
  </si>
  <si>
    <t>京土整储挂(兴)[2019]025号</t>
  </si>
  <si>
    <t>北京市大兴区黄村镇孙村组团DX00-0009-6010地块R2二类居住用地、DX00-0009-6009地块A33基础教育用地</t>
  </si>
  <si>
    <t>2019-11-12 15:00</t>
  </si>
  <si>
    <t xml:space="preserve"> 招商蛇口</t>
  </si>
  <si>
    <t xml:space="preserve"> 招商局地产(北京)有限公司  </t>
  </si>
  <si>
    <t xml:space="preserve"> 京土整储挂(开)[2019]031号</t>
  </si>
  <si>
    <t xml:space="preserve"> ≤2.8</t>
  </si>
  <si>
    <t xml:space="preserve"> 北京经济技术开发区路东区E9R3、E9R4地块</t>
  </si>
  <si>
    <t xml:space="preserve"> 台湖</t>
  </si>
  <si>
    <t>京土整储挂(开)[2019]031号</t>
  </si>
  <si>
    <t>北京经济技术开发区路东区E9R3、E9R4地块R2二类居住用地</t>
  </si>
  <si>
    <t xml:space="preserve"> 山西交通</t>
  </si>
  <si>
    <t xml:space="preserve"> 山西通建房地产开发有限公司  </t>
  </si>
  <si>
    <t xml:space="preserve"> 京土整储挂(开)[2019]030号</t>
  </si>
  <si>
    <t xml:space="preserve"> R2≤80米,A33≤18米</t>
  </si>
  <si>
    <t xml:space="preserve"> r2≤2.8,a33≤0.8</t>
  </si>
  <si>
    <t xml:space="preserve"> 北京经济技术开发区路东区E9R2、E9A2地块</t>
  </si>
  <si>
    <t>京土整储挂(开)[2019]030号</t>
  </si>
  <si>
    <t>北京经济技术开发区路东区E9R2、E9A2地块R2二类居住用地、A33基础教育用地</t>
  </si>
  <si>
    <t>2019-11-15 15:00</t>
  </si>
  <si>
    <t xml:space="preserve"> 世茂集团</t>
  </si>
  <si>
    <t xml:space="preserve"> 北京茂越企业管理有限公司  </t>
  </si>
  <si>
    <t xml:space="preserve"> 京土整储挂(房)[2019]032号</t>
  </si>
  <si>
    <t xml:space="preserve"> R2≤30米,A33≤12米</t>
  </si>
  <si>
    <t xml:space="preserve"> r2≤2.15,a33≤0.8</t>
  </si>
  <si>
    <t xml:space="preserve"> 房山区拱辰街道办事处</t>
  </si>
  <si>
    <t xml:space="preserve"> 长阳</t>
  </si>
  <si>
    <t xml:space="preserve"> 房山区</t>
  </si>
  <si>
    <t>京土整储挂(房)[2019]032号</t>
  </si>
  <si>
    <t>北京市房山区拱辰街道FS00-LX09-6001地块R2二类居住用地、FS00-LX09-6003地块A33基础教育用地</t>
  </si>
  <si>
    <t>2019-12-04 15:00</t>
  </si>
  <si>
    <t xml:space="preserve"> 保利发展,首开股份</t>
  </si>
  <si>
    <t xml:space="preserve"> 保利(北京)房地产开发有限公司 、北京首都开发股份有限公司联合体  </t>
  </si>
  <si>
    <t xml:space="preserve"> 京土整储挂(丰)[2019]035号</t>
  </si>
  <si>
    <t xml:space="preserve"> ≤30米</t>
  </si>
  <si>
    <t xml:space="preserve"> ≤1.1</t>
  </si>
  <si>
    <t xml:space="preserve"> 丰台区长辛店镇辛庄村</t>
  </si>
  <si>
    <t xml:space="preserve"> 梅市口路</t>
  </si>
  <si>
    <t>京土整储挂(丰)[2019]035号</t>
  </si>
  <si>
    <t>北京市丰台区长辛店镇辛庄村A-46地块(丰台区长辛店镇辛庄村(一期)B地块土地一级开发项目)R2二类居住用地</t>
  </si>
  <si>
    <t>2019-12-11 15:00</t>
  </si>
  <si>
    <t xml:space="preserve"> 中骏集团控股</t>
  </si>
  <si>
    <t xml:space="preserve"> 北京骏祥企业管理咨询有限公司  </t>
  </si>
  <si>
    <t xml:space="preserve"> 京土整储挂(房)[2019]036号</t>
  </si>
  <si>
    <t xml:space="preserve"> R2≤45米,A33≤15米,F3≤60米</t>
  </si>
  <si>
    <t xml:space="preserve"> R2、A33≤30%,F3≤40%</t>
  </si>
  <si>
    <t xml:space="preserve"> R2二类居住用地、A33基础教育用地、F3其他类多功能用地</t>
  </si>
  <si>
    <t xml:space="preserve"> fs04-0100-6076、6077、6078≤2.3,6084、6085≤2.2,a33≤0.8,f3≤3</t>
  </si>
  <si>
    <t xml:space="preserve"> 房山区良乡镇</t>
  </si>
  <si>
    <t xml:space="preserve"> 良乡</t>
  </si>
  <si>
    <t>京土整储挂(房)[2019]036号</t>
  </si>
  <si>
    <t>北京市房山区良乡镇FS04-0100-6076等地块R2二类居住用地、A33基础教育用地、F3其他类多功能用地</t>
  </si>
  <si>
    <t xml:space="preserve"> 首钢集团</t>
  </si>
  <si>
    <t xml:space="preserve"> 北京首钢二通建设投资有限公司  </t>
  </si>
  <si>
    <t xml:space="preserve"> 京土整储招(丰)[2019]039号</t>
  </si>
  <si>
    <t xml:space="preserve"> 招标</t>
  </si>
  <si>
    <t xml:space="preserve"> 丰台区吴家村梅市口路</t>
  </si>
  <si>
    <t>京土整储招(丰)[2019]039号</t>
  </si>
  <si>
    <t>北京市丰台区吴家村梅市口路1615-761、1615-762地块R2二类居住用地</t>
  </si>
  <si>
    <t>2020-02-10 15:00</t>
  </si>
  <si>
    <t xml:space="preserve"> 京能置业</t>
  </si>
  <si>
    <t xml:space="preserve"> 京能置业股份有限公司  </t>
  </si>
  <si>
    <t xml:space="preserve"> 京土整储挂(兴)[2019]052号</t>
  </si>
  <si>
    <t xml:space="preserve"> ≤1.05</t>
  </si>
  <si>
    <t xml:space="preserve"> 大兴区采育镇</t>
  </si>
  <si>
    <t xml:space="preserve"> 采育</t>
  </si>
  <si>
    <t>京土整储挂(兴)[2019]052号</t>
  </si>
  <si>
    <t>北京市大兴区采育镇01-0042地块R2二类居住用地</t>
  </si>
  <si>
    <t>2020-02-17 15:00</t>
  </si>
  <si>
    <t xml:space="preserve"> 混合所有制,中央国有企业</t>
  </si>
  <si>
    <t xml:space="preserve"> 绿城中国,保利发展</t>
  </si>
  <si>
    <t xml:space="preserve"> 北京昱意房地产开发有限公司  </t>
  </si>
  <si>
    <t xml:space="preserve"> 京土整储挂(兴)[2019]055号</t>
  </si>
  <si>
    <t xml:space="preserve"> 二类居住≤45米,基础教育≤12米</t>
  </si>
  <si>
    <t xml:space="preserve"> 二类居住用地、基础教育用地</t>
  </si>
  <si>
    <t xml:space="preserve"> 基础教育≤0.8,二类居住≤2.5</t>
  </si>
  <si>
    <t>京土整储挂(兴)[2019]055号</t>
  </si>
  <si>
    <t>北京市大兴区旧宫镇YZ00-0801-0018、0019、0024、0025、0026地块二类居住用地、基础教育用地</t>
  </si>
  <si>
    <t xml:space="preserve"> 地方国有企业,地方国有企业</t>
  </si>
  <si>
    <t xml:space="preserve"> 大兴发展,北京住总集团</t>
  </si>
  <si>
    <t xml:space="preserve"> 北京住总房地产开发有限责任公司 、北京兴创置地房地产开发有限公司联合体  </t>
  </si>
  <si>
    <t xml:space="preserve"> 京土整储挂(兴)[2019]054号</t>
  </si>
  <si>
    <t xml:space="preserve"> ≤60米</t>
  </si>
  <si>
    <t>京土整储挂(兴)[2019]054号</t>
  </si>
  <si>
    <t>北京市大兴区采育镇DX10-0001-6004地块R2二类居住用地</t>
  </si>
  <si>
    <t>2020-04-22 15:00</t>
  </si>
  <si>
    <t xml:space="preserve"> 中国恒大</t>
  </si>
  <si>
    <t xml:space="preserve"> 北京恒世投资有限公司  </t>
  </si>
  <si>
    <t xml:space="preserve"> 京土整储挂(房)[2020]008号</t>
  </si>
  <si>
    <t xml:space="preserve"> R2≤45米,B11≤60米</t>
  </si>
  <si>
    <t xml:space="preserve"> R2≤30%,B11≤45%</t>
  </si>
  <si>
    <t xml:space="preserve"> R2二类居住用地、B11零售商业用地</t>
  </si>
  <si>
    <t xml:space="preserve"> 6056地块≤2,6058、6053地块≤2.5</t>
  </si>
  <si>
    <t>京土整储挂(房)[2020]008号</t>
  </si>
  <si>
    <t>北京市房山区良乡镇FS04-0100-6056等地块R2二类居住用地、B11零售商业用地</t>
  </si>
  <si>
    <t xml:space="preserve"> 居住70年</t>
  </si>
  <si>
    <t>2020-04-28 15:00</t>
  </si>
  <si>
    <t xml:space="preserve"> 新城控股</t>
  </si>
  <si>
    <t xml:space="preserve"> 北京新城万隆房地产开发有限公司  </t>
  </si>
  <si>
    <t xml:space="preserve"> 京土整储挂(兴)[2020]010号</t>
  </si>
  <si>
    <t xml:space="preserve"> 限房价,限地价,90/70</t>
  </si>
  <si>
    <t xml:space="preserve"> 限房价,竞自持,限地价,报高标准商品住宅建设方案,90/70</t>
  </si>
  <si>
    <t xml:space="preserve"> R2二类居住用地、S4社会停车场用地</t>
  </si>
  <si>
    <t xml:space="preserve"> r2≤2.1</t>
  </si>
  <si>
    <t xml:space="preserve"> 大兴区西红门镇</t>
  </si>
  <si>
    <t xml:space="preserve"> 西红门</t>
  </si>
  <si>
    <t>京土整储挂(兴)[2020]010号</t>
  </si>
  <si>
    <t>北京市大兴区西红门镇B1-05-(2)地块R2二类居住用地、B2-02地块S4社会停车场用地</t>
  </si>
  <si>
    <t xml:space="preserve"> 民营企业,地方国有企业</t>
  </si>
  <si>
    <t xml:space="preserve"> 龙湖集团,首开股份</t>
  </si>
  <si>
    <t xml:space="preserve"> 北京尚恒龙端商业运营管理有限公司 、北京首都开发股份有限公司联合体  </t>
  </si>
  <si>
    <t xml:space="preserve"> 京土整储挂(兴)[2020]011号</t>
  </si>
  <si>
    <t xml:space="preserve"> ≤2.1</t>
  </si>
  <si>
    <t>京土整储挂(兴)[2020]011号</t>
  </si>
  <si>
    <t>北京市大兴区西红门镇B1-05-(3)地块R2二类居住用地</t>
  </si>
  <si>
    <t>2020-05-08 15:00</t>
  </si>
  <si>
    <t xml:space="preserve"> 合生创展</t>
  </si>
  <si>
    <t xml:space="preserve"> 北京合宏达盛企业管理有限公司  </t>
  </si>
  <si>
    <t xml:space="preserve"> 京土整储挂(丰)[2020]012号</t>
  </si>
  <si>
    <t xml:space="preserve"> 丰台区南苑乡分钟寺村</t>
  </si>
  <si>
    <t>京土整储挂(丰)[2020]012号</t>
  </si>
  <si>
    <t>北京市丰台区南苑乡分钟寺村L-24、L-26地块R2二类居住用地</t>
  </si>
  <si>
    <t>2020-05-14 15:00</t>
  </si>
  <si>
    <t xml:space="preserve"> 路劲基建</t>
  </si>
  <si>
    <t xml:space="preserve"> 北京路劲隽御房地产开发有限公司 、北京首都开发股份有限公司联合体  </t>
  </si>
  <si>
    <t xml:space="preserve"> 京土整储挂(兴)[2020]017号</t>
  </si>
  <si>
    <t xml:space="preserve"> R2≤30米,R53≤9米</t>
  </si>
  <si>
    <t xml:space="preserve"> R2二类居住用地、R53托幼用地</t>
  </si>
  <si>
    <t xml:space="preserve"> r2≤1.05,a53≤0.8</t>
  </si>
  <si>
    <t>京土整储挂(兴)[2020]017号</t>
  </si>
  <si>
    <t>北京市大兴区采育镇01-0129地块R2二类居住用地、01-0115地块R53托幼用地</t>
  </si>
  <si>
    <t>2020-05-18 15:00</t>
  </si>
  <si>
    <t xml:space="preserve"> 中建一局</t>
  </si>
  <si>
    <t xml:space="preserve"> 中建一局集团房地产开发有限公司 、北京市城投嘉业房地产开发有限责任公司联合体  </t>
  </si>
  <si>
    <t xml:space="preserve"> 京土整储挂(房)[2020]018号</t>
  </si>
  <si>
    <t xml:space="preserve"> ≤18米</t>
  </si>
  <si>
    <t xml:space="preserve"> ≤1.6</t>
  </si>
  <si>
    <t>京土整储挂(房)[2020]018号</t>
  </si>
  <si>
    <t>北京市房山区拱辰街道办事处FS00-LX05-0046、0056地块R2二类居住用地</t>
  </si>
  <si>
    <t xml:space="preserve"> 北京合盈锐恒房地产开发有限公司  </t>
  </si>
  <si>
    <t xml:space="preserve"> 京土整储挂(丰)[2020]020号</t>
  </si>
  <si>
    <t>京土整储挂(丰)[2020]020号</t>
  </si>
  <si>
    <t>北京市丰台区南苑乡分钟寺村L-41地块R2二类居住用地</t>
  </si>
  <si>
    <t xml:space="preserve"> 北京合昕辰锐企业管理有限公司  </t>
  </si>
  <si>
    <t xml:space="preserve"> 京土整储挂(丰)[2020]019号</t>
  </si>
  <si>
    <t>京土整储挂(丰)[2020]019号</t>
  </si>
  <si>
    <t>北京市丰台区南苑乡分钟寺村L-39地块R2二类居住用地</t>
  </si>
  <si>
    <t>2020-07-13 15:00</t>
  </si>
  <si>
    <t xml:space="preserve"> 京土整储挂(房)[2020]025号</t>
  </si>
  <si>
    <t xml:space="preserve"> ≤2.4</t>
  </si>
  <si>
    <t xml:space="preserve"> 房山区长阳镇</t>
  </si>
  <si>
    <t xml:space="preserve"> 世界公园、宛平</t>
  </si>
  <si>
    <t>京土整储挂(房)[2020]025号</t>
  </si>
  <si>
    <t>北京市房山区轨道交通房山线稻田站02-5-09地块R2二类居住用地</t>
  </si>
  <si>
    <t>2020-07-21 15:00</t>
  </si>
  <si>
    <t xml:space="preserve"> 首创置业</t>
  </si>
  <si>
    <t xml:space="preserve"> 首金祺志(天津)投资管理有限公司  </t>
  </si>
  <si>
    <t xml:space="preserve"> 京土整储挂(丰)[2020]026号</t>
  </si>
  <si>
    <t xml:space="preserve"> R2、F81≤80米,A33≤18米</t>
  </si>
  <si>
    <t xml:space="preserve"> R2≤35%,A33、F81≤30%</t>
  </si>
  <si>
    <t xml:space="preserve"> R2二类居住用地、A33基础教育用地、F81绿隔产业用地</t>
  </si>
  <si>
    <t xml:space="preserve"> r2≤2.8,a33≤0.8,f81≤3</t>
  </si>
  <si>
    <t xml:space="preserve"> 丰台区卢沟桥大瓦窑</t>
  </si>
  <si>
    <t>京土整储挂(丰)[2020]026号</t>
  </si>
  <si>
    <t>北京市丰台区卢沟桥大瓦窑DWY-L39等地块(大瓦窑馨城项目)二类居住、基础教育及绿隔产业用地</t>
  </si>
  <si>
    <t xml:space="preserve"> 混合所有制,地方国有企业</t>
  </si>
  <si>
    <t xml:space="preserve"> 远洋集团,城建发展</t>
  </si>
  <si>
    <t xml:space="preserve"> 北京远东新地置业有限公司 、北京城建投资发展股份有限公司联合体  </t>
  </si>
  <si>
    <t xml:space="preserve"> 京土整储挂(丰)[2020]027号</t>
  </si>
  <si>
    <t xml:space="preserve"> R2≤80米,A33、F81≤18米</t>
  </si>
  <si>
    <t xml:space="preserve"> r2≤2.8,a33≤0.8,f81≤1.4</t>
  </si>
  <si>
    <t xml:space="preserve"> 北京市丰台区卢沟桥大瓦窑DWY-L33等地块(大瓦窑新村项目一期)二类居住、基础教育及绿隔产业用地</t>
  </si>
  <si>
    <t>京土整储挂(丰)[2020]027号</t>
  </si>
  <si>
    <t>北京市丰台区卢沟桥大瓦窑DWY-L33等地块(大瓦窑新村项目一期)二类居住、基础教育及绿隔产业用地</t>
  </si>
  <si>
    <t>2020-07-31 15:00</t>
  </si>
  <si>
    <t xml:space="preserve"> 京土整储挂(开)[2020]028号</t>
  </si>
  <si>
    <t xml:space="preserve"> R2二类居住用地、A334托幼用地</t>
  </si>
  <si>
    <t xml:space="preserve"> r2≤2.5,a33≤0.8</t>
  </si>
  <si>
    <t xml:space="preserve"> 北京经济技术开发区河西区X46R1、X46R2地块</t>
  </si>
  <si>
    <t>京土整储挂(开)[2020]028号</t>
  </si>
  <si>
    <t>北京经济技术开发区河西区X46R1、X46R2地块R2二类居住用地、A334托幼用地国有建设用地</t>
  </si>
  <si>
    <t xml:space="preserve"> 50年</t>
  </si>
  <si>
    <t xml:space="preserve"> 北京兴业利民置业</t>
  </si>
  <si>
    <t xml:space="preserve"> 京土集使挂(兴)[2020]001号</t>
  </si>
  <si>
    <t xml:space="preserve"> 人才住房(可售)</t>
  </si>
  <si>
    <t xml:space="preserve"> 配建人才住房(可售)</t>
  </si>
  <si>
    <t xml:space="preserve"> 45米</t>
  </si>
  <si>
    <t xml:space="preserve"> 东至区界,西至芦花路,南至横三路,北至横四路</t>
  </si>
  <si>
    <t xml:space="preserve"> 黄村北</t>
  </si>
  <si>
    <t>北京市大兴区黄村镇狼垡地区集体产业用地2号地DX00-1002-L06地块</t>
  </si>
  <si>
    <t>2021-01-12 15:00</t>
  </si>
  <si>
    <t xml:space="preserve"> 北京鑫汇房地产开发有限公司  </t>
  </si>
  <si>
    <t xml:space="preserve"> 京土整储挂(房)[2020]052号</t>
  </si>
  <si>
    <t xml:space="preserve"> FS00-LX04-0087、FS00-LX04-0093、FS00-LX04-0092≤18米;FS00-LX04-0085≤12米</t>
  </si>
  <si>
    <t xml:space="preserve"> FS00-LX04-0087、FS00-LX04-0093、FS00-LX04-0085≤30%;FS00-LX04-0092≤40%</t>
  </si>
  <si>
    <t xml:space="preserve"> R2二类居住用地、B1商业用地、A33基础教育用地</t>
  </si>
  <si>
    <t xml:space="preserve"> fs00-lx04-0087、fs00-lx04-0093≤1.6;fs00-lx04-0092≤1.5;fs00-lx04-0085≤0.8</t>
  </si>
  <si>
    <t xml:space="preserve"> 房山区拱辰街道</t>
  </si>
  <si>
    <t>京土整储挂(房)[2020]052号</t>
  </si>
  <si>
    <t>北京市房山区拱辰街道FS00-LX04-0087、0093、0092、0085地块R2二类居住用地、B1商业用地、A33基础教育用地</t>
  </si>
  <si>
    <t>2021-01-25 15:00</t>
  </si>
  <si>
    <t xml:space="preserve"> 北京盛宏辰悦房地产开发有限公司  </t>
  </si>
  <si>
    <t xml:space="preserve"> 京土整储挂(开)【2020】056号</t>
  </si>
  <si>
    <t xml:space="preserve"> ≤2.3</t>
  </si>
  <si>
    <t>京土整储挂(开)【2020】056号</t>
  </si>
  <si>
    <t>北京市大兴区旧宫镇南郊农场棚户区改造项目DX05-0200-0037、0038、6002等地块R2二类居住用地</t>
  </si>
  <si>
    <t xml:space="preserve"> 未触达</t>
  </si>
  <si>
    <t>2021-05-07 15:00</t>
  </si>
  <si>
    <t xml:space="preserve"> 中央国有企业,地方国有企业,地方国有企业</t>
  </si>
  <si>
    <t xml:space="preserve"> 保利发展,亦庄投资,首开股份</t>
  </si>
  <si>
    <t xml:space="preserve"> 保利(北京)房地产开发有限公司 、北京新航城建设实业发展有限公司 、北京首都开发股份有限公司  </t>
  </si>
  <si>
    <t xml:space="preserve"> 京土整储挂(兴)[2021]018号</t>
  </si>
  <si>
    <t xml:space="preserve"> 限地价,报高标准商品住宅建设方案</t>
  </si>
  <si>
    <t xml:space="preserve">2021年第1批次 </t>
  </si>
  <si>
    <t xml:space="preserve"> 大兴区榆垡镇</t>
  </si>
  <si>
    <t xml:space="preserve"> 榆垡</t>
  </si>
  <si>
    <t>京土整储挂(兴)[2021]018号</t>
  </si>
  <si>
    <t>北京市大兴区榆垡镇中心区DX09-0102-0027、0044地块R2二类居住用地</t>
  </si>
  <si>
    <t xml:space="preserve"> 中国金茂</t>
  </si>
  <si>
    <t xml:space="preserve"> 天津城茂置业有限公司  </t>
  </si>
  <si>
    <t xml:space="preserve"> 京土整储挂(丰)[2021]015号</t>
  </si>
  <si>
    <t xml:space="preserve"> 限地价,限房价,报高标准商品住宅建设方案</t>
  </si>
  <si>
    <t xml:space="preserve"> 18米</t>
  </si>
  <si>
    <t xml:space="preserve"> ≤25%</t>
  </si>
  <si>
    <t xml:space="preserve"> ≤1.4</t>
  </si>
  <si>
    <t xml:space="preserve"> 丰台区长辛店镇张家坟村</t>
  </si>
  <si>
    <t>京土整储挂(丰)[2021]015号</t>
  </si>
  <si>
    <t>北京市丰台区长辛店镇张家坟村15-1、21-5地块R2二类居住用地</t>
  </si>
  <si>
    <t xml:space="preserve"> 民营企业,民营企业</t>
  </si>
  <si>
    <t xml:space="preserve"> 金辉控股,中骏集团控股</t>
  </si>
  <si>
    <t xml:space="preserve"> 北京骏盛企业管理咨询有限公司 、北京骏磊企业管理咨询有限公司 、天津兴辉企业管理咨询有限公司  </t>
  </si>
  <si>
    <t xml:space="preserve"> 京土整储挂(兴)[2021]017号</t>
  </si>
  <si>
    <t xml:space="preserve"> 公共租赁房</t>
  </si>
  <si>
    <t xml:space="preserve"> 配建保障房用地</t>
  </si>
  <si>
    <t xml:space="preserve"> 限地价,竞配建</t>
  </si>
  <si>
    <t xml:space="preserve"> 限地价,竞配建,报高标准商品住宅建设方案</t>
  </si>
  <si>
    <t xml:space="preserve"> R2二类居住用地、F3其他类多功能用地、B1商业设施用地、A334基础教育用地</t>
  </si>
  <si>
    <t xml:space="preserve"> ≤2.42</t>
  </si>
  <si>
    <t xml:space="preserve"> 大兴新城核心区</t>
  </si>
  <si>
    <t xml:space="preserve"> 林校路街道</t>
  </si>
  <si>
    <t>京土整储挂(兴)[2021]017号</t>
  </si>
  <si>
    <t>北京市大兴区大兴新城核心区D、K组团土地一级开发DX00-0102-6006、6010、6018、6024、6026地块R2二类居住用地等</t>
  </si>
  <si>
    <t xml:space="preserve"> 触达</t>
  </si>
  <si>
    <t xml:space="preserve"> 首开股份</t>
  </si>
  <si>
    <t xml:space="preserve"> 北京住总房地产开发有限责任公司 、北京首都开发股份有限公司  </t>
  </si>
  <si>
    <t xml:space="preserve"> 京土整储挂(开)[2021]31号</t>
  </si>
  <si>
    <t xml:space="preserve"> 限地价,竞配建,90/70</t>
  </si>
  <si>
    <t xml:space="preserve"> 限地价,竞配建,报高标准商品住宅建设方案,90/70</t>
  </si>
  <si>
    <t xml:space="preserve"> 6101≤18米;6102≤13米;0015;0016≤45米</t>
  </si>
  <si>
    <t xml:space="preserve"> 6101≤45%;6102≤40%;0015;0016≤30%</t>
  </si>
  <si>
    <t xml:space="preserve"> B4综合性商业金融服务业用地、U17邮政设施用地、R2二类居住用地</t>
  </si>
  <si>
    <t xml:space="preserve"> 6101≤1.5;6102≤1;0015;0016≤2.5</t>
  </si>
  <si>
    <t xml:space="preserve"> 北京市大兴区旧宫镇DX05-0102-6101、6102、YZ00-0801-0015、0016地块</t>
  </si>
  <si>
    <t>京土整储挂(开)[2021]31号</t>
  </si>
  <si>
    <t>北京市大兴区旧宫镇DX05-0102-6101、6102、YZ00-0801-0015、0016地块B4综合性商业金融服务业用地、U17邮政设施用地、R2二类居住用地(配建“公共租赁住房”)国有建设用地使用权出让</t>
  </si>
  <si>
    <t xml:space="preserve"> 中冶置业</t>
  </si>
  <si>
    <t xml:space="preserve"> 中冶置业集团有限公司 、宁波雨航企业管理合伙企业(有限合伙)  </t>
  </si>
  <si>
    <t xml:space="preserve"> 京土整储挂(兴)[2021]030号</t>
  </si>
  <si>
    <t xml:space="preserve"> 限房价,限地价,竞配建</t>
  </si>
  <si>
    <t xml:space="preserve"> 限房价,限地价,竞配建,报高标准商品住宅建设方案</t>
  </si>
  <si>
    <t xml:space="preserve"> 60米,12米</t>
  </si>
  <si>
    <t xml:space="preserve"> R2二类居住用地、A334基础教育用地</t>
  </si>
  <si>
    <t>京土整储挂(兴)[2021]030号</t>
  </si>
  <si>
    <t>北京市大兴区大兴新城核心区H组团DX00-0106-001a、001b地块R2二类居住用地、A334基础教育用地</t>
  </si>
  <si>
    <t xml:space="preserve"> 地方国有企业,民营企业</t>
  </si>
  <si>
    <t xml:space="preserve"> 首开股份,卓越集团</t>
  </si>
  <si>
    <t xml:space="preserve"> 北京首都开发股份有限公司 、北京承华房地产开发有限公司  </t>
  </si>
  <si>
    <t xml:space="preserve"> 京土整储挂(丰)[2021]014号</t>
  </si>
  <si>
    <t xml:space="preserve"> 丰台区长辛店镇张郭庄村</t>
  </si>
  <si>
    <t>京土整储挂(丰)[2021]014号</t>
  </si>
  <si>
    <t>北京市丰台区长辛店镇张郭庄村A区FT00-0203-6145、FT00-0203-6159地块R2二类居住用地</t>
  </si>
  <si>
    <t>2021-04-16 15:00</t>
  </si>
  <si>
    <t xml:space="preserve"> 北京首都开发股份有限公司  </t>
  </si>
  <si>
    <t xml:space="preserve"> 京土整储招(房)[2021]029号</t>
  </si>
  <si>
    <t xml:space="preserve"> 限房价,限地价</t>
  </si>
  <si>
    <t xml:space="preserve"> R2≤60米;A334≤12米</t>
  </si>
  <si>
    <t xml:space="preserve"> r2≤2.5;a334≤0.8</t>
  </si>
  <si>
    <t>京土整储招(房)[2021]029号</t>
  </si>
  <si>
    <t>北京市房山区长阳镇04街区FS10-0104-6001、6002地块R2二类居住用地、A334基础教育用地</t>
  </si>
  <si>
    <t xml:space="preserve"> 70年</t>
  </si>
  <si>
    <t>2021-10-11 15:00</t>
  </si>
  <si>
    <t xml:space="preserve"> 城建发展</t>
  </si>
  <si>
    <t xml:space="preserve"> 北京城建房地产开发有限公司  </t>
  </si>
  <si>
    <t xml:space="preserve"> 京土整储挂(房)[2021]067号</t>
  </si>
  <si>
    <t xml:space="preserve"> 限房价,限地价,报高标准商品住宅建设方案</t>
  </si>
  <si>
    <t xml:space="preserve">2021年第2批次 </t>
  </si>
  <si>
    <t xml:space="preserve"> 房山区长沟镇</t>
  </si>
  <si>
    <t xml:space="preserve"> 大石窝、长沟</t>
  </si>
  <si>
    <t>京土整储挂(房)[2021]067号</t>
  </si>
  <si>
    <t>北京市房山区长沟镇新型城镇化建设北部浅山区土地一级开发项目FS12-0100-6017地块R2二类居住用地</t>
  </si>
  <si>
    <t xml:space="preserve"> 居住70年,教育50年</t>
  </si>
  <si>
    <t xml:space="preserve"> 中建智地置业有限公司  </t>
  </si>
  <si>
    <t xml:space="preserve"> 京土整储挂(房)[2021]068号</t>
  </si>
  <si>
    <t xml:space="preserve"> 保障性租赁住房</t>
  </si>
  <si>
    <t xml:space="preserve"> 配建保障房用地,配建租赁住房用地</t>
  </si>
  <si>
    <t xml:space="preserve"> 0018&lt;45米;0016&lt;12米</t>
  </si>
  <si>
    <t xml:space="preserve"> 0018&lt;25%;0016&lt;30%</t>
  </si>
  <si>
    <t xml:space="preserve"> R2二类居住用地;0016:A33基础教育用地</t>
  </si>
  <si>
    <t xml:space="preserve"> 0018&lt;2.5;0016&lt;0.6</t>
  </si>
  <si>
    <t>京土整储挂(房)[2021]068号</t>
  </si>
  <si>
    <t>北京市房山区拱辰街道FS00-0111-0018地块R2二类居住用地、FS00-0111-0016地块A33基础教育用地(配建“保障性租赁住房”)</t>
  </si>
  <si>
    <t xml:space="preserve"> 住宅70年、商业40年、办公50年</t>
  </si>
  <si>
    <t xml:space="preserve"> 北京建工,首开股份</t>
  </si>
  <si>
    <t xml:space="preserve"> 北京首都开发股份有限公司 、北京建工地产有限责任公司  </t>
  </si>
  <si>
    <t xml:space="preserve"> 京土整储挂(丰)[2021]048号</t>
  </si>
  <si>
    <t xml:space="preserve"> 二类居住用地、基础教育用地、综合性商业金融服务业用地</t>
  </si>
  <si>
    <t xml:space="preserve"> 丰台区卢沟桥乡</t>
  </si>
  <si>
    <t xml:space="preserve"> 菜户营、西罗园</t>
  </si>
  <si>
    <t>京土整储挂(丰)[2021]048号</t>
  </si>
  <si>
    <t>北京市丰台区卢沟桥乡万泉寺村A地块一级开发项目0616-0660、0661、L05、WQS-02地块R2二类居住用地、A33基础教育用地、B4综合性商业金融服务业用地(配建“保障性租赁住房”)</t>
  </si>
  <si>
    <t xml:space="preserve"> 中央国有企业,中央国有企业</t>
  </si>
  <si>
    <t xml:space="preserve"> 华润置地,中国中铁</t>
  </si>
  <si>
    <t xml:space="preserve"> 华润置地开发(北京)有限公司 、中铁置业集团北京有限公司  </t>
  </si>
  <si>
    <t xml:space="preserve"> 京土整储挂(兴)[2021]061号</t>
  </si>
  <si>
    <t xml:space="preserve"> &lt;30%</t>
  </si>
  <si>
    <t xml:space="preserve"> &lt;2.5</t>
  </si>
  <si>
    <t>京土整储挂(兴)[2021]061号</t>
  </si>
  <si>
    <t>北京市大兴区西红门镇DX04-0102-6011、6014地块R2二类居住用地(配建“保障性租赁住房”)</t>
  </si>
  <si>
    <t xml:space="preserve"> 北京懋源</t>
  </si>
  <si>
    <t xml:space="preserve"> 北京懋源置业有限公司 、北京懋源鸿业房地产开发有限公司  </t>
  </si>
  <si>
    <t xml:space="preserve"> 京土整储挂(丰)[2021]049号</t>
  </si>
  <si>
    <t xml:space="preserve"> 定向安置房</t>
  </si>
  <si>
    <t xml:space="preserve"> ZZZ-22地块12米、ZZZ-27和ZZZ-L08地块18米,其余80米</t>
  </si>
  <si>
    <t xml:space="preserve"> 二类居住用地、教育用地、绿隔产业用地</t>
  </si>
  <si>
    <t>京土整储挂(丰)[2021]049号</t>
  </si>
  <si>
    <t>北京市丰台区城乡一体化周庄子村旧村改造项目二期ZZZ-06等地块R2二类居住用地、A33基础教育用地、F81绿隔产业用地(配建“共有产权住房”)</t>
  </si>
  <si>
    <t xml:space="preserve"> 中国中铁</t>
  </si>
  <si>
    <t xml:space="preserve"> 中铁置业集团北京有限公司 、北京兴创置地房地产开发有限公司  </t>
  </si>
  <si>
    <t xml:space="preserve"> 京土整储挂(兴)[2021]060号</t>
  </si>
  <si>
    <t xml:space="preserve"> 限房价,限地价,现房销售</t>
  </si>
  <si>
    <t xml:space="preserve"> 限房价,限地价,报高标准商品住宅建设方案,现房销售</t>
  </si>
  <si>
    <t xml:space="preserve"> 6026&lt;60米;6020&lt;16米</t>
  </si>
  <si>
    <t xml:space="preserve"> 6026:R2二类居住用地;6020:A334托幼用地</t>
  </si>
  <si>
    <t xml:space="preserve"> 6026&lt;2.5;6020&lt;0.9</t>
  </si>
  <si>
    <t xml:space="preserve"> 观音寺街道</t>
  </si>
  <si>
    <t>京土整储挂(兴)[2021]060号</t>
  </si>
  <si>
    <t>北京市大兴区黄村镇DX00-0102-0208-6026、6020地块R2二类居住用地、A334托幼用地</t>
  </si>
  <si>
    <t xml:space="preserve"> 北京亦庄国际人才发展</t>
  </si>
  <si>
    <t xml:space="preserve"> 京规自集使挂 (兴) [2021]002 号</t>
  </si>
  <si>
    <t xml:space="preserve"> F81绿隔产业用地(建设人才公寓)</t>
  </si>
  <si>
    <t xml:space="preserve"> 大兴区瀛海镇,东至瀛坤路,西至瀛达路,北至瀛元街,南至瀛成路</t>
  </si>
  <si>
    <t>北京市大兴区瀛海镇集体经营性建设用地入市试点(一期) YZ00-0803-0012 地块</t>
  </si>
  <si>
    <t xml:space="preserve"> 居住70年,商业40年,办公54年</t>
  </si>
  <si>
    <t>2021-12-23 15:00</t>
  </si>
  <si>
    <t xml:space="preserve"> 京土整储挂(房)[2021]084号</t>
  </si>
  <si>
    <t xml:space="preserve"> 配建租赁住房用地,配建保障房用地</t>
  </si>
  <si>
    <t xml:space="preserve">2021年第3批次 </t>
  </si>
  <si>
    <t xml:space="preserve"> 房山区拱辰街道东羊庄村</t>
  </si>
  <si>
    <t>京土整储挂(房)[2021]084号</t>
  </si>
  <si>
    <t>北京市房山区拱辰街道FS00-0111-0017,0019地块R2二类居住用地(配建“保障性租赁住房”)</t>
  </si>
  <si>
    <t xml:space="preserve"> 居住70年,办公50年,服务设施50年</t>
  </si>
  <si>
    <t>2022-02-15 15:00</t>
  </si>
  <si>
    <t xml:space="preserve"> 中建三局,北京兴创投资</t>
  </si>
  <si>
    <t xml:space="preserve"> 中建壹品投资发展有限公司 、北京兴创房地产开发有限公司  </t>
  </si>
  <si>
    <t xml:space="preserve"> 京土储挂(兴)[2022]009号</t>
  </si>
  <si>
    <t xml:space="preserve"> 限房价,限地价,报高标准商品住宅建设方案,摇号/摇珠/抽签,现房销售</t>
  </si>
  <si>
    <t xml:space="preserve"> B2-08地块建筑高度45米,DX04-0101-6004地块和DX04-0101-6006地块建筑高度30米,局部36米,DX04-0101-6008地块建筑高度18米</t>
  </si>
  <si>
    <t xml:space="preserve"> B2-08地块建筑密度30%,DX04-0101-6004地块和DX04-0101-6006地块建筑密度45%,DX04-0101-6008地块建筑密度35%。</t>
  </si>
  <si>
    <t xml:space="preserve">2022年第1批次 </t>
  </si>
  <si>
    <t xml:space="preserve"> R2二类居住用地、F3其他类多功能用地、U17邮政设施用地</t>
  </si>
  <si>
    <t xml:space="preserve"> b2-08地块容积率2.1,dx04-0101-6004地块和dx04-0101-6006地块容积率2.0,,dx04-0101-6008地块容积率0.8</t>
  </si>
  <si>
    <t>京土储挂(兴)[2022]009号</t>
  </si>
  <si>
    <t>北京市大兴区西红门镇B2-08、DX04-0101-6004、6006、6008地块R2二类居住用地、F3其他类多功能用地、U17邮政设施用地</t>
  </si>
  <si>
    <t xml:space="preserve"> 居住70年、教育50年</t>
  </si>
  <si>
    <t xml:space="preserve"> 华润置地</t>
  </si>
  <si>
    <t xml:space="preserve"> 华润置地开发(北京)有限公司  </t>
  </si>
  <si>
    <t xml:space="preserve"> 京土储挂(丰)[2022]004号</t>
  </si>
  <si>
    <t xml:space="preserve"> 限房价,限地价,摇号/摇珠/抽签</t>
  </si>
  <si>
    <t xml:space="preserve"> JJM-007地块建筑高度80米,JJM-012地块建筑高度12米</t>
  </si>
  <si>
    <t xml:space="preserve"> jjm-007地块容积率2.8,jjm-012地块容积率0.8</t>
  </si>
  <si>
    <t xml:space="preserve"> 丰台区玉泉营街道</t>
  </si>
  <si>
    <t>京土储挂(丰)[2022]004号</t>
  </si>
  <si>
    <t>北京市丰台区玉泉营街道纪家庙村JJM-007地块R2二类居住用地、JJM-012地块A33基础教育用地</t>
  </si>
  <si>
    <t xml:space="preserve"> 住宅70年、办公50年,教育50年</t>
  </si>
  <si>
    <t xml:space="preserve"> 湖北联投集团,北京兴创投资</t>
  </si>
  <si>
    <t xml:space="preserve"> 北京兴创置地房地产开发有限公司  </t>
  </si>
  <si>
    <t xml:space="preserve"> 京土储挂(兴)[2022]008号</t>
  </si>
  <si>
    <t xml:space="preserve"> DX00-0202-6007地块、DX00-0202-6014地块和DX00-0202-6011地块建筑高度45米,DX00-0202-6002地块建筑高度16米</t>
  </si>
  <si>
    <t xml:space="preserve"> R2二类居住用地、F3其他类多功能用地、A334托幼用地</t>
  </si>
  <si>
    <t xml:space="preserve"> dx00-0202-6007地块容积率2.3,dx00-0202-6014地块和dx00-0202-6011地块容积率2.5,dx00-0202-6002地块容积率0.8</t>
  </si>
  <si>
    <t>京土储挂(兴)[2022]008号</t>
  </si>
  <si>
    <t>北京市大兴区黄村镇DX00-0202-6007、6014、6011、6002地块R2二类居住用地、F3其他类多功能用地、A334托幼用地</t>
  </si>
  <si>
    <t xml:space="preserve"> 居住70年,办公50年</t>
  </si>
  <si>
    <t xml:space="preserve"> 北京城建兴华地产有限公司  </t>
  </si>
  <si>
    <t xml:space="preserve"> 京土储挂(丰)[2022]003号</t>
  </si>
  <si>
    <t xml:space="preserve"> 限房价,限地价,摇号/摇珠/抽签,现房销售</t>
  </si>
  <si>
    <t xml:space="preserve"> 2505-0031地块建筑高度60米,2502-0030地块建筑高度45米</t>
  </si>
  <si>
    <t xml:space="preserve"> R2二类居住用地、F81绿隔产业用地</t>
  </si>
  <si>
    <t xml:space="preserve"> 2505-0031地块容积率2.5,2502-0030地块容积率2.6</t>
  </si>
  <si>
    <t xml:space="preserve"> 丰台区卢沟桥街道</t>
  </si>
  <si>
    <t xml:space="preserve"> 京石高速三四环沿线</t>
  </si>
  <si>
    <t>京土储挂(丰)[2022]003号</t>
  </si>
  <si>
    <t>北京市丰台区卢沟桥街道大井新村三期土地一级开发2502-0030、2505-0031地块F81绿隔产业用地、R2二类居住用地(配建“保障性租赁住房”)</t>
  </si>
  <si>
    <t xml:space="preserve"> 中海企业发展集团有限公司  </t>
  </si>
  <si>
    <t xml:space="preserve"> 京土储挂(开)[2022] 016 号</t>
  </si>
  <si>
    <t xml:space="preserve"> 限房价,限地价,报高标准商品住宅建设方案,摇号/摇珠/抽签</t>
  </si>
  <si>
    <t xml:space="preserve"> 东南四至五环沿线</t>
  </si>
  <si>
    <t>京土储挂(开)[2022]016号</t>
  </si>
  <si>
    <t>北京市大兴区旧宫镇绿化隔离地区建设旧村二期1号地土地一级开发项目A2-2地块R2二类居住用地</t>
  </si>
  <si>
    <t xml:space="preserve"> 京土储挂(房)[2022]014号</t>
  </si>
  <si>
    <t>京土储挂(房)[2022]014号</t>
  </si>
  <si>
    <t>北京市房山区拱辰街道办事处FS00-LX05-0045地块R2二类居住用地</t>
  </si>
  <si>
    <t xml:space="preserve"> 绿城中国</t>
  </si>
  <si>
    <t xml:space="preserve"> 长春创诚房地产开发有限公司  </t>
  </si>
  <si>
    <t xml:space="preserve"> 京土储挂(开)[2022] 017 号</t>
  </si>
  <si>
    <t xml:space="preserve"> 限房价,限地价,90/70,摇号/摇珠/抽签</t>
  </si>
  <si>
    <t xml:space="preserve"> 亦庄新城0510街区YZ00-0510-0017地块</t>
  </si>
  <si>
    <t>京土储挂(开)[2022] 017 号</t>
  </si>
  <si>
    <t>北京经济技术开发区亦庄新城0510街区YZ00-0510-0017地块R2二类居住用地</t>
  </si>
  <si>
    <t>2022-05-31 15:00</t>
  </si>
  <si>
    <t xml:space="preserve"> 龙湖集团,北京建工</t>
  </si>
  <si>
    <t xml:space="preserve"> 北京龙湖中佰置业有限公司 、北京建工地产有限责任公司  </t>
  </si>
  <si>
    <t xml:space="preserve"> 京土储挂(丰)[2022]028号</t>
  </si>
  <si>
    <t xml:space="preserve">2022年第2批次 </t>
  </si>
  <si>
    <t xml:space="preserve"> ≤1.7</t>
  </si>
  <si>
    <t xml:space="preserve"> 丰台区北宫镇</t>
  </si>
  <si>
    <t>京土储挂(丰)[2022]028号</t>
  </si>
  <si>
    <t>北京市丰台区北宫镇东河沿村棚户区改造项目FT00-0202-0011地块R2二类居住用地</t>
  </si>
  <si>
    <t xml:space="preserve"> 地方国有企业,中央国有企业</t>
  </si>
  <si>
    <t xml:space="preserve"> 首钢集团,电建地产</t>
  </si>
  <si>
    <t xml:space="preserve"> 北京海赋丰业房地产开发有限公司 、北京首钢房地产开发有限公司  </t>
  </si>
  <si>
    <t xml:space="preserve"> 京土储挂(丰)[2022]030号</t>
  </si>
  <si>
    <t xml:space="preserve"> 限房价,限地价,现房销售,摇号/摇珠/抽签</t>
  </si>
  <si>
    <t xml:space="preserve"> 限地价,现房销售,摇号/摇珠/抽签,限房价</t>
  </si>
  <si>
    <t>京土储挂(丰)[2022]030号</t>
  </si>
  <si>
    <t>北京市丰台区城乡一体化小瓦窑村旧村改造项目XWY-13地块R2二类居住用地</t>
  </si>
  <si>
    <t xml:space="preserve"> 京土储挂(丰)[2022]029号</t>
  </si>
  <si>
    <t xml:space="preserve"> 0501-644地块:控制高度60米,0501-645地块:容控制高度80米,0501-646地块:控制高度9米,0501-647地块:控制高度80米</t>
  </si>
  <si>
    <t xml:space="preserve"> R2二类居住用地、B4综合性商业金融服务业用地、A334托幼用地</t>
  </si>
  <si>
    <t xml:space="preserve"> 0501-644地块:容积率3.5,0501-645地块:容积率2.8,0501-646地块:容积率0.8,0501-647地块:容积率5,</t>
  </si>
  <si>
    <t xml:space="preserve"> 丰台区右安门街道</t>
  </si>
  <si>
    <t>京土储挂(丰)[2022]029号</t>
  </si>
  <si>
    <t>北京市丰台区右安门街道亚林西土地一级开发0501-644、645、646、647等地块R2二类居住用地、B4综合性商业金融服务业用地、A334托幼用地</t>
  </si>
  <si>
    <t xml:space="preserve"> 住宅70年</t>
  </si>
  <si>
    <t>2022-09-21 15:00</t>
  </si>
  <si>
    <t xml:space="preserve"> 京土储挂(丰)[2022]047号</t>
  </si>
  <si>
    <t xml:space="preserve"> 限地价,现房销售</t>
  </si>
  <si>
    <t xml:space="preserve"> 限地价,现房销售,摇号/摇珠/抽签</t>
  </si>
  <si>
    <t xml:space="preserve">2022年第3批次 </t>
  </si>
  <si>
    <t xml:space="preserve"> 丰台区新村街道</t>
  </si>
  <si>
    <t>京土储挂(丰)[2022]047号</t>
  </si>
  <si>
    <t>北京市丰台区地铁九号线花乡站造甲村土地一级开发项目FT00-1516-6031、FT00-1514-6039地块R2二类居住用地</t>
  </si>
  <si>
    <t xml:space="preserve"> 北京方兴亦城置业有限公司  </t>
  </si>
  <si>
    <t xml:space="preserve"> 京土储挂(丰)[2022]050号</t>
  </si>
  <si>
    <t xml:space="preserve"> 45米(局部60)</t>
  </si>
  <si>
    <t xml:space="preserve"> 丰台区大红门街道</t>
  </si>
  <si>
    <t xml:space="preserve"> 马家堡、西马厂</t>
  </si>
  <si>
    <t>京土储挂(丰)[2022]050号</t>
  </si>
  <si>
    <t>北京市丰台区大红门街道大红门一期A区棚户区改造项目FT00-0516-0008地块R2二类居住用地</t>
  </si>
  <si>
    <t xml:space="preserve"> 京土储挂(丰)[2022]049号</t>
  </si>
  <si>
    <t>京土储挂(丰)[2022]049号</t>
  </si>
  <si>
    <t>北京市丰台区大红门街道大红门一期A区棚户区改造项目FT00-0516-0004地块R2二类居住用地</t>
  </si>
  <si>
    <t xml:space="preserve"> 住宅70年,商业40年</t>
  </si>
  <si>
    <t xml:space="preserve"> 地方国有企业,中央国有企业,中央国有企业</t>
  </si>
  <si>
    <t xml:space="preserve"> 北京兴创投资,华润置地,中国中铁</t>
  </si>
  <si>
    <t xml:space="preserve"> 华润置地开发(北京)有限公司 、中铁置业集团北京有限公司 、北京兴创置地房地产开发有限公司  </t>
  </si>
  <si>
    <t xml:space="preserve"> 京土储挂(兴)[2022]052号</t>
  </si>
  <si>
    <t xml:space="preserve"> R2二类居住用地,商业</t>
  </si>
  <si>
    <t>京土储挂(兴)[2022]052号</t>
  </si>
  <si>
    <t>北京市大兴区西红门镇DX04-0102-6013地块R2二类居住用地</t>
  </si>
  <si>
    <t xml:space="preserve"> 建发房产</t>
  </si>
  <si>
    <t xml:space="preserve"> 北京兆昌房地产开发有限公司  </t>
  </si>
  <si>
    <t xml:space="preserve"> 京土储挂(丰)[2022]048号</t>
  </si>
  <si>
    <t xml:space="preserve"> 丰台区南苑街道</t>
  </si>
  <si>
    <t xml:space="preserve"> 新发地</t>
  </si>
  <si>
    <t>京土储挂(丰)[2022]048号</t>
  </si>
  <si>
    <t>北京市丰台区南苑街道城乡一体化槐房村和新宫村旧村改造项目NY-011B地块R2二类居住用地</t>
  </si>
  <si>
    <t xml:space="preserve"> 住宅70年教育50年</t>
  </si>
  <si>
    <t xml:space="preserve"> 北京建工</t>
  </si>
  <si>
    <t xml:space="preserve"> 北京建工地产有限责任公司  </t>
  </si>
  <si>
    <t xml:space="preserve"> 京土储挂(房)[2022]055号</t>
  </si>
  <si>
    <t xml:space="preserve"> FS00-0113-0008建筑限高45米,FS00-0113-0009建筑限高12米</t>
  </si>
  <si>
    <t xml:space="preserve"> FS00-0113-0008建筑密度25%,FS00-0113-0009建筑密度30%</t>
  </si>
  <si>
    <t xml:space="preserve"> fs00-0113-0008容积率2.4,fs00-0113-0009容积率0.8</t>
  </si>
  <si>
    <t xml:space="preserve"> 房山区西潞街道</t>
  </si>
  <si>
    <t>京土储挂(房)[2022]055号</t>
  </si>
  <si>
    <t>北京市房山区西潞街道佳世苑三期FS00-0113-0008、0009地块R2二类居住用地、A33基础教育用地</t>
  </si>
  <si>
    <t xml:space="preserve"> 亦庄投资</t>
  </si>
  <si>
    <t xml:space="preserve"> 北京亦庄博润置业有限公司 、北京亦庄久筑工程管理有限公司  </t>
  </si>
  <si>
    <t xml:space="preserve"> 京土储挂(开)[2022]059号</t>
  </si>
  <si>
    <t xml:space="preserve"> 限地价,90/70</t>
  </si>
  <si>
    <t xml:space="preserve"> 限地价,摇号/摇珠/抽签,90/70</t>
  </si>
  <si>
    <t xml:space="preserve"> 亦庄新城0510街区YZ00-0510-0033地块</t>
  </si>
  <si>
    <t>京土储挂(开)[2022]059号</t>
  </si>
  <si>
    <t>北京经济技术开发区亦庄新城0510街区YZ00-0510-0033地块R2二类居住用地</t>
  </si>
  <si>
    <t xml:space="preserve"> 北京东方亚联投资有限公司,首创置业</t>
  </si>
  <si>
    <t xml:space="preserve"> 北京安顺园房地产开发有限公司  </t>
  </si>
  <si>
    <t xml:space="preserve"> 京土储挂(房)[2022]056号</t>
  </si>
  <si>
    <t xml:space="preserve"> 限地价,摇号/摇珠/抽签</t>
  </si>
  <si>
    <t xml:space="preserve"> FS00-LX04-0001地块(南侧)地块限制高度54米,FS00-LX04-0002地块限制高度12米</t>
  </si>
  <si>
    <t xml:space="preserve"> FS00-LX04-0002地块建筑密度30%</t>
  </si>
  <si>
    <t xml:space="preserve"> fs00-lx04-0001地块(南侧)地块容积率1.13,fs00-lx04-0002地块容积率0.8</t>
  </si>
  <si>
    <t>京土储挂(房)[2022]056号</t>
  </si>
  <si>
    <t>北京市房山区拱辰街道FS00-LX04-0001地块(南侧)R2二类居住用地、FS00-LX04-0002地块A33基础教育用地</t>
  </si>
  <si>
    <t xml:space="preserve"> 居住70年,教育50年,办公50年</t>
  </si>
  <si>
    <t xml:space="preserve"> 京东集团股份</t>
  </si>
  <si>
    <t xml:space="preserve"> 北京越新房地产开发有限公司  </t>
  </si>
  <si>
    <t xml:space="preserve"> 京土储挂(开)[2022]078号</t>
  </si>
  <si>
    <t xml:space="preserve"> 限地价,摇号/摇珠/抽签,90/70,限房价</t>
  </si>
  <si>
    <t xml:space="preserve"> F1C-1限高80米、F1R-1限高60米、F1A-1限高18米</t>
  </si>
  <si>
    <t xml:space="preserve"> F1C-1、F1R-1建筑密度≤40%、F1A-1建筑密度≤35%</t>
  </si>
  <si>
    <t xml:space="preserve">2022年第5批次 </t>
  </si>
  <si>
    <t xml:space="preserve"> B4综合性商业金融服务业用地、S4社会停车场用地、R2二类居住用地、A334托幼用地</t>
  </si>
  <si>
    <t xml:space="preserve"> f1c-1容积率3.5、f1r-1容积率2.5、f1a-1容积率0.8</t>
  </si>
  <si>
    <t xml:space="preserve"> 亦庄新城0303街区F1C-1、F1S-1、F1R-1、F1A-1地块</t>
  </si>
  <si>
    <t>京土储挂(开)[2022]078号</t>
  </si>
  <si>
    <t>北京经济技术开发区亦庄新城0303街区F1C-1、F1S-1、F1R-1、F1A-1地块B4综合性商业金融服务业用地、S4社会停车场用地、R2二类居住用地、A334托幼用地</t>
  </si>
  <si>
    <t>2023-02-06 17:00</t>
  </si>
  <si>
    <t xml:space="preserve"> 京土储挂(房)[2022]077号</t>
  </si>
  <si>
    <t xml:space="preserve"> &lt;60米</t>
  </si>
  <si>
    <t xml:space="preserve"> 良乡高教园区</t>
  </si>
  <si>
    <t>京土储挂(房)[2022]077号</t>
  </si>
  <si>
    <t>北京市房山区良乡大学城主园区FS00-0120-0023地块R2二类居住用地</t>
  </si>
  <si>
    <t>房地价差(元/㎡)</t>
  </si>
  <si>
    <t>溢价率上限(%)</t>
  </si>
  <si>
    <t>楼面价上限(元/㎡)</t>
  </si>
  <si>
    <t>限售价(均价)(元/㎡)</t>
  </si>
  <si>
    <t>触达限地价</t>
  </si>
  <si>
    <t>限地价(万元)</t>
  </si>
  <si>
    <t>出让年限(年)</t>
  </si>
  <si>
    <t>成交楼面价(除保障房)(元/㎡)</t>
  </si>
  <si>
    <t>推出楼面价(除保障房)(元/㎡)</t>
  </si>
  <si>
    <t>推出楼面价(元/㎡)</t>
  </si>
  <si>
    <t>成交每亩价(万元/亩)</t>
  </si>
  <si>
    <t>推出每亩价(万元/亩)</t>
  </si>
  <si>
    <t>企业性质</t>
  </si>
  <si>
    <t>拿地企业</t>
  </si>
  <si>
    <t>公告编号</t>
  </si>
  <si>
    <t>起始日期</t>
  </si>
  <si>
    <t>公告时间</t>
  </si>
  <si>
    <t>成交自住房面积(㎡)</t>
  </si>
  <si>
    <t>推出自住房面积(㎡)</t>
  </si>
  <si>
    <t>成交保障房面积(㎡)</t>
  </si>
  <si>
    <t>推出保障房面积(㎡)</t>
  </si>
  <si>
    <t>特殊住房类型</t>
  </si>
  <si>
    <t>特殊用地类型</t>
  </si>
  <si>
    <t>成交特殊政策</t>
  </si>
  <si>
    <t>推出特殊政策</t>
  </si>
  <si>
    <t>限制高度</t>
  </si>
  <si>
    <t>建筑密度</t>
  </si>
  <si>
    <t>商业比例(%)</t>
  </si>
  <si>
    <t>土地位置</t>
  </si>
  <si>
    <t>板块</t>
  </si>
  <si>
    <t>区县</t>
  </si>
  <si>
    <t>省份</t>
  </si>
  <si>
    <t>城市</t>
  </si>
  <si>
    <t>国瑞瑞福园</t>
    <phoneticPr fontId="247" type="noConversion"/>
  </si>
  <si>
    <t>海珀云翡（绿地兴景苑）</t>
    <phoneticPr fontId="247" type="noConversion"/>
  </si>
  <si>
    <t>DX00-0102-0802（兴念雅苑）</t>
    <phoneticPr fontId="247" type="noConversion"/>
  </si>
  <si>
    <t>DX07-0102-6011（四季盛景园）</t>
    <phoneticPr fontId="247" type="noConversion"/>
  </si>
  <si>
    <t>三元德宏（兴宏雅苑）</t>
    <phoneticPr fontId="247" type="noConversion"/>
  </si>
  <si>
    <t>北投如郡嘉园</t>
    <phoneticPr fontId="247" type="noConversion"/>
  </si>
  <si>
    <t>中建鄂旅投·星光里</t>
    <phoneticPr fontId="247" type="noConversion"/>
  </si>
  <si>
    <t>正商杏海苑</t>
    <phoneticPr fontId="247" type="noConversion"/>
  </si>
  <si>
    <t>集体土地</t>
    <phoneticPr fontId="247" type="noConversion"/>
  </si>
  <si>
    <t>首创美澜湾</t>
    <phoneticPr fontId="247" type="noConversion"/>
  </si>
  <si>
    <t>不详</t>
    <phoneticPr fontId="247" type="noConversion"/>
  </si>
  <si>
    <t>安置房转化</t>
    <phoneticPr fontId="247" type="noConversion"/>
  </si>
  <si>
    <t>项目名称</t>
    <phoneticPr fontId="247" type="noConversion"/>
  </si>
  <si>
    <t>套数</t>
    <phoneticPr fontId="247" type="noConversion"/>
  </si>
  <si>
    <t>均价</t>
    <phoneticPr fontId="247" type="noConversion"/>
  </si>
  <si>
    <t>份额</t>
    <phoneticPr fontId="247" type="noConversion"/>
  </si>
  <si>
    <t>备注</t>
    <phoneticPr fontId="247" type="noConversion"/>
  </si>
  <si>
    <r>
      <t>2023</t>
    </r>
    <r>
      <rPr>
        <sz val="10.5"/>
        <color rgb="FF000000"/>
        <rFont val="宋体"/>
        <family val="3"/>
        <charset val="134"/>
      </rPr>
      <t>年</t>
    </r>
    <r>
      <rPr>
        <sz val="10.5"/>
        <color rgb="FF000000"/>
        <rFont val="Arial"/>
        <family val="2"/>
      </rPr>
      <t>1</t>
    </r>
    <r>
      <rPr>
        <sz val="10.5"/>
        <color rgb="FF000000"/>
        <rFont val="宋体"/>
        <family val="3"/>
        <charset val="134"/>
      </rPr>
      <t>月</t>
    </r>
    <r>
      <rPr>
        <sz val="10.5"/>
        <color rgb="FF000000"/>
        <rFont val="Arial"/>
        <family val="2"/>
      </rPr>
      <t>19</t>
    </r>
    <r>
      <rPr>
        <sz val="10.5"/>
        <color rgb="FF000000"/>
        <rFont val="宋体"/>
        <family val="3"/>
        <charset val="134"/>
      </rPr>
      <t>日，北京市规划和自然资源委员会公布：大兴区魏善庄镇集体经营性建设用地入市试点（北部组团）项目</t>
    </r>
    <r>
      <rPr>
        <sz val="10.5"/>
        <color rgb="FF000000"/>
        <rFont val="Arial"/>
        <family val="2"/>
      </rPr>
      <t>DX07-0303-0012</t>
    </r>
    <r>
      <rPr>
        <sz val="10.5"/>
        <color rgb="FF000000"/>
        <rFont val="宋体"/>
        <family val="3"/>
        <charset val="134"/>
      </rPr>
      <t>地块使用权挂牌公告，建筑使用性质为</t>
    </r>
    <r>
      <rPr>
        <sz val="10.5"/>
        <color rgb="FF000000"/>
        <rFont val="Arial"/>
        <family val="2"/>
      </rPr>
      <t>F81</t>
    </r>
    <r>
      <rPr>
        <sz val="10.5"/>
        <color rgb="FF000000"/>
        <rFont val="宋体"/>
        <family val="3"/>
        <charset val="134"/>
      </rPr>
      <t>绿隔产业用地（建设共有产权住房），截至价值时点，该地块尚未成交。</t>
    </r>
  </si>
  <si>
    <t>https://mobile.anjuke.com/fangjia/beijing2019/daxing/</t>
  </si>
  <si>
    <t>规划地块编号</t>
    <rPh sb="0" eb="1">
      <t>di kuai</t>
    </rPh>
    <rPh sb="2" eb="3">
      <t>bian hao</t>
    </rPh>
    <phoneticPr fontId="134" type="noConversion"/>
  </si>
  <si>
    <t>用地规模（平方米）</t>
    <rPh sb="2" eb="3">
      <t>mian ji</t>
    </rPh>
    <phoneticPr fontId="134" type="noConversion"/>
  </si>
  <si>
    <t>地上建筑规模（平方米）</t>
    <rPh sb="0" eb="1">
      <t>rong ji lü</t>
    </rPh>
    <phoneticPr fontId="134" type="noConversion"/>
  </si>
  <si>
    <t>容积率</t>
    <rPh sb="0" eb="1">
      <t>jian zhu</t>
    </rPh>
    <rPh sb="2" eb="3">
      <t>gui mowanping fang mi</t>
    </rPh>
    <phoneticPr fontId="134" type="noConversion"/>
  </si>
  <si>
    <t>-</t>
    <phoneticPr fontId="134" type="noConversion"/>
  </si>
  <si>
    <t>建筑高度（米）</t>
    <rPh sb="2" eb="3">
      <t>xian gao</t>
    </rPh>
    <phoneticPr fontId="134" type="noConversion"/>
  </si>
  <si>
    <t>F81集体产业用地</t>
    <rPh sb="2" eb="3">
      <t>chan ye</t>
    </rPh>
    <rPh sb="4" eb="5">
      <t>yong di</t>
    </rPh>
    <phoneticPr fontId="134" type="noConversion"/>
  </si>
  <si>
    <r>
      <rPr>
        <sz val="11"/>
        <color indexed="8"/>
        <rFont val="宋体"/>
        <family val="3"/>
        <charset val="134"/>
      </rPr>
      <t>套型总建筑面积在</t>
    </r>
    <r>
      <rPr>
        <sz val="11"/>
        <color indexed="8"/>
        <rFont val="Arial"/>
        <family val="2"/>
      </rPr>
      <t>90</t>
    </r>
    <r>
      <rPr>
        <sz val="11"/>
        <color indexed="8"/>
        <rFont val="宋体"/>
        <family val="3"/>
        <charset val="134"/>
      </rPr>
      <t>平方米以下的占建设总量的</t>
    </r>
    <r>
      <rPr>
        <sz val="11"/>
        <color indexed="8"/>
        <rFont val="Arial"/>
        <family val="2"/>
      </rPr>
      <t>70%</t>
    </r>
    <r>
      <rPr>
        <sz val="11"/>
        <color indexed="8"/>
        <rFont val="宋体"/>
        <family val="3"/>
        <charset val="134"/>
      </rPr>
      <t>以上，最大不超过</t>
    </r>
    <r>
      <rPr>
        <sz val="11"/>
        <color indexed="8"/>
        <rFont val="Arial"/>
        <family val="2"/>
      </rPr>
      <t>120</t>
    </r>
    <r>
      <rPr>
        <sz val="11"/>
        <color indexed="8"/>
        <rFont val="宋体"/>
        <family val="3"/>
        <charset val="134"/>
      </rPr>
      <t>平方米</t>
    </r>
    <phoneticPr fontId="24" type="noConversion"/>
  </si>
  <si>
    <t>大兴区西红门镇集体经营性建设用地2号地2-002A地块</t>
    <phoneticPr fontId="134" type="noConversion"/>
  </si>
  <si>
    <t>京规自集使挂(兴)[2023]005号</t>
    <phoneticPr fontId="134" type="noConversion"/>
  </si>
  <si>
    <t>京规自集使挂(兴)[2023]004号</t>
    <phoneticPr fontId="134" type="noConversion"/>
  </si>
  <si>
    <t>京规自集使挂(兴)[2023]002号</t>
    <phoneticPr fontId="134" type="noConversion"/>
  </si>
  <si>
    <t xml:space="preserve"> 住宅用地</t>
    <phoneticPr fontId="134" type="noConversion"/>
  </si>
  <si>
    <t xml:space="preserve"> 挂牌</t>
    <phoneticPr fontId="134" type="noConversion"/>
  </si>
  <si>
    <t xml:space="preserve"> F81集体产业用地(建设共有产权住房)</t>
    <phoneticPr fontId="134" type="noConversion"/>
  </si>
  <si>
    <t xml:space="preserve"> 已成交</t>
    <phoneticPr fontId="134" type="noConversion"/>
  </si>
  <si>
    <t xml:space="preserve"> 商业/办公用地</t>
    <phoneticPr fontId="134" type="noConversion"/>
  </si>
  <si>
    <t xml:space="preserve"> F81集体产业用地</t>
    <phoneticPr fontId="134" type="noConversion"/>
  </si>
  <si>
    <t xml:space="preserve"> 电建智汇(北京)运营管理有限公司  </t>
    <phoneticPr fontId="134" type="noConversion"/>
  </si>
  <si>
    <t>2021-1</t>
    <phoneticPr fontId="3" type="noConversion"/>
  </si>
  <si>
    <t>星光里 星筑</t>
    <phoneticPr fontId="134" type="noConversion"/>
  </si>
  <si>
    <t>旧宫</t>
    <phoneticPr fontId="3" type="noConversion"/>
  </si>
  <si>
    <t>周边1公里范围内有南海子公园、志远庄公园等自然景观，人文景观较少，综合评价环境状况一般</t>
    <phoneticPr fontId="40" type="noConversion"/>
  </si>
  <si>
    <t>DX-0102-0340</t>
    <phoneticPr fontId="134" type="noConversion"/>
  </si>
  <si>
    <t>DX-0102-6002</t>
    <phoneticPr fontId="134" type="noConversion"/>
  </si>
  <si>
    <t>DX-0102-6003</t>
    <phoneticPr fontId="134" type="noConversion"/>
  </si>
  <si>
    <t>建设共有产权房</t>
    <rPh sb="0" eb="1">
      <t>jian she</t>
    </rPh>
    <rPh sb="2" eb="3">
      <t>gong you cahn quan</t>
    </rPh>
    <rPh sb="6" eb="7">
      <t>fangpei jianjianshe quyang laoyi zhanping fng mishe qushang yewang dianping fang migong gongce suoping fang mquan buweijian zhugui mo</t>
    </rPh>
    <phoneticPr fontId="134" type="noConversion"/>
  </si>
  <si>
    <t>建设共有产权房</t>
    <rPh sb="0" eb="1">
      <t>jian she</t>
    </rPh>
    <rPh sb="2" eb="3">
      <t>gong you cahn quan</t>
    </rPh>
    <rPh sb="6" eb="7">
      <t>fangpei jianjiangu dingtong xinji fangping fng mihong feng woji zhanji fangping fang miyou xianxiandian shi jifangping fang migong gong ce suoping fang mmi bi shila jifen leishou ji zhanping fang miquan buweijian zhugui mo</t>
    </rPh>
    <phoneticPr fontId="134" type="noConversion"/>
  </si>
  <si>
    <t>北京市大兴区旧宫镇DX-0102-0340、DX-0102-6002、DX-0102-6003地块集体建设用地拟建设共有产权住房销售均价评估</t>
    <rPh sb="0" eb="1">
      <t>guan yu</t>
    </rPh>
    <rPh sb="2" eb="3">
      <t>ying hai</t>
    </rPh>
    <rPh sb="4" eb="5">
      <t>zhen</t>
    </rPh>
    <rPh sb="5" eb="6">
      <t>qu</t>
    </rPh>
    <rPh sb="6" eb="7">
      <t>ji</t>
    </rPh>
    <rPh sb="7" eb="8">
      <t>tong chou</t>
    </rPh>
    <rPh sb="9" eb="10">
      <t>ji ti</t>
    </rPh>
    <rPh sb="10" eb="11">
      <t>jian</t>
    </rPh>
    <rPh sb="11" eb="12">
      <t>di</t>
    </rPh>
    <rPh sb="26" eb="27">
      <t>deng</t>
    </rPh>
    <rPh sb="27" eb="28">
      <t>di kuai</t>
    </rPh>
    <rPh sb="29" eb="30">
      <t>gong you chan q</t>
    </rPh>
    <rPh sb="33" eb="34">
      <t>fang</t>
    </rPh>
    <rPh sb="34" eb="35">
      <t>xiang mu</t>
    </rPh>
    <rPh sb="36" eb="37">
      <t>zong he</t>
    </rPh>
    <rPh sb="38" eb="39">
      <t>shi shi</t>
    </rPh>
    <rPh sb="40" eb="41">
      <t>fang an</t>
    </rPh>
    <rPh sb="43" eb="44">
      <t>duo gui he y</t>
    </rPh>
    <rPh sb="48" eb="49">
      <t>xie tong</t>
    </rPh>
    <rPh sb="50" eb="51">
      <t>ping tai</t>
    </rPh>
    <rPh sb="52" eb="53">
      <t>chu shen</t>
    </rPh>
    <rPh sb="54" eb="55">
      <t>yi jian</t>
    </rPh>
    <rPh sb="56" eb="57">
      <t>de</t>
    </rPh>
    <rPh sb="57" eb="58">
      <t>han</t>
    </rPh>
    <phoneticPr fontId="134" type="noConversion"/>
  </si>
  <si>
    <t>估价对象范围（规划实施方案指标）</t>
  </si>
  <si>
    <t>用地性质代码</t>
  </si>
  <si>
    <t>用地面积</t>
  </si>
  <si>
    <t>建筑规模</t>
  </si>
  <si>
    <t>绿地率</t>
  </si>
  <si>
    <t>建筑高度</t>
  </si>
  <si>
    <t>备注</t>
  </si>
  <si>
    <t>F81</t>
  </si>
  <si>
    <t>集体产业用地</t>
  </si>
  <si>
    <t>共有产权房</t>
  </si>
  <si>
    <t>DX-0102-6002</t>
  </si>
  <si>
    <t>DX-0102-6003</t>
  </si>
  <si>
    <t>兴海星光里</t>
    <phoneticPr fontId="134" type="noConversion"/>
  </si>
  <si>
    <t>星光里·星筑</t>
    <phoneticPr fontId="134" type="noConversion"/>
  </si>
  <si>
    <t>亦生悦</t>
    <phoneticPr fontId="134" type="noConversion"/>
  </si>
  <si>
    <t>中建鄂旅投·星光里</t>
    <phoneticPr fontId="134" type="noConversion"/>
  </si>
  <si>
    <r>
      <rPr>
        <sz val="11"/>
        <color indexed="8"/>
        <rFont val="宋体"/>
        <family val="3"/>
        <charset val="134"/>
      </rPr>
      <t>套型总建筑面积原则上不超过</t>
    </r>
    <r>
      <rPr>
        <sz val="11"/>
        <color indexed="8"/>
        <rFont val="Arial"/>
        <family val="2"/>
      </rPr>
      <t>120</t>
    </r>
    <r>
      <rPr>
        <sz val="11"/>
        <color indexed="8"/>
        <rFont val="宋体"/>
        <family val="3"/>
        <charset val="134"/>
      </rPr>
      <t>平方米，严格限制套型总建筑面积在</t>
    </r>
    <r>
      <rPr>
        <sz val="11"/>
        <color indexed="8"/>
        <rFont val="Arial"/>
        <family val="2"/>
      </rPr>
      <t>60</t>
    </r>
    <r>
      <rPr>
        <sz val="11"/>
        <color indexed="8"/>
        <rFont val="宋体"/>
        <family val="3"/>
        <charset val="134"/>
      </rPr>
      <t>平方米以下的套型比例</t>
    </r>
    <phoneticPr fontId="24" type="noConversion"/>
  </si>
  <si>
    <t>套型总建筑面积原则上不超过120平方米，严格限制套型总建筑面积在60平方米以下的套型比例</t>
    <phoneticPr fontId="24" type="noConversion"/>
  </si>
  <si>
    <t>截止时间</t>
  </si>
  <si>
    <t>成交时间</t>
  </si>
  <si>
    <t>大兴区瀛海镇区级统筹集建地YZ00-0803-2019、2057地块F81集体产业用地</t>
  </si>
  <si>
    <t>京规自集使挂(兴)[2023]005号</t>
  </si>
  <si>
    <t xml:space="preserve"> F81集体产业用地(建设共有产权住房)</t>
  </si>
  <si>
    <t xml:space="preserve"> 湖北文旅园区建设发展集团有限公司 、中建壹品投资发展有限公司  </t>
  </si>
  <si>
    <t>大兴区瀛海镇区级统筹集建地YZ00-0803-2006、2029、2031地块F81集体产业用地</t>
  </si>
  <si>
    <t>京规自集使挂(兴)[2023]004号</t>
  </si>
  <si>
    <t xml:space="preserve"> 北京大兴发展集地开发有限公司  </t>
  </si>
  <si>
    <t>大兴区西红门镇集体经营性建设用地2号地2-002A地块</t>
  </si>
  <si>
    <t>京规自集使挂(兴)[2023]002号</t>
  </si>
  <si>
    <t xml:space="preserve"> 商业/办公用地</t>
  </si>
  <si>
    <t xml:space="preserve"> F81集体产业用地</t>
  </si>
  <si>
    <t xml:space="preserve"> 电建智汇(北京)运营管理有限公司  </t>
  </si>
  <si>
    <t>北京市大兴区魏善庄镇集体经营性建设用地(北部组团)项目DX07-0303-0009地块</t>
  </si>
  <si>
    <t>北京市大兴区西红门镇集体经营性建设用地2号地D地块</t>
  </si>
  <si>
    <t>北京市大兴区西红门镇集体经营性建设用地入市试点2号地C地块(2-006-1)F81绿隔产业用地</t>
  </si>
  <si>
    <t>YZ00-0803-0012</t>
    <phoneticPr fontId="273" type="noConversion"/>
  </si>
  <si>
    <t>大兴区瀛海镇区级统筹集建地YZ00-0803-2019、2057地块F81集体产业用地</t>
    <phoneticPr fontId="273" type="noConversion"/>
  </si>
  <si>
    <t>大兴区瀛海镇区级统筹集建地YZ00-0803-2006、2029、2031地块F81集体产业用地</t>
    <phoneticPr fontId="273" type="noConversion"/>
  </si>
  <si>
    <t>大兴区瀛海镇区级统筹集建地YZ00-0803-2006、2029、2031地块F81集体产业用地</t>
    <phoneticPr fontId="134" type="noConversion"/>
  </si>
  <si>
    <t>大兴区瀛海镇区级统筹集建地YZ00-0803-2019、2057地块F81集体产业用地</t>
    <phoneticPr fontId="134" type="noConversion"/>
  </si>
  <si>
    <t xml:space="preserve"> 中建三局房地产开发有限公司 、湖北省鄂旅投置业集团有限公司  </t>
    <phoneticPr fontId="134" type="noConversion"/>
  </si>
  <si>
    <t xml:space="preserve"> 湖北文旅园区建设发展集团有限公司 、中建壹品投资发展有限公司  </t>
    <phoneticPr fontId="134" type="noConversion"/>
  </si>
  <si>
    <t xml:space="preserve"> 北京大兴发展集地开发有限公司  </t>
    <phoneticPr fontId="134" type="noConversion"/>
  </si>
  <si>
    <t>2023-3</t>
    <phoneticPr fontId="3" type="noConversion"/>
  </si>
  <si>
    <t>2023-2</t>
    <phoneticPr fontId="3" type="noConversion"/>
  </si>
  <si>
    <t>2022-1</t>
    <phoneticPr fontId="3" type="noConversion"/>
  </si>
  <si>
    <t>2021-4</t>
    <phoneticPr fontId="3" type="noConversion"/>
  </si>
  <si>
    <t>2021-3</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</si>
</sst>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F800]dddd\,\ mmmm\ dd\,\ yyyy"/>
    <numFmt numFmtId="192" formatCode="[DBNum1][$-804]yyyy&quot;年&quot;m&quot;月&quot;d&quot;日&quot;;@"/>
    <numFmt numFmtId="193" formatCode="0_ ;[Red]\-0\ "/>
    <numFmt numFmtId="194" formatCode="yyyy/m/d;@"/>
    <numFmt numFmtId="195" formatCode="0.0000_);[Red]\(0.0000\)"/>
    <numFmt numFmtId="196" formatCode="0.000000_);[Red]\(0.000000\)"/>
  </numFmts>
  <fonts count="283">
    <font>
      <sz val="11"/>
      <color theme="1"/>
      <name val="DengXian"/>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DengXian"/>
      <family val="3"/>
      <charset val="134"/>
      <scheme val="minor"/>
    </font>
    <font>
      <b/>
      <sz val="11"/>
      <color theme="1"/>
      <name val="DengXian"/>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DengXian"/>
      <family val="3"/>
      <charset val="134"/>
      <scheme val="minor"/>
    </font>
    <font>
      <b/>
      <sz val="11"/>
      <color rgb="FFFF0000"/>
      <name val="DengXian"/>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DengXian"/>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DengXian"/>
      <family val="3"/>
      <charset val="134"/>
      <scheme val="minor"/>
    </font>
    <font>
      <b/>
      <sz val="16"/>
      <color rgb="FFFF0000"/>
      <name val="DengXian Light"/>
      <family val="3"/>
      <charset val="134"/>
      <scheme val="major"/>
    </font>
    <font>
      <b/>
      <sz val="16"/>
      <color theme="1"/>
      <name val="DengXian Light"/>
      <family val="3"/>
      <charset val="134"/>
      <scheme val="major"/>
    </font>
    <font>
      <sz val="16"/>
      <color theme="1"/>
      <name val="DengXian"/>
      <family val="3"/>
      <charset val="134"/>
      <scheme val="minor"/>
    </font>
    <font>
      <b/>
      <sz val="16"/>
      <color theme="1"/>
      <name val="DengXian"/>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DengXian"/>
      <family val="3"/>
      <charset val="134"/>
      <scheme val="minor"/>
    </font>
    <font>
      <b/>
      <sz val="12"/>
      <name val="宋体"/>
      <family val="3"/>
      <charset val="134"/>
    </font>
    <font>
      <b/>
      <sz val="10"/>
      <color theme="1"/>
      <name val="宋体"/>
      <family val="3"/>
      <charset val="134"/>
    </font>
    <font>
      <sz val="9"/>
      <name val="DengXian"/>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DengXian"/>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DengXian"/>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DengXian"/>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DengXian"/>
      <family val="3"/>
      <charset val="134"/>
      <scheme val="minor"/>
    </font>
    <font>
      <sz val="14"/>
      <color theme="1"/>
      <name val="DengXian"/>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DengXian"/>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DengXian"/>
      <family val="3"/>
      <charset val="134"/>
      <scheme val="minor"/>
    </font>
    <font>
      <b/>
      <sz val="14"/>
      <color indexed="10"/>
      <name val="DengXian"/>
      <family val="3"/>
      <charset val="134"/>
      <scheme val="minor"/>
    </font>
    <font>
      <sz val="11"/>
      <color indexed="8"/>
      <name val="DengXian"/>
      <family val="3"/>
      <charset val="134"/>
      <scheme val="minor"/>
    </font>
    <font>
      <b/>
      <sz val="12"/>
      <color indexed="13"/>
      <name val="DengXian"/>
      <family val="3"/>
      <charset val="134"/>
      <scheme val="minor"/>
    </font>
    <font>
      <b/>
      <sz val="12"/>
      <color indexed="10"/>
      <name val="DengXian"/>
      <family val="3"/>
      <charset val="134"/>
      <scheme val="minor"/>
    </font>
    <font>
      <b/>
      <sz val="12"/>
      <color rgb="FFFF0000"/>
      <name val="DengXian"/>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DengXian"/>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DengXian"/>
      <family val="3"/>
      <charset val="134"/>
      <scheme val="minor"/>
    </font>
    <font>
      <sz val="9"/>
      <color theme="1"/>
      <name val="DengXian"/>
      <family val="3"/>
      <charset val="134"/>
      <scheme val="minor"/>
    </font>
    <font>
      <sz val="9"/>
      <name val="DengXian"/>
      <family val="2"/>
      <charset val="134"/>
      <scheme val="minor"/>
    </font>
    <font>
      <sz val="12"/>
      <color rgb="FFFF0000"/>
      <name val="DengXian"/>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b/>
      <sz val="10"/>
      <color rgb="FF707070"/>
      <name val="Arial"/>
      <family val="2"/>
    </font>
    <font>
      <b/>
      <sz val="9"/>
      <color theme="1"/>
      <name val="仿宋_GB2312"/>
      <family val="3"/>
      <charset val="134"/>
    </font>
    <font>
      <sz val="9"/>
      <color theme="1"/>
      <name val="仿宋_GB2312"/>
      <family val="3"/>
      <charset val="134"/>
    </font>
    <font>
      <b/>
      <sz val="9"/>
      <color theme="1"/>
      <name val="DengXian"/>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
      <sz val="10"/>
      <name val="楷体_GB2312"/>
      <family val="2"/>
      <charset val="134"/>
    </font>
    <font>
      <sz val="10"/>
      <name val="DengXian"/>
      <family val="3"/>
      <charset val="134"/>
      <scheme val="minor"/>
    </font>
    <font>
      <sz val="11"/>
      <color indexed="81"/>
      <name val="ＭＳ Ｐゴシック"/>
      <family val="2"/>
      <charset val="128"/>
    </font>
    <font>
      <b/>
      <sz val="11"/>
      <color indexed="81"/>
      <name val="ＭＳ Ｐゴシック"/>
      <family val="2"/>
      <charset val="128"/>
    </font>
    <font>
      <sz val="12"/>
      <color theme="1"/>
      <name val="DengXian"/>
      <family val="2"/>
      <scheme val="minor"/>
    </font>
    <font>
      <sz val="9"/>
      <name val="DengXian"/>
      <family val="4"/>
      <charset val="134"/>
      <scheme val="minor"/>
    </font>
    <font>
      <sz val="9"/>
      <color rgb="FFFF0000"/>
      <name val="DengXian"/>
      <family val="3"/>
      <charset val="134"/>
      <scheme val="minor"/>
    </font>
    <font>
      <sz val="9"/>
      <color rgb="FF000000"/>
      <name val="微软雅黑"/>
      <family val="2"/>
      <charset val="134"/>
    </font>
    <font>
      <sz val="9"/>
      <color theme="1"/>
      <name val="微软雅黑"/>
      <family val="2"/>
      <charset val="134"/>
    </font>
    <font>
      <sz val="9"/>
      <color rgb="FFFF0000"/>
      <name val="微软雅黑"/>
      <family val="2"/>
      <charset val="134"/>
    </font>
    <font>
      <sz val="10.5"/>
      <color rgb="FF000000"/>
      <name val="Arial"/>
      <family val="2"/>
    </font>
    <font>
      <sz val="10.5"/>
      <color rgb="FF000000"/>
      <name val="宋体"/>
      <family val="3"/>
      <charset val="134"/>
    </font>
    <font>
      <sz val="11"/>
      <color indexed="8"/>
      <name val="Arial"/>
      <family val="3"/>
      <charset val="134"/>
    </font>
    <font>
      <u/>
      <sz val="11"/>
      <color theme="10"/>
      <name val="DengXian"/>
      <family val="4"/>
      <charset val="134"/>
      <scheme val="minor"/>
    </font>
    <font>
      <u/>
      <sz val="11"/>
      <color theme="11"/>
      <name val="DengXian"/>
      <family val="4"/>
      <charset val="134"/>
      <scheme val="minor"/>
    </font>
  </fonts>
  <fills count="26">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3" tint="0.39997558519241921"/>
        <bgColor indexed="64"/>
      </patternFill>
    </fill>
  </fills>
  <borders count="17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medium">
        <color auto="1"/>
      </left>
      <right style="thin">
        <color auto="1"/>
      </right>
      <top style="medium">
        <color auto="1"/>
      </top>
      <bottom style="thin">
        <color auto="1"/>
      </bottom>
      <diagonal/>
    </border>
    <border>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style="medium">
        <color auto="1"/>
      </bottom>
      <diagonal/>
    </border>
    <border>
      <left style="thin">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bottom/>
      <diagonal/>
    </border>
    <border>
      <left style="medium">
        <color auto="1"/>
      </left>
      <right/>
      <top style="medium">
        <color auto="1"/>
      </top>
      <bottom/>
      <diagonal/>
    </border>
    <border>
      <left style="thin">
        <color auto="1"/>
      </left>
      <right style="thin">
        <color auto="1"/>
      </right>
      <top style="medium">
        <color auto="1"/>
      </top>
      <bottom/>
      <diagonal/>
    </border>
    <border>
      <left style="medium">
        <color auto="1"/>
      </left>
      <right/>
      <top/>
      <bottom/>
      <diagonal/>
    </border>
    <border>
      <left/>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thin">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top style="medium">
        <color auto="1"/>
      </top>
      <bottom style="thin">
        <color auto="1"/>
      </bottom>
      <diagonal/>
    </border>
    <border>
      <left style="thin">
        <color auto="1"/>
      </left>
      <right/>
      <top style="medium">
        <color auto="1"/>
      </top>
      <bottom/>
      <diagonal/>
    </border>
    <border>
      <left/>
      <right style="thin">
        <color auto="1"/>
      </right>
      <top style="medium">
        <color auto="1"/>
      </top>
      <bottom style="thin">
        <color auto="1"/>
      </bottom>
      <diagonal/>
    </border>
    <border>
      <left/>
      <right style="medium">
        <color auto="1"/>
      </right>
      <top style="medium">
        <color auto="1"/>
      </top>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right style="thin">
        <color auto="1"/>
      </right>
      <top/>
      <bottom/>
      <diagonal/>
    </border>
    <border>
      <left/>
      <right/>
      <top style="thin">
        <color auto="1"/>
      </top>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style="thin">
        <color auto="1"/>
      </right>
      <top style="medium">
        <color auto="1"/>
      </top>
      <bottom/>
      <diagonal/>
    </border>
    <border>
      <left style="medium">
        <color auto="1"/>
      </left>
      <right style="thin">
        <color auto="1"/>
      </right>
      <top style="medium">
        <color auto="1"/>
      </top>
      <bottom/>
      <diagonal/>
    </border>
    <border>
      <left style="medium">
        <color auto="1"/>
      </left>
      <right style="thin">
        <color auto="1"/>
      </right>
      <top/>
      <bottom style="thin">
        <color auto="1"/>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thin">
        <color auto="1"/>
      </left>
      <right/>
      <top style="thin">
        <color auto="1"/>
      </top>
      <bottom/>
      <diagonal/>
    </border>
    <border>
      <left/>
      <right/>
      <top/>
      <bottom style="medium">
        <color auto="1"/>
      </bottom>
      <diagonal/>
    </border>
    <border>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top style="medium">
        <color auto="1"/>
      </top>
      <bottom style="thin">
        <color auto="1"/>
      </bottom>
      <diagonal/>
    </border>
    <border>
      <left/>
      <right/>
      <top style="thin">
        <color auto="1"/>
      </top>
      <bottom style="medium">
        <color auto="1"/>
      </bottom>
      <diagonal/>
    </border>
    <border>
      <left style="thin">
        <color auto="1"/>
      </left>
      <right style="medium">
        <color auto="1"/>
      </right>
      <top/>
      <bottom/>
      <diagonal/>
    </border>
    <border>
      <left/>
      <right/>
      <top style="thin">
        <color auto="1"/>
      </top>
      <bottom style="thin">
        <color auto="1"/>
      </bottom>
      <diagonal/>
    </border>
    <border>
      <left style="medium">
        <color auto="1"/>
      </left>
      <right/>
      <top style="thin">
        <color auto="1"/>
      </top>
      <bottom/>
      <diagonal/>
    </border>
    <border>
      <left/>
      <right style="medium">
        <color auto="1"/>
      </right>
      <top/>
      <bottom/>
      <diagonal/>
    </border>
    <border>
      <left style="thin">
        <color auto="1"/>
      </left>
      <right style="thin">
        <color auto="1"/>
      </right>
      <top style="double">
        <color auto="1"/>
      </top>
      <bottom/>
      <diagonal/>
    </border>
    <border>
      <left style="thin">
        <color auto="1"/>
      </left>
      <right/>
      <top/>
      <bottom/>
      <diagonal/>
    </border>
    <border>
      <left/>
      <right style="medium">
        <color auto="1"/>
      </right>
      <top style="thin">
        <color auto="1"/>
      </top>
      <bottom/>
      <diagonal/>
    </border>
    <border>
      <left/>
      <right/>
      <top/>
      <bottom style="thin">
        <color auto="1"/>
      </bottom>
      <diagonal/>
    </border>
    <border>
      <left style="thin">
        <color auto="1"/>
      </left>
      <right style="medium">
        <color auto="1"/>
      </right>
      <top style="thin">
        <color auto="1"/>
      </top>
      <bottom/>
      <diagonal/>
    </border>
    <border>
      <left style="thin">
        <color auto="1"/>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thin">
        <color auto="1"/>
      </bottom>
      <diagonal/>
    </border>
    <border>
      <left/>
      <right style="thin">
        <color auto="1"/>
      </right>
      <top style="medium">
        <color auto="1"/>
      </top>
      <bottom style="medium">
        <color auto="1"/>
      </bottom>
      <diagonal/>
    </border>
    <border>
      <left/>
      <right style="medium">
        <color auto="1"/>
      </right>
      <top/>
      <bottom style="thin">
        <color auto="1"/>
      </bottom>
      <diagonal/>
    </border>
    <border>
      <left style="medium">
        <color auto="1"/>
      </left>
      <right style="medium">
        <color auto="1"/>
      </right>
      <top style="thin">
        <color auto="1"/>
      </top>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right/>
      <top style="double">
        <color auto="1"/>
      </top>
      <bottom/>
      <diagonal/>
    </border>
    <border>
      <left style="thin">
        <color auto="1"/>
      </left>
      <right style="thin">
        <color auto="1"/>
      </right>
      <top style="medium">
        <color auto="1"/>
      </top>
      <bottom style="medium">
        <color auto="1"/>
      </bottom>
      <diagonal/>
    </border>
    <border>
      <left style="thin">
        <color auto="1"/>
      </left>
      <right/>
      <top style="thin">
        <color auto="1"/>
      </top>
      <bottom style="double">
        <color auto="1"/>
      </bottom>
      <diagonal/>
    </border>
    <border>
      <left style="medium">
        <color auto="1"/>
      </left>
      <right style="medium">
        <color auto="1"/>
      </right>
      <top style="thin">
        <color auto="1"/>
      </top>
      <bottom style="thin">
        <color auto="1"/>
      </bottom>
      <diagonal/>
    </border>
    <border>
      <left/>
      <right/>
      <top/>
      <bottom style="double">
        <color auto="1"/>
      </bottom>
      <diagonal/>
    </border>
    <border>
      <left/>
      <right/>
      <top style="thin">
        <color auto="1"/>
      </top>
      <bottom style="double">
        <color auto="1"/>
      </bottom>
      <diagonal/>
    </border>
    <border>
      <left style="medium">
        <color auto="1"/>
      </left>
      <right/>
      <top/>
      <bottom style="double">
        <color auto="1"/>
      </bottom>
      <diagonal/>
    </border>
    <border>
      <left/>
      <right style="medium">
        <color auto="1"/>
      </right>
      <top style="thin">
        <color auto="1"/>
      </top>
      <bottom style="double">
        <color auto="1"/>
      </bottom>
      <diagonal/>
    </border>
    <border>
      <left style="medium">
        <color auto="1"/>
      </left>
      <right style="thin">
        <color auto="1"/>
      </right>
      <top style="thin">
        <color auto="1"/>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Dashed">
        <color auto="1"/>
      </bottom>
      <diagonal/>
    </border>
    <border>
      <left style="thin">
        <color auto="1"/>
      </left>
      <right style="thin">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mediumDashed">
        <color auto="1"/>
      </bottom>
      <diagonal/>
    </border>
    <border>
      <left/>
      <right/>
      <top style="dotted">
        <color auto="1"/>
      </top>
      <bottom/>
      <diagonal/>
    </border>
    <border>
      <left/>
      <right style="dotted">
        <color auto="1"/>
      </right>
      <top style="dotted">
        <color auto="1"/>
      </top>
      <bottom/>
      <diagonal/>
    </border>
    <border>
      <left style="thin">
        <color auto="1"/>
      </left>
      <right/>
      <top/>
      <bottom style="double">
        <color auto="1"/>
      </bottom>
      <diagonal/>
    </border>
    <border>
      <left style="dotted">
        <color auto="1"/>
      </left>
      <right/>
      <top/>
      <bottom/>
      <diagonal/>
    </border>
    <border>
      <left style="dotted">
        <color auto="1"/>
      </left>
      <right/>
      <top style="dotted">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thin">
        <color auto="1"/>
      </left>
      <right/>
      <top style="mediumDashed">
        <color auto="1"/>
      </top>
      <bottom style="thin">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style="thin">
        <color auto="1"/>
      </left>
      <right/>
      <top style="thin">
        <color auto="1"/>
      </top>
      <bottom style="mediumDashed">
        <color auto="1"/>
      </bottom>
      <diagonal/>
    </border>
    <border>
      <left/>
      <right style="medium">
        <color auto="1"/>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thin">
        <color auto="1"/>
      </right>
      <top style="thin">
        <color auto="1"/>
      </top>
      <bottom style="double">
        <color auto="1"/>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auto="1"/>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top style="double">
        <color auto="1"/>
      </top>
      <bottom style="thin">
        <color auto="1"/>
      </bottom>
      <diagonal/>
    </border>
    <border>
      <left/>
      <right/>
      <top/>
      <bottom style="mediumDashed">
        <color auto="1"/>
      </bottom>
      <diagonal/>
    </border>
    <border>
      <left style="thin">
        <color auto="1"/>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top style="thick">
        <color auto="1"/>
      </top>
      <bottom/>
      <diagonal/>
    </border>
    <border>
      <left/>
      <right/>
      <top style="thick">
        <color auto="1"/>
      </top>
      <bottom/>
      <diagonal/>
    </border>
    <border>
      <left/>
      <right style="medium">
        <color auto="1"/>
      </right>
      <top style="thick">
        <color auto="1"/>
      </top>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right/>
      <top/>
      <bottom style="thick">
        <color auto="1"/>
      </bottom>
      <diagonal/>
    </border>
    <border>
      <left style="slantDashDot">
        <color auto="1"/>
      </left>
      <right/>
      <top/>
      <bottom style="thick">
        <color auto="1"/>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s>
  <cellStyleXfs count="28">
    <xf numFmtId="0" fontId="0" fillId="0" borderId="0">
      <alignment vertical="center"/>
    </xf>
    <xf numFmtId="0" fontId="95" fillId="0" borderId="0">
      <alignment vertical="center"/>
    </xf>
    <xf numFmtId="0" fontId="95" fillId="0" borderId="0"/>
    <xf numFmtId="0" fontId="95" fillId="0" borderId="0">
      <alignment vertical="center"/>
    </xf>
    <xf numFmtId="0" fontId="36" fillId="0" borderId="0"/>
    <xf numFmtId="0" fontId="95" fillId="0" borderId="0">
      <alignment vertical="center"/>
    </xf>
    <xf numFmtId="0" fontId="95" fillId="0" borderId="0"/>
    <xf numFmtId="0" fontId="95" fillId="0" borderId="0">
      <alignment vertical="center"/>
    </xf>
    <xf numFmtId="0" fontId="95" fillId="0" borderId="0">
      <alignment vertical="center"/>
    </xf>
    <xf numFmtId="0" fontId="2" fillId="0" borderId="0">
      <alignment vertical="center"/>
    </xf>
    <xf numFmtId="0" fontId="95" fillId="0" borderId="0">
      <alignment vertical="center"/>
    </xf>
    <xf numFmtId="0" fontId="1" fillId="0" borderId="0">
      <alignment vertical="center"/>
    </xf>
    <xf numFmtId="0" fontId="159" fillId="0" borderId="0"/>
    <xf numFmtId="0" fontId="1" fillId="0" borderId="0">
      <alignment vertical="center"/>
    </xf>
    <xf numFmtId="9" fontId="36" fillId="0" borderId="0" applyFont="0" applyFill="0" applyBorder="0" applyAlignment="0" applyProtection="0">
      <alignment vertical="center"/>
    </xf>
    <xf numFmtId="0" fontId="95" fillId="0" borderId="0">
      <alignment vertical="center"/>
    </xf>
    <xf numFmtId="0" fontId="1" fillId="0" borderId="0">
      <alignment vertical="center"/>
    </xf>
    <xf numFmtId="9" fontId="245" fillId="0" borderId="0" applyFont="0" applyFill="0" applyBorder="0" applyAlignment="0" applyProtection="0">
      <alignment vertical="center"/>
    </xf>
    <xf numFmtId="192" fontId="95" fillId="0" borderId="0">
      <alignment vertical="center"/>
    </xf>
    <xf numFmtId="0" fontId="272" fillId="0" borderId="0"/>
    <xf numFmtId="0" fontId="281" fillId="0" borderId="0" applyNumberFormat="0" applyFill="0" applyBorder="0" applyAlignment="0" applyProtection="0">
      <alignment vertical="center"/>
    </xf>
    <xf numFmtId="0" fontId="282" fillId="0" borderId="0" applyNumberFormat="0" applyFill="0" applyBorder="0" applyAlignment="0" applyProtection="0">
      <alignment vertical="center"/>
    </xf>
    <xf numFmtId="0" fontId="281" fillId="0" borderId="0" applyNumberFormat="0" applyFill="0" applyBorder="0" applyAlignment="0" applyProtection="0">
      <alignment vertical="center"/>
    </xf>
    <xf numFmtId="0" fontId="282" fillId="0" borderId="0" applyNumberFormat="0" applyFill="0" applyBorder="0" applyAlignment="0" applyProtection="0">
      <alignment vertical="center"/>
    </xf>
    <xf numFmtId="0" fontId="281" fillId="0" borderId="0" applyNumberFormat="0" applyFill="0" applyBorder="0" applyAlignment="0" applyProtection="0">
      <alignment vertical="center"/>
    </xf>
    <xf numFmtId="0" fontId="282" fillId="0" borderId="0" applyNumberFormat="0" applyFill="0" applyBorder="0" applyAlignment="0" applyProtection="0">
      <alignment vertical="center"/>
    </xf>
    <xf numFmtId="0" fontId="281" fillId="0" borderId="0" applyNumberFormat="0" applyFill="0" applyBorder="0" applyAlignment="0" applyProtection="0">
      <alignment vertical="center"/>
    </xf>
    <xf numFmtId="0" fontId="282" fillId="0" borderId="0" applyNumberFormat="0" applyFill="0" applyBorder="0" applyAlignment="0" applyProtection="0">
      <alignment vertical="center"/>
    </xf>
  </cellStyleXfs>
  <cellXfs count="3889">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98" fillId="6" borderId="0" xfId="0" applyFont="1" applyFill="1" applyAlignment="1" applyProtection="1">
      <alignment horizontal="center" vertical="center"/>
    </xf>
    <xf numFmtId="0" fontId="98" fillId="6" borderId="0" xfId="0" applyFont="1" applyFill="1" applyProtection="1">
      <alignment vertical="center"/>
    </xf>
    <xf numFmtId="0" fontId="46" fillId="6" borderId="5" xfId="0" applyFont="1" applyFill="1" applyBorder="1" applyAlignment="1" applyProtection="1">
      <alignment vertical="center"/>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vertical="center" wrapText="1"/>
      <protection locked="0"/>
    </xf>
    <xf numFmtId="0" fontId="47" fillId="6" borderId="1" xfId="0" applyFont="1" applyFill="1" applyBorder="1" applyAlignment="1" applyProtection="1">
      <alignment horizontal="center" vertical="center" wrapText="1"/>
    </xf>
    <xf numFmtId="0" fontId="47" fillId="0" borderId="0" xfId="0" applyFont="1" applyAlignment="1" applyProtection="1">
      <alignment horizontal="center" vertical="center" wrapText="1"/>
      <protection locked="0"/>
    </xf>
    <xf numFmtId="179" fontId="47" fillId="0" borderId="1" xfId="0" applyNumberFormat="1" applyFont="1" applyBorder="1" applyAlignment="1" applyProtection="1">
      <alignment horizontal="center" vertical="center" wrapText="1"/>
      <protection locked="0"/>
    </xf>
    <xf numFmtId="179" fontId="99" fillId="6" borderId="1" xfId="0" applyNumberFormat="1" applyFont="1" applyFill="1" applyBorder="1" applyAlignment="1" applyProtection="1">
      <alignment horizontal="center" vertical="center" wrapText="1"/>
    </xf>
    <xf numFmtId="0" fontId="47" fillId="6" borderId="5" xfId="0" applyFont="1" applyFill="1" applyBorder="1" applyAlignment="1" applyProtection="1">
      <alignment horizontal="left" vertical="center"/>
    </xf>
    <xf numFmtId="176" fontId="47" fillId="6" borderId="1" xfId="0" applyNumberFormat="1" applyFont="1" applyFill="1" applyBorder="1" applyAlignment="1" applyProtection="1">
      <alignment horizontal="center" vertical="center" wrapText="1"/>
    </xf>
    <xf numFmtId="0" fontId="47" fillId="6" borderId="6" xfId="0" applyFont="1" applyFill="1" applyBorder="1" applyAlignment="1" applyProtection="1">
      <alignment horizontal="center" vertical="center" wrapText="1"/>
    </xf>
    <xf numFmtId="176" fontId="47" fillId="6" borderId="9" xfId="0" applyNumberFormat="1" applyFont="1" applyFill="1" applyBorder="1" applyAlignment="1" applyProtection="1">
      <alignment horizontal="center" vertical="center" wrapText="1"/>
    </xf>
    <xf numFmtId="176" fontId="47" fillId="6" borderId="10"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6" borderId="23" xfId="0" applyNumberFormat="1"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xf>
    <xf numFmtId="0" fontId="47" fillId="6" borderId="13"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47" fillId="0" borderId="0" xfId="0" applyFont="1" applyAlignment="1" applyProtection="1">
      <alignment horizontal="center" vertical="center"/>
      <protection locked="0"/>
    </xf>
    <xf numFmtId="0" fontId="47" fillId="6" borderId="35" xfId="0" applyFont="1" applyFill="1" applyBorder="1" applyAlignment="1" applyProtection="1">
      <alignment horizontal="center" vertical="center"/>
    </xf>
    <xf numFmtId="0" fontId="47" fillId="6" borderId="2" xfId="0" applyFont="1" applyFill="1" applyBorder="1" applyAlignment="1" applyProtection="1">
      <alignment horizontal="center" vertical="center"/>
    </xf>
    <xf numFmtId="0" fontId="47" fillId="6" borderId="2" xfId="0" applyFont="1" applyFill="1" applyBorder="1" applyAlignment="1" applyProtection="1">
      <alignment horizontal="center" vertical="center" wrapText="1"/>
    </xf>
    <xf numFmtId="0" fontId="47" fillId="6" borderId="15" xfId="0"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0" fontId="44" fillId="0" borderId="2" xfId="0" applyFont="1" applyBorder="1" applyAlignment="1" applyProtection="1">
      <alignment horizontal="center" vertical="center" wrapText="1"/>
      <protection locked="0"/>
    </xf>
    <xf numFmtId="176" fontId="44" fillId="6" borderId="1" xfId="0" applyNumberFormat="1" applyFont="1" applyFill="1" applyBorder="1" applyAlignment="1" applyProtection="1">
      <alignment horizontal="center" vertical="center" wrapText="1"/>
    </xf>
    <xf numFmtId="176" fontId="44" fillId="0" borderId="2" xfId="0" applyNumberFormat="1" applyFont="1" applyFill="1" applyBorder="1" applyAlignment="1" applyProtection="1">
      <alignment horizontal="center" vertical="center" wrapText="1"/>
      <protection locked="0"/>
    </xf>
    <xf numFmtId="176" fontId="44" fillId="6" borderId="2" xfId="0" applyNumberFormat="1" applyFont="1" applyFill="1" applyBorder="1" applyAlignment="1" applyProtection="1">
      <alignment horizontal="center" vertical="center" wrapText="1"/>
    </xf>
    <xf numFmtId="176" fontId="44" fillId="6" borderId="13" xfId="0" applyNumberFormat="1" applyFont="1" applyFill="1" applyBorder="1" applyAlignment="1" applyProtection="1">
      <alignment horizontal="center" vertical="center" wrapText="1"/>
    </xf>
    <xf numFmtId="176" fontId="44" fillId="0" borderId="1" xfId="0" applyNumberFormat="1" applyFont="1" applyBorder="1" applyAlignment="1" applyProtection="1">
      <alignment vertical="center" wrapText="1"/>
      <protection locked="0"/>
    </xf>
    <xf numFmtId="176" fontId="44" fillId="0" borderId="1" xfId="0" applyNumberFormat="1" applyFont="1" applyBorder="1" applyAlignment="1" applyProtection="1">
      <alignment horizontal="center" vertical="center" wrapText="1"/>
      <protection locked="0"/>
    </xf>
    <xf numFmtId="176" fontId="44" fillId="0" borderId="2" xfId="0" applyNumberFormat="1" applyFont="1" applyBorder="1" applyAlignment="1" applyProtection="1">
      <alignment horizontal="center" vertical="center" wrapText="1"/>
      <protection locked="0"/>
    </xf>
    <xf numFmtId="0" fontId="44" fillId="6" borderId="3" xfId="0" applyFont="1" applyFill="1" applyBorder="1" applyAlignment="1" applyProtection="1">
      <alignment horizontal="center" vertical="center" wrapText="1"/>
    </xf>
    <xf numFmtId="176" fontId="44" fillId="6" borderId="24" xfId="0" applyNumberFormat="1" applyFont="1" applyFill="1" applyBorder="1" applyAlignment="1" applyProtection="1">
      <alignment horizontal="center" vertical="center" wrapText="1"/>
    </xf>
    <xf numFmtId="176" fontId="44" fillId="0" borderId="1"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0" fontId="46" fillId="6" borderId="13" xfId="0" applyFont="1" applyFill="1" applyBorder="1" applyAlignment="1" applyProtection="1">
      <alignment vertical="center"/>
    </xf>
    <xf numFmtId="0" fontId="44" fillId="6" borderId="11" xfId="0" applyFont="1" applyFill="1" applyBorder="1" applyAlignment="1" applyProtection="1">
      <alignment vertical="center"/>
    </xf>
    <xf numFmtId="0" fontId="44" fillId="6" borderId="1" xfId="0" applyFont="1" applyFill="1" applyBorder="1" applyAlignment="1" applyProtection="1">
      <alignment vertical="center"/>
    </xf>
    <xf numFmtId="176" fontId="44" fillId="6" borderId="24" xfId="0" applyNumberFormat="1" applyFont="1" applyFill="1" applyBorder="1" applyAlignment="1" applyProtection="1">
      <alignment vertical="center"/>
    </xf>
    <xf numFmtId="0" fontId="44" fillId="6" borderId="13" xfId="0" applyFont="1" applyFill="1" applyBorder="1" applyAlignment="1" applyProtection="1">
      <alignment vertical="center"/>
    </xf>
    <xf numFmtId="0" fontId="44" fillId="6" borderId="24" xfId="0" applyFont="1" applyFill="1" applyBorder="1" applyAlignment="1" applyProtection="1">
      <alignment vertical="center"/>
    </xf>
    <xf numFmtId="0" fontId="44" fillId="0" borderId="24" xfId="0" applyFont="1" applyFill="1" applyBorder="1" applyAlignment="1" applyProtection="1">
      <alignment vertical="center"/>
      <protection locked="0"/>
    </xf>
    <xf numFmtId="0" fontId="44" fillId="6" borderId="61" xfId="0" applyFont="1" applyFill="1" applyBorder="1" applyAlignment="1" applyProtection="1">
      <alignment vertical="center"/>
    </xf>
    <xf numFmtId="179" fontId="44" fillId="6" borderId="1" xfId="0" applyNumberFormat="1"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176" fontId="44" fillId="6" borderId="1" xfId="0" applyNumberFormat="1" applyFont="1" applyFill="1" applyBorder="1" applyAlignment="1" applyProtection="1">
      <alignment vertical="center"/>
    </xf>
    <xf numFmtId="0" fontId="47" fillId="0" borderId="1" xfId="0" applyFont="1" applyBorder="1" applyAlignment="1" applyProtection="1">
      <alignment horizontal="center" vertical="center"/>
      <protection locked="0"/>
    </xf>
    <xf numFmtId="177" fontId="44" fillId="0" borderId="3" xfId="1" applyNumberFormat="1" applyFont="1" applyFill="1" applyBorder="1" applyAlignment="1" applyProtection="1">
      <alignment vertical="center"/>
      <protection locked="0"/>
    </xf>
    <xf numFmtId="0" fontId="44" fillId="6" borderId="3" xfId="0" applyFont="1" applyFill="1" applyBorder="1" applyProtection="1">
      <alignment vertical="center"/>
    </xf>
    <xf numFmtId="0" fontId="44" fillId="6" borderId="48" xfId="0" applyFont="1" applyFill="1" applyBorder="1" applyProtection="1">
      <alignment vertical="center"/>
    </xf>
    <xf numFmtId="0" fontId="44" fillId="6" borderId="22" xfId="0" applyFont="1" applyFill="1" applyBorder="1" applyProtection="1">
      <alignment vertical="center"/>
    </xf>
    <xf numFmtId="0" fontId="44" fillId="6" borderId="61" xfId="0" applyFont="1" applyFill="1" applyBorder="1" applyProtection="1">
      <alignment vertical="center"/>
    </xf>
    <xf numFmtId="0" fontId="46" fillId="6" borderId="27" xfId="0" applyFont="1" applyFill="1" applyBorder="1" applyAlignment="1" applyProtection="1">
      <alignment vertical="center" wrapText="1"/>
    </xf>
    <xf numFmtId="0" fontId="44" fillId="6" borderId="29" xfId="0" applyFont="1" applyFill="1" applyBorder="1" applyAlignment="1" applyProtection="1">
      <alignment horizontal="center" vertical="center" wrapText="1"/>
    </xf>
    <xf numFmtId="0" fontId="44" fillId="6" borderId="10" xfId="0" applyFont="1" applyFill="1" applyBorder="1" applyAlignment="1" applyProtection="1">
      <alignment horizontal="center" vertical="center" wrapText="1"/>
    </xf>
    <xf numFmtId="0" fontId="44" fillId="6" borderId="28" xfId="0" applyFont="1" applyFill="1" applyBorder="1" applyAlignment="1" applyProtection="1">
      <alignment horizontal="center" vertical="center" wrapText="1"/>
    </xf>
    <xf numFmtId="179" fontId="51" fillId="6" borderId="1" xfId="1" applyNumberFormat="1" applyFont="1" applyFill="1" applyBorder="1" applyAlignment="1" applyProtection="1">
      <alignment horizontal="center" vertical="center"/>
    </xf>
    <xf numFmtId="180" fontId="51" fillId="6" borderId="1" xfId="1" applyNumberFormat="1" applyFont="1" applyFill="1" applyBorder="1" applyAlignment="1" applyProtection="1">
      <alignment horizontal="center" vertical="center"/>
    </xf>
    <xf numFmtId="181" fontId="44" fillId="0" borderId="1" xfId="0" applyNumberFormat="1" applyFont="1" applyFill="1" applyBorder="1" applyAlignment="1" applyProtection="1">
      <alignment horizontal="center" vertical="center"/>
      <protection locked="0"/>
    </xf>
    <xf numFmtId="0" fontId="44" fillId="6" borderId="1" xfId="1" applyNumberFormat="1" applyFont="1" applyFill="1" applyBorder="1" applyAlignment="1" applyProtection="1">
      <alignment horizontal="center" vertical="center"/>
    </xf>
    <xf numFmtId="0" fontId="44" fillId="6" borderId="5" xfId="0" applyNumberFormat="1" applyFont="1" applyFill="1" applyBorder="1" applyAlignment="1" applyProtection="1">
      <alignment horizontal="center" vertical="center"/>
    </xf>
    <xf numFmtId="179" fontId="44" fillId="6" borderId="23" xfId="1" applyNumberFormat="1" applyFont="1" applyFill="1" applyBorder="1" applyAlignment="1" applyProtection="1">
      <alignment horizontal="center" vertical="center"/>
    </xf>
    <xf numFmtId="181" fontId="44" fillId="0" borderId="1" xfId="0" applyNumberFormat="1" applyFont="1" applyBorder="1" applyAlignment="1" applyProtection="1">
      <alignment vertical="center"/>
      <protection locked="0"/>
    </xf>
    <xf numFmtId="181" fontId="44" fillId="0" borderId="24" xfId="0" applyNumberFormat="1" applyFont="1" applyBorder="1" applyAlignment="1" applyProtection="1">
      <alignment vertical="center"/>
      <protection locked="0"/>
    </xf>
    <xf numFmtId="0" fontId="44" fillId="0" borderId="3" xfId="0" applyFont="1" applyBorder="1" applyAlignment="1" applyProtection="1">
      <alignment vertical="center"/>
      <protection locked="0"/>
    </xf>
    <xf numFmtId="181" fontId="44" fillId="0" borderId="5" xfId="0" applyNumberFormat="1" applyFont="1" applyBorder="1" applyAlignment="1" applyProtection="1">
      <alignment vertical="center"/>
      <protection locked="0"/>
    </xf>
    <xf numFmtId="0" fontId="44" fillId="0" borderId="23" xfId="0" applyFont="1" applyBorder="1" applyAlignment="1" applyProtection="1">
      <alignment horizontal="center" vertical="center"/>
      <protection locked="0"/>
    </xf>
    <xf numFmtId="0" fontId="44" fillId="0" borderId="24" xfId="0" applyFont="1" applyBorder="1" applyAlignment="1" applyProtection="1">
      <alignment horizontal="center" vertical="center"/>
      <protection locked="0"/>
    </xf>
    <xf numFmtId="0" fontId="44" fillId="5" borderId="3" xfId="0" applyFont="1" applyFill="1" applyBorder="1" applyAlignment="1" applyProtection="1">
      <alignment horizontal="center" vertical="center"/>
      <protection locked="0"/>
    </xf>
    <xf numFmtId="0" fontId="44" fillId="0" borderId="1" xfId="0" applyNumberFormat="1" applyFont="1" applyBorder="1" applyAlignment="1" applyProtection="1">
      <alignment horizontal="center" vertical="center"/>
      <protection locked="0"/>
    </xf>
    <xf numFmtId="10" fontId="44" fillId="0" borderId="1" xfId="0" applyNumberFormat="1" applyFont="1" applyBorder="1" applyAlignment="1" applyProtection="1">
      <alignment horizontal="center" vertical="center"/>
      <protection locked="0"/>
    </xf>
    <xf numFmtId="182" fontId="44" fillId="0" borderId="1" xfId="0" applyNumberFormat="1" applyFont="1" applyBorder="1" applyAlignment="1" applyProtection="1">
      <alignment horizontal="center" vertical="center"/>
      <protection locked="0"/>
    </xf>
    <xf numFmtId="181" fontId="44" fillId="0" borderId="24" xfId="0" applyNumberFormat="1" applyFont="1" applyBorder="1" applyAlignment="1" applyProtection="1">
      <alignment horizontal="center" vertical="center"/>
      <protection locked="0"/>
    </xf>
    <xf numFmtId="9" fontId="44" fillId="0" borderId="5" xfId="0" applyNumberFormat="1" applyFont="1" applyFill="1" applyBorder="1" applyAlignment="1" applyProtection="1">
      <alignment horizontal="center" vertical="center"/>
      <protection locked="0"/>
    </xf>
    <xf numFmtId="177" fontId="44" fillId="0" borderId="1" xfId="1" applyNumberFormat="1" applyFont="1" applyFill="1" applyBorder="1" applyAlignment="1" applyProtection="1">
      <alignment horizontal="center" vertical="center"/>
      <protection locked="0"/>
    </xf>
    <xf numFmtId="10" fontId="44" fillId="0" borderId="1" xfId="1" applyNumberFormat="1" applyFont="1" applyFill="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10" fontId="44" fillId="0" borderId="1" xfId="0" applyNumberFormat="1" applyFont="1" applyFill="1" applyBorder="1" applyAlignment="1" applyProtection="1">
      <alignment horizontal="center" vertical="center"/>
      <protection locked="0"/>
    </xf>
    <xf numFmtId="182" fontId="44" fillId="0" borderId="1" xfId="0" applyNumberFormat="1" applyFont="1" applyFill="1" applyBorder="1" applyAlignment="1" applyProtection="1">
      <alignment horizontal="center" vertical="center"/>
      <protection locked="0"/>
    </xf>
    <xf numFmtId="181" fontId="44" fillId="0" borderId="24" xfId="0" applyNumberFormat="1" applyFont="1" applyFill="1" applyBorder="1" applyAlignment="1" applyProtection="1">
      <alignment horizontal="center" vertical="center"/>
      <protection locked="0"/>
    </xf>
    <xf numFmtId="0" fontId="46" fillId="6" borderId="32" xfId="1" applyFont="1" applyFill="1" applyBorder="1" applyAlignment="1" applyProtection="1">
      <alignment vertical="center"/>
    </xf>
    <xf numFmtId="0" fontId="46" fillId="6" borderId="32" xfId="1" applyFont="1" applyFill="1" applyBorder="1" applyAlignment="1" applyProtection="1">
      <alignment horizontal="center" vertical="center"/>
    </xf>
    <xf numFmtId="181" fontId="46" fillId="6" borderId="32" xfId="1" applyNumberFormat="1" applyFont="1" applyFill="1" applyBorder="1" applyAlignment="1" applyProtection="1">
      <alignment vertical="center"/>
    </xf>
    <xf numFmtId="0" fontId="46" fillId="6" borderId="49" xfId="1" applyFont="1" applyFill="1" applyBorder="1" applyAlignment="1" applyProtection="1">
      <alignment vertical="center"/>
    </xf>
    <xf numFmtId="176" fontId="44" fillId="6" borderId="25" xfId="0" applyNumberFormat="1" applyFont="1" applyFill="1" applyBorder="1" applyAlignment="1" applyProtection="1">
      <alignment horizontal="center" vertical="center"/>
    </xf>
    <xf numFmtId="0" fontId="44" fillId="6" borderId="32" xfId="1" applyNumberFormat="1" applyFont="1" applyFill="1" applyBorder="1" applyAlignment="1" applyProtection="1">
      <alignment horizontal="center" vertical="center"/>
    </xf>
    <xf numFmtId="10" fontId="44" fillId="6" borderId="32" xfId="1" applyNumberFormat="1" applyFont="1" applyFill="1" applyBorder="1" applyAlignment="1" applyProtection="1">
      <alignment horizontal="center" vertical="center"/>
    </xf>
    <xf numFmtId="9" fontId="44" fillId="6" borderId="33" xfId="0" applyNumberFormat="1" applyFont="1" applyFill="1" applyBorder="1" applyAlignment="1" applyProtection="1">
      <alignment horizontal="center" vertical="center"/>
    </xf>
    <xf numFmtId="179" fontId="44" fillId="6" borderId="66" xfId="1" applyNumberFormat="1" applyFont="1" applyFill="1" applyBorder="1" applyAlignment="1" applyProtection="1">
      <alignment horizontal="center" vertical="center"/>
    </xf>
    <xf numFmtId="0" fontId="44" fillId="6" borderId="68" xfId="1" applyNumberFormat="1" applyFont="1" applyFill="1" applyBorder="1" applyAlignment="1" applyProtection="1">
      <alignment horizontal="center" vertical="center"/>
    </xf>
    <xf numFmtId="0" fontId="44" fillId="6" borderId="25" xfId="0" applyFont="1" applyFill="1" applyBorder="1" applyAlignment="1" applyProtection="1">
      <alignment vertical="center"/>
    </xf>
    <xf numFmtId="0" fontId="44" fillId="6" borderId="32" xfId="0" applyFont="1" applyFill="1" applyBorder="1" applyAlignment="1" applyProtection="1">
      <alignment vertical="center"/>
    </xf>
    <xf numFmtId="0" fontId="44" fillId="6" borderId="49" xfId="0" applyFont="1" applyFill="1" applyBorder="1" applyAlignment="1" applyProtection="1">
      <alignment vertical="center"/>
    </xf>
    <xf numFmtId="0" fontId="44" fillId="6" borderId="66" xfId="0" applyFont="1" applyFill="1" applyBorder="1" applyAlignment="1" applyProtection="1">
      <alignment vertical="center"/>
    </xf>
    <xf numFmtId="0" fontId="44" fillId="6" borderId="33" xfId="0" applyFont="1" applyFill="1" applyBorder="1" applyAlignment="1" applyProtection="1">
      <alignment vertical="center"/>
    </xf>
    <xf numFmtId="176" fontId="51" fillId="0" borderId="10" xfId="1" applyNumberFormat="1" applyFont="1" applyFill="1" applyBorder="1" applyAlignment="1" applyProtection="1">
      <alignment horizontal="center" vertical="center"/>
      <protection locked="0"/>
    </xf>
    <xf numFmtId="176" fontId="44" fillId="0" borderId="24" xfId="1" applyNumberFormat="1" applyFont="1" applyFill="1" applyBorder="1" applyAlignment="1" applyProtection="1">
      <alignment horizontal="center" vertical="center"/>
      <protection locked="0"/>
    </xf>
    <xf numFmtId="176" fontId="51" fillId="6" borderId="24" xfId="1" applyNumberFormat="1" applyFont="1" applyFill="1" applyBorder="1" applyAlignment="1" applyProtection="1">
      <alignment horizontal="center" vertical="center"/>
    </xf>
    <xf numFmtId="176" fontId="51" fillId="6" borderId="49" xfId="1" applyNumberFormat="1" applyFont="1" applyFill="1" applyBorder="1" applyAlignment="1" applyProtection="1">
      <alignment horizontal="center" vertical="center"/>
    </xf>
    <xf numFmtId="0" fontId="53" fillId="0" borderId="10" xfId="1" applyNumberFormat="1"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3" fillId="0" borderId="24" xfId="1" applyNumberFormat="1" applyFont="1" applyFill="1" applyBorder="1" applyAlignment="1" applyProtection="1">
      <alignment horizontal="center" vertical="center"/>
      <protection locked="0"/>
    </xf>
    <xf numFmtId="0" fontId="51" fillId="6" borderId="24" xfId="1" applyNumberFormat="1" applyFont="1" applyFill="1" applyBorder="1" applyAlignment="1" applyProtection="1">
      <alignment horizontal="center" vertical="center"/>
    </xf>
    <xf numFmtId="0" fontId="53" fillId="0" borderId="49" xfId="1" applyNumberFormat="1" applyFont="1" applyFill="1" applyBorder="1" applyAlignment="1" applyProtection="1">
      <alignment horizontal="center" vertical="center"/>
      <protection locked="0"/>
    </xf>
    <xf numFmtId="181" fontId="47" fillId="0" borderId="49" xfId="0" applyNumberFormat="1" applyFont="1" applyFill="1" applyBorder="1" applyAlignment="1" applyProtection="1">
      <alignment horizontal="center" vertical="center"/>
      <protection locked="0"/>
    </xf>
    <xf numFmtId="10" fontId="44" fillId="6" borderId="10" xfId="0" applyNumberFormat="1" applyFont="1" applyFill="1" applyBorder="1" applyAlignment="1" applyProtection="1">
      <alignment horizontal="center" vertical="center"/>
    </xf>
    <xf numFmtId="10" fontId="44" fillId="0" borderId="61" xfId="0" applyNumberFormat="1" applyFont="1" applyFill="1" applyBorder="1" applyAlignment="1" applyProtection="1">
      <alignment horizontal="center" vertical="center"/>
      <protection locked="0"/>
    </xf>
    <xf numFmtId="182" fontId="44" fillId="6" borderId="61" xfId="0" applyNumberFormat="1" applyFont="1" applyFill="1" applyBorder="1" applyAlignment="1" applyProtection="1">
      <alignment horizontal="center" vertical="center"/>
    </xf>
    <xf numFmtId="10" fontId="44" fillId="2" borderId="61" xfId="0" applyNumberFormat="1" applyFont="1" applyFill="1" applyBorder="1" applyAlignment="1" applyProtection="1">
      <alignment horizontal="center" vertical="center"/>
      <protection locked="0"/>
    </xf>
    <xf numFmtId="10" fontId="44" fillId="0" borderId="49" xfId="0" applyNumberFormat="1" applyFont="1" applyFill="1" applyBorder="1" applyAlignment="1" applyProtection="1">
      <alignment horizontal="center" vertical="center"/>
      <protection locked="0"/>
    </xf>
    <xf numFmtId="10" fontId="44" fillId="0" borderId="53" xfId="0" applyNumberFormat="1" applyFont="1" applyFill="1" applyBorder="1" applyAlignment="1" applyProtection="1">
      <alignment horizontal="center" vertical="center"/>
      <protection locked="0"/>
    </xf>
    <xf numFmtId="10" fontId="44" fillId="6" borderId="62" xfId="0" applyNumberFormat="1" applyFont="1" applyFill="1" applyBorder="1" applyAlignment="1" applyProtection="1">
      <alignment horizontal="center" vertical="center"/>
    </xf>
    <xf numFmtId="10" fontId="44" fillId="6" borderId="49" xfId="0" applyNumberFormat="1" applyFont="1" applyFill="1" applyBorder="1" applyAlignment="1" applyProtection="1">
      <alignment horizontal="center" vertical="center"/>
    </xf>
    <xf numFmtId="178" fontId="44" fillId="6" borderId="62" xfId="0" applyNumberFormat="1" applyFont="1" applyFill="1" applyBorder="1" applyAlignment="1" applyProtection="1">
      <alignment horizontal="center" vertical="center"/>
    </xf>
    <xf numFmtId="0" fontId="44" fillId="0" borderId="49" xfId="0" applyFont="1" applyBorder="1" applyAlignment="1" applyProtection="1">
      <alignment vertical="center"/>
      <protection locked="0"/>
    </xf>
    <xf numFmtId="0" fontId="44" fillId="6" borderId="10" xfId="0" applyNumberFormat="1" applyFont="1" applyFill="1" applyBorder="1" applyAlignment="1" applyProtection="1">
      <alignment horizontal="center" vertical="center" wrapText="1"/>
    </xf>
    <xf numFmtId="0" fontId="44" fillId="6" borderId="24" xfId="0" applyNumberFormat="1" applyFont="1" applyFill="1" applyBorder="1" applyAlignment="1" applyProtection="1">
      <alignment horizontal="center" vertical="center" wrapText="1"/>
    </xf>
    <xf numFmtId="0" fontId="44" fillId="6" borderId="49" xfId="0" applyNumberFormat="1" applyFont="1" applyFill="1" applyBorder="1" applyAlignment="1" applyProtection="1">
      <alignment horizontal="center" vertical="center" wrapText="1"/>
    </xf>
    <xf numFmtId="0" fontId="47" fillId="6" borderId="0" xfId="0" applyFont="1" applyFill="1" applyProtection="1">
      <alignment vertical="center"/>
      <protection locked="0"/>
    </xf>
    <xf numFmtId="0" fontId="47" fillId="0" borderId="0" xfId="0" applyFont="1" applyProtection="1">
      <alignment vertical="center"/>
      <protection locked="0"/>
    </xf>
    <xf numFmtId="0" fontId="47" fillId="6" borderId="5" xfId="0" applyFont="1" applyFill="1" applyBorder="1" applyAlignment="1" applyProtection="1">
      <alignment vertical="center"/>
    </xf>
    <xf numFmtId="0" fontId="44" fillId="6" borderId="2" xfId="0" applyFont="1" applyFill="1" applyBorder="1" applyAlignment="1" applyProtection="1">
      <alignment horizontal="center" vertical="center"/>
    </xf>
    <xf numFmtId="179" fontId="44" fillId="6" borderId="13" xfId="0" applyNumberFormat="1" applyFont="1" applyFill="1" applyBorder="1" applyAlignment="1" applyProtection="1">
      <alignment horizontal="center" vertical="center"/>
    </xf>
    <xf numFmtId="0" fontId="98" fillId="6" borderId="9" xfId="0" applyFont="1" applyFill="1" applyBorder="1" applyAlignment="1" applyProtection="1">
      <alignment horizontal="center" vertical="center"/>
    </xf>
    <xf numFmtId="0" fontId="98" fillId="6" borderId="10" xfId="0" applyFont="1" applyFill="1" applyBorder="1" applyAlignment="1" applyProtection="1">
      <alignment horizontal="center" vertical="center"/>
    </xf>
    <xf numFmtId="0" fontId="44" fillId="6" borderId="28" xfId="0" applyFont="1" applyFill="1" applyBorder="1" applyAlignment="1" applyProtection="1">
      <alignment horizontal="right" vertical="center"/>
    </xf>
    <xf numFmtId="0" fontId="98" fillId="6" borderId="1" xfId="0" applyFont="1" applyFill="1" applyBorder="1" applyAlignment="1" applyProtection="1">
      <alignment horizontal="center" vertical="center"/>
    </xf>
    <xf numFmtId="0" fontId="98" fillId="6" borderId="24" xfId="0" applyFont="1" applyFill="1" applyBorder="1" applyAlignment="1" applyProtection="1">
      <alignment horizontal="center" vertical="center"/>
    </xf>
    <xf numFmtId="0" fontId="44" fillId="6" borderId="33" xfId="0" applyFont="1" applyFill="1" applyBorder="1" applyAlignment="1" applyProtection="1">
      <alignment horizontal="right" vertical="center"/>
    </xf>
    <xf numFmtId="0" fontId="44" fillId="6" borderId="4" xfId="0" applyFont="1" applyFill="1" applyBorder="1" applyAlignment="1" applyProtection="1">
      <alignment horizontal="right" vertical="center"/>
    </xf>
    <xf numFmtId="0" fontId="100" fillId="0" borderId="1" xfId="0" applyFont="1" applyFill="1" applyBorder="1" applyAlignment="1" applyProtection="1">
      <alignment horizontal="center" vertical="center"/>
      <protection locked="0"/>
    </xf>
    <xf numFmtId="0" fontId="100" fillId="0" borderId="24" xfId="0" applyFont="1" applyFill="1" applyBorder="1" applyAlignment="1" applyProtection="1">
      <alignment horizontal="center" vertical="center"/>
      <protection locked="0"/>
    </xf>
    <xf numFmtId="0" fontId="44" fillId="6" borderId="29" xfId="0" applyFont="1" applyFill="1" applyBorder="1" applyAlignment="1" applyProtection="1">
      <alignment horizontal="center" vertical="center"/>
    </xf>
    <xf numFmtId="0" fontId="46" fillId="0" borderId="10" xfId="0" applyFont="1" applyFill="1" applyBorder="1" applyAlignment="1" applyProtection="1">
      <alignment horizontal="center" vertical="center"/>
      <protection locked="0"/>
    </xf>
    <xf numFmtId="0" fontId="47" fillId="6" borderId="1" xfId="0" applyFont="1" applyFill="1" applyBorder="1" applyProtection="1">
      <alignment vertical="center"/>
    </xf>
    <xf numFmtId="0" fontId="46" fillId="0" borderId="24" xfId="0" applyFont="1" applyFill="1" applyBorder="1" applyAlignment="1" applyProtection="1">
      <alignment horizontal="center" vertical="center"/>
      <protection locked="0"/>
    </xf>
    <xf numFmtId="0" fontId="46" fillId="6" borderId="4" xfId="0" applyFont="1" applyFill="1" applyBorder="1" applyAlignment="1" applyProtection="1">
      <alignment horizontal="center"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0" borderId="24" xfId="0" applyFont="1" applyFill="1" applyBorder="1" applyAlignment="1" applyProtection="1">
      <alignment horizontal="center" vertical="center"/>
      <protection locked="0"/>
    </xf>
    <xf numFmtId="0" fontId="47" fillId="0" borderId="25" xfId="0" applyFont="1" applyBorder="1" applyProtection="1">
      <alignment vertical="center"/>
      <protection locked="0"/>
    </xf>
    <xf numFmtId="0" fontId="47" fillId="0" borderId="32" xfId="0" applyFont="1" applyBorder="1" applyProtection="1">
      <alignment vertical="center"/>
      <protection locked="0"/>
    </xf>
    <xf numFmtId="0" fontId="47" fillId="0" borderId="49" xfId="0" applyFont="1" applyBorder="1" applyProtection="1">
      <alignment vertical="center"/>
      <protection locked="0"/>
    </xf>
    <xf numFmtId="0" fontId="47" fillId="6" borderId="13" xfId="0" applyFont="1" applyFill="1" applyBorder="1" applyAlignment="1" applyProtection="1">
      <alignment vertical="center"/>
    </xf>
    <xf numFmtId="0" fontId="47" fillId="6" borderId="36" xfId="0" applyFont="1" applyFill="1" applyBorder="1" applyAlignment="1" applyProtection="1">
      <alignment horizontal="right" vertical="center"/>
    </xf>
    <xf numFmtId="9" fontId="47" fillId="5" borderId="36" xfId="0" applyNumberFormat="1" applyFont="1" applyFill="1" applyBorder="1" applyAlignment="1" applyProtection="1">
      <alignment horizontal="center" vertical="center"/>
      <protection locked="0"/>
    </xf>
    <xf numFmtId="0" fontId="47" fillId="6" borderId="22" xfId="0" applyFont="1" applyFill="1" applyBorder="1" applyProtection="1">
      <alignment vertical="center"/>
    </xf>
    <xf numFmtId="0" fontId="47" fillId="6" borderId="0" xfId="0" applyFont="1" applyFill="1" applyAlignment="1" applyProtection="1">
      <alignment horizontal="center" vertical="center"/>
      <protection locked="0"/>
    </xf>
    <xf numFmtId="0" fontId="52" fillId="6" borderId="18" xfId="0" applyFont="1" applyFill="1" applyBorder="1" applyAlignment="1" applyProtection="1">
      <alignment horizontal="left" vertical="center" wrapText="1"/>
    </xf>
    <xf numFmtId="0" fontId="52" fillId="6" borderId="60" xfId="0" applyFont="1" applyFill="1" applyBorder="1" applyAlignment="1" applyProtection="1">
      <alignment horizontal="left" vertical="center" wrapText="1"/>
    </xf>
    <xf numFmtId="0" fontId="52" fillId="6" borderId="7" xfId="0" applyFont="1" applyFill="1" applyBorder="1" applyAlignment="1" applyProtection="1">
      <alignment horizontal="left" vertical="center" wrapText="1"/>
    </xf>
    <xf numFmtId="0" fontId="52" fillId="6" borderId="1" xfId="0" applyFont="1" applyFill="1" applyBorder="1" applyAlignment="1" applyProtection="1">
      <alignment horizontal="left" vertical="center" wrapText="1"/>
    </xf>
    <xf numFmtId="0" fontId="47" fillId="6" borderId="46" xfId="0" applyFont="1" applyFill="1" applyBorder="1" applyAlignment="1" applyProtection="1">
      <alignment vertical="center"/>
    </xf>
    <xf numFmtId="10" fontId="47" fillId="6" borderId="5" xfId="0" applyNumberFormat="1" applyFont="1" applyFill="1" applyBorder="1" applyAlignment="1" applyProtection="1">
      <alignment horizontal="center" vertical="center"/>
    </xf>
    <xf numFmtId="0" fontId="47" fillId="6" borderId="10" xfId="0" applyFont="1" applyFill="1" applyBorder="1" applyAlignment="1" applyProtection="1">
      <alignment horizontal="left" vertical="center" wrapText="1"/>
    </xf>
    <xf numFmtId="0" fontId="54" fillId="6" borderId="2" xfId="0" applyFont="1" applyFill="1" applyBorder="1" applyAlignment="1" applyProtection="1">
      <alignment horizontal="left" vertical="center" wrapText="1"/>
    </xf>
    <xf numFmtId="0" fontId="47" fillId="6" borderId="8" xfId="0" applyFont="1" applyFill="1" applyBorder="1" applyAlignment="1" applyProtection="1">
      <alignment horizontal="left" vertical="center" wrapText="1"/>
    </xf>
    <xf numFmtId="49" fontId="47" fillId="6" borderId="23" xfId="0" applyNumberFormat="1" applyFont="1" applyFill="1" applyBorder="1" applyAlignment="1" applyProtection="1">
      <alignment horizontal="left" vertical="center" wrapText="1"/>
    </xf>
    <xf numFmtId="0" fontId="53" fillId="6" borderId="1" xfId="0" applyFont="1" applyFill="1" applyBorder="1" applyAlignment="1" applyProtection="1">
      <alignment horizontal="left" vertical="center" wrapText="1"/>
    </xf>
    <xf numFmtId="0" fontId="53" fillId="6" borderId="1" xfId="0" applyFont="1" applyFill="1" applyBorder="1" applyAlignment="1" applyProtection="1">
      <alignment horizontal="center" vertical="center" wrapText="1"/>
    </xf>
    <xf numFmtId="0" fontId="47" fillId="6" borderId="24" xfId="0" applyFont="1" applyFill="1" applyBorder="1" applyAlignment="1" applyProtection="1">
      <alignment horizontal="left" vertical="center" wrapText="1"/>
    </xf>
    <xf numFmtId="49" fontId="52" fillId="6" borderId="23" xfId="0" applyNumberFormat="1"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54" fillId="6" borderId="1" xfId="0" applyFont="1" applyFill="1" applyBorder="1" applyAlignment="1" applyProtection="1">
      <alignment horizontal="center" vertical="center" wrapText="1"/>
    </xf>
    <xf numFmtId="49" fontId="52" fillId="6" borderId="25"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47" fillId="6" borderId="49" xfId="0" applyFont="1" applyFill="1" applyBorder="1" applyAlignment="1" applyProtection="1">
      <alignment horizontal="left" vertical="center"/>
    </xf>
    <xf numFmtId="0" fontId="47" fillId="6" borderId="28" xfId="0" applyFont="1" applyFill="1" applyBorder="1" applyAlignment="1" applyProtection="1">
      <alignment horizontal="left" vertical="center" wrapText="1"/>
    </xf>
    <xf numFmtId="0" fontId="47" fillId="6" borderId="20" xfId="0" applyFont="1" applyFill="1" applyBorder="1" applyAlignment="1" applyProtection="1">
      <alignment horizontal="left" vertical="center" wrapText="1"/>
    </xf>
    <xf numFmtId="0" fontId="44" fillId="6" borderId="21" xfId="2" applyFont="1" applyFill="1" applyBorder="1" applyAlignment="1" applyProtection="1">
      <alignment horizontal="left" vertical="center" wrapText="1"/>
    </xf>
    <xf numFmtId="0" fontId="44" fillId="6" borderId="48" xfId="2" applyFont="1" applyFill="1" applyBorder="1" applyAlignment="1" applyProtection="1">
      <alignment horizontal="left" vertical="center" wrapText="1"/>
    </xf>
    <xf numFmtId="0" fontId="53" fillId="0" borderId="1" xfId="0" applyFont="1" applyFill="1" applyBorder="1" applyAlignment="1" applyProtection="1">
      <alignment horizontal="center" vertical="center" wrapText="1"/>
      <protection locked="0"/>
    </xf>
    <xf numFmtId="0" fontId="44" fillId="6" borderId="1" xfId="2" applyFont="1" applyFill="1" applyBorder="1" applyAlignment="1" applyProtection="1">
      <alignment horizontal="left" vertical="center" wrapText="1"/>
    </xf>
    <xf numFmtId="0" fontId="53" fillId="6" borderId="2"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xf>
    <xf numFmtId="0" fontId="53" fillId="6" borderId="32" xfId="0" applyFont="1" applyFill="1" applyBorder="1" applyAlignment="1" applyProtection="1">
      <alignment horizontal="center" vertical="center" wrapText="1"/>
    </xf>
    <xf numFmtId="0" fontId="47" fillId="6" borderId="33" xfId="0" applyFont="1" applyFill="1" applyBorder="1" applyAlignment="1" applyProtection="1">
      <alignment horizontal="left" vertical="center"/>
    </xf>
    <xf numFmtId="0" fontId="47" fillId="6" borderId="52" xfId="0" applyFont="1" applyFill="1" applyBorder="1" applyAlignment="1" applyProtection="1">
      <alignment horizontal="left" vertical="center" wrapText="1"/>
    </xf>
    <xf numFmtId="0" fontId="44" fillId="6" borderId="68" xfId="2"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xf>
    <xf numFmtId="0" fontId="55" fillId="6" borderId="0" xfId="0" applyFont="1" applyFill="1" applyBorder="1" applyAlignment="1" applyProtection="1">
      <alignment horizontal="left" vertical="center"/>
    </xf>
    <xf numFmtId="0" fontId="47" fillId="6" borderId="68" xfId="2" applyFont="1" applyFill="1" applyBorder="1" applyAlignment="1" applyProtection="1">
      <alignment horizontal="left" vertical="center" wrapText="1"/>
    </xf>
    <xf numFmtId="0" fontId="101" fillId="6" borderId="51" xfId="1" applyFont="1" applyFill="1" applyBorder="1" applyAlignment="1" applyProtection="1">
      <alignment vertical="center"/>
    </xf>
    <xf numFmtId="0" fontId="57" fillId="6" borderId="20" xfId="1" applyFont="1" applyFill="1" applyBorder="1" applyAlignment="1" applyProtection="1">
      <alignment vertical="center"/>
    </xf>
    <xf numFmtId="0" fontId="57" fillId="6" borderId="19" xfId="1" applyFont="1" applyFill="1" applyBorder="1" applyAlignment="1" applyProtection="1">
      <alignment vertical="center"/>
    </xf>
    <xf numFmtId="0" fontId="57" fillId="6" borderId="0" xfId="1" applyFont="1" applyFill="1" applyBorder="1" applyAlignment="1" applyProtection="1">
      <alignment vertical="center"/>
    </xf>
    <xf numFmtId="0" fontId="58" fillId="3" borderId="0" xfId="0" applyFont="1" applyFill="1" applyAlignment="1" applyProtection="1">
      <alignment vertical="center"/>
      <protection locked="0"/>
    </xf>
    <xf numFmtId="0" fontId="57" fillId="6" borderId="1" xfId="1" applyFont="1" applyFill="1" applyBorder="1" applyAlignment="1" applyProtection="1">
      <alignment vertical="center"/>
    </xf>
    <xf numFmtId="177" fontId="57" fillId="6" borderId="1" xfId="1" applyNumberFormat="1" applyFont="1" applyFill="1" applyBorder="1" applyAlignment="1" applyProtection="1">
      <alignment horizontal="right" vertical="center"/>
    </xf>
    <xf numFmtId="0" fontId="57" fillId="6" borderId="13" xfId="1" applyFont="1" applyFill="1" applyBorder="1" applyAlignment="1" applyProtection="1">
      <alignment vertical="center"/>
    </xf>
    <xf numFmtId="0" fontId="57" fillId="6" borderId="13" xfId="1" applyFont="1" applyFill="1" applyBorder="1" applyAlignment="1" applyProtection="1">
      <alignment horizontal="right" vertical="center"/>
    </xf>
    <xf numFmtId="49" fontId="57" fillId="6" borderId="51" xfId="1" applyNumberFormat="1" applyFont="1" applyFill="1" applyBorder="1" applyAlignment="1" applyProtection="1"/>
    <xf numFmtId="49" fontId="57" fillId="6" borderId="20" xfId="1" applyNumberFormat="1" applyFont="1" applyFill="1" applyBorder="1" applyAlignment="1" applyProtection="1"/>
    <xf numFmtId="49" fontId="57" fillId="6" borderId="21" xfId="1" applyNumberFormat="1" applyFont="1" applyFill="1" applyBorder="1" applyAlignment="1" applyProtection="1"/>
    <xf numFmtId="0" fontId="57" fillId="3" borderId="0" xfId="0" applyFont="1" applyFill="1" applyAlignment="1" applyProtection="1">
      <alignment vertical="center"/>
      <protection locked="0"/>
    </xf>
    <xf numFmtId="0" fontId="54" fillId="6" borderId="23" xfId="1" applyFont="1" applyFill="1" applyBorder="1" applyAlignment="1" applyProtection="1">
      <alignment horizontal="left"/>
    </xf>
    <xf numFmtId="0" fontId="54" fillId="6" borderId="5" xfId="1" applyFont="1" applyFill="1" applyBorder="1" applyAlignment="1" applyProtection="1"/>
    <xf numFmtId="177" fontId="54" fillId="6" borderId="1" xfId="1" applyNumberFormat="1" applyFont="1" applyFill="1" applyBorder="1" applyAlignment="1" applyProtection="1">
      <alignment horizontal="center"/>
    </xf>
    <xf numFmtId="0" fontId="54" fillId="6" borderId="1" xfId="1" applyFont="1" applyFill="1" applyBorder="1" applyAlignment="1" applyProtection="1">
      <alignment horizontal="center"/>
    </xf>
    <xf numFmtId="0" fontId="54" fillId="6" borderId="24" xfId="1" applyFont="1" applyFill="1" applyBorder="1" applyAlignment="1" applyProtection="1">
      <alignment horizontal="left"/>
    </xf>
    <xf numFmtId="0" fontId="54" fillId="3" borderId="0" xfId="0" applyFont="1" applyFill="1" applyAlignment="1" applyProtection="1">
      <alignment vertical="center"/>
      <protection locked="0"/>
    </xf>
    <xf numFmtId="0" fontId="53" fillId="6" borderId="5" xfId="1" applyFont="1" applyFill="1" applyBorder="1" applyAlignment="1" applyProtection="1"/>
    <xf numFmtId="177" fontId="53" fillId="0" borderId="1" xfId="1" applyNumberFormat="1" applyFont="1" applyFill="1" applyBorder="1" applyAlignment="1" applyProtection="1">
      <alignment horizontal="center"/>
      <protection locked="0"/>
    </xf>
    <xf numFmtId="179" fontId="53" fillId="6" borderId="1" xfId="1" applyNumberFormat="1" applyFont="1" applyFill="1" applyBorder="1" applyAlignment="1" applyProtection="1">
      <alignment horizontal="center"/>
    </xf>
    <xf numFmtId="0" fontId="53" fillId="6" borderId="1" xfId="1" applyFont="1" applyFill="1" applyBorder="1" applyAlignment="1" applyProtection="1">
      <alignment horizontal="center"/>
    </xf>
    <xf numFmtId="0" fontId="53" fillId="6" borderId="24" xfId="1" applyFont="1" applyFill="1" applyBorder="1" applyAlignment="1" applyProtection="1">
      <alignment horizontal="left"/>
    </xf>
    <xf numFmtId="177" fontId="53" fillId="6" borderId="1" xfId="1" applyNumberFormat="1" applyFont="1" applyFill="1" applyBorder="1" applyAlignment="1" applyProtection="1">
      <alignment horizontal="center"/>
    </xf>
    <xf numFmtId="10" fontId="53" fillId="6" borderId="1" xfId="1" applyNumberFormat="1" applyFont="1" applyFill="1" applyBorder="1" applyAlignment="1" applyProtection="1">
      <alignment horizontal="center"/>
    </xf>
    <xf numFmtId="177" fontId="53" fillId="6" borderId="1" xfId="1" applyNumberFormat="1" applyFont="1" applyFill="1" applyBorder="1" applyAlignment="1" applyProtection="1"/>
    <xf numFmtId="0" fontId="54" fillId="0" borderId="0" xfId="0" applyFont="1" applyFill="1" applyAlignment="1" applyProtection="1">
      <alignment vertical="center"/>
      <protection locked="0"/>
    </xf>
    <xf numFmtId="0" fontId="59" fillId="6" borderId="5" xfId="1" applyFont="1" applyFill="1" applyBorder="1" applyAlignment="1" applyProtection="1"/>
    <xf numFmtId="177" fontId="59" fillId="6" borderId="1" xfId="1" applyNumberFormat="1" applyFont="1" applyFill="1" applyBorder="1" applyAlignment="1" applyProtection="1">
      <alignment horizontal="center"/>
    </xf>
    <xf numFmtId="0" fontId="53" fillId="6" borderId="24" xfId="1" applyFont="1" applyFill="1" applyBorder="1" applyAlignment="1" applyProtection="1">
      <alignment vertical="center" wrapText="1"/>
    </xf>
    <xf numFmtId="0" fontId="53" fillId="6" borderId="23" xfId="1" applyFont="1" applyFill="1" applyBorder="1" applyAlignment="1" applyProtection="1">
      <alignment horizontal="left"/>
    </xf>
    <xf numFmtId="0" fontId="53" fillId="6" borderId="0" xfId="1" applyFont="1" applyFill="1" applyBorder="1" applyAlignment="1" applyProtection="1">
      <alignment horizontal="center"/>
    </xf>
    <xf numFmtId="0" fontId="53" fillId="6" borderId="1" xfId="0" applyFont="1" applyFill="1" applyBorder="1" applyProtection="1">
      <alignment vertical="center"/>
    </xf>
    <xf numFmtId="179" fontId="54" fillId="6" borderId="1" xfId="1" applyNumberFormat="1" applyFont="1" applyFill="1" applyBorder="1" applyAlignment="1" applyProtection="1">
      <alignment horizontal="center"/>
    </xf>
    <xf numFmtId="9" fontId="54" fillId="6" borderId="5" xfId="1" applyNumberFormat="1" applyFont="1" applyFill="1" applyBorder="1" applyAlignment="1" applyProtection="1">
      <alignment horizontal="center"/>
    </xf>
    <xf numFmtId="0" fontId="54" fillId="6" borderId="1" xfId="0" applyFont="1" applyFill="1" applyBorder="1" applyAlignment="1" applyProtection="1">
      <alignment horizontal="center" vertical="center"/>
    </xf>
    <xf numFmtId="10" fontId="54" fillId="6" borderId="5" xfId="1" applyNumberFormat="1" applyFont="1" applyFill="1" applyBorder="1" applyAlignment="1" applyProtection="1">
      <alignment horizontal="center"/>
    </xf>
    <xf numFmtId="0" fontId="54" fillId="6" borderId="24" xfId="0" applyFont="1" applyFill="1" applyBorder="1" applyAlignment="1" applyProtection="1">
      <alignment vertical="center"/>
    </xf>
    <xf numFmtId="0" fontId="54" fillId="6" borderId="1" xfId="0" applyFont="1" applyFill="1" applyBorder="1" applyAlignment="1" applyProtection="1">
      <alignment horizontal="right" vertical="center"/>
    </xf>
    <xf numFmtId="0" fontId="54" fillId="6" borderId="1" xfId="0" applyFont="1" applyFill="1" applyBorder="1" applyAlignment="1" applyProtection="1">
      <alignment horizontal="left" vertical="center"/>
    </xf>
    <xf numFmtId="10" fontId="54" fillId="6" borderId="5" xfId="1"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179" fontId="53" fillId="6" borderId="5" xfId="1" applyNumberFormat="1" applyFont="1" applyFill="1" applyBorder="1" applyAlignment="1" applyProtection="1">
      <alignment horizontal="center" vertical="center"/>
    </xf>
    <xf numFmtId="0" fontId="53" fillId="6" borderId="24" xfId="0" applyFont="1" applyFill="1" applyBorder="1" applyAlignment="1" applyProtection="1">
      <alignment vertical="center"/>
    </xf>
    <xf numFmtId="0" fontId="54" fillId="6" borderId="1" xfId="0" applyFont="1" applyFill="1" applyBorder="1" applyAlignment="1" applyProtection="1">
      <alignment vertical="center"/>
    </xf>
    <xf numFmtId="0" fontId="53" fillId="6" borderId="61" xfId="0" applyFont="1" applyFill="1" applyBorder="1" applyAlignment="1" applyProtection="1">
      <alignment vertical="center" wrapText="1"/>
    </xf>
    <xf numFmtId="0" fontId="53" fillId="6" borderId="8" xfId="0" applyFont="1" applyFill="1" applyBorder="1" applyAlignment="1" applyProtection="1">
      <alignment vertical="center"/>
    </xf>
    <xf numFmtId="0" fontId="54" fillId="6" borderId="5" xfId="1" applyFont="1" applyFill="1" applyBorder="1" applyAlignment="1" applyProtection="1">
      <alignment vertical="center"/>
    </xf>
    <xf numFmtId="177" fontId="54" fillId="6" borderId="1" xfId="1" applyNumberFormat="1" applyFont="1" applyFill="1" applyBorder="1" applyAlignment="1" applyProtection="1">
      <alignment horizontal="center" vertical="center"/>
    </xf>
    <xf numFmtId="9" fontId="54" fillId="6" borderId="5" xfId="1" applyNumberFormat="1" applyFont="1" applyFill="1" applyBorder="1" applyAlignment="1" applyProtection="1">
      <alignment horizontal="center" vertical="center"/>
    </xf>
    <xf numFmtId="0" fontId="54" fillId="6" borderId="24" xfId="0" applyFont="1" applyFill="1" applyBorder="1" applyAlignment="1" applyProtection="1">
      <alignment vertical="center" wrapText="1"/>
    </xf>
    <xf numFmtId="0" fontId="53" fillId="6" borderId="5" xfId="1" applyFont="1" applyFill="1" applyBorder="1" applyAlignment="1" applyProtection="1">
      <alignment horizontal="left"/>
    </xf>
    <xf numFmtId="177" fontId="53" fillId="6" borderId="1" xfId="1" applyNumberFormat="1" applyFont="1" applyFill="1" applyBorder="1" applyAlignment="1" applyProtection="1">
      <alignment horizontal="center" vertical="center"/>
    </xf>
    <xf numFmtId="9" fontId="54" fillId="6" borderId="1" xfId="1" applyNumberFormat="1" applyFont="1" applyFill="1" applyBorder="1" applyAlignment="1" applyProtection="1">
      <alignment horizontal="center"/>
    </xf>
    <xf numFmtId="0" fontId="53" fillId="3" borderId="0" xfId="0" applyFont="1" applyFill="1" applyAlignment="1" applyProtection="1">
      <alignment vertical="center"/>
      <protection locked="0"/>
    </xf>
    <xf numFmtId="49" fontId="57" fillId="6" borderId="37" xfId="1" applyNumberFormat="1" applyFont="1" applyFill="1" applyBorder="1" applyAlignment="1" applyProtection="1"/>
    <xf numFmtId="49" fontId="57" fillId="6" borderId="54" xfId="1" applyNumberFormat="1" applyFont="1" applyFill="1" applyBorder="1" applyAlignment="1" applyProtection="1"/>
    <xf numFmtId="49" fontId="57" fillId="6" borderId="48" xfId="1" applyNumberFormat="1" applyFont="1" applyFill="1" applyBorder="1" applyAlignment="1" applyProtection="1"/>
    <xf numFmtId="49" fontId="54" fillId="6" borderId="23" xfId="1" applyNumberFormat="1" applyFont="1" applyFill="1" applyBorder="1" applyAlignment="1" applyProtection="1">
      <alignment horizontal="left"/>
    </xf>
    <xf numFmtId="177" fontId="54" fillId="6" borderId="1" xfId="0" applyNumberFormat="1" applyFont="1" applyFill="1" applyBorder="1" applyAlignment="1" applyProtection="1">
      <alignment horizontal="center" vertical="center"/>
    </xf>
    <xf numFmtId="181" fontId="54" fillId="6" borderId="5" xfId="1" applyNumberFormat="1" applyFont="1" applyFill="1" applyBorder="1" applyAlignment="1" applyProtection="1">
      <alignment horizontal="center"/>
    </xf>
    <xf numFmtId="0" fontId="53" fillId="0" borderId="0" xfId="0" applyFont="1" applyFill="1" applyAlignment="1" applyProtection="1">
      <alignment vertical="center"/>
      <protection locked="0"/>
    </xf>
    <xf numFmtId="10" fontId="53" fillId="6" borderId="5" xfId="1" applyNumberFormat="1" applyFont="1" applyFill="1" applyBorder="1" applyAlignment="1" applyProtection="1">
      <alignment horizontal="center"/>
    </xf>
    <xf numFmtId="0" fontId="53" fillId="6" borderId="24" xfId="0" applyFont="1" applyFill="1" applyBorder="1" applyAlignment="1" applyProtection="1">
      <alignment vertical="center" wrapText="1"/>
    </xf>
    <xf numFmtId="0" fontId="53" fillId="6" borderId="24" xfId="1" applyFont="1" applyFill="1" applyBorder="1" applyAlignment="1" applyProtection="1">
      <alignment horizontal="left" vertical="center"/>
    </xf>
    <xf numFmtId="10" fontId="54" fillId="6" borderId="1" xfId="0" applyNumberFormat="1" applyFont="1" applyFill="1" applyBorder="1" applyAlignment="1" applyProtection="1">
      <alignment horizontal="right" vertical="center"/>
    </xf>
    <xf numFmtId="184" fontId="54" fillId="6" borderId="1" xfId="0" applyNumberFormat="1" applyFont="1" applyFill="1" applyBorder="1" applyAlignment="1" applyProtection="1">
      <alignment horizontal="right" vertical="center"/>
    </xf>
    <xf numFmtId="10" fontId="54" fillId="6" borderId="1" xfId="1" applyNumberFormat="1" applyFont="1" applyFill="1" applyBorder="1" applyAlignment="1" applyProtection="1">
      <alignment horizontal="center" vertical="center"/>
    </xf>
    <xf numFmtId="49" fontId="57" fillId="6" borderId="38" xfId="1" applyNumberFormat="1" applyFont="1" applyFill="1" applyBorder="1" applyAlignment="1" applyProtection="1"/>
    <xf numFmtId="49" fontId="57" fillId="6" borderId="52" xfId="1" applyNumberFormat="1" applyFont="1" applyFill="1" applyBorder="1" applyAlignment="1" applyProtection="1"/>
    <xf numFmtId="177" fontId="54" fillId="6" borderId="32" xfId="0" applyNumberFormat="1" applyFont="1" applyFill="1" applyBorder="1" applyAlignment="1" applyProtection="1">
      <alignment horizontal="center" vertical="center"/>
    </xf>
    <xf numFmtId="49" fontId="57" fillId="6" borderId="68" xfId="1" applyNumberFormat="1" applyFont="1" applyFill="1" applyBorder="1" applyAlignment="1" applyProtection="1"/>
    <xf numFmtId="0" fontId="53" fillId="3" borderId="0" xfId="0" applyFont="1" applyFill="1" applyAlignment="1" applyProtection="1">
      <alignment horizontal="left" vertical="center"/>
      <protection locked="0"/>
    </xf>
    <xf numFmtId="0" fontId="60" fillId="6" borderId="1" xfId="0" applyFont="1" applyFill="1" applyBorder="1" applyAlignment="1" applyProtection="1">
      <alignment horizontal="left"/>
    </xf>
    <xf numFmtId="0" fontId="58" fillId="6" borderId="1" xfId="0" applyFont="1" applyFill="1" applyBorder="1" applyAlignment="1" applyProtection="1">
      <alignment horizontal="center" vertical="center"/>
    </xf>
    <xf numFmtId="0" fontId="53" fillId="3" borderId="0" xfId="0" applyFont="1" applyFill="1" applyAlignment="1" applyProtection="1">
      <alignment horizontal="center" vertical="center"/>
      <protection locked="0"/>
    </xf>
    <xf numFmtId="0" fontId="47" fillId="6" borderId="1" xfId="0" applyFont="1" applyFill="1" applyBorder="1" applyAlignment="1" applyProtection="1"/>
    <xf numFmtId="181" fontId="53" fillId="6" borderId="1" xfId="0" applyNumberFormat="1" applyFont="1" applyFill="1" applyBorder="1" applyAlignment="1" applyProtection="1">
      <alignment horizontal="center"/>
    </xf>
    <xf numFmtId="181" fontId="47" fillId="6" borderId="1" xfId="0" applyNumberFormat="1" applyFont="1" applyFill="1" applyBorder="1" applyAlignment="1" applyProtection="1">
      <alignment horizontal="center"/>
    </xf>
    <xf numFmtId="0" fontId="45" fillId="6" borderId="0" xfId="1" applyFont="1" applyFill="1" applyBorder="1" applyAlignment="1" applyProtection="1">
      <alignment vertical="center"/>
    </xf>
    <xf numFmtId="176" fontId="99" fillId="6" borderId="1" xfId="0" applyNumberFormat="1" applyFont="1" applyFill="1" applyBorder="1" applyAlignment="1" applyProtection="1">
      <alignment horizontal="center" vertical="center"/>
    </xf>
    <xf numFmtId="176" fontId="99" fillId="6" borderId="24" xfId="0" applyNumberFormat="1" applyFont="1" applyFill="1" applyBorder="1" applyAlignment="1" applyProtection="1">
      <alignment horizontal="center" vertical="center"/>
    </xf>
    <xf numFmtId="177" fontId="47"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right" vertical="center"/>
    </xf>
    <xf numFmtId="177" fontId="46" fillId="6" borderId="1" xfId="1" applyNumberFormat="1" applyFont="1" applyFill="1" applyBorder="1" applyAlignment="1" applyProtection="1">
      <alignment vertical="center"/>
    </xf>
    <xf numFmtId="177" fontId="46" fillId="6" borderId="54" xfId="1" applyNumberFormat="1" applyFont="1" applyFill="1" applyBorder="1" applyAlignment="1" applyProtection="1">
      <alignment vertical="center"/>
    </xf>
    <xf numFmtId="10" fontId="46" fillId="6" borderId="13" xfId="0" applyNumberFormat="1" applyFont="1" applyFill="1" applyBorder="1" applyAlignment="1" applyProtection="1">
      <alignment horizontal="center" vertical="center"/>
    </xf>
    <xf numFmtId="186" fontId="47" fillId="6" borderId="1" xfId="0" applyNumberFormat="1" applyFont="1" applyFill="1" applyBorder="1" applyAlignment="1" applyProtection="1">
      <alignment horizontal="center" vertical="center"/>
    </xf>
    <xf numFmtId="177" fontId="47" fillId="6" borderId="54" xfId="1" applyNumberFormat="1" applyFont="1" applyFill="1" applyBorder="1" applyAlignment="1" applyProtection="1">
      <alignment vertical="center"/>
    </xf>
    <xf numFmtId="10" fontId="47" fillId="6" borderId="13" xfId="0" applyNumberFormat="1" applyFont="1" applyFill="1" applyBorder="1" applyAlignment="1" applyProtection="1">
      <alignment horizontal="center" vertical="center"/>
    </xf>
    <xf numFmtId="177" fontId="46" fillId="6" borderId="3" xfId="0" applyNumberFormat="1" applyFont="1" applyFill="1" applyBorder="1" applyAlignment="1" applyProtection="1">
      <alignment horizontal="center" vertical="center" wrapText="1"/>
    </xf>
    <xf numFmtId="10" fontId="46" fillId="6" borderId="1" xfId="0" applyNumberFormat="1" applyFont="1" applyFill="1" applyBorder="1" applyAlignment="1" applyProtection="1">
      <alignment horizontal="center" vertical="center" wrapText="1"/>
    </xf>
    <xf numFmtId="0" fontId="49" fillId="3" borderId="0" xfId="0" applyFont="1" applyFill="1" applyAlignment="1" applyProtection="1">
      <alignment vertical="center" wrapText="1"/>
      <protection locked="0"/>
    </xf>
    <xf numFmtId="10" fontId="47" fillId="6" borderId="1" xfId="0" applyNumberFormat="1" applyFont="1" applyFill="1" applyBorder="1" applyAlignment="1" applyProtection="1">
      <alignment horizontal="center" vertical="center" wrapText="1"/>
    </xf>
    <xf numFmtId="0" fontId="48" fillId="3" borderId="0" xfId="0" applyFont="1" applyFill="1" applyAlignment="1" applyProtection="1">
      <alignment vertical="center" wrapText="1"/>
      <protection locked="0"/>
    </xf>
    <xf numFmtId="177" fontId="47" fillId="6" borderId="1" xfId="0" applyNumberFormat="1" applyFont="1" applyFill="1" applyBorder="1" applyAlignment="1" applyProtection="1">
      <alignment horizontal="center" vertical="center" wrapText="1"/>
    </xf>
    <xf numFmtId="0" fontId="63" fillId="0" borderId="0" xfId="0" applyFont="1" applyFill="1" applyAlignment="1" applyProtection="1">
      <alignment vertical="center"/>
      <protection locked="0"/>
    </xf>
    <xf numFmtId="0" fontId="45" fillId="6" borderId="1" xfId="0" applyFont="1" applyFill="1" applyBorder="1" applyAlignment="1" applyProtection="1">
      <alignment horizontal="center" vertical="center"/>
    </xf>
    <xf numFmtId="49" fontId="47" fillId="6" borderId="6" xfId="0" applyNumberFormat="1"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47" fillId="6" borderId="21" xfId="0" applyFont="1" applyFill="1" applyBorder="1" applyAlignment="1" applyProtection="1">
      <alignment horizontal="center" vertical="center"/>
    </xf>
    <xf numFmtId="49" fontId="52" fillId="6" borderId="11" xfId="0" applyNumberFormat="1" applyFont="1" applyFill="1" applyBorder="1" applyAlignment="1" applyProtection="1">
      <alignment vertical="center"/>
    </xf>
    <xf numFmtId="0" fontId="52" fillId="6" borderId="13" xfId="0" applyFont="1" applyFill="1" applyBorder="1" applyAlignment="1" applyProtection="1">
      <alignment vertical="center" wrapText="1"/>
    </xf>
    <xf numFmtId="0" fontId="52" fillId="6" borderId="13" xfId="0"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52" fillId="6" borderId="24" xfId="0" applyFont="1" applyFill="1" applyBorder="1" applyAlignment="1" applyProtection="1">
      <alignment horizontal="center" vertical="center"/>
    </xf>
    <xf numFmtId="49" fontId="52" fillId="6" borderId="14" xfId="0" applyNumberFormat="1" applyFont="1" applyFill="1" applyBorder="1" applyAlignment="1" applyProtection="1">
      <alignment vertical="center"/>
    </xf>
    <xf numFmtId="0" fontId="52" fillId="6" borderId="15" xfId="0" applyFont="1" applyFill="1" applyBorder="1" applyAlignment="1" applyProtection="1">
      <alignment vertical="center" wrapText="1"/>
    </xf>
    <xf numFmtId="0" fontId="52" fillId="6" borderId="15" xfId="0" applyFont="1" applyFill="1" applyBorder="1" applyAlignment="1" applyProtection="1">
      <alignment horizontal="center" vertical="center"/>
    </xf>
    <xf numFmtId="0" fontId="47" fillId="6" borderId="15" xfId="0" applyFont="1" applyFill="1" applyBorder="1" applyAlignment="1" applyProtection="1">
      <alignment vertical="center"/>
    </xf>
    <xf numFmtId="49" fontId="52" fillId="6" borderId="41" xfId="0" applyNumberFormat="1" applyFont="1" applyFill="1" applyBorder="1" applyAlignment="1" applyProtection="1">
      <alignment vertical="center"/>
    </xf>
    <xf numFmtId="0" fontId="52" fillId="6" borderId="2" xfId="0" applyFont="1" applyFill="1" applyBorder="1" applyAlignment="1" applyProtection="1">
      <alignment vertical="center" wrapText="1"/>
    </xf>
    <xf numFmtId="0" fontId="52" fillId="6" borderId="2" xfId="0" applyFont="1" applyFill="1" applyBorder="1" applyAlignment="1" applyProtection="1">
      <alignment horizontal="center" vertical="center"/>
    </xf>
    <xf numFmtId="0" fontId="47" fillId="6" borderId="2" xfId="0" applyFont="1" applyFill="1" applyBorder="1" applyAlignment="1" applyProtection="1">
      <alignment vertical="center"/>
    </xf>
    <xf numFmtId="181" fontId="52" fillId="6" borderId="24" xfId="0" applyNumberFormat="1" applyFont="1" applyFill="1" applyBorder="1" applyAlignment="1" applyProtection="1">
      <alignment horizontal="center" vertical="center"/>
    </xf>
    <xf numFmtId="0" fontId="47" fillId="6" borderId="13" xfId="0" applyFont="1" applyFill="1" applyBorder="1" applyAlignment="1" applyProtection="1">
      <alignment horizontal="left" vertical="center"/>
    </xf>
    <xf numFmtId="181" fontId="52" fillId="6" borderId="61" xfId="0" applyNumberFormat="1" applyFont="1" applyFill="1" applyBorder="1" applyAlignment="1" applyProtection="1">
      <alignment horizontal="center" vertical="center"/>
    </xf>
    <xf numFmtId="49" fontId="52" fillId="6" borderId="23" xfId="0" applyNumberFormat="1" applyFont="1" applyFill="1" applyBorder="1" applyAlignment="1" applyProtection="1">
      <alignment horizontal="left" vertical="center"/>
    </xf>
    <xf numFmtId="0" fontId="52" fillId="6" borderId="1" xfId="0" applyFont="1" applyFill="1" applyBorder="1" applyAlignment="1" applyProtection="1">
      <alignment horizontal="center" vertical="center"/>
    </xf>
    <xf numFmtId="181" fontId="47" fillId="6" borderId="61" xfId="0" applyNumberFormat="1" applyFont="1" applyFill="1" applyBorder="1" applyAlignment="1" applyProtection="1">
      <alignment horizontal="center" vertical="center"/>
    </xf>
    <xf numFmtId="0" fontId="99" fillId="6" borderId="5" xfId="0" applyFont="1" applyFill="1" applyBorder="1" applyAlignment="1" applyProtection="1">
      <alignment horizontal="center" vertical="center"/>
    </xf>
    <xf numFmtId="179" fontId="52" fillId="6" borderId="48" xfId="0" applyNumberFormat="1" applyFont="1" applyFill="1" applyBorder="1" applyAlignment="1" applyProtection="1">
      <alignment horizontal="center" vertical="center"/>
    </xf>
    <xf numFmtId="0" fontId="47" fillId="6" borderId="2" xfId="0" applyFont="1" applyFill="1" applyBorder="1" applyAlignment="1" applyProtection="1">
      <alignment horizontal="left" vertical="center"/>
    </xf>
    <xf numFmtId="181" fontId="47" fillId="6" borderId="8"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wrapText="1"/>
    </xf>
    <xf numFmtId="0" fontId="47" fillId="6" borderId="13" xfId="0" applyFont="1" applyFill="1" applyBorder="1" applyAlignment="1" applyProtection="1">
      <alignment horizontal="left" vertical="center" wrapText="1"/>
    </xf>
    <xf numFmtId="0" fontId="47" fillId="6" borderId="24" xfId="0" applyFont="1" applyFill="1" applyBorder="1" applyAlignment="1" applyProtection="1">
      <alignment horizontal="center" vertical="center"/>
    </xf>
    <xf numFmtId="49" fontId="47" fillId="6" borderId="41" xfId="0" applyNumberFormat="1" applyFont="1" applyFill="1" applyBorder="1" applyAlignment="1" applyProtection="1">
      <alignment vertical="center"/>
    </xf>
    <xf numFmtId="0" fontId="47" fillId="6" borderId="2" xfId="0" applyFont="1" applyFill="1" applyBorder="1" applyAlignment="1" applyProtection="1">
      <alignment horizontal="left" vertical="center" wrapText="1"/>
    </xf>
    <xf numFmtId="10" fontId="52"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xf>
    <xf numFmtId="182" fontId="52" fillId="6" borderId="24" xfId="0" applyNumberFormat="1" applyFont="1" applyFill="1" applyBorder="1" applyAlignment="1" applyProtection="1">
      <alignment horizontal="center" vertical="center"/>
    </xf>
    <xf numFmtId="10" fontId="47" fillId="6" borderId="24" xfId="0" applyNumberFormat="1" applyFont="1" applyFill="1" applyBorder="1" applyAlignment="1" applyProtection="1">
      <alignment horizontal="center" vertical="center"/>
    </xf>
    <xf numFmtId="0" fontId="47" fillId="6" borderId="15" xfId="0" applyFont="1" applyFill="1" applyBorder="1" applyAlignment="1" applyProtection="1">
      <alignment horizontal="left" vertical="center" wrapText="1"/>
    </xf>
    <xf numFmtId="179" fontId="52" fillId="6" borderId="24" xfId="0" applyNumberFormat="1" applyFont="1" applyFill="1" applyBorder="1" applyAlignment="1" applyProtection="1">
      <alignment horizontal="center" vertical="center"/>
    </xf>
    <xf numFmtId="49" fontId="52" fillId="6" borderId="25" xfId="0" applyNumberFormat="1" applyFont="1" applyFill="1" applyBorder="1" applyAlignment="1" applyProtection="1">
      <alignment horizontal="left" vertical="center"/>
    </xf>
    <xf numFmtId="0" fontId="52" fillId="6" borderId="32" xfId="0" applyFont="1" applyFill="1" applyBorder="1" applyAlignment="1" applyProtection="1">
      <alignment horizontal="left" vertical="center"/>
    </xf>
    <xf numFmtId="0" fontId="52" fillId="6" borderId="32" xfId="0" applyFont="1" applyFill="1" applyBorder="1" applyAlignment="1" applyProtection="1">
      <alignment horizontal="center" vertical="center"/>
    </xf>
    <xf numFmtId="0" fontId="47" fillId="6" borderId="32" xfId="0" applyFont="1" applyFill="1" applyBorder="1" applyAlignment="1" applyProtection="1">
      <alignment vertical="center"/>
    </xf>
    <xf numFmtId="0" fontId="47" fillId="6" borderId="32" xfId="0" applyFont="1" applyFill="1" applyBorder="1" applyAlignment="1" applyProtection="1">
      <alignment horizontal="left" vertical="center"/>
    </xf>
    <xf numFmtId="179" fontId="52" fillId="6" borderId="49" xfId="0" applyNumberFormat="1" applyFont="1" applyFill="1" applyBorder="1" applyAlignment="1" applyProtection="1">
      <alignment horizontal="center" vertical="center"/>
    </xf>
    <xf numFmtId="0" fontId="53" fillId="6" borderId="1" xfId="0" applyFont="1" applyFill="1" applyBorder="1" applyAlignment="1" applyProtection="1">
      <alignment horizontal="left"/>
    </xf>
    <xf numFmtId="185" fontId="53" fillId="6" borderId="1" xfId="0" applyNumberFormat="1" applyFont="1" applyFill="1" applyBorder="1" applyAlignment="1" applyProtection="1">
      <alignment horizontal="center"/>
    </xf>
    <xf numFmtId="0" fontId="53" fillId="6" borderId="1" xfId="0" applyFont="1" applyFill="1" applyBorder="1" applyAlignment="1" applyProtection="1">
      <alignment vertical="center" wrapText="1"/>
    </xf>
    <xf numFmtId="181" fontId="52" fillId="6" borderId="1" xfId="0" applyNumberFormat="1" applyFont="1" applyFill="1" applyBorder="1" applyAlignment="1" applyProtection="1">
      <alignment horizontal="center" vertical="center"/>
    </xf>
    <xf numFmtId="0" fontId="102" fillId="6" borderId="1" xfId="0" applyFont="1" applyFill="1" applyBorder="1" applyAlignment="1" applyProtection="1">
      <alignment horizontal="left"/>
    </xf>
    <xf numFmtId="0" fontId="102" fillId="6" borderId="1" xfId="0" applyFont="1" applyFill="1" applyBorder="1" applyAlignment="1" applyProtection="1">
      <alignment horizontal="center"/>
    </xf>
    <xf numFmtId="0" fontId="60" fillId="6" borderId="1" xfId="0" applyFont="1" applyFill="1" applyBorder="1" applyAlignment="1" applyProtection="1">
      <alignment horizontal="center"/>
    </xf>
    <xf numFmtId="0" fontId="58" fillId="0" borderId="0" xfId="0" applyFont="1" applyFill="1" applyAlignment="1" applyProtection="1">
      <alignment horizontal="center" vertical="center"/>
      <protection locked="0"/>
    </xf>
    <xf numFmtId="0" fontId="101" fillId="6" borderId="46" xfId="0" applyFont="1" applyFill="1" applyBorder="1" applyAlignment="1" applyProtection="1">
      <alignment vertical="center"/>
    </xf>
    <xf numFmtId="0" fontId="62" fillId="6" borderId="36" xfId="0" applyFont="1" applyFill="1" applyBorder="1" applyAlignment="1" applyProtection="1">
      <alignment horizontal="right" vertical="center"/>
    </xf>
    <xf numFmtId="0" fontId="62" fillId="6" borderId="0" xfId="0" applyFont="1" applyFill="1" applyAlignment="1" applyProtection="1">
      <alignment horizontal="center" vertical="center"/>
    </xf>
    <xf numFmtId="0" fontId="63" fillId="0" borderId="0" xfId="0" applyFont="1" applyFill="1" applyBorder="1" applyAlignment="1" applyProtection="1">
      <alignment horizontal="center" vertical="center"/>
      <protection locked="0"/>
    </xf>
    <xf numFmtId="0" fontId="63" fillId="0" borderId="0" xfId="0" applyFont="1" applyFill="1" applyAlignment="1" applyProtection="1">
      <alignment horizontal="center" vertical="center"/>
      <protection locked="0"/>
    </xf>
    <xf numFmtId="0" fontId="57" fillId="6" borderId="13" xfId="0" applyFont="1" applyFill="1" applyBorder="1" applyAlignment="1" applyProtection="1">
      <alignment horizontal="right" vertical="center"/>
    </xf>
    <xf numFmtId="0" fontId="57" fillId="6" borderId="13" xfId="0" applyFont="1" applyFill="1" applyBorder="1" applyAlignment="1" applyProtection="1">
      <alignment horizontal="center" vertical="center"/>
    </xf>
    <xf numFmtId="0" fontId="50" fillId="6" borderId="16" xfId="0" applyFont="1" applyFill="1" applyBorder="1" applyAlignment="1" applyProtection="1">
      <alignment vertical="center" wrapText="1"/>
    </xf>
    <xf numFmtId="0" fontId="50" fillId="6" borderId="19" xfId="0" applyFont="1" applyFill="1" applyBorder="1" applyAlignment="1" applyProtection="1">
      <alignment vertical="center" wrapText="1"/>
    </xf>
    <xf numFmtId="0" fontId="51" fillId="0" borderId="0" xfId="0" applyFont="1" applyFill="1" applyAlignment="1" applyProtection="1">
      <alignment horizontal="center" vertical="center"/>
      <protection locked="0"/>
    </xf>
    <xf numFmtId="0" fontId="50" fillId="6" borderId="18" xfId="0" applyFont="1" applyFill="1" applyBorder="1" applyAlignment="1" applyProtection="1">
      <alignment vertical="center" wrapText="1"/>
    </xf>
    <xf numFmtId="0" fontId="50" fillId="6" borderId="0" xfId="0" applyFont="1" applyFill="1" applyBorder="1" applyAlignment="1" applyProtection="1">
      <alignment vertical="center" wrapText="1"/>
    </xf>
    <xf numFmtId="0" fontId="50" fillId="6" borderId="42" xfId="0" applyFont="1" applyFill="1" applyBorder="1" applyAlignment="1" applyProtection="1">
      <alignment vertical="center" wrapText="1"/>
    </xf>
    <xf numFmtId="0" fontId="50" fillId="6" borderId="47" xfId="0" applyFont="1" applyFill="1" applyBorder="1" applyAlignment="1" applyProtection="1">
      <alignment vertical="center" wrapText="1"/>
    </xf>
    <xf numFmtId="0" fontId="46" fillId="6" borderId="63" xfId="0" applyFont="1" applyFill="1" applyBorder="1" applyAlignment="1" applyProtection="1">
      <alignment vertical="center" wrapText="1"/>
    </xf>
    <xf numFmtId="0" fontId="46" fillId="6" borderId="64" xfId="0" applyFont="1" applyFill="1" applyBorder="1" applyAlignment="1" applyProtection="1">
      <alignment vertical="center" wrapText="1"/>
    </xf>
    <xf numFmtId="183" fontId="44" fillId="6" borderId="26" xfId="0" applyNumberFormat="1" applyFont="1" applyFill="1" applyBorder="1" applyAlignment="1" applyProtection="1">
      <alignment horizontal="center" vertical="center" wrapText="1"/>
    </xf>
    <xf numFmtId="0" fontId="44" fillId="6" borderId="67" xfId="0" applyNumberFormat="1" applyFont="1" applyFill="1" applyBorder="1" applyAlignment="1" applyProtection="1">
      <alignment horizontal="center" vertical="center" wrapText="1"/>
    </xf>
    <xf numFmtId="183" fontId="44" fillId="0" borderId="70" xfId="0" applyNumberFormat="1" applyFont="1" applyFill="1" applyBorder="1" applyAlignment="1" applyProtection="1">
      <alignment horizontal="center" vertical="center" wrapText="1"/>
      <protection locked="0"/>
    </xf>
    <xf numFmtId="0" fontId="44" fillId="6" borderId="34" xfId="0" applyNumberFormat="1" applyFont="1" applyFill="1" applyBorder="1" applyAlignment="1" applyProtection="1">
      <alignment horizontal="center" vertical="center" wrapText="1"/>
    </xf>
    <xf numFmtId="49" fontId="44" fillId="2" borderId="26" xfId="0" applyNumberFormat="1" applyFont="1" applyFill="1" applyBorder="1" applyAlignment="1" applyProtection="1">
      <alignment horizontal="center" vertical="center" wrapText="1"/>
      <protection locked="0"/>
    </xf>
    <xf numFmtId="0" fontId="46" fillId="6" borderId="40" xfId="0" applyFont="1" applyFill="1" applyBorder="1" applyAlignment="1" applyProtection="1">
      <alignment vertical="center" wrapText="1"/>
    </xf>
    <xf numFmtId="0" fontId="44" fillId="0" borderId="51" xfId="0" applyNumberFormat="1" applyFont="1" applyFill="1" applyBorder="1" applyAlignment="1" applyProtection="1">
      <alignment horizontal="center" vertical="center" wrapText="1"/>
      <protection locked="0"/>
    </xf>
    <xf numFmtId="49" fontId="44" fillId="2" borderId="30" xfId="0" applyNumberFormat="1" applyFont="1" applyFill="1" applyBorder="1" applyAlignment="1" applyProtection="1">
      <alignment horizontal="center" vertical="center" wrapText="1"/>
      <protection locked="0"/>
    </xf>
    <xf numFmtId="0" fontId="44" fillId="6" borderId="28" xfId="0" applyNumberFormat="1" applyFont="1" applyFill="1" applyBorder="1" applyAlignment="1" applyProtection="1">
      <alignment horizontal="center" vertical="center" wrapText="1"/>
    </xf>
    <xf numFmtId="49" fontId="44" fillId="2" borderId="6" xfId="0" applyNumberFormat="1" applyFont="1" applyFill="1" applyBorder="1" applyAlignment="1" applyProtection="1">
      <alignment horizontal="center" vertical="center" wrapText="1"/>
      <protection locked="0"/>
    </xf>
    <xf numFmtId="0" fontId="66" fillId="6" borderId="14" xfId="0" applyFont="1" applyFill="1" applyBorder="1" applyAlignment="1" applyProtection="1">
      <alignment vertical="center" wrapText="1"/>
    </xf>
    <xf numFmtId="0" fontId="44" fillId="6" borderId="5" xfId="0" applyFont="1" applyFill="1" applyBorder="1" applyAlignment="1" applyProtection="1">
      <alignment horizontal="center" vertical="center" wrapText="1"/>
    </xf>
    <xf numFmtId="0" fontId="44" fillId="6" borderId="5" xfId="0" applyNumberFormat="1" applyFont="1" applyFill="1" applyBorder="1" applyAlignment="1" applyProtection="1">
      <alignment horizontal="center" vertical="center" wrapText="1"/>
    </xf>
    <xf numFmtId="0" fontId="58" fillId="0" borderId="48"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wrapText="1"/>
    </xf>
    <xf numFmtId="0" fontId="44" fillId="0" borderId="23" xfId="0" applyNumberFormat="1" applyFont="1" applyFill="1" applyBorder="1" applyAlignment="1" applyProtection="1">
      <alignment horizontal="center" vertical="center" wrapText="1"/>
      <protection locked="0"/>
    </xf>
    <xf numFmtId="0" fontId="44" fillId="0" borderId="3" xfId="0" applyNumberFormat="1" applyFont="1" applyFill="1" applyBorder="1" applyAlignment="1" applyProtection="1">
      <alignment horizontal="center" vertical="center" wrapText="1"/>
      <protection locked="0"/>
    </xf>
    <xf numFmtId="0" fontId="46" fillId="6" borderId="14" xfId="0" applyFont="1" applyFill="1" applyBorder="1" applyAlignment="1" applyProtection="1">
      <alignment vertical="center" wrapText="1"/>
    </xf>
    <xf numFmtId="0" fontId="44" fillId="0" borderId="41" xfId="0" applyNumberFormat="1" applyFont="1" applyFill="1" applyBorder="1" applyAlignment="1" applyProtection="1">
      <alignment horizontal="center" vertical="center" wrapText="1"/>
      <protection locked="0"/>
    </xf>
    <xf numFmtId="0" fontId="44" fillId="6" borderId="71" xfId="0" applyNumberFormat="1" applyFont="1" applyFill="1" applyBorder="1" applyAlignment="1" applyProtection="1">
      <alignment horizontal="center" vertical="center" wrapText="1"/>
    </xf>
    <xf numFmtId="0" fontId="51" fillId="0" borderId="37" xfId="0" applyNumberFormat="1" applyFont="1" applyFill="1" applyBorder="1" applyAlignment="1" applyProtection="1">
      <alignment horizontal="center" vertical="center" wrapText="1"/>
      <protection locked="0"/>
    </xf>
    <xf numFmtId="0" fontId="51" fillId="6" borderId="24" xfId="0" applyNumberFormat="1" applyFont="1" applyFill="1" applyBorder="1" applyAlignment="1" applyProtection="1">
      <alignment horizontal="center" vertical="center" wrapText="1"/>
    </xf>
    <xf numFmtId="0" fontId="50" fillId="6" borderId="12" xfId="0" applyFont="1" applyFill="1" applyBorder="1" applyAlignment="1" applyProtection="1">
      <alignment vertical="center" wrapText="1"/>
    </xf>
    <xf numFmtId="0" fontId="51" fillId="0" borderId="38"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51" fillId="6" borderId="33" xfId="0" applyNumberFormat="1" applyFont="1" applyFill="1" applyBorder="1" applyAlignment="1" applyProtection="1">
      <alignment horizontal="center" vertical="center" wrapText="1"/>
    </xf>
    <xf numFmtId="0" fontId="50" fillId="6" borderId="40" xfId="0" applyFont="1" applyFill="1" applyBorder="1" applyAlignment="1" applyProtection="1">
      <alignment vertical="center" wrapText="1"/>
    </xf>
    <xf numFmtId="0" fontId="51" fillId="6" borderId="62" xfId="0" applyNumberFormat="1" applyFont="1" applyFill="1" applyBorder="1" applyAlignment="1" applyProtection="1">
      <alignment horizontal="center" vertical="center" wrapText="1"/>
    </xf>
    <xf numFmtId="49" fontId="51" fillId="0" borderId="39" xfId="0" applyNumberFormat="1" applyFont="1" applyFill="1" applyBorder="1" applyAlignment="1" applyProtection="1">
      <alignment horizontal="center" vertical="center" wrapText="1"/>
      <protection locked="0"/>
    </xf>
    <xf numFmtId="0" fontId="51" fillId="6" borderId="29" xfId="0" applyNumberFormat="1" applyFont="1" applyFill="1" applyBorder="1" applyAlignment="1" applyProtection="1">
      <alignment horizontal="center" vertical="center" wrapText="1"/>
    </xf>
    <xf numFmtId="49" fontId="51" fillId="0" borderId="40" xfId="0" applyNumberFormat="1" applyFont="1" applyFill="1" applyBorder="1" applyAlignment="1" applyProtection="1">
      <alignment horizontal="center" vertical="center" wrapText="1"/>
      <protection locked="0"/>
    </xf>
    <xf numFmtId="0" fontId="58" fillId="0" borderId="72"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xf>
    <xf numFmtId="0" fontId="51" fillId="2" borderId="41" xfId="0" applyNumberFormat="1" applyFont="1" applyFill="1" applyBorder="1" applyAlignment="1" applyProtection="1">
      <alignment horizontal="center" vertical="center" wrapText="1"/>
      <protection locked="0"/>
    </xf>
    <xf numFmtId="0" fontId="51" fillId="6" borderId="8" xfId="0" applyNumberFormat="1" applyFont="1" applyFill="1" applyBorder="1" applyAlignment="1" applyProtection="1">
      <alignment horizontal="center" vertical="center" wrapText="1"/>
    </xf>
    <xf numFmtId="0" fontId="51" fillId="6" borderId="4" xfId="0" applyNumberFormat="1"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4" fillId="6" borderId="46" xfId="0" applyFont="1" applyFill="1" applyBorder="1" applyAlignment="1" applyProtection="1">
      <alignment horizontal="center" vertical="center" wrapText="1"/>
    </xf>
    <xf numFmtId="49" fontId="51" fillId="0" borderId="35" xfId="0" applyNumberFormat="1" applyFont="1" applyFill="1" applyBorder="1" applyAlignment="1" applyProtection="1">
      <alignment horizontal="center" vertical="center" wrapText="1"/>
      <protection locked="0"/>
    </xf>
    <xf numFmtId="0" fontId="51" fillId="6" borderId="58" xfId="0" applyNumberFormat="1" applyFont="1" applyFill="1" applyBorder="1" applyAlignment="1" applyProtection="1">
      <alignment horizontal="center" vertical="center" wrapText="1"/>
    </xf>
    <xf numFmtId="49" fontId="51" fillId="0" borderId="14" xfId="0" applyNumberFormat="1" applyFont="1" applyFill="1" applyBorder="1" applyAlignment="1" applyProtection="1">
      <alignment horizontal="center" vertical="center" wrapText="1"/>
      <protection locked="0"/>
    </xf>
    <xf numFmtId="0" fontId="51" fillId="6" borderId="61" xfId="0" applyNumberFormat="1" applyFont="1" applyFill="1" applyBorder="1" applyAlignment="1" applyProtection="1">
      <alignment horizontal="center" vertical="center" wrapText="1"/>
    </xf>
    <xf numFmtId="0" fontId="44" fillId="6" borderId="4" xfId="0" applyFont="1" applyFill="1" applyBorder="1" applyAlignment="1" applyProtection="1">
      <alignment horizontal="center" vertical="center" wrapText="1"/>
    </xf>
    <xf numFmtId="49" fontId="51" fillId="0" borderId="22" xfId="0" applyNumberFormat="1" applyFont="1" applyFill="1" applyBorder="1" applyAlignment="1" applyProtection="1">
      <alignment horizontal="center" vertical="center" wrapText="1"/>
      <protection locked="0"/>
    </xf>
    <xf numFmtId="0" fontId="51" fillId="6" borderId="46" xfId="0" applyNumberFormat="1" applyFont="1" applyFill="1" applyBorder="1" applyAlignment="1" applyProtection="1">
      <alignment horizontal="center" vertical="center" wrapText="1"/>
    </xf>
    <xf numFmtId="49" fontId="51" fillId="0" borderId="11" xfId="0" applyNumberFormat="1" applyFont="1" applyFill="1" applyBorder="1" applyAlignment="1" applyProtection="1">
      <alignment horizontal="center" vertical="center" wrapText="1"/>
      <protection locked="0"/>
    </xf>
    <xf numFmtId="0" fontId="51" fillId="2" borderId="23" xfId="0" applyNumberFormat="1" applyFont="1" applyFill="1" applyBorder="1" applyAlignment="1" applyProtection="1">
      <alignment horizontal="center" vertical="center" wrapText="1"/>
      <protection locked="0"/>
    </xf>
    <xf numFmtId="0" fontId="51" fillId="6" borderId="5" xfId="0" applyNumberFormat="1" applyFont="1" applyFill="1" applyBorder="1" applyAlignment="1" applyProtection="1">
      <alignment horizontal="center" vertical="center" wrapText="1"/>
    </xf>
    <xf numFmtId="0" fontId="44" fillId="6" borderId="8" xfId="0" applyNumberFormat="1" applyFont="1" applyFill="1" applyBorder="1" applyAlignment="1" applyProtection="1">
      <alignment horizontal="center" vertical="center" wrapText="1"/>
    </xf>
    <xf numFmtId="49" fontId="44" fillId="0" borderId="7" xfId="0" applyNumberFormat="1" applyFont="1" applyFill="1" applyBorder="1" applyAlignment="1" applyProtection="1">
      <alignment horizontal="center" vertical="center" wrapText="1"/>
      <protection locked="0"/>
    </xf>
    <xf numFmtId="0" fontId="44" fillId="6" borderId="4" xfId="0" applyNumberFormat="1" applyFont="1" applyFill="1" applyBorder="1" applyAlignment="1" applyProtection="1">
      <alignment horizontal="center" vertical="center" wrapText="1"/>
    </xf>
    <xf numFmtId="49" fontId="44" fillId="0" borderId="41" xfId="0" applyNumberFormat="1" applyFont="1" applyFill="1" applyBorder="1" applyAlignment="1" applyProtection="1">
      <alignment horizontal="center" vertical="center" wrapText="1"/>
      <protection locked="0"/>
    </xf>
    <xf numFmtId="0" fontId="50" fillId="6" borderId="40" xfId="0" applyFont="1" applyFill="1" applyBorder="1" applyAlignment="1" applyProtection="1">
      <alignment vertical="center" textRotation="255" wrapText="1"/>
    </xf>
    <xf numFmtId="0" fontId="51" fillId="6" borderId="10" xfId="0" applyNumberFormat="1" applyFont="1" applyFill="1" applyBorder="1" applyAlignment="1" applyProtection="1">
      <alignment horizontal="center" vertical="center" wrapText="1"/>
    </xf>
    <xf numFmtId="0" fontId="69" fillId="6" borderId="14" xfId="0" applyFont="1" applyFill="1" applyBorder="1" applyAlignment="1" applyProtection="1">
      <alignment vertical="center" textRotation="255" wrapText="1"/>
    </xf>
    <xf numFmtId="0" fontId="44" fillId="0" borderId="37"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textRotation="255" wrapText="1"/>
    </xf>
    <xf numFmtId="0" fontId="46" fillId="6" borderId="14" xfId="0" applyFont="1" applyFill="1" applyBorder="1" applyAlignment="1" applyProtection="1">
      <alignment vertical="center" textRotation="255" wrapText="1"/>
    </xf>
    <xf numFmtId="9" fontId="44" fillId="0" borderId="37" xfId="0" applyNumberFormat="1" applyFont="1" applyFill="1" applyBorder="1" applyAlignment="1" applyProtection="1">
      <alignment horizontal="center" vertical="center" wrapText="1"/>
      <protection locked="0"/>
    </xf>
    <xf numFmtId="9" fontId="44" fillId="0" borderId="3" xfId="0" applyNumberFormat="1" applyFont="1" applyFill="1" applyBorder="1" applyAlignment="1" applyProtection="1">
      <alignment horizontal="center" vertical="center" wrapText="1"/>
      <protection locked="0"/>
    </xf>
    <xf numFmtId="9" fontId="44" fillId="0" borderId="23" xfId="0" applyNumberFormat="1" applyFont="1" applyFill="1" applyBorder="1" applyAlignment="1" applyProtection="1">
      <alignment horizontal="center" vertical="center" wrapText="1"/>
      <protection locked="0"/>
    </xf>
    <xf numFmtId="0" fontId="51" fillId="0" borderId="3" xfId="0" applyNumberFormat="1" applyFont="1" applyFill="1" applyBorder="1" applyAlignment="1" applyProtection="1">
      <alignment horizontal="center" vertical="center" wrapText="1"/>
      <protection locked="0"/>
    </xf>
    <xf numFmtId="0" fontId="50" fillId="6" borderId="12" xfId="0" applyFont="1" applyFill="1" applyBorder="1" applyAlignment="1" applyProtection="1">
      <alignment vertical="center" textRotation="255" wrapText="1"/>
    </xf>
    <xf numFmtId="49" fontId="50" fillId="6" borderId="51" xfId="0" applyNumberFormat="1" applyFont="1" applyFill="1" applyBorder="1" applyAlignment="1" applyProtection="1">
      <alignment vertical="center"/>
    </xf>
    <xf numFmtId="49" fontId="50" fillId="6" borderId="20" xfId="0" applyNumberFormat="1" applyFont="1" applyFill="1" applyBorder="1" applyAlignment="1" applyProtection="1">
      <alignment vertical="center"/>
    </xf>
    <xf numFmtId="0" fontId="50" fillId="6" borderId="21" xfId="0" applyFont="1" applyFill="1" applyBorder="1" applyAlignment="1" applyProtection="1">
      <alignment vertical="center" wrapText="1"/>
    </xf>
    <xf numFmtId="0" fontId="70" fillId="3" borderId="20" xfId="0" applyFont="1" applyFill="1" applyBorder="1" applyAlignment="1" applyProtection="1">
      <alignment vertical="center" wrapText="1"/>
      <protection locked="0"/>
    </xf>
    <xf numFmtId="0" fontId="70" fillId="6" borderId="20" xfId="0" applyFont="1" applyFill="1" applyBorder="1" applyAlignment="1" applyProtection="1">
      <alignment vertical="center" wrapText="1"/>
    </xf>
    <xf numFmtId="0" fontId="70" fillId="3" borderId="51" xfId="0" applyFont="1" applyFill="1" applyBorder="1" applyAlignment="1" applyProtection="1">
      <alignment vertical="center" wrapText="1"/>
      <protection locked="0"/>
    </xf>
    <xf numFmtId="0" fontId="70" fillId="6" borderId="21" xfId="0" applyFont="1" applyFill="1" applyBorder="1" applyAlignment="1" applyProtection="1">
      <alignment vertical="center" wrapText="1"/>
    </xf>
    <xf numFmtId="49" fontId="50" fillId="6" borderId="38" xfId="0" applyNumberFormat="1" applyFont="1" applyFill="1" applyBorder="1" applyAlignment="1" applyProtection="1">
      <alignment vertical="center"/>
    </xf>
    <xf numFmtId="49" fontId="50" fillId="6" borderId="52" xfId="0" applyNumberFormat="1" applyFont="1" applyFill="1" applyBorder="1" applyAlignment="1" applyProtection="1">
      <alignment vertical="center"/>
    </xf>
    <xf numFmtId="185" fontId="50" fillId="6" borderId="38" xfId="0" applyNumberFormat="1" applyFont="1" applyFill="1" applyBorder="1" applyAlignment="1" applyProtection="1">
      <alignment vertical="center" wrapText="1"/>
    </xf>
    <xf numFmtId="185" fontId="50" fillId="6" borderId="52" xfId="0" applyNumberFormat="1" applyFont="1" applyFill="1" applyBorder="1" applyAlignment="1" applyProtection="1">
      <alignment vertical="center" wrapText="1"/>
    </xf>
    <xf numFmtId="49" fontId="50" fillId="0" borderId="42" xfId="0" applyNumberFormat="1" applyFont="1" applyFill="1" applyBorder="1" applyAlignment="1" applyProtection="1">
      <alignment vertical="center"/>
      <protection locked="0"/>
    </xf>
    <xf numFmtId="49" fontId="50" fillId="0" borderId="43" xfId="0" applyNumberFormat="1" applyFont="1" applyFill="1" applyBorder="1" applyAlignment="1" applyProtection="1">
      <alignment vertical="center"/>
      <protection locked="0"/>
    </xf>
    <xf numFmtId="185" fontId="50" fillId="6" borderId="47" xfId="0" applyNumberFormat="1" applyFont="1" applyFill="1" applyBorder="1" applyAlignment="1" applyProtection="1">
      <alignment vertical="center" wrapText="1"/>
    </xf>
    <xf numFmtId="188" fontId="51" fillId="0" borderId="0" xfId="0" applyNumberFormat="1" applyFont="1" applyFill="1" applyAlignment="1" applyProtection="1">
      <alignment horizontal="center" vertical="center"/>
      <protection locked="0"/>
    </xf>
    <xf numFmtId="181" fontId="51" fillId="0" borderId="0" xfId="0" applyNumberFormat="1" applyFont="1" applyFill="1" applyAlignment="1" applyProtection="1">
      <alignment horizontal="center" vertical="center"/>
      <protection locked="0"/>
    </xf>
    <xf numFmtId="0" fontId="50" fillId="6" borderId="1" xfId="0" applyFont="1" applyFill="1" applyBorder="1" applyAlignment="1" applyProtection="1">
      <alignment horizontal="left" vertical="center"/>
    </xf>
    <xf numFmtId="0" fontId="50" fillId="6" borderId="1" xfId="0" applyFont="1" applyFill="1" applyBorder="1" applyAlignment="1" applyProtection="1">
      <alignment horizontal="center" vertical="center" wrapText="1"/>
    </xf>
    <xf numFmtId="181" fontId="51" fillId="6" borderId="5" xfId="0" applyNumberFormat="1" applyFont="1" applyFill="1" applyBorder="1" applyAlignment="1" applyProtection="1">
      <alignment horizontal="center" vertical="center"/>
    </xf>
    <xf numFmtId="181" fontId="51" fillId="6" borderId="3" xfId="0" applyNumberFormat="1" applyFont="1" applyFill="1" applyBorder="1" applyAlignment="1" applyProtection="1">
      <alignment vertical="center"/>
    </xf>
    <xf numFmtId="0" fontId="50" fillId="6"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51" fillId="0" borderId="0" xfId="0" applyFont="1" applyBorder="1" applyAlignment="1" applyProtection="1">
      <protection locked="0"/>
    </xf>
    <xf numFmtId="9" fontId="44" fillId="0" borderId="0" xfId="0" applyNumberFormat="1" applyFont="1" applyFill="1" applyBorder="1" applyAlignment="1" applyProtection="1">
      <alignment horizontal="center" vertical="center" wrapText="1"/>
      <protection locked="0"/>
    </xf>
    <xf numFmtId="0" fontId="46" fillId="6" borderId="16" xfId="0" applyNumberFormat="1" applyFont="1" applyFill="1" applyBorder="1" applyAlignment="1" applyProtection="1">
      <alignment vertical="center" wrapText="1"/>
    </xf>
    <xf numFmtId="0" fontId="46" fillId="6" borderId="39" xfId="0" applyNumberFormat="1" applyFont="1" applyFill="1" applyBorder="1" applyAlignment="1" applyProtection="1">
      <alignment vertical="center" wrapText="1"/>
    </xf>
    <xf numFmtId="49" fontId="44" fillId="0" borderId="0" xfId="0" applyNumberFormat="1" applyFont="1" applyFill="1" applyBorder="1" applyAlignment="1" applyProtection="1">
      <alignment horizontal="center" vertical="center"/>
      <protection locked="0"/>
    </xf>
    <xf numFmtId="49" fontId="44" fillId="0" borderId="0" xfId="0" applyNumberFormat="1" applyFont="1" applyFill="1" applyAlignment="1" applyProtection="1">
      <alignment horizontal="center" vertical="center"/>
      <protection locked="0"/>
    </xf>
    <xf numFmtId="0" fontId="46" fillId="6" borderId="18" xfId="0" applyNumberFormat="1" applyFont="1" applyFill="1" applyBorder="1" applyAlignment="1" applyProtection="1">
      <alignment vertical="center" wrapText="1"/>
    </xf>
    <xf numFmtId="0" fontId="46" fillId="6" borderId="35" xfId="0" applyNumberFormat="1" applyFont="1" applyFill="1" applyBorder="1" applyAlignment="1" applyProtection="1">
      <alignment vertical="center" wrapText="1"/>
    </xf>
    <xf numFmtId="0" fontId="44" fillId="0" borderId="22" xfId="0" applyNumberFormat="1" applyFont="1" applyFill="1" applyBorder="1" applyAlignment="1" applyProtection="1">
      <alignment horizontal="center" vertical="center" wrapText="1"/>
      <protection locked="0"/>
    </xf>
    <xf numFmtId="0" fontId="44" fillId="0" borderId="13" xfId="0" applyNumberFormat="1" applyFont="1" applyFill="1" applyBorder="1" applyAlignment="1" applyProtection="1">
      <alignment horizontal="center" vertical="center" wrapText="1"/>
      <protection locked="0"/>
    </xf>
    <xf numFmtId="0" fontId="44" fillId="0" borderId="46"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6" fillId="6" borderId="42" xfId="0" applyNumberFormat="1" applyFont="1" applyFill="1" applyBorder="1" applyAlignment="1" applyProtection="1">
      <alignment vertical="center"/>
    </xf>
    <xf numFmtId="0" fontId="46" fillId="6" borderId="73" xfId="0" applyNumberFormat="1" applyFont="1" applyFill="1" applyBorder="1" applyAlignment="1" applyProtection="1">
      <alignment vertical="center" wrapText="1"/>
    </xf>
    <xf numFmtId="0" fontId="44" fillId="0" borderId="73" xfId="0" applyNumberFormat="1" applyFont="1" applyFill="1" applyBorder="1" applyAlignment="1" applyProtection="1">
      <alignment horizontal="center" vertical="center" wrapText="1"/>
      <protection locked="0"/>
    </xf>
    <xf numFmtId="0" fontId="44" fillId="0" borderId="74" xfId="0" applyNumberFormat="1" applyFont="1" applyFill="1" applyBorder="1" applyAlignment="1" applyProtection="1">
      <alignment horizontal="center" vertical="center" wrapText="1"/>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6" fillId="6" borderId="58" xfId="0" applyNumberFormat="1" applyFont="1" applyFill="1" applyBorder="1" applyAlignment="1" applyProtection="1">
      <alignment vertical="center" wrapText="1"/>
    </xf>
    <xf numFmtId="0" fontId="44" fillId="6" borderId="7" xfId="0" applyNumberFormat="1" applyFont="1" applyFill="1" applyBorder="1" applyAlignment="1" applyProtection="1">
      <alignment horizontal="center" vertical="center" wrapText="1"/>
    </xf>
    <xf numFmtId="0" fontId="44" fillId="0" borderId="2" xfId="0" applyNumberFormat="1" applyFont="1" applyFill="1" applyBorder="1" applyAlignment="1" applyProtection="1">
      <alignment horizontal="center" vertical="center" wrapText="1"/>
      <protection locked="0"/>
    </xf>
    <xf numFmtId="0" fontId="44" fillId="0" borderId="2" xfId="0" applyNumberFormat="1" applyFont="1" applyFill="1" applyBorder="1" applyAlignment="1" applyProtection="1">
      <alignment horizontal="left" vertical="center" wrapText="1"/>
      <protection locked="0"/>
    </xf>
    <xf numFmtId="0" fontId="44" fillId="0" borderId="8"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50" fillId="6" borderId="40" xfId="0" applyNumberFormat="1" applyFont="1" applyFill="1" applyBorder="1" applyAlignment="1" applyProtection="1">
      <alignment vertical="center" wrapText="1"/>
    </xf>
    <xf numFmtId="0" fontId="44" fillId="6" borderId="17" xfId="0" applyNumberFormat="1" applyFont="1" applyFill="1" applyBorder="1" applyAlignment="1" applyProtection="1">
      <alignment horizontal="center" vertical="center" wrapText="1"/>
    </xf>
    <xf numFmtId="0" fontId="51" fillId="6" borderId="9" xfId="0" applyNumberFormat="1" applyFont="1" applyFill="1" applyBorder="1" applyAlignment="1" applyProtection="1">
      <alignment horizontal="center" vertical="center" wrapText="1"/>
    </xf>
    <xf numFmtId="0" fontId="51"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left" vertical="center" wrapText="1"/>
      <protection locked="0"/>
    </xf>
    <xf numFmtId="0" fontId="68" fillId="0" borderId="10"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wrapText="1"/>
    </xf>
    <xf numFmtId="0" fontId="49" fillId="6" borderId="77" xfId="0" applyNumberFormat="1" applyFont="1" applyFill="1" applyBorder="1" applyAlignment="1" applyProtection="1">
      <alignment horizontal="center" vertical="center" wrapText="1"/>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44" fillId="6" borderId="57"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left" vertical="center" wrapText="1"/>
    </xf>
    <xf numFmtId="0" fontId="68" fillId="6" borderId="45" xfId="0" applyNumberFormat="1" applyFont="1" applyFill="1" applyBorder="1" applyAlignment="1" applyProtection="1">
      <alignment horizontal="center" vertical="center" wrapText="1"/>
    </xf>
    <xf numFmtId="0" fontId="44" fillId="6" borderId="77"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0" fontId="44" fillId="6" borderId="15" xfId="0" applyNumberFormat="1" applyFont="1" applyFill="1" applyBorder="1" applyAlignment="1" applyProtection="1">
      <alignment horizontal="center" vertical="center" wrapText="1"/>
    </xf>
    <xf numFmtId="0" fontId="51" fillId="6" borderId="2" xfId="0" applyNumberFormat="1" applyFont="1" applyFill="1" applyBorder="1" applyAlignment="1" applyProtection="1">
      <alignment horizontal="center" vertical="center" wrapText="1"/>
    </xf>
    <xf numFmtId="0" fontId="49" fillId="6" borderId="15" xfId="0" applyNumberFormat="1" applyFont="1" applyFill="1" applyBorder="1" applyAlignment="1" applyProtection="1">
      <alignment horizontal="center" vertical="center" wrapText="1"/>
    </xf>
    <xf numFmtId="0" fontId="51"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24"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left" vertical="center" wrapText="1"/>
      <protection locked="0"/>
    </xf>
    <xf numFmtId="0" fontId="49" fillId="0" borderId="45"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wrapText="1"/>
      <protection locked="0"/>
    </xf>
    <xf numFmtId="0" fontId="44" fillId="0" borderId="78" xfId="0" applyNumberFormat="1"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protection locked="0"/>
    </xf>
    <xf numFmtId="0" fontId="49" fillId="0" borderId="78" xfId="0" applyNumberFormat="1" applyFont="1" applyFill="1" applyBorder="1" applyAlignment="1" applyProtection="1">
      <alignment horizontal="center" vertical="center" wrapText="1"/>
      <protection locked="0"/>
    </xf>
    <xf numFmtId="0" fontId="49" fillId="0" borderId="79"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vertical="center" wrapText="1"/>
      <protection locked="0"/>
    </xf>
    <xf numFmtId="0" fontId="69" fillId="6" borderId="12" xfId="0" applyNumberFormat="1" applyFont="1" applyFill="1" applyBorder="1" applyAlignment="1" applyProtection="1">
      <alignment vertical="center" wrapText="1"/>
    </xf>
    <xf numFmtId="0" fontId="44" fillId="6" borderId="74" xfId="0" applyNumberFormat="1" applyFont="1" applyFill="1" applyBorder="1" applyAlignment="1" applyProtection="1">
      <alignment horizontal="center" vertical="center" wrapText="1"/>
    </xf>
    <xf numFmtId="0" fontId="44" fillId="0" borderId="32" xfId="0" applyNumberFormat="1" applyFont="1" applyFill="1" applyBorder="1" applyAlignment="1" applyProtection="1">
      <alignment horizontal="center" vertical="center" wrapText="1"/>
      <protection locked="0"/>
    </xf>
    <xf numFmtId="0" fontId="49" fillId="0" borderId="32" xfId="0" applyNumberFormat="1" applyFont="1" applyFill="1" applyBorder="1" applyAlignment="1" applyProtection="1">
      <alignment horizontal="center" vertical="center" wrapText="1"/>
      <protection locked="0"/>
    </xf>
    <xf numFmtId="0" fontId="49" fillId="0" borderId="49" xfId="0" applyNumberFormat="1" applyFont="1" applyFill="1" applyBorder="1" applyAlignment="1" applyProtection="1">
      <alignment horizontal="center" vertical="center" wrapText="1"/>
      <protection locked="0"/>
    </xf>
    <xf numFmtId="0" fontId="44"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left" vertical="center" wrapText="1"/>
    </xf>
    <xf numFmtId="0" fontId="68" fillId="6" borderId="10" xfId="0" applyNumberFormat="1" applyFont="1" applyFill="1" applyBorder="1" applyAlignment="1" applyProtection="1">
      <alignment horizontal="center" vertical="center" wrapText="1"/>
    </xf>
    <xf numFmtId="0" fontId="44" fillId="0" borderId="0" xfId="0" applyFont="1" applyFill="1" applyBorder="1" applyAlignment="1" applyProtection="1">
      <alignment vertical="center" wrapText="1"/>
      <protection locked="0"/>
    </xf>
    <xf numFmtId="0" fontId="44" fillId="6" borderId="44" xfId="0" applyNumberFormat="1" applyFont="1" applyFill="1" applyBorder="1" applyAlignment="1" applyProtection="1">
      <alignment horizontal="center" vertical="center" wrapText="1"/>
    </xf>
    <xf numFmtId="0" fontId="46"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left" vertical="center" wrapText="1"/>
      <protection locked="0"/>
    </xf>
    <xf numFmtId="0" fontId="44" fillId="0" borderId="45" xfId="0" applyNumberFormat="1" applyFont="1" applyFill="1" applyBorder="1" applyAlignment="1" applyProtection="1">
      <alignment horizontal="center" vertical="center" wrapText="1"/>
      <protection locked="0"/>
    </xf>
    <xf numFmtId="0" fontId="44" fillId="6" borderId="78" xfId="0" applyNumberFormat="1" applyFont="1" applyFill="1" applyBorder="1" applyAlignment="1" applyProtection="1">
      <alignment horizontal="center" vertical="center" wrapText="1"/>
    </xf>
    <xf numFmtId="0" fontId="51"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left" vertical="center" wrapText="1"/>
      <protection locked="0"/>
    </xf>
    <xf numFmtId="0" fontId="68" fillId="0" borderId="45"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left" vertical="center" wrapText="1"/>
      <protection locked="0"/>
    </xf>
    <xf numFmtId="0" fontId="68" fillId="0" borderId="8"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textRotation="255" wrapText="1"/>
    </xf>
    <xf numFmtId="0" fontId="44" fillId="6" borderId="58" xfId="0" applyNumberFormat="1" applyFont="1" applyFill="1" applyBorder="1" applyAlignment="1" applyProtection="1">
      <alignment horizontal="center" vertical="center"/>
    </xf>
    <xf numFmtId="0" fontId="44"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left" vertical="center" wrapText="1"/>
      <protection locked="0"/>
    </xf>
    <xf numFmtId="0" fontId="49" fillId="0" borderId="24"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textRotation="255" wrapText="1"/>
    </xf>
    <xf numFmtId="0" fontId="49" fillId="6" borderId="44" xfId="0" applyNumberFormat="1" applyFont="1" applyFill="1" applyBorder="1" applyAlignment="1" applyProtection="1">
      <alignment horizontal="center" vertical="center" wrapText="1"/>
    </xf>
    <xf numFmtId="0" fontId="49" fillId="6" borderId="44" xfId="0" applyNumberFormat="1" applyFont="1" applyFill="1" applyBorder="1" applyAlignment="1" applyProtection="1">
      <alignment horizontal="left" vertical="center" wrapText="1"/>
    </xf>
    <xf numFmtId="0" fontId="49" fillId="6" borderId="45" xfId="0" applyNumberFormat="1" applyFont="1" applyFill="1" applyBorder="1" applyAlignment="1" applyProtection="1">
      <alignment horizontal="center" vertical="center" wrapText="1"/>
    </xf>
    <xf numFmtId="0" fontId="44"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left" vertical="center" wrapText="1"/>
    </xf>
    <xf numFmtId="0" fontId="49" fillId="6" borderId="24" xfId="0" applyNumberFormat="1" applyFont="1" applyFill="1" applyBorder="1" applyAlignment="1" applyProtection="1">
      <alignment horizontal="center" vertical="center" wrapText="1"/>
    </xf>
    <xf numFmtId="0" fontId="49" fillId="6" borderId="78" xfId="0" applyNumberFormat="1" applyFont="1" applyFill="1" applyBorder="1" applyAlignment="1" applyProtection="1">
      <alignment horizontal="center" vertical="center" wrapText="1"/>
    </xf>
    <xf numFmtId="0" fontId="49" fillId="6" borderId="79" xfId="0" applyNumberFormat="1" applyFont="1" applyFill="1" applyBorder="1" applyAlignment="1" applyProtection="1">
      <alignment horizontal="center" vertical="center" wrapText="1"/>
    </xf>
    <xf numFmtId="185" fontId="57" fillId="6" borderId="13" xfId="0" applyNumberFormat="1" applyFont="1" applyFill="1" applyBorder="1" applyAlignment="1" applyProtection="1">
      <alignment horizontal="right" vertical="center"/>
    </xf>
    <xf numFmtId="188" fontId="44" fillId="6" borderId="3" xfId="0" applyNumberFormat="1" applyFont="1" applyFill="1" applyBorder="1" applyAlignment="1" applyProtection="1">
      <alignment horizontal="center" vertical="center" wrapText="1"/>
    </xf>
    <xf numFmtId="0" fontId="44" fillId="6" borderId="3" xfId="0" applyNumberFormat="1" applyFont="1" applyFill="1" applyBorder="1" applyAlignment="1" applyProtection="1">
      <alignment horizontal="center" vertical="center" wrapText="1"/>
    </xf>
    <xf numFmtId="0" fontId="58" fillId="0" borderId="3" xfId="0" applyNumberFormat="1" applyFont="1" applyFill="1" applyBorder="1" applyAlignment="1" applyProtection="1">
      <alignment horizontal="center" vertical="center" wrapText="1"/>
      <protection locked="0"/>
    </xf>
    <xf numFmtId="0" fontId="58" fillId="6" borderId="3" xfId="0" applyNumberFormat="1" applyFont="1" applyFill="1" applyBorder="1" applyAlignment="1" applyProtection="1">
      <alignment horizontal="center" vertical="center" wrapText="1"/>
    </xf>
    <xf numFmtId="0" fontId="58" fillId="0" borderId="11" xfId="0" applyNumberFormat="1" applyFont="1" applyFill="1" applyBorder="1" applyAlignment="1" applyProtection="1">
      <alignment horizontal="center" vertical="center" wrapText="1"/>
      <protection locked="0"/>
    </xf>
    <xf numFmtId="0" fontId="58" fillId="6" borderId="41" xfId="0" applyNumberFormat="1" applyFont="1" applyFill="1" applyBorder="1" applyAlignment="1" applyProtection="1">
      <alignment horizontal="center" vertical="center" wrapText="1"/>
    </xf>
    <xf numFmtId="0" fontId="51" fillId="2" borderId="37" xfId="0" applyNumberFormat="1" applyFont="1" applyFill="1" applyBorder="1" applyAlignment="1" applyProtection="1">
      <alignment horizontal="center" vertical="center" wrapText="1"/>
      <protection locked="0"/>
    </xf>
    <xf numFmtId="17" fontId="49" fillId="0" borderId="37" xfId="0" applyNumberFormat="1" applyFont="1" applyFill="1" applyBorder="1" applyAlignment="1" applyProtection="1">
      <alignment horizontal="center" vertical="center" wrapText="1"/>
      <protection locked="0"/>
    </xf>
    <xf numFmtId="0" fontId="49" fillId="0" borderId="37" xfId="0" applyNumberFormat="1" applyFont="1" applyFill="1" applyBorder="1" applyAlignment="1" applyProtection="1">
      <alignment horizontal="center" vertical="center" wrapText="1"/>
      <protection locked="0"/>
    </xf>
    <xf numFmtId="188" fontId="51" fillId="3" borderId="3" xfId="0" applyNumberFormat="1" applyFont="1" applyFill="1" applyBorder="1" applyAlignment="1" applyProtection="1">
      <alignment horizontal="center" vertical="center"/>
      <protection locked="0"/>
    </xf>
    <xf numFmtId="188" fontId="51" fillId="3" borderId="1" xfId="0" applyNumberFormat="1" applyFont="1" applyFill="1" applyBorder="1" applyAlignment="1" applyProtection="1">
      <alignment horizontal="center" vertical="center" wrapText="1"/>
      <protection locked="0"/>
    </xf>
    <xf numFmtId="0" fontId="44" fillId="6" borderId="45" xfId="0" applyNumberFormat="1" applyFont="1" applyFill="1" applyBorder="1" applyAlignment="1" applyProtection="1">
      <alignment horizontal="center" vertical="center" wrapText="1"/>
    </xf>
    <xf numFmtId="0" fontId="51"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left" vertical="center" wrapText="1"/>
      <protection locked="0"/>
    </xf>
    <xf numFmtId="0" fontId="68" fillId="0" borderId="53"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44" fillId="0" borderId="12" xfId="0" applyNumberFormat="1" applyFont="1" applyFill="1" applyBorder="1" applyAlignment="1" applyProtection="1">
      <alignment horizontal="center" vertical="center" wrapText="1"/>
      <protection locked="0"/>
    </xf>
    <xf numFmtId="0" fontId="44" fillId="6" borderId="62" xfId="0" applyFont="1" applyFill="1" applyBorder="1" applyAlignment="1" applyProtection="1">
      <alignment horizontal="center" vertical="center" wrapText="1"/>
    </xf>
    <xf numFmtId="0" fontId="51" fillId="6" borderId="56" xfId="0" applyFont="1" applyFill="1" applyBorder="1" applyAlignment="1" applyProtection="1">
      <alignment horizontal="center" vertical="center"/>
    </xf>
    <xf numFmtId="0" fontId="44" fillId="6" borderId="61" xfId="0" applyFont="1" applyFill="1" applyBorder="1" applyAlignment="1" applyProtection="1">
      <alignment horizontal="center" vertical="center" wrapText="1"/>
    </xf>
    <xf numFmtId="0" fontId="44" fillId="6" borderId="8" xfId="0" applyFont="1" applyFill="1" applyBorder="1" applyAlignment="1" applyProtection="1">
      <alignment horizontal="center" vertical="center" wrapText="1"/>
    </xf>
    <xf numFmtId="0" fontId="44" fillId="6" borderId="53" xfId="0" applyFont="1" applyFill="1" applyBorder="1" applyAlignment="1" applyProtection="1">
      <alignment horizontal="center" vertical="center" wrapText="1"/>
    </xf>
    <xf numFmtId="0" fontId="51" fillId="2" borderId="54" xfId="0" applyNumberFormat="1" applyFont="1" applyFill="1" applyBorder="1" applyAlignment="1" applyProtection="1">
      <alignment horizontal="center" vertical="center" wrapText="1"/>
      <protection locked="0"/>
    </xf>
    <xf numFmtId="0" fontId="44" fillId="0" borderId="49" xfId="0" applyFont="1" applyFill="1" applyBorder="1" applyAlignment="1" applyProtection="1">
      <alignment horizontal="center" vertical="center" wrapText="1"/>
      <protection locked="0"/>
    </xf>
    <xf numFmtId="0" fontId="51" fillId="6" borderId="57" xfId="0" applyNumberFormat="1" applyFont="1" applyFill="1" applyBorder="1" applyAlignment="1" applyProtection="1">
      <alignment horizontal="center" vertical="center" wrapText="1"/>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4" fillId="6" borderId="22" xfId="0" applyNumberFormat="1" applyFont="1" applyFill="1" applyBorder="1" applyAlignment="1" applyProtection="1">
      <alignment horizontal="center" vertical="center" wrapText="1"/>
    </xf>
    <xf numFmtId="0" fontId="44" fillId="6" borderId="20" xfId="0" applyFont="1" applyFill="1" applyBorder="1" applyAlignment="1" applyProtection="1">
      <alignment horizontal="center" vertical="center" wrapText="1"/>
    </xf>
    <xf numFmtId="0" fontId="66" fillId="6" borderId="80" xfId="0" applyFont="1" applyFill="1" applyBorder="1" applyAlignment="1" applyProtection="1">
      <alignment vertical="center" wrapText="1"/>
    </xf>
    <xf numFmtId="0" fontId="44" fillId="6" borderId="54" xfId="0" applyFont="1" applyFill="1" applyBorder="1" applyAlignment="1" applyProtection="1">
      <alignment horizontal="center" vertical="center" wrapText="1"/>
    </xf>
    <xf numFmtId="0" fontId="50" fillId="6" borderId="80" xfId="0" applyFont="1" applyFill="1" applyBorder="1" applyAlignment="1" applyProtection="1">
      <alignment vertical="center" wrapText="1"/>
    </xf>
    <xf numFmtId="0" fontId="44" fillId="0" borderId="36" xfId="0" applyFont="1" applyFill="1" applyBorder="1" applyAlignment="1" applyProtection="1">
      <alignment horizontal="center" vertical="center" wrapText="1"/>
      <protection locked="0"/>
    </xf>
    <xf numFmtId="0" fontId="46" fillId="6" borderId="80" xfId="0" applyFont="1" applyFill="1" applyBorder="1" applyAlignment="1" applyProtection="1">
      <alignment vertical="center" wrapText="1"/>
    </xf>
    <xf numFmtId="0" fontId="50" fillId="6" borderId="81" xfId="0" applyFont="1" applyFill="1" applyBorder="1" applyAlignment="1" applyProtection="1">
      <alignment vertical="center" wrapText="1"/>
    </xf>
    <xf numFmtId="0" fontId="51" fillId="6" borderId="53" xfId="0" applyFont="1" applyFill="1" applyBorder="1" applyAlignment="1" applyProtection="1">
      <alignment horizontal="center" vertical="center"/>
    </xf>
    <xf numFmtId="0" fontId="44" fillId="0" borderId="61" xfId="0"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wrapText="1"/>
    </xf>
    <xf numFmtId="0" fontId="44" fillId="6" borderId="76" xfId="0" applyNumberFormat="1" applyFont="1" applyFill="1" applyBorder="1" applyAlignment="1" applyProtection="1">
      <alignment horizontal="center" vertical="center" wrapText="1"/>
    </xf>
    <xf numFmtId="0" fontId="44" fillId="6" borderId="75" xfId="0" applyNumberFormat="1" applyFont="1" applyFill="1" applyBorder="1" applyAlignment="1" applyProtection="1">
      <alignment horizontal="center" vertical="center" wrapText="1"/>
    </xf>
    <xf numFmtId="0" fontId="50" fillId="6" borderId="16" xfId="0" applyFont="1" applyFill="1" applyBorder="1" applyAlignment="1" applyProtection="1">
      <alignment vertical="center" textRotation="255" wrapText="1"/>
    </xf>
    <xf numFmtId="0" fontId="69" fillId="6" borderId="18" xfId="0" applyFont="1" applyFill="1" applyBorder="1" applyAlignment="1" applyProtection="1">
      <alignment vertical="center" textRotation="255" wrapText="1"/>
    </xf>
    <xf numFmtId="0" fontId="44" fillId="6" borderId="24" xfId="0" applyFont="1" applyFill="1" applyBorder="1" applyAlignment="1" applyProtection="1">
      <alignment horizontal="center" vertical="center" wrapText="1"/>
    </xf>
    <xf numFmtId="49" fontId="44" fillId="0" borderId="37" xfId="0" applyNumberFormat="1" applyFont="1" applyFill="1" applyBorder="1" applyAlignment="1" applyProtection="1">
      <alignment horizontal="center" vertical="center" wrapText="1"/>
      <protection locked="0"/>
    </xf>
    <xf numFmtId="0" fontId="50" fillId="6" borderId="18" xfId="0" applyFont="1" applyFill="1" applyBorder="1" applyAlignment="1" applyProtection="1">
      <alignment vertical="center" textRotation="255" wrapText="1"/>
    </xf>
    <xf numFmtId="0" fontId="44" fillId="2" borderId="37" xfId="0" applyNumberFormat="1"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textRotation="255" wrapText="1"/>
    </xf>
    <xf numFmtId="0" fontId="50" fillId="6" borderId="42" xfId="0" applyFont="1" applyFill="1" applyBorder="1" applyAlignment="1" applyProtection="1">
      <alignment vertical="center" textRotation="255" wrapText="1"/>
    </xf>
    <xf numFmtId="0" fontId="51" fillId="6" borderId="15" xfId="0" applyNumberFormat="1" applyFont="1" applyFill="1" applyBorder="1" applyAlignment="1" applyProtection="1">
      <alignment horizontal="center" vertical="center" wrapText="1"/>
    </xf>
    <xf numFmtId="49" fontId="51"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left" vertical="center" wrapText="1"/>
      <protection locked="0"/>
    </xf>
    <xf numFmtId="49" fontId="68" fillId="0" borderId="10" xfId="0" applyNumberFormat="1" applyFont="1" applyFill="1" applyBorder="1" applyAlignment="1" applyProtection="1">
      <alignment horizontal="center" vertical="center" wrapText="1"/>
      <protection locked="0"/>
    </xf>
    <xf numFmtId="0" fontId="44" fillId="6" borderId="53" xfId="0" applyNumberFormat="1" applyFont="1" applyFill="1" applyBorder="1" applyAlignment="1" applyProtection="1">
      <alignment horizontal="center" vertical="center" wrapText="1"/>
    </xf>
    <xf numFmtId="0" fontId="44" fillId="6" borderId="58" xfId="0" applyNumberFormat="1" applyFont="1" applyFill="1" applyBorder="1" applyAlignment="1" applyProtection="1">
      <alignment horizontal="center" vertical="center" wrapText="1"/>
    </xf>
    <xf numFmtId="0" fontId="51" fillId="6" borderId="28"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left" vertical="center" wrapText="1"/>
    </xf>
    <xf numFmtId="0" fontId="68" fillId="6" borderId="53" xfId="0" applyNumberFormat="1" applyFont="1" applyFill="1" applyBorder="1" applyAlignment="1" applyProtection="1">
      <alignment horizontal="center" vertical="center" wrapText="1"/>
    </xf>
    <xf numFmtId="177" fontId="57" fillId="6" borderId="1" xfId="0" applyNumberFormat="1" applyFont="1" applyFill="1" applyBorder="1" applyAlignment="1" applyProtection="1">
      <alignment horizontal="right" vertical="center"/>
    </xf>
    <xf numFmtId="0" fontId="61"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51" fillId="0" borderId="23" xfId="0" applyNumberFormat="1" applyFont="1" applyFill="1" applyBorder="1" applyAlignment="1" applyProtection="1">
      <alignment horizontal="center" vertical="center" wrapText="1"/>
      <protection locked="0"/>
    </xf>
    <xf numFmtId="0" fontId="51" fillId="6" borderId="18" xfId="0" applyFont="1" applyFill="1" applyBorder="1" applyAlignment="1" applyProtection="1">
      <alignment horizontal="center" vertical="center"/>
    </xf>
    <xf numFmtId="0" fontId="69" fillId="6" borderId="42" xfId="0" applyFont="1" applyFill="1" applyBorder="1" applyAlignment="1" applyProtection="1">
      <alignment vertical="center" textRotation="255" wrapText="1"/>
    </xf>
    <xf numFmtId="0" fontId="51" fillId="0" borderId="13" xfId="0" applyNumberFormat="1" applyFont="1" applyFill="1" applyBorder="1" applyAlignment="1" applyProtection="1">
      <alignment horizontal="center" vertical="center" wrapText="1"/>
      <protection locked="0"/>
    </xf>
    <xf numFmtId="0" fontId="51" fillId="0" borderId="25" xfId="0" applyNumberFormat="1" applyFont="1" applyFill="1" applyBorder="1" applyAlignment="1" applyProtection="1">
      <alignment horizontal="center" vertical="center" wrapText="1"/>
      <protection locked="0"/>
    </xf>
    <xf numFmtId="0" fontId="51" fillId="0" borderId="6" xfId="0" applyNumberFormat="1" applyFont="1" applyFill="1" applyBorder="1" applyAlignment="1" applyProtection="1">
      <alignment horizontal="center" vertical="center" wrapText="1"/>
      <protection locked="0"/>
    </xf>
    <xf numFmtId="0" fontId="49" fillId="6" borderId="49" xfId="0" applyNumberFormat="1" applyFont="1" applyFill="1" applyBorder="1" applyAlignment="1" applyProtection="1">
      <alignment horizontal="center" vertical="center" wrapText="1"/>
    </xf>
    <xf numFmtId="0" fontId="71" fillId="6" borderId="3" xfId="0" applyNumberFormat="1" applyFont="1" applyFill="1" applyBorder="1" applyAlignment="1" applyProtection="1">
      <alignment horizontal="center" vertical="center" wrapText="1"/>
    </xf>
    <xf numFmtId="0" fontId="50" fillId="6" borderId="20" xfId="0" applyFont="1" applyFill="1" applyBorder="1" applyAlignment="1" applyProtection="1">
      <alignment horizontal="right" vertical="center" wrapText="1"/>
    </xf>
    <xf numFmtId="49" fontId="50" fillId="6" borderId="68" xfId="0" applyNumberFormat="1" applyFont="1" applyFill="1" applyBorder="1" applyAlignment="1" applyProtection="1">
      <alignment vertical="center"/>
    </xf>
    <xf numFmtId="14" fontId="51" fillId="6" borderId="6" xfId="0" applyNumberFormat="1" applyFont="1" applyFill="1" applyBorder="1" applyAlignment="1" applyProtection="1">
      <alignment horizontal="left" vertical="center"/>
    </xf>
    <xf numFmtId="176" fontId="51" fillId="6" borderId="9"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51" fillId="6" borderId="10" xfId="0" applyFont="1" applyFill="1" applyBorder="1" applyAlignment="1" applyProtection="1">
      <alignment horizontal="center" vertical="center"/>
    </xf>
    <xf numFmtId="0" fontId="53" fillId="6" borderId="23" xfId="0" applyFont="1" applyFill="1" applyBorder="1" applyAlignment="1" applyProtection="1"/>
    <xf numFmtId="185" fontId="53" fillId="6" borderId="1" xfId="1" applyNumberFormat="1" applyFont="1" applyFill="1" applyBorder="1" applyAlignment="1" applyProtection="1">
      <alignment horizontal="center"/>
    </xf>
    <xf numFmtId="0" fontId="53" fillId="6" borderId="1" xfId="0" applyFont="1" applyFill="1" applyBorder="1" applyAlignment="1" applyProtection="1">
      <alignment horizontal="center"/>
    </xf>
    <xf numFmtId="177" fontId="53" fillId="6" borderId="24"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53" fillId="6" borderId="23" xfId="1" applyFont="1" applyFill="1" applyBorder="1" applyAlignment="1" applyProtection="1"/>
    <xf numFmtId="179" fontId="53" fillId="0" borderId="1" xfId="1" applyNumberFormat="1" applyFont="1" applyFill="1" applyBorder="1" applyAlignment="1" applyProtection="1">
      <alignment horizontal="center"/>
      <protection locked="0"/>
    </xf>
    <xf numFmtId="0" fontId="54" fillId="6" borderId="25" xfId="1" applyFont="1" applyFill="1" applyBorder="1" applyAlignment="1" applyProtection="1"/>
    <xf numFmtId="0" fontId="53" fillId="6" borderId="32" xfId="0" applyFont="1" applyFill="1" applyBorder="1" applyAlignment="1" applyProtection="1">
      <alignment horizontal="center"/>
    </xf>
    <xf numFmtId="177" fontId="54" fillId="6" borderId="49" xfId="0" applyNumberFormat="1" applyFont="1" applyFill="1" applyBorder="1" applyAlignment="1" applyProtection="1">
      <alignment horizontal="center"/>
    </xf>
    <xf numFmtId="0" fontId="44" fillId="6" borderId="44" xfId="0" applyNumberFormat="1" applyFont="1" applyFill="1" applyBorder="1" applyAlignment="1" applyProtection="1">
      <alignment horizontal="left" vertical="center" wrapText="1"/>
    </xf>
    <xf numFmtId="0" fontId="51" fillId="0" borderId="61" xfId="0" applyNumberFormat="1" applyFont="1" applyFill="1" applyBorder="1" applyAlignment="1" applyProtection="1">
      <alignment horizontal="center" vertical="center" wrapText="1"/>
      <protection locked="0"/>
    </xf>
    <xf numFmtId="0" fontId="49" fillId="6" borderId="74" xfId="0" applyNumberFormat="1" applyFont="1" applyFill="1" applyBorder="1" applyAlignment="1" applyProtection="1">
      <alignment horizontal="center" vertical="center" wrapText="1"/>
    </xf>
    <xf numFmtId="0" fontId="51" fillId="0" borderId="66" xfId="0" applyNumberFormat="1" applyFont="1" applyFill="1" applyBorder="1" applyAlignment="1" applyProtection="1">
      <alignment horizontal="center" vertical="center" wrapText="1"/>
      <protection locked="0"/>
    </xf>
    <xf numFmtId="0" fontId="47" fillId="0" borderId="0" xfId="0" applyNumberFormat="1" applyFont="1" applyAlignment="1" applyProtection="1">
      <alignment horizontal="center" vertical="center"/>
      <protection locked="0"/>
    </xf>
    <xf numFmtId="0" fontId="47" fillId="6" borderId="16" xfId="0" applyNumberFormat="1" applyFont="1" applyFill="1" applyBorder="1" applyAlignment="1" applyProtection="1">
      <alignment horizontal="center" vertical="center" wrapText="1"/>
    </xf>
    <xf numFmtId="0" fontId="47" fillId="6" borderId="6" xfId="0" applyNumberFormat="1" applyFont="1" applyFill="1" applyBorder="1" applyAlignment="1" applyProtection="1">
      <alignment horizontal="center" vertical="center" wrapText="1"/>
    </xf>
    <xf numFmtId="0" fontId="47" fillId="6" borderId="9" xfId="0" applyNumberFormat="1" applyFont="1" applyFill="1" applyBorder="1" applyAlignment="1" applyProtection="1">
      <alignment horizontal="center" vertical="center" wrapText="1"/>
    </xf>
    <xf numFmtId="0" fontId="47" fillId="6" borderId="31" xfId="0" applyNumberFormat="1" applyFont="1" applyFill="1" applyBorder="1" applyAlignment="1" applyProtection="1">
      <alignment horizontal="center" vertical="center" wrapText="1"/>
    </xf>
    <xf numFmtId="0" fontId="53" fillId="0" borderId="0" xfId="0" applyFont="1" applyFill="1" applyAlignment="1" applyProtection="1">
      <alignment horizontal="center" vertical="center"/>
      <protection locked="0"/>
    </xf>
    <xf numFmtId="0" fontId="47" fillId="6" borderId="18" xfId="0" applyNumberFormat="1" applyFont="1" applyFill="1" applyBorder="1" applyAlignment="1" applyProtection="1">
      <alignment horizontal="center" vertical="center"/>
    </xf>
    <xf numFmtId="0" fontId="47" fillId="0" borderId="23" xfId="0" applyNumberFormat="1" applyFont="1" applyFill="1" applyBorder="1" applyAlignment="1" applyProtection="1">
      <alignment horizontal="center" vertical="center" wrapText="1"/>
      <protection locked="0"/>
    </xf>
    <xf numFmtId="0" fontId="47" fillId="0" borderId="1" xfId="0" applyNumberFormat="1" applyFont="1" applyFill="1" applyBorder="1" applyAlignment="1" applyProtection="1">
      <alignment horizontal="center" vertical="center" wrapText="1"/>
      <protection locked="0"/>
    </xf>
    <xf numFmtId="0" fontId="48" fillId="6" borderId="5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7" fillId="0" borderId="56" xfId="0" applyNumberFormat="1" applyFont="1" applyFill="1" applyBorder="1" applyAlignment="1" applyProtection="1">
      <alignment horizontal="center" vertical="center" wrapText="1"/>
      <protection locked="0"/>
    </xf>
    <xf numFmtId="0" fontId="45" fillId="6" borderId="1" xfId="0" applyFont="1" applyFill="1" applyBorder="1" applyProtection="1">
      <alignment vertical="center"/>
    </xf>
    <xf numFmtId="0" fontId="47" fillId="6" borderId="1" xfId="0" applyNumberFormat="1"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wrapText="1"/>
    </xf>
    <xf numFmtId="0" fontId="60" fillId="0" borderId="1" xfId="0" applyFont="1" applyFill="1" applyBorder="1" applyAlignment="1" applyProtection="1">
      <alignment horizontal="center" vertical="center"/>
      <protection locked="0"/>
    </xf>
    <xf numFmtId="0" fontId="60" fillId="6" borderId="1" xfId="0" applyFont="1" applyFill="1" applyBorder="1" applyAlignment="1" applyProtection="1">
      <alignment horizontal="center" vertical="center"/>
    </xf>
    <xf numFmtId="0" fontId="60" fillId="2" borderId="1" xfId="0" applyFont="1" applyFill="1" applyBorder="1" applyAlignment="1" applyProtection="1">
      <alignment horizontal="center" vertical="center"/>
      <protection locked="0"/>
    </xf>
    <xf numFmtId="0" fontId="60" fillId="0" borderId="1" xfId="0" applyNumberFormat="1" applyFont="1" applyBorder="1" applyAlignment="1" applyProtection="1">
      <alignment horizontal="center" vertical="center"/>
      <protection locked="0"/>
    </xf>
    <xf numFmtId="0" fontId="60" fillId="0" borderId="0" xfId="0" applyFont="1" applyProtection="1">
      <alignment vertical="center"/>
      <protection locked="0"/>
    </xf>
    <xf numFmtId="0" fontId="44" fillId="6" borderId="23" xfId="0" applyFont="1" applyFill="1" applyBorder="1" applyAlignment="1" applyProtection="1">
      <alignment vertical="center"/>
    </xf>
    <xf numFmtId="0" fontId="53" fillId="0" borderId="8" xfId="1" applyNumberFormat="1" applyFont="1" applyFill="1" applyBorder="1" applyAlignment="1" applyProtection="1">
      <alignment horizontal="center" vertical="center"/>
      <protection locked="0"/>
    </xf>
    <xf numFmtId="0" fontId="53" fillId="0" borderId="61" xfId="1" applyNumberFormat="1" applyFont="1" applyFill="1" applyBorder="1" applyAlignment="1" applyProtection="1">
      <alignment horizontal="center" vertical="center"/>
      <protection locked="0"/>
    </xf>
    <xf numFmtId="0" fontId="46" fillId="0" borderId="32" xfId="0" applyFont="1" applyFill="1" applyBorder="1" applyAlignment="1" applyProtection="1">
      <alignment horizontal="center" vertical="center"/>
      <protection locked="0"/>
    </xf>
    <xf numFmtId="0" fontId="98" fillId="0" borderId="0" xfId="0" applyFont="1" applyProtection="1">
      <alignment vertical="center"/>
    </xf>
    <xf numFmtId="179" fontId="46" fillId="6" borderId="66" xfId="0" applyNumberFormat="1" applyFont="1" applyFill="1" applyBorder="1" applyAlignment="1" applyProtection="1">
      <alignment vertical="center"/>
    </xf>
    <xf numFmtId="179" fontId="46" fillId="6" borderId="32" xfId="0" applyNumberFormat="1" applyFont="1" applyFill="1" applyBorder="1" applyAlignment="1" applyProtection="1">
      <alignment vertical="center"/>
    </xf>
    <xf numFmtId="179" fontId="46" fillId="6" borderId="49" xfId="0" applyNumberFormat="1" applyFont="1" applyFill="1" applyBorder="1" applyAlignment="1" applyProtection="1">
      <alignment vertical="center"/>
    </xf>
    <xf numFmtId="0" fontId="47" fillId="6" borderId="0" xfId="0" applyFont="1" applyFill="1" applyAlignment="1" applyProtection="1">
      <alignment vertical="center"/>
    </xf>
    <xf numFmtId="0" fontId="98" fillId="6" borderId="0" xfId="0" applyFont="1" applyFill="1" applyAlignment="1" applyProtection="1">
      <alignment vertical="center"/>
    </xf>
    <xf numFmtId="0" fontId="98" fillId="6" borderId="0" xfId="0" applyFont="1" applyFill="1" applyAlignment="1" applyProtection="1">
      <alignment horizontal="left" vertical="center"/>
    </xf>
    <xf numFmtId="0" fontId="98" fillId="6" borderId="0" xfId="2" applyFont="1" applyFill="1" applyAlignment="1" applyProtection="1">
      <alignment horizontal="left"/>
    </xf>
    <xf numFmtId="49" fontId="57" fillId="6" borderId="0" xfId="0" applyNumberFormat="1" applyFont="1" applyFill="1" applyBorder="1" applyAlignment="1" applyProtection="1">
      <alignment horizontal="center"/>
    </xf>
    <xf numFmtId="0" fontId="47" fillId="6" borderId="0" xfId="0" applyFont="1" applyFill="1" applyBorder="1" applyAlignment="1" applyProtection="1">
      <alignment vertical="center"/>
    </xf>
    <xf numFmtId="0" fontId="65" fillId="6" borderId="36" xfId="0" applyFont="1" applyFill="1" applyBorder="1" applyAlignment="1" applyProtection="1">
      <alignment vertical="center"/>
    </xf>
    <xf numFmtId="0" fontId="62" fillId="6" borderId="36" xfId="0" applyFont="1" applyFill="1" applyBorder="1" applyAlignment="1" applyProtection="1">
      <alignment vertical="center"/>
    </xf>
    <xf numFmtId="188" fontId="62" fillId="6" borderId="36" xfId="0" applyNumberFormat="1" applyFont="1" applyFill="1" applyBorder="1" applyAlignment="1" applyProtection="1">
      <alignment horizontal="center" vertical="center"/>
    </xf>
    <xf numFmtId="181" fontId="62" fillId="6" borderId="36" xfId="0" applyNumberFormat="1" applyFont="1" applyFill="1" applyBorder="1" applyAlignment="1" applyProtection="1">
      <alignment vertical="center"/>
    </xf>
    <xf numFmtId="0" fontId="62" fillId="6" borderId="36" xfId="0" applyFont="1" applyFill="1" applyBorder="1" applyAlignment="1" applyProtection="1">
      <alignment horizontal="center" vertical="center"/>
    </xf>
    <xf numFmtId="0" fontId="51" fillId="6" borderId="0" xfId="0" applyFont="1" applyFill="1" applyAlignment="1" applyProtection="1">
      <alignment horizontal="center" vertical="center"/>
    </xf>
    <xf numFmtId="0" fontId="68" fillId="6" borderId="0" xfId="0" applyFont="1" applyFill="1" applyAlignment="1" applyProtection="1">
      <alignment horizontal="center" vertical="center"/>
    </xf>
    <xf numFmtId="14" fontId="51" fillId="6" borderId="0" xfId="0" applyNumberFormat="1" applyFont="1" applyFill="1" applyAlignment="1" applyProtection="1">
      <alignment horizontal="center" vertical="center"/>
    </xf>
    <xf numFmtId="176" fontId="51" fillId="6" borderId="0" xfId="0" applyNumberFormat="1" applyFont="1" applyFill="1" applyAlignment="1" applyProtection="1">
      <alignment horizontal="center" vertical="center"/>
    </xf>
    <xf numFmtId="0" fontId="56" fillId="6" borderId="0" xfId="0" applyFont="1" applyFill="1" applyBorder="1" applyAlignment="1" applyProtection="1"/>
    <xf numFmtId="0" fontId="51" fillId="6" borderId="0" xfId="0" applyFont="1" applyFill="1" applyBorder="1" applyAlignment="1" applyProtection="1"/>
    <xf numFmtId="0" fontId="51" fillId="6" borderId="0" xfId="0" applyFont="1" applyFill="1" applyBorder="1" applyAlignment="1" applyProtection="1">
      <alignment horizontal="center"/>
    </xf>
    <xf numFmtId="188" fontId="51" fillId="6" borderId="0" xfId="0" applyNumberFormat="1" applyFont="1" applyFill="1" applyBorder="1" applyAlignment="1" applyProtection="1">
      <alignment horizontal="center"/>
    </xf>
    <xf numFmtId="181" fontId="51" fillId="6" borderId="0" xfId="0" applyNumberFormat="1" applyFont="1" applyFill="1" applyBorder="1" applyAlignment="1" applyProtection="1"/>
    <xf numFmtId="0" fontId="62" fillId="6" borderId="0" xfId="0" applyFont="1" applyFill="1" applyBorder="1" applyAlignment="1" applyProtection="1">
      <alignment horizontal="center" vertical="center"/>
    </xf>
    <xf numFmtId="0" fontId="63" fillId="6" borderId="0" xfId="0" applyFont="1" applyFill="1" applyBorder="1" applyAlignment="1" applyProtection="1">
      <alignment horizontal="center" vertical="center"/>
    </xf>
    <xf numFmtId="187" fontId="44" fillId="6" borderId="5" xfId="0" applyNumberFormat="1" applyFont="1" applyFill="1" applyBorder="1" applyAlignment="1" applyProtection="1">
      <alignment horizontal="center" vertical="center"/>
    </xf>
    <xf numFmtId="49" fontId="44" fillId="6" borderId="3" xfId="0" applyNumberFormat="1" applyFont="1" applyFill="1" applyBorder="1" applyAlignment="1" applyProtection="1">
      <alignment horizontal="center" vertical="center"/>
    </xf>
    <xf numFmtId="0" fontId="44" fillId="6" borderId="15" xfId="0" applyFont="1" applyFill="1" applyBorder="1" applyAlignment="1" applyProtection="1">
      <alignment horizontal="center" vertical="center"/>
    </xf>
    <xf numFmtId="0" fontId="44" fillId="6" borderId="1" xfId="0" applyNumberFormat="1" applyFont="1" applyFill="1" applyBorder="1" applyAlignment="1" applyProtection="1">
      <alignment horizontal="center" vertical="center"/>
    </xf>
    <xf numFmtId="187"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wrapText="1"/>
    </xf>
    <xf numFmtId="187" fontId="49" fillId="6" borderId="5" xfId="0" applyNumberFormat="1" applyFont="1" applyFill="1" applyBorder="1" applyAlignment="1" applyProtection="1">
      <alignment horizontal="center" vertical="center"/>
    </xf>
    <xf numFmtId="49" fontId="49" fillId="6" borderId="3" xfId="0" applyNumberFormat="1" applyFont="1" applyFill="1" applyBorder="1" applyAlignment="1" applyProtection="1">
      <alignment horizontal="center" vertical="center"/>
    </xf>
    <xf numFmtId="0" fontId="49" fillId="6" borderId="15"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51" fillId="6" borderId="2" xfId="0" applyFont="1" applyFill="1" applyBorder="1" applyAlignment="1" applyProtection="1">
      <alignment vertical="center" textRotation="255" wrapText="1"/>
    </xf>
    <xf numFmtId="0" fontId="63" fillId="6" borderId="0" xfId="0" applyFont="1" applyFill="1" applyAlignment="1" applyProtection="1">
      <alignment horizontal="center" vertical="center"/>
    </xf>
    <xf numFmtId="188" fontId="51" fillId="6" borderId="3" xfId="0" applyNumberFormat="1" applyFont="1" applyFill="1" applyBorder="1" applyAlignment="1" applyProtection="1">
      <alignment horizontal="center" vertical="center"/>
    </xf>
    <xf numFmtId="188" fontId="51" fillId="6" borderId="1" xfId="0" applyNumberFormat="1" applyFont="1" applyFill="1" applyBorder="1" applyAlignment="1" applyProtection="1">
      <alignment horizontal="center" vertical="center" wrapText="1"/>
    </xf>
    <xf numFmtId="0" fontId="62" fillId="6" borderId="60" xfId="0" applyFont="1" applyFill="1" applyBorder="1" applyAlignment="1" applyProtection="1">
      <alignment horizontal="center" vertical="center"/>
    </xf>
    <xf numFmtId="0" fontId="53" fillId="6" borderId="0" xfId="0" applyFont="1" applyFill="1" applyAlignment="1" applyProtection="1"/>
    <xf numFmtId="0" fontId="47" fillId="6" borderId="0" xfId="0" applyNumberFormat="1" applyFont="1" applyFill="1" applyAlignment="1" applyProtection="1">
      <alignment horizontal="center" vertical="center"/>
      <protection locked="0"/>
    </xf>
    <xf numFmtId="0" fontId="44" fillId="6" borderId="32" xfId="0" applyFont="1" applyFill="1" applyBorder="1" applyAlignment="1" applyProtection="1">
      <alignment horizontal="center" vertical="center"/>
    </xf>
    <xf numFmtId="0" fontId="44" fillId="6" borderId="49" xfId="0" applyFont="1" applyFill="1" applyBorder="1" applyAlignment="1" applyProtection="1">
      <alignment horizontal="center" vertical="center"/>
    </xf>
    <xf numFmtId="181" fontId="105" fillId="6" borderId="65" xfId="0" applyNumberFormat="1" applyFont="1" applyFill="1" applyBorder="1" applyAlignment="1" applyProtection="1">
      <alignment horizontal="center" vertical="center"/>
    </xf>
    <xf numFmtId="179" fontId="53" fillId="7" borderId="0" xfId="0" applyNumberFormat="1" applyFont="1" applyFill="1" applyBorder="1" applyAlignment="1" applyProtection="1">
      <alignment horizontal="center" vertical="center"/>
      <protection locked="0"/>
    </xf>
    <xf numFmtId="49" fontId="54" fillId="7" borderId="0" xfId="0" applyNumberFormat="1" applyFont="1" applyFill="1" applyBorder="1" applyAlignment="1" applyProtection="1">
      <alignment horizontal="left" vertical="center"/>
      <protection locked="0"/>
    </xf>
    <xf numFmtId="0" fontId="63" fillId="7" borderId="0" xfId="0" applyFont="1" applyFill="1" applyAlignment="1" applyProtection="1">
      <alignment vertical="center"/>
      <protection locked="0"/>
    </xf>
    <xf numFmtId="0" fontId="47" fillId="7" borderId="0" xfId="0" applyFont="1" applyFill="1" applyProtection="1">
      <alignment vertical="center"/>
      <protection locked="0"/>
    </xf>
    <xf numFmtId="0" fontId="53"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wrapText="1"/>
      <protection locked="0"/>
    </xf>
    <xf numFmtId="0" fontId="60" fillId="7" borderId="0" xfId="0" applyFont="1" applyFill="1" applyProtection="1">
      <alignment vertical="center"/>
      <protection locked="0"/>
    </xf>
    <xf numFmtId="10" fontId="47" fillId="0" borderId="1" xfId="1" applyNumberFormat="1" applyFont="1" applyFill="1" applyBorder="1" applyAlignment="1" applyProtection="1">
      <alignment horizontal="center" vertical="center"/>
      <protection locked="0"/>
    </xf>
    <xf numFmtId="181" fontId="99" fillId="0" borderId="1"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81" fontId="47" fillId="0" borderId="1"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2"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0" fontId="61" fillId="6" borderId="3" xfId="0" applyNumberFormat="1" applyFont="1" applyFill="1" applyBorder="1" applyAlignment="1" applyProtection="1">
      <alignment horizontal="center" vertical="center" wrapText="1"/>
      <protection locked="0"/>
    </xf>
    <xf numFmtId="0" fontId="109" fillId="6" borderId="20" xfId="0" applyFont="1" applyFill="1" applyBorder="1" applyAlignment="1" applyProtection="1">
      <alignment vertical="center"/>
    </xf>
    <xf numFmtId="0" fontId="109" fillId="6" borderId="21" xfId="0" applyFont="1" applyFill="1" applyBorder="1" applyAlignment="1" applyProtection="1">
      <alignment horizontal="center" vertical="center"/>
    </xf>
    <xf numFmtId="0" fontId="53" fillId="6" borderId="24" xfId="0" applyFont="1" applyFill="1" applyBorder="1" applyAlignment="1" applyProtection="1">
      <alignment horizontal="center" vertical="center" wrapText="1"/>
    </xf>
    <xf numFmtId="10" fontId="53" fillId="6" borderId="61" xfId="0" applyNumberFormat="1" applyFont="1" applyFill="1" applyBorder="1" applyAlignment="1" applyProtection="1">
      <alignment horizontal="center" vertical="center" wrapText="1"/>
    </xf>
    <xf numFmtId="10" fontId="53" fillId="6" borderId="53" xfId="0" applyNumberFormat="1" applyFont="1" applyFill="1" applyBorder="1" applyAlignment="1" applyProtection="1">
      <alignment vertical="center" wrapText="1"/>
    </xf>
    <xf numFmtId="10" fontId="53" fillId="6" borderId="76" xfId="0" applyNumberFormat="1" applyFont="1" applyFill="1" applyBorder="1" applyAlignment="1" applyProtection="1">
      <alignment vertical="center" wrapText="1"/>
    </xf>
    <xf numFmtId="10" fontId="53" fillId="6" borderId="53" xfId="0" applyNumberFormat="1" applyFont="1" applyFill="1" applyBorder="1" applyAlignment="1" applyProtection="1">
      <alignment horizontal="center" vertical="center" wrapText="1"/>
    </xf>
    <xf numFmtId="10" fontId="53" fillId="6" borderId="76" xfId="0" applyNumberFormat="1" applyFont="1" applyFill="1" applyBorder="1" applyAlignment="1" applyProtection="1">
      <alignment horizontal="center" vertical="center" wrapText="1"/>
    </xf>
    <xf numFmtId="0" fontId="78" fillId="0" borderId="60" xfId="3" applyNumberFormat="1" applyFont="1" applyBorder="1" applyAlignment="1" applyProtection="1">
      <alignment vertical="center"/>
    </xf>
    <xf numFmtId="0" fontId="0" fillId="0" borderId="0" xfId="0" applyNumberFormat="1" applyProtection="1">
      <alignment vertical="center"/>
    </xf>
    <xf numFmtId="0" fontId="0" fillId="0" borderId="0" xfId="0" applyNumberFormat="1" applyFont="1" applyProtection="1">
      <alignment vertical="center"/>
    </xf>
    <xf numFmtId="179" fontId="51" fillId="6" borderId="1"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4" fillId="6" borderId="34" xfId="0" applyFont="1" applyFill="1" applyBorder="1" applyAlignment="1" applyProtection="1">
      <alignment horizontal="center" vertical="center"/>
    </xf>
    <xf numFmtId="0" fontId="54" fillId="6" borderId="28" xfId="0" applyNumberFormat="1" applyFont="1" applyFill="1" applyBorder="1" applyAlignment="1" applyProtection="1">
      <alignment horizontal="center" vertical="center" wrapText="1"/>
    </xf>
    <xf numFmtId="0" fontId="53" fillId="6" borderId="2"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9" fontId="53" fillId="6" borderId="1" xfId="0" applyNumberFormat="1"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wrapText="1"/>
    </xf>
    <xf numFmtId="186" fontId="50" fillId="6" borderId="84" xfId="0" applyNumberFormat="1" applyFont="1" applyFill="1" applyBorder="1" applyAlignment="1" applyProtection="1">
      <alignment horizontal="center" vertical="center" wrapText="1"/>
    </xf>
    <xf numFmtId="14" fontId="51" fillId="6" borderId="84" xfId="0" applyNumberFormat="1" applyFont="1" applyFill="1" applyBorder="1" applyAlignment="1" applyProtection="1">
      <alignment horizontal="center" vertical="center" wrapText="1"/>
    </xf>
    <xf numFmtId="14" fontId="51" fillId="6" borderId="64" xfId="0" applyNumberFormat="1" applyFont="1" applyFill="1" applyBorder="1" applyAlignment="1" applyProtection="1">
      <alignment horizontal="center" vertical="center" wrapText="1"/>
    </xf>
    <xf numFmtId="0" fontId="99" fillId="6" borderId="67" xfId="0" applyFont="1" applyFill="1" applyBorder="1" applyAlignment="1" applyProtection="1">
      <alignment horizontal="center" vertical="center" wrapText="1"/>
    </xf>
    <xf numFmtId="186" fontId="50" fillId="6" borderId="17" xfId="0" applyNumberFormat="1"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32" xfId="0" applyFont="1" applyFill="1" applyBorder="1" applyAlignment="1" applyProtection="1">
      <alignment horizontal="center" vertical="center" wrapText="1"/>
    </xf>
    <xf numFmtId="181" fontId="99" fillId="6" borderId="17" xfId="0" applyNumberFormat="1" applyFont="1" applyFill="1" applyBorder="1" applyAlignment="1" applyProtection="1">
      <alignment horizontal="center" vertical="center" wrapText="1"/>
    </xf>
    <xf numFmtId="0" fontId="53" fillId="6" borderId="29" xfId="0" applyFont="1" applyFill="1" applyBorder="1" applyAlignment="1" applyProtection="1">
      <alignment horizontal="center" vertical="center" wrapText="1"/>
    </xf>
    <xf numFmtId="0" fontId="53" fillId="6" borderId="62" xfId="0" applyFont="1" applyFill="1" applyBorder="1" applyAlignment="1" applyProtection="1">
      <alignment horizontal="center" vertical="center" wrapText="1"/>
    </xf>
    <xf numFmtId="0" fontId="51" fillId="6" borderId="9" xfId="0" applyFont="1" applyFill="1" applyBorder="1" applyAlignment="1" applyProtection="1">
      <alignment horizontal="center" vertical="center" wrapText="1"/>
    </xf>
    <xf numFmtId="0" fontId="51" fillId="6" borderId="24"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xf>
    <xf numFmtId="0" fontId="99" fillId="0" borderId="1" xfId="0" applyFont="1" applyFill="1" applyBorder="1" applyAlignment="1" applyProtection="1">
      <alignment horizontal="center" vertical="center"/>
      <protection locked="0"/>
    </xf>
    <xf numFmtId="177" fontId="51" fillId="0" borderId="1" xfId="0" applyNumberFormat="1" applyFont="1" applyFill="1" applyBorder="1" applyAlignment="1" applyProtection="1">
      <alignment horizontal="center" vertical="center" wrapText="1"/>
      <protection locked="0"/>
    </xf>
    <xf numFmtId="0" fontId="53" fillId="0" borderId="9" xfId="0" applyFont="1" applyFill="1" applyBorder="1" applyAlignment="1" applyProtection="1">
      <alignment horizontal="center" vertical="center" wrapText="1"/>
      <protection locked="0"/>
    </xf>
    <xf numFmtId="49" fontId="80" fillId="6" borderId="23" xfId="1" applyNumberFormat="1" applyFont="1" applyFill="1" applyBorder="1" applyAlignment="1" applyProtection="1">
      <alignment horizontal="left"/>
    </xf>
    <xf numFmtId="49" fontId="53" fillId="6" borderId="23" xfId="1" applyNumberFormat="1" applyFont="1" applyFill="1" applyBorder="1" applyAlignment="1" applyProtection="1">
      <alignment horizontal="center"/>
    </xf>
    <xf numFmtId="0" fontId="59" fillId="6" borderId="23" xfId="1" applyFont="1" applyFill="1" applyBorder="1" applyAlignment="1" applyProtection="1">
      <alignment horizontal="right"/>
    </xf>
    <xf numFmtId="0" fontId="53" fillId="6" borderId="23" xfId="0" applyFont="1" applyFill="1" applyBorder="1" applyAlignment="1" applyProtection="1">
      <alignment horizontal="center" vertical="center"/>
    </xf>
    <xf numFmtId="0" fontId="47" fillId="3" borderId="0" xfId="0" applyFont="1" applyFill="1" applyAlignment="1" applyProtection="1">
      <alignment vertical="center"/>
      <protection locked="0"/>
    </xf>
    <xf numFmtId="0" fontId="45" fillId="6" borderId="51" xfId="0" applyFont="1" applyFill="1" applyBorder="1" applyAlignment="1" applyProtection="1">
      <alignment vertical="center"/>
    </xf>
    <xf numFmtId="0" fontId="45" fillId="6" borderId="20" xfId="0" applyFont="1" applyFill="1" applyBorder="1" applyAlignment="1" applyProtection="1">
      <alignment vertical="center"/>
    </xf>
    <xf numFmtId="0" fontId="45" fillId="6" borderId="21" xfId="0" applyFont="1" applyFill="1" applyBorder="1" applyAlignment="1" applyProtection="1">
      <alignment vertical="center"/>
    </xf>
    <xf numFmtId="0" fontId="61" fillId="7" borderId="0" xfId="0" applyFont="1" applyFill="1" applyAlignment="1" applyProtection="1">
      <alignment vertical="center"/>
      <protection locked="0"/>
    </xf>
    <xf numFmtId="0" fontId="46" fillId="6" borderId="23" xfId="0" applyFont="1" applyFill="1" applyBorder="1" applyAlignment="1" applyProtection="1">
      <alignment horizontal="center" vertical="center"/>
    </xf>
    <xf numFmtId="0" fontId="46" fillId="6" borderId="46" xfId="0" applyFont="1" applyFill="1" applyBorder="1" applyAlignment="1" applyProtection="1">
      <alignment vertical="center"/>
    </xf>
    <xf numFmtId="0" fontId="46" fillId="7" borderId="0" xfId="0" applyFont="1" applyFill="1" applyAlignment="1" applyProtection="1">
      <alignment vertical="center"/>
      <protection locked="0"/>
    </xf>
    <xf numFmtId="0" fontId="46" fillId="0" borderId="0" xfId="0" applyFont="1" applyFill="1" applyAlignment="1" applyProtection="1">
      <alignment vertical="center"/>
      <protection locked="0"/>
    </xf>
    <xf numFmtId="49" fontId="47" fillId="6" borderId="23" xfId="0" applyNumberFormat="1" applyFont="1" applyFill="1" applyBorder="1" applyAlignment="1" applyProtection="1">
      <alignment horizontal="center" vertical="center"/>
    </xf>
    <xf numFmtId="185" fontId="47" fillId="0" borderId="1" xfId="0" applyNumberFormat="1" applyFont="1" applyFill="1" applyBorder="1" applyAlignment="1" applyProtection="1">
      <alignment horizontal="center" vertical="center"/>
      <protection locked="0"/>
    </xf>
    <xf numFmtId="185" fontId="47" fillId="0" borderId="24" xfId="0" applyNumberFormat="1" applyFont="1" applyFill="1" applyBorder="1" applyAlignment="1" applyProtection="1">
      <alignment horizontal="center" vertical="center"/>
      <protection locked="0"/>
    </xf>
    <xf numFmtId="0" fontId="47" fillId="7" borderId="0" xfId="0" applyFont="1" applyFill="1" applyAlignment="1" applyProtection="1">
      <alignment vertical="center"/>
      <protection locked="0"/>
    </xf>
    <xf numFmtId="0" fontId="47" fillId="0" borderId="0" xfId="0" applyFont="1" applyFill="1" applyAlignment="1" applyProtection="1">
      <alignment vertical="center"/>
      <protection locked="0"/>
    </xf>
    <xf numFmtId="185"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4" fillId="7" borderId="0" xfId="0" applyFont="1" applyFill="1" applyAlignment="1" applyProtection="1">
      <alignment vertical="center"/>
      <protection locked="0"/>
    </xf>
    <xf numFmtId="0" fontId="47" fillId="6" borderId="23" xfId="1" applyFont="1" applyFill="1" applyBorder="1" applyAlignment="1" applyProtection="1">
      <alignment horizontal="right" vertical="center"/>
    </xf>
    <xf numFmtId="0" fontId="47" fillId="6" borderId="5" xfId="1" applyFont="1" applyFill="1" applyBorder="1" applyAlignment="1" applyProtection="1">
      <alignment vertical="center"/>
    </xf>
    <xf numFmtId="179" fontId="47" fillId="6" borderId="1" xfId="1" applyNumberFormat="1" applyFont="1" applyFill="1" applyBorder="1" applyAlignment="1" applyProtection="1">
      <alignment horizontal="center" vertical="center"/>
    </xf>
    <xf numFmtId="0" fontId="49" fillId="7" borderId="0" xfId="0" applyFont="1" applyFill="1" applyAlignment="1" applyProtection="1">
      <alignment vertical="center"/>
      <protection locked="0"/>
    </xf>
    <xf numFmtId="9" fontId="47" fillId="6" borderId="1" xfId="1"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177" fontId="47" fillId="6" borderId="1" xfId="1" applyNumberFormat="1"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47" fillId="6" borderId="54" xfId="0" applyFont="1" applyFill="1" applyBorder="1" applyAlignment="1" applyProtection="1">
      <alignment horizontal="left" vertical="center"/>
    </xf>
    <xf numFmtId="0" fontId="47" fillId="6" borderId="48" xfId="0" applyFont="1" applyFill="1" applyBorder="1" applyAlignment="1" applyProtection="1">
      <alignment horizontal="left"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0" fontId="46" fillId="6" borderId="5" xfId="1" applyFont="1" applyFill="1" applyBorder="1" applyAlignment="1" applyProtection="1">
      <alignment vertical="center"/>
    </xf>
    <xf numFmtId="177" fontId="46" fillId="6" borderId="1" xfId="1" applyNumberFormat="1" applyFont="1" applyFill="1" applyBorder="1" applyAlignment="1" applyProtection="1">
      <alignment horizontal="center" vertical="center"/>
    </xf>
    <xf numFmtId="0" fontId="46" fillId="6" borderId="1" xfId="1" applyFont="1" applyFill="1" applyBorder="1" applyAlignment="1" applyProtection="1">
      <alignment vertical="center"/>
    </xf>
    <xf numFmtId="10" fontId="46" fillId="6" borderId="1" xfId="1" applyNumberFormat="1" applyFont="1" applyFill="1" applyBorder="1" applyAlignment="1" applyProtection="1">
      <alignment horizontal="center" vertical="center"/>
    </xf>
    <xf numFmtId="0" fontId="44" fillId="6" borderId="5" xfId="0" applyFont="1" applyFill="1" applyBorder="1" applyAlignment="1" applyProtection="1">
      <alignment vertical="center"/>
    </xf>
    <xf numFmtId="0" fontId="44" fillId="6" borderId="54" xfId="0" applyFont="1" applyFill="1" applyBorder="1" applyAlignment="1" applyProtection="1">
      <alignment vertical="center"/>
    </xf>
    <xf numFmtId="0" fontId="44" fillId="6" borderId="48" xfId="0" applyFont="1" applyFill="1" applyBorder="1" applyAlignment="1" applyProtection="1">
      <alignment vertical="center"/>
    </xf>
    <xf numFmtId="0" fontId="47" fillId="6" borderId="1" xfId="1" applyFont="1" applyFill="1" applyBorder="1" applyAlignment="1" applyProtection="1">
      <alignment horizontal="left" vertical="center"/>
    </xf>
    <xf numFmtId="0" fontId="48" fillId="3" borderId="0" xfId="0" applyFont="1" applyFill="1" applyAlignment="1" applyProtection="1">
      <alignment vertical="center"/>
      <protection locked="0"/>
    </xf>
    <xf numFmtId="0" fontId="47" fillId="6" borderId="5" xfId="1" applyFont="1" applyFill="1" applyBorder="1" applyAlignment="1" applyProtection="1">
      <alignment horizontal="left" vertical="center"/>
    </xf>
    <xf numFmtId="185" fontId="47" fillId="3" borderId="0" xfId="0" applyNumberFormat="1" applyFont="1" applyFill="1" applyAlignment="1" applyProtection="1">
      <alignment horizontal="center" vertical="center"/>
      <protection locked="0"/>
    </xf>
    <xf numFmtId="185" fontId="46" fillId="6" borderId="28" xfId="0" applyNumberFormat="1" applyFont="1" applyFill="1" applyBorder="1" applyAlignment="1" applyProtection="1">
      <alignment horizontal="center" vertical="center"/>
    </xf>
    <xf numFmtId="185" fontId="99" fillId="0" borderId="13" xfId="0" applyNumberFormat="1" applyFont="1" applyFill="1" applyBorder="1" applyAlignment="1" applyProtection="1">
      <alignment horizontal="center" vertical="center"/>
      <protection locked="0"/>
    </xf>
    <xf numFmtId="185" fontId="47" fillId="0" borderId="13" xfId="0" applyNumberFormat="1" applyFont="1" applyFill="1" applyBorder="1" applyAlignment="1" applyProtection="1">
      <alignment horizontal="center" vertical="center"/>
      <protection locked="0"/>
    </xf>
    <xf numFmtId="185" fontId="47" fillId="0" borderId="61" xfId="0" applyNumberFormat="1" applyFont="1" applyFill="1" applyBorder="1" applyAlignment="1" applyProtection="1">
      <alignment horizontal="center" vertical="center"/>
      <protection locked="0"/>
    </xf>
    <xf numFmtId="0" fontId="46" fillId="6" borderId="42" xfId="0" applyFont="1" applyFill="1" applyBorder="1" applyAlignment="1" applyProtection="1">
      <alignment vertical="center"/>
    </xf>
    <xf numFmtId="0" fontId="46" fillId="6" borderId="47" xfId="0" applyFont="1" applyFill="1" applyBorder="1" applyAlignment="1" applyProtection="1">
      <alignment vertical="center"/>
    </xf>
    <xf numFmtId="185" fontId="45" fillId="6" borderId="74" xfId="0" applyNumberFormat="1" applyFont="1" applyFill="1" applyBorder="1" applyAlignment="1" applyProtection="1">
      <alignment horizontal="center" vertical="center"/>
    </xf>
    <xf numFmtId="0" fontId="45" fillId="6" borderId="75" xfId="0" applyFont="1" applyFill="1" applyBorder="1" applyAlignment="1" applyProtection="1">
      <alignment vertical="center"/>
    </xf>
    <xf numFmtId="0" fontId="46" fillId="6" borderId="43" xfId="0" applyFont="1" applyFill="1" applyBorder="1" applyAlignment="1" applyProtection="1">
      <alignment vertical="center"/>
    </xf>
    <xf numFmtId="0" fontId="46" fillId="6" borderId="33" xfId="1" applyFont="1" applyFill="1" applyBorder="1" applyAlignment="1" applyProtection="1">
      <alignment vertical="center"/>
    </xf>
    <xf numFmtId="177" fontId="46" fillId="6" borderId="32" xfId="0" applyNumberFormat="1" applyFont="1" applyFill="1" applyBorder="1" applyAlignment="1" applyProtection="1">
      <alignment horizontal="center" vertical="center"/>
    </xf>
    <xf numFmtId="0" fontId="46" fillId="6" borderId="32" xfId="0" applyFont="1" applyFill="1" applyBorder="1" applyAlignment="1" applyProtection="1">
      <alignment vertical="center"/>
    </xf>
    <xf numFmtId="177" fontId="46" fillId="6" borderId="32" xfId="0" applyNumberFormat="1" applyFont="1" applyFill="1" applyBorder="1" applyAlignment="1" applyProtection="1">
      <alignment vertical="center"/>
    </xf>
    <xf numFmtId="10" fontId="46" fillId="6" borderId="32" xfId="0" applyNumberFormat="1" applyFont="1" applyFill="1" applyBorder="1" applyAlignment="1" applyProtection="1">
      <alignment horizontal="center" vertical="center"/>
    </xf>
    <xf numFmtId="177" fontId="46" fillId="6" borderId="33" xfId="0" applyNumberFormat="1" applyFont="1" applyFill="1" applyBorder="1" applyAlignment="1" applyProtection="1">
      <alignment vertical="center"/>
    </xf>
    <xf numFmtId="177" fontId="46" fillId="6" borderId="52" xfId="0" applyNumberFormat="1" applyFont="1" applyFill="1" applyBorder="1" applyAlignment="1" applyProtection="1">
      <alignment vertical="center"/>
    </xf>
    <xf numFmtId="177" fontId="46" fillId="6" borderId="68" xfId="0" applyNumberFormat="1" applyFont="1" applyFill="1" applyBorder="1" applyAlignment="1" applyProtection="1">
      <alignment vertical="center"/>
    </xf>
    <xf numFmtId="0" fontId="50" fillId="6" borderId="15" xfId="0" applyFont="1" applyFill="1" applyBorder="1" applyAlignment="1" applyProtection="1">
      <alignment horizontal="center" vertical="center" wrapText="1"/>
    </xf>
    <xf numFmtId="0" fontId="115" fillId="0" borderId="0" xfId="5" applyFont="1">
      <alignment vertical="center"/>
    </xf>
    <xf numFmtId="0" fontId="95" fillId="0" borderId="0" xfId="5">
      <alignment vertical="center"/>
    </xf>
    <xf numFmtId="0" fontId="115" fillId="0" borderId="0" xfId="5" applyFont="1" applyAlignment="1">
      <alignment vertical="top" wrapText="1"/>
    </xf>
    <xf numFmtId="0" fontId="59" fillId="6" borderId="1" xfId="1" applyNumberFormat="1" applyFont="1" applyFill="1" applyBorder="1" applyAlignment="1" applyProtection="1"/>
    <xf numFmtId="0" fontId="47" fillId="6" borderId="1" xfId="1" applyNumberFormat="1" applyFont="1" applyFill="1" applyBorder="1" applyAlignment="1" applyProtection="1">
      <alignment horizontal="center" vertical="center"/>
    </xf>
    <xf numFmtId="0" fontId="53" fillId="6" borderId="1" xfId="1" applyNumberFormat="1" applyFont="1" applyFill="1" applyBorder="1" applyAlignment="1" applyProtection="1">
      <alignment horizontal="center"/>
    </xf>
    <xf numFmtId="0" fontId="53" fillId="6" borderId="1" xfId="0" applyNumberFormat="1" applyFont="1" applyFill="1" applyBorder="1" applyProtection="1">
      <alignment vertical="center"/>
    </xf>
    <xf numFmtId="0" fontId="54" fillId="6" borderId="1" xfId="1" applyNumberFormat="1" applyFont="1" applyFill="1" applyBorder="1" applyAlignment="1" applyProtection="1">
      <alignment horizontal="center"/>
    </xf>
    <xf numFmtId="0" fontId="45" fillId="0" borderId="2" xfId="7" applyFont="1" applyFill="1" applyBorder="1" applyAlignment="1" applyProtection="1">
      <alignment horizontal="center" vertical="center" wrapText="1"/>
    </xf>
    <xf numFmtId="0" fontId="45" fillId="0" borderId="1" xfId="7" applyFont="1" applyFill="1" applyBorder="1" applyAlignment="1" applyProtection="1">
      <alignment horizontal="center" vertical="center" wrapText="1"/>
    </xf>
    <xf numFmtId="0" fontId="61" fillId="0" borderId="1" xfId="7" applyFont="1" applyFill="1" applyBorder="1" applyAlignment="1" applyProtection="1">
      <alignment horizontal="center" vertical="center" wrapText="1"/>
    </xf>
    <xf numFmtId="0" fontId="45" fillId="0" borderId="3" xfId="7"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44" fillId="6" borderId="24" xfId="0" applyFont="1" applyFill="1" applyBorder="1" applyAlignment="1" applyProtection="1">
      <alignment horizontal="center" vertical="center"/>
    </xf>
    <xf numFmtId="183" fontId="47" fillId="0" borderId="1" xfId="0" applyNumberFormat="1" applyFont="1" applyFill="1" applyBorder="1" applyAlignment="1" applyProtection="1">
      <alignment horizontal="center" vertical="center" shrinkToFit="1"/>
      <protection locked="0"/>
    </xf>
    <xf numFmtId="183" fontId="47" fillId="6" borderId="1" xfId="0" applyNumberFormat="1" applyFont="1" applyFill="1" applyBorder="1" applyAlignment="1" applyProtection="1">
      <alignment horizontal="center" vertical="center"/>
    </xf>
    <xf numFmtId="177" fontId="47" fillId="6" borderId="23" xfId="1" applyNumberFormat="1" applyFont="1" applyFill="1" applyBorder="1" applyAlignment="1" applyProtection="1">
      <alignment horizontal="center" vertical="center"/>
    </xf>
    <xf numFmtId="0" fontId="61" fillId="0" borderId="3" xfId="7" applyFont="1" applyFill="1" applyBorder="1" applyAlignment="1" applyProtection="1">
      <alignment horizontal="center" vertical="center" wrapText="1"/>
    </xf>
    <xf numFmtId="0" fontId="61" fillId="0" borderId="78" xfId="7" applyFont="1" applyFill="1" applyBorder="1" applyAlignment="1" applyProtection="1">
      <alignment horizontal="center" vertical="center" wrapText="1"/>
    </xf>
    <xf numFmtId="181" fontId="44" fillId="6" borderId="8" xfId="0" applyNumberFormat="1" applyFont="1" applyFill="1" applyBorder="1" applyProtection="1">
      <alignment vertical="center"/>
    </xf>
    <xf numFmtId="181" fontId="52" fillId="6" borderId="59" xfId="0" applyNumberFormat="1" applyFont="1" applyFill="1" applyBorder="1" applyAlignment="1" applyProtection="1">
      <alignment horizontal="center" vertical="center"/>
    </xf>
    <xf numFmtId="0" fontId="98" fillId="6" borderId="28" xfId="0" applyNumberFormat="1" applyFont="1" applyFill="1" applyBorder="1" applyProtection="1">
      <alignment vertical="center"/>
    </xf>
    <xf numFmtId="0" fontId="98" fillId="6" borderId="5" xfId="0" applyNumberFormat="1" applyFont="1" applyFill="1" applyBorder="1" applyProtection="1">
      <alignment vertical="center"/>
    </xf>
    <xf numFmtId="0" fontId="98" fillId="6" borderId="33" xfId="0" applyNumberFormat="1" applyFont="1" applyFill="1" applyBorder="1" applyProtection="1">
      <alignment vertical="center"/>
    </xf>
    <xf numFmtId="10" fontId="53" fillId="6" borderId="1" xfId="0" applyNumberFormat="1" applyFont="1" applyFill="1" applyBorder="1" applyAlignment="1" applyProtection="1">
      <alignment vertical="center" wrapText="1"/>
    </xf>
    <xf numFmtId="0" fontId="58" fillId="6" borderId="41" xfId="0" applyFont="1" applyFill="1" applyBorder="1" applyAlignment="1" applyProtection="1">
      <alignment horizontal="center" vertical="center"/>
    </xf>
    <xf numFmtId="0" fontId="58" fillId="0" borderId="2" xfId="0" applyFont="1" applyBorder="1" applyAlignment="1" applyProtection="1">
      <alignment horizontal="center" vertical="center"/>
      <protection locked="0"/>
    </xf>
    <xf numFmtId="0" fontId="58" fillId="0" borderId="4" xfId="0" applyFont="1" applyBorder="1" applyAlignment="1" applyProtection="1">
      <alignment horizontal="center" vertical="center"/>
      <protection locked="0"/>
    </xf>
    <xf numFmtId="0" fontId="58" fillId="0" borderId="93" xfId="0" applyFont="1" applyFill="1" applyBorder="1" applyAlignment="1" applyProtection="1">
      <alignment horizontal="center" vertical="center"/>
      <protection locked="0"/>
    </xf>
    <xf numFmtId="0" fontId="58" fillId="0" borderId="8" xfId="0" applyFont="1" applyBorder="1" applyAlignment="1" applyProtection="1">
      <alignment horizontal="center" vertical="center"/>
      <protection locked="0"/>
    </xf>
    <xf numFmtId="186" fontId="58" fillId="6" borderId="8" xfId="0" applyNumberFormat="1" applyFont="1" applyFill="1" applyBorder="1" applyAlignment="1" applyProtection="1">
      <alignment horizontal="center" vertical="center"/>
    </xf>
    <xf numFmtId="0" fontId="58" fillId="6" borderId="23" xfId="0" applyFont="1" applyFill="1" applyBorder="1" applyAlignment="1" applyProtection="1">
      <alignment horizontal="center" vertical="center"/>
    </xf>
    <xf numFmtId="0" fontId="58" fillId="0" borderId="1" xfId="0" applyFont="1" applyBorder="1" applyAlignment="1" applyProtection="1">
      <alignment horizontal="center" vertical="center"/>
      <protection locked="0"/>
    </xf>
    <xf numFmtId="0" fontId="58" fillId="0" borderId="5" xfId="0" applyFont="1" applyBorder="1" applyAlignment="1" applyProtection="1">
      <alignment horizontal="center" vertical="center"/>
      <protection locked="0"/>
    </xf>
    <xf numFmtId="0" fontId="58" fillId="0" borderId="92" xfId="0" applyFont="1" applyFill="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58" fillId="6" borderId="24" xfId="0" applyFont="1" applyFill="1" applyBorder="1" applyAlignment="1" applyProtection="1">
      <alignment horizontal="center" vertical="center"/>
    </xf>
    <xf numFmtId="178" fontId="58" fillId="6" borderId="24" xfId="0" applyNumberFormat="1" applyFont="1" applyFill="1" applyBorder="1" applyAlignment="1" applyProtection="1">
      <alignment horizontal="center" vertical="center"/>
    </xf>
    <xf numFmtId="178" fontId="58" fillId="0" borderId="24" xfId="0" applyNumberFormat="1" applyFont="1" applyBorder="1" applyAlignment="1" applyProtection="1">
      <alignment horizontal="center" vertical="center"/>
      <protection locked="0"/>
    </xf>
    <xf numFmtId="0" fontId="98" fillId="0" borderId="92" xfId="0" applyFont="1" applyFill="1" applyBorder="1" applyAlignment="1" applyProtection="1">
      <alignment horizontal="center" vertical="center"/>
      <protection locked="0"/>
    </xf>
    <xf numFmtId="0" fontId="58" fillId="6" borderId="32" xfId="0" applyFont="1" applyFill="1" applyBorder="1" applyAlignment="1" applyProtection="1">
      <alignment horizontal="center" vertical="center"/>
    </xf>
    <xf numFmtId="0" fontId="58" fillId="6" borderId="47" xfId="0" applyFont="1" applyFill="1" applyBorder="1" applyAlignment="1" applyProtection="1">
      <alignment horizontal="center" vertical="center"/>
    </xf>
    <xf numFmtId="0" fontId="58" fillId="0" borderId="32" xfId="0" applyFont="1" applyBorder="1" applyAlignment="1" applyProtection="1">
      <alignment horizontal="center" vertical="center"/>
      <protection locked="0"/>
    </xf>
    <xf numFmtId="178" fontId="58" fillId="6" borderId="49" xfId="0" applyNumberFormat="1" applyFont="1" applyFill="1" applyBorder="1" applyAlignment="1" applyProtection="1">
      <alignment horizontal="center" vertical="center"/>
    </xf>
    <xf numFmtId="177" fontId="53" fillId="6" borderId="5" xfId="1" applyNumberFormat="1" applyFont="1" applyFill="1" applyBorder="1" applyAlignment="1" applyProtection="1">
      <alignment horizontal="center"/>
    </xf>
    <xf numFmtId="0" fontId="72" fillId="6" borderId="1" xfId="0" applyFont="1" applyFill="1" applyBorder="1" applyAlignment="1" applyProtection="1">
      <alignment horizontal="center" vertical="center"/>
    </xf>
    <xf numFmtId="188" fontId="51" fillId="6" borderId="0" xfId="0" applyNumberFormat="1" applyFont="1" applyFill="1" applyAlignment="1" applyProtection="1">
      <alignment horizontal="center" vertical="center"/>
      <protection locked="0"/>
    </xf>
    <xf numFmtId="181" fontId="51" fillId="6" borderId="0" xfId="0" applyNumberFormat="1" applyFont="1" applyFill="1" applyAlignment="1" applyProtection="1">
      <alignment horizontal="center" vertical="center"/>
      <protection locked="0"/>
    </xf>
    <xf numFmtId="0" fontId="51" fillId="6" borderId="28" xfId="0" applyFont="1" applyFill="1" applyBorder="1" applyAlignment="1" applyProtection="1">
      <alignment horizontal="center" vertical="center"/>
    </xf>
    <xf numFmtId="0" fontId="99" fillId="6" borderId="24" xfId="0" applyFont="1" applyFill="1" applyBorder="1" applyAlignment="1" applyProtection="1">
      <alignment horizontal="center" vertical="center"/>
    </xf>
    <xf numFmtId="0" fontId="72" fillId="5" borderId="23" xfId="0" applyFont="1" applyFill="1" applyBorder="1" applyAlignment="1" applyProtection="1">
      <alignment horizontal="center" vertical="center"/>
      <protection locked="0"/>
    </xf>
    <xf numFmtId="0" fontId="99" fillId="6" borderId="49" xfId="0" applyFont="1" applyFill="1" applyBorder="1" applyAlignment="1" applyProtection="1">
      <alignment horizontal="center" vertical="center"/>
    </xf>
    <xf numFmtId="0" fontId="99" fillId="6" borderId="86" xfId="0" applyFont="1" applyFill="1" applyBorder="1" applyAlignment="1" applyProtection="1">
      <alignment horizontal="center" vertical="center"/>
    </xf>
    <xf numFmtId="0" fontId="99" fillId="0" borderId="86" xfId="0" applyFont="1" applyFill="1" applyBorder="1" applyAlignment="1" applyProtection="1">
      <alignment horizontal="center" vertical="center"/>
      <protection locked="0"/>
    </xf>
    <xf numFmtId="0" fontId="99" fillId="0" borderId="96" xfId="0" applyFont="1" applyFill="1" applyBorder="1" applyAlignment="1" applyProtection="1">
      <alignment horizontal="center" vertical="center"/>
      <protection locked="0"/>
    </xf>
    <xf numFmtId="0" fontId="72" fillId="6" borderId="32" xfId="0" applyFont="1" applyFill="1" applyBorder="1" applyAlignment="1" applyProtection="1">
      <alignment horizontal="center" vertical="center"/>
    </xf>
    <xf numFmtId="0" fontId="47" fillId="0" borderId="2" xfId="0" applyNumberFormat="1" applyFont="1" applyFill="1" applyBorder="1" applyAlignment="1" applyProtection="1">
      <alignment horizontal="center" vertical="center" wrapText="1"/>
      <protection locked="0"/>
    </xf>
    <xf numFmtId="0" fontId="47" fillId="6" borderId="97" xfId="0" applyNumberFormat="1" applyFont="1" applyFill="1" applyBorder="1" applyAlignment="1" applyProtection="1">
      <alignment horizontal="center" vertical="center" wrapText="1"/>
    </xf>
    <xf numFmtId="0" fontId="53" fillId="0" borderId="98" xfId="0" applyNumberFormat="1" applyFont="1" applyFill="1" applyBorder="1" applyAlignment="1" applyProtection="1">
      <alignment horizontal="center" vertical="center" wrapText="1"/>
      <protection locked="0"/>
    </xf>
    <xf numFmtId="0" fontId="53" fillId="6" borderId="99" xfId="0" applyNumberFormat="1" applyFont="1" applyFill="1" applyBorder="1" applyAlignment="1" applyProtection="1">
      <alignment horizontal="center" vertical="center" wrapText="1"/>
    </xf>
    <xf numFmtId="0" fontId="53" fillId="6" borderId="98" xfId="0" applyNumberFormat="1" applyFont="1" applyFill="1" applyBorder="1" applyAlignment="1" applyProtection="1">
      <alignment horizontal="center" vertical="center" wrapText="1"/>
    </xf>
    <xf numFmtId="0" fontId="47" fillId="0" borderId="100" xfId="0" applyNumberFormat="1" applyFont="1" applyFill="1" applyBorder="1" applyAlignment="1" applyProtection="1">
      <alignment horizontal="center" vertical="center" wrapText="1"/>
      <protection locked="0"/>
    </xf>
    <xf numFmtId="0" fontId="47" fillId="0" borderId="41" xfId="0" applyNumberFormat="1" applyFont="1" applyFill="1" applyBorder="1" applyAlignment="1" applyProtection="1">
      <alignment horizontal="center" vertical="center" wrapText="1"/>
      <protection locked="0"/>
    </xf>
    <xf numFmtId="0" fontId="47" fillId="6" borderId="100" xfId="0" applyNumberFormat="1" applyFont="1" applyFill="1" applyBorder="1" applyAlignment="1" applyProtection="1">
      <alignment horizontal="center" vertical="center" wrapText="1"/>
    </xf>
    <xf numFmtId="0" fontId="51" fillId="0" borderId="58" xfId="0" applyFont="1" applyFill="1" applyBorder="1" applyAlignment="1" applyProtection="1">
      <alignment horizontal="center" vertical="center"/>
      <protection locked="0"/>
    </xf>
    <xf numFmtId="0" fontId="57" fillId="6" borderId="0" xfId="0" applyFont="1" applyFill="1" applyBorder="1" applyAlignment="1" applyProtection="1">
      <alignment vertical="center"/>
      <protection locked="0"/>
    </xf>
    <xf numFmtId="0" fontId="62"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188" fontId="62" fillId="6" borderId="0" xfId="0" applyNumberFormat="1" applyFont="1" applyFill="1" applyBorder="1" applyAlignment="1" applyProtection="1">
      <alignment horizontal="center" vertical="center"/>
      <protection locked="0"/>
    </xf>
    <xf numFmtId="181" fontId="62" fillId="6" borderId="0" xfId="0" applyNumberFormat="1" applyFont="1" applyFill="1" applyBorder="1" applyAlignment="1" applyProtection="1">
      <alignment vertical="center"/>
      <protection locked="0"/>
    </xf>
    <xf numFmtId="0" fontId="62"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vertical="center" wrapText="1"/>
      <protection locked="0"/>
    </xf>
    <xf numFmtId="0" fontId="51"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horizontal="center" vertical="center" wrapText="1"/>
      <protection locked="0"/>
    </xf>
    <xf numFmtId="0" fontId="44" fillId="6" borderId="0" xfId="0" applyFont="1" applyFill="1" applyBorder="1" applyAlignment="1" applyProtection="1">
      <alignment horizontal="center" vertical="center"/>
      <protection locked="0"/>
    </xf>
    <xf numFmtId="0" fontId="44" fillId="6" borderId="35" xfId="0" applyFont="1" applyFill="1" applyBorder="1" applyAlignment="1" applyProtection="1">
      <alignment horizontal="center" vertical="center"/>
      <protection locked="0"/>
    </xf>
    <xf numFmtId="181" fontId="67" fillId="6" borderId="0" xfId="0" applyNumberFormat="1" applyFont="1" applyFill="1" applyBorder="1" applyAlignment="1" applyProtection="1">
      <alignment horizontal="center" vertical="center" wrapText="1"/>
      <protection locked="0"/>
    </xf>
    <xf numFmtId="0" fontId="67" fillId="6" borderId="0" xfId="0" applyFont="1" applyFill="1" applyBorder="1" applyAlignment="1" applyProtection="1">
      <alignment horizontal="center" vertical="center"/>
      <protection locked="0"/>
    </xf>
    <xf numFmtId="0" fontId="67" fillId="6" borderId="35" xfId="0" applyFont="1" applyFill="1" applyBorder="1" applyAlignment="1" applyProtection="1">
      <alignment horizontal="center" vertical="center"/>
      <protection locked="0"/>
    </xf>
    <xf numFmtId="181" fontId="49" fillId="6" borderId="0" xfId="0" applyNumberFormat="1" applyFont="1" applyFill="1" applyBorder="1" applyAlignment="1" applyProtection="1">
      <alignment horizontal="center" vertical="center" wrapText="1"/>
      <protection locked="0"/>
    </xf>
    <xf numFmtId="0" fontId="51" fillId="6" borderId="35"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protection locked="0"/>
    </xf>
    <xf numFmtId="0" fontId="4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vertical="center" wrapText="1"/>
      <protection locked="0"/>
    </xf>
    <xf numFmtId="0" fontId="51" fillId="6" borderId="0" xfId="0" applyFont="1" applyFill="1" applyAlignment="1" applyProtection="1">
      <alignment horizontal="center" vertical="center"/>
      <protection locked="0"/>
    </xf>
    <xf numFmtId="0" fontId="68" fillId="6" borderId="0" xfId="0" applyFont="1" applyFill="1" applyAlignment="1" applyProtection="1">
      <alignment horizontal="center" vertical="center"/>
      <protection locked="0"/>
    </xf>
    <xf numFmtId="14" fontId="51" fillId="6" borderId="0" xfId="0" applyNumberFormat="1" applyFont="1" applyFill="1" applyAlignment="1" applyProtection="1">
      <alignment horizontal="center" vertical="center"/>
      <protection locked="0"/>
    </xf>
    <xf numFmtId="181" fontId="68" fillId="6" borderId="0" xfId="0" applyNumberFormat="1" applyFont="1" applyFill="1" applyAlignment="1" applyProtection="1">
      <alignment horizontal="center" vertical="center"/>
      <protection locked="0"/>
    </xf>
    <xf numFmtId="176" fontId="51" fillId="6" borderId="0" xfId="0" applyNumberFormat="1" applyFont="1" applyFill="1" applyAlignment="1" applyProtection="1">
      <alignment horizontal="center" vertical="center"/>
      <protection locked="0"/>
    </xf>
    <xf numFmtId="0" fontId="44" fillId="6" borderId="0" xfId="0" applyNumberFormat="1" applyFont="1" applyFill="1" applyBorder="1" applyAlignment="1" applyProtection="1">
      <alignment horizontal="center" vertical="center" wrapText="1"/>
      <protection locked="0"/>
    </xf>
    <xf numFmtId="0" fontId="68"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49" fillId="6" borderId="0" xfId="0" applyNumberFormat="1" applyFont="1" applyFill="1" applyBorder="1" applyAlignment="1" applyProtection="1">
      <alignment horizontal="center" vertical="center" wrapText="1"/>
      <protection locked="0"/>
    </xf>
    <xf numFmtId="0" fontId="51" fillId="0" borderId="0" xfId="0" applyFont="1" applyFill="1" applyAlignment="1" applyProtection="1">
      <alignment horizontal="center" vertical="center"/>
    </xf>
    <xf numFmtId="188" fontId="51" fillId="0" borderId="0" xfId="0" applyNumberFormat="1" applyFont="1" applyFill="1" applyAlignment="1" applyProtection="1">
      <alignment horizontal="center" vertical="center"/>
    </xf>
    <xf numFmtId="181" fontId="51" fillId="0" borderId="0" xfId="0" applyNumberFormat="1" applyFont="1" applyFill="1" applyAlignment="1" applyProtection="1">
      <alignment horizontal="center" vertical="center"/>
    </xf>
    <xf numFmtId="0" fontId="53" fillId="6" borderId="0" xfId="0" applyFont="1" applyFill="1" applyAlignment="1" applyProtection="1">
      <protection locked="0"/>
    </xf>
    <xf numFmtId="0" fontId="51" fillId="6" borderId="0" xfId="0" applyFont="1" applyFill="1" applyBorder="1" applyAlignment="1" applyProtection="1">
      <protection locked="0"/>
    </xf>
    <xf numFmtId="188" fontId="51" fillId="6" borderId="0" xfId="0" applyNumberFormat="1" applyFont="1" applyFill="1" applyBorder="1" applyAlignment="1" applyProtection="1">
      <alignment horizontal="center"/>
      <protection locked="0"/>
    </xf>
    <xf numFmtId="181" fontId="51" fillId="6" borderId="0" xfId="0" applyNumberFormat="1" applyFont="1" applyFill="1" applyBorder="1" applyAlignment="1" applyProtection="1">
      <protection locked="0"/>
    </xf>
    <xf numFmtId="0" fontId="44" fillId="0" borderId="43" xfId="0" applyNumberFormat="1" applyFont="1" applyFill="1" applyBorder="1" applyAlignment="1" applyProtection="1">
      <alignment horizontal="center" vertical="center" wrapText="1"/>
      <protection locked="0"/>
    </xf>
    <xf numFmtId="0" fontId="72" fillId="6" borderId="1" xfId="0" applyFont="1" applyFill="1" applyBorder="1" applyAlignment="1" applyProtection="1">
      <alignment horizontal="center" vertical="center"/>
      <protection locked="0"/>
    </xf>
    <xf numFmtId="9" fontId="72" fillId="5" borderId="1" xfId="0" applyNumberFormat="1" applyFont="1" applyFill="1" applyBorder="1" applyAlignment="1" applyProtection="1">
      <alignment horizontal="center" vertical="center"/>
      <protection locked="0"/>
    </xf>
    <xf numFmtId="49" fontId="47" fillId="6" borderId="6" xfId="0" applyNumberFormat="1" applyFont="1" applyFill="1" applyBorder="1" applyAlignment="1" applyProtection="1">
      <alignment horizontal="center" vertical="center"/>
      <protection locked="0"/>
    </xf>
    <xf numFmtId="49" fontId="52" fillId="6" borderId="11" xfId="0" applyNumberFormat="1" applyFont="1" applyFill="1" applyBorder="1" applyAlignment="1" applyProtection="1">
      <alignment vertical="center"/>
      <protection locked="0"/>
    </xf>
    <xf numFmtId="0" fontId="52" fillId="6" borderId="13" xfId="0" applyFont="1" applyFill="1" applyBorder="1" applyAlignment="1" applyProtection="1">
      <alignment vertical="center" wrapText="1"/>
      <protection locked="0"/>
    </xf>
    <xf numFmtId="0" fontId="47" fillId="6" borderId="13" xfId="0" applyFont="1" applyFill="1" applyBorder="1" applyAlignment="1" applyProtection="1">
      <alignment vertical="center"/>
      <protection locked="0"/>
    </xf>
    <xf numFmtId="0" fontId="47" fillId="6" borderId="1" xfId="0" applyFont="1" applyFill="1" applyBorder="1" applyAlignment="1" applyProtection="1">
      <alignment horizontal="left" vertical="center"/>
      <protection locked="0"/>
    </xf>
    <xf numFmtId="49" fontId="52" fillId="6" borderId="14" xfId="0" applyNumberFormat="1" applyFont="1" applyFill="1" applyBorder="1" applyAlignment="1" applyProtection="1">
      <alignment vertical="center"/>
      <protection locked="0"/>
    </xf>
    <xf numFmtId="0" fontId="52" fillId="6" borderId="15" xfId="0" applyFont="1" applyFill="1" applyBorder="1" applyAlignment="1" applyProtection="1">
      <alignment vertical="center" wrapText="1"/>
      <protection locked="0"/>
    </xf>
    <xf numFmtId="0" fontId="47" fillId="6" borderId="15" xfId="0" applyFont="1" applyFill="1" applyBorder="1" applyAlignment="1" applyProtection="1">
      <alignment vertical="center"/>
      <protection locked="0"/>
    </xf>
    <xf numFmtId="49" fontId="52" fillId="6" borderId="41" xfId="0" applyNumberFormat="1" applyFont="1" applyFill="1" applyBorder="1" applyAlignment="1" applyProtection="1">
      <alignment vertical="center"/>
      <protection locked="0"/>
    </xf>
    <xf numFmtId="0" fontId="52" fillId="6" borderId="2" xfId="0" applyFont="1" applyFill="1" applyBorder="1" applyAlignment="1" applyProtection="1">
      <alignment vertical="center" wrapText="1"/>
      <protection locked="0"/>
    </xf>
    <xf numFmtId="0" fontId="47" fillId="6" borderId="2" xfId="0" applyFont="1" applyFill="1" applyBorder="1" applyAlignment="1" applyProtection="1">
      <alignment vertical="center"/>
      <protection locked="0"/>
    </xf>
    <xf numFmtId="49" fontId="52" fillId="6" borderId="23" xfId="0" applyNumberFormat="1" applyFont="1" applyFill="1" applyBorder="1" applyAlignment="1" applyProtection="1">
      <alignment horizontal="left" vertical="center"/>
      <protection locked="0"/>
    </xf>
    <xf numFmtId="0" fontId="52" fillId="6" borderId="1" xfId="0" applyFont="1" applyFill="1" applyBorder="1" applyAlignment="1" applyProtection="1">
      <alignment horizontal="left" vertical="center"/>
      <protection locked="0"/>
    </xf>
    <xf numFmtId="0" fontId="52" fillId="6" borderId="1"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protection locked="0"/>
    </xf>
    <xf numFmtId="0" fontId="47" fillId="6" borderId="54" xfId="0" applyFont="1" applyFill="1" applyBorder="1" applyAlignment="1" applyProtection="1">
      <alignment horizontal="center" vertical="center"/>
      <protection locked="0"/>
    </xf>
    <xf numFmtId="0" fontId="47" fillId="6" borderId="48"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wrapText="1"/>
      <protection locked="0"/>
    </xf>
    <xf numFmtId="0" fontId="47" fillId="6" borderId="1" xfId="0" applyFont="1" applyFill="1" applyBorder="1" applyAlignment="1" applyProtection="1">
      <alignment horizontal="left" vertical="center" wrapText="1"/>
      <protection locked="0"/>
    </xf>
    <xf numFmtId="0" fontId="47" fillId="6" borderId="13" xfId="0" applyFont="1" applyFill="1" applyBorder="1" applyAlignment="1" applyProtection="1">
      <alignment horizontal="left" vertical="center" wrapText="1"/>
      <protection locked="0"/>
    </xf>
    <xf numFmtId="0" fontId="47" fillId="6" borderId="2" xfId="0" applyFont="1" applyFill="1" applyBorder="1" applyAlignment="1" applyProtection="1">
      <alignment horizontal="left" vertical="center" wrapText="1"/>
      <protection locked="0"/>
    </xf>
    <xf numFmtId="0" fontId="52" fillId="6" borderId="1" xfId="0" applyFont="1" applyFill="1" applyBorder="1" applyAlignment="1" applyProtection="1">
      <alignment horizontal="left" vertical="center" wrapText="1"/>
      <protection locked="0"/>
    </xf>
    <xf numFmtId="0" fontId="47" fillId="6" borderId="54" xfId="0" applyFont="1" applyFill="1" applyBorder="1" applyAlignment="1" applyProtection="1">
      <alignment horizontal="center" vertical="center" wrapText="1"/>
      <protection locked="0"/>
    </xf>
    <xf numFmtId="0" fontId="47" fillId="6" borderId="48" xfId="0" applyFont="1" applyFill="1" applyBorder="1" applyAlignment="1" applyProtection="1">
      <alignment horizontal="center" vertical="center" wrapText="1"/>
      <protection locked="0"/>
    </xf>
    <xf numFmtId="0" fontId="47" fillId="6" borderId="15" xfId="0" applyFont="1" applyFill="1" applyBorder="1" applyAlignment="1" applyProtection="1">
      <alignment horizontal="left" vertical="center" wrapText="1"/>
      <protection locked="0"/>
    </xf>
    <xf numFmtId="49" fontId="52" fillId="6" borderId="25" xfId="0" applyNumberFormat="1" applyFont="1" applyFill="1" applyBorder="1" applyAlignment="1" applyProtection="1">
      <alignment horizontal="left" vertical="center"/>
      <protection locked="0"/>
    </xf>
    <xf numFmtId="0" fontId="52" fillId="6" borderId="32" xfId="0" applyFont="1" applyFill="1" applyBorder="1" applyAlignment="1" applyProtection="1">
      <alignment horizontal="left" vertical="center"/>
      <protection locked="0"/>
    </xf>
    <xf numFmtId="0" fontId="47" fillId="6" borderId="32" xfId="0" applyFont="1" applyFill="1" applyBorder="1" applyAlignment="1" applyProtection="1">
      <alignment vertical="center"/>
      <protection locked="0"/>
    </xf>
    <xf numFmtId="0" fontId="47" fillId="6" borderId="32" xfId="0" applyFont="1" applyFill="1" applyBorder="1" applyAlignment="1" applyProtection="1">
      <alignment horizontal="left" vertical="center"/>
      <protection locked="0"/>
    </xf>
    <xf numFmtId="49" fontId="52" fillId="6" borderId="55" xfId="0" applyNumberFormat="1" applyFont="1" applyFill="1" applyBorder="1" applyAlignment="1" applyProtection="1">
      <alignment horizontal="left" vertical="center"/>
      <protection locked="0"/>
    </xf>
    <xf numFmtId="49" fontId="52" fillId="6" borderId="18" xfId="0" applyNumberFormat="1"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protection locked="0"/>
    </xf>
    <xf numFmtId="0" fontId="47" fillId="6" borderId="17" xfId="0" applyFont="1" applyFill="1" applyBorder="1" applyAlignment="1" applyProtection="1">
      <alignment horizontal="center" vertical="center"/>
      <protection locked="0"/>
    </xf>
    <xf numFmtId="0" fontId="52" fillId="6" borderId="58" xfId="0" applyFont="1" applyFill="1" applyBorder="1" applyAlignment="1" applyProtection="1">
      <alignment vertical="center" wrapText="1"/>
      <protection locked="0"/>
    </xf>
    <xf numFmtId="0" fontId="52" fillId="6" borderId="58" xfId="0" applyFont="1" applyFill="1" applyBorder="1" applyAlignment="1" applyProtection="1">
      <alignment horizontal="center" vertical="center"/>
      <protection locked="0"/>
    </xf>
    <xf numFmtId="0" fontId="47" fillId="6" borderId="3" xfId="0" applyFont="1" applyFill="1" applyBorder="1" applyAlignment="1" applyProtection="1">
      <alignment horizontal="left" vertical="center"/>
      <protection locked="0"/>
    </xf>
    <xf numFmtId="49" fontId="47" fillId="6" borderId="23" xfId="0" applyNumberFormat="1" applyFont="1" applyFill="1" applyBorder="1" applyAlignment="1" applyProtection="1">
      <alignment horizontal="left" vertical="center"/>
    </xf>
    <xf numFmtId="0" fontId="47" fillId="6" borderId="32" xfId="0" applyFont="1" applyFill="1" applyBorder="1" applyAlignment="1" applyProtection="1">
      <alignment horizontal="center" vertical="center"/>
    </xf>
    <xf numFmtId="0" fontId="54" fillId="6" borderId="46" xfId="0" applyNumberFormat="1" applyFont="1" applyFill="1" applyBorder="1" applyAlignment="1" applyProtection="1">
      <alignment vertical="center" wrapText="1"/>
      <protection locked="0"/>
    </xf>
    <xf numFmtId="0" fontId="47" fillId="6" borderId="21" xfId="0" applyNumberFormat="1" applyFont="1" applyFill="1" applyBorder="1" applyAlignment="1" applyProtection="1">
      <alignment horizontal="center" vertical="center" wrapText="1"/>
    </xf>
    <xf numFmtId="0" fontId="60" fillId="6" borderId="58" xfId="0" applyNumberFormat="1" applyFont="1" applyFill="1" applyBorder="1" applyAlignment="1" applyProtection="1">
      <alignment vertical="center" textRotation="255" wrapText="1"/>
      <protection locked="0"/>
    </xf>
    <xf numFmtId="0" fontId="60" fillId="6" borderId="58" xfId="0" applyNumberFormat="1" applyFont="1" applyFill="1" applyBorder="1" applyAlignment="1" applyProtection="1">
      <alignment vertical="center" wrapText="1"/>
      <protection locked="0"/>
    </xf>
    <xf numFmtId="0" fontId="47" fillId="6" borderId="18"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53" fillId="0" borderId="13" xfId="0" applyNumberFormat="1" applyFont="1" applyFill="1" applyBorder="1" applyAlignment="1" applyProtection="1">
      <alignment horizontal="center" vertical="center" wrapText="1"/>
      <protection locked="0"/>
    </xf>
    <xf numFmtId="0" fontId="53" fillId="0" borderId="46" xfId="0" applyNumberFormat="1" applyFont="1" applyFill="1" applyBorder="1" applyAlignment="1" applyProtection="1">
      <alignment horizontal="center" vertical="center" wrapText="1"/>
      <protection locked="0"/>
    </xf>
    <xf numFmtId="0" fontId="53" fillId="0" borderId="59" xfId="0" applyNumberFormat="1" applyFont="1" applyFill="1" applyBorder="1" applyAlignment="1" applyProtection="1">
      <alignment horizontal="center" vertical="center" wrapText="1"/>
      <protection locked="0"/>
    </xf>
    <xf numFmtId="0" fontId="53" fillId="6" borderId="56" xfId="0" applyNumberFormat="1" applyFont="1" applyFill="1" applyBorder="1" applyAlignment="1" applyProtection="1">
      <alignment horizontal="center" vertical="center" wrapText="1"/>
    </xf>
    <xf numFmtId="0" fontId="52" fillId="6" borderId="58" xfId="0" applyNumberFormat="1" applyFont="1" applyFill="1" applyBorder="1" applyAlignment="1" applyProtection="1">
      <alignment vertical="center" wrapText="1"/>
      <protection locked="0"/>
    </xf>
    <xf numFmtId="0" fontId="47" fillId="0" borderId="109" xfId="0" applyNumberFormat="1" applyFont="1" applyFill="1" applyBorder="1" applyAlignment="1" applyProtection="1">
      <alignment horizontal="center" vertical="center" wrapText="1"/>
      <protection locked="0"/>
    </xf>
    <xf numFmtId="0" fontId="47" fillId="0" borderId="110" xfId="0" applyNumberFormat="1" applyFont="1" applyFill="1" applyBorder="1" applyAlignment="1" applyProtection="1">
      <alignment horizontal="center" vertical="center" wrapText="1"/>
      <protection locked="0"/>
    </xf>
    <xf numFmtId="0" fontId="47" fillId="0" borderId="111" xfId="0" applyNumberFormat="1" applyFont="1" applyFill="1" applyBorder="1" applyAlignment="1" applyProtection="1">
      <alignment horizontal="center" vertical="center" wrapText="1"/>
      <protection locked="0"/>
    </xf>
    <xf numFmtId="0" fontId="47" fillId="0" borderId="113" xfId="0" applyNumberFormat="1" applyFont="1" applyFill="1" applyBorder="1" applyAlignment="1" applyProtection="1">
      <alignment horizontal="center" vertical="center" wrapText="1"/>
      <protection locked="0"/>
    </xf>
    <xf numFmtId="0" fontId="47" fillId="6" borderId="11"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xf>
    <xf numFmtId="0" fontId="47" fillId="0" borderId="116" xfId="0" applyFont="1" applyFill="1" applyBorder="1" applyAlignment="1" applyProtection="1">
      <alignment horizontal="center" vertical="center"/>
      <protection locked="0"/>
    </xf>
    <xf numFmtId="0"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wrapText="1"/>
      <protection locked="0"/>
    </xf>
    <xf numFmtId="9"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protection locked="0"/>
    </xf>
    <xf numFmtId="0" fontId="47" fillId="0" borderId="113" xfId="0" applyFont="1" applyFill="1" applyBorder="1" applyAlignment="1" applyProtection="1">
      <alignment horizontal="center" vertical="center"/>
      <protection locked="0"/>
    </xf>
    <xf numFmtId="0" fontId="47" fillId="6" borderId="113" xfId="0" applyNumberFormat="1" applyFont="1" applyFill="1" applyBorder="1" applyAlignment="1" applyProtection="1">
      <alignment horizontal="center" vertical="center" wrapText="1"/>
    </xf>
    <xf numFmtId="0" fontId="53" fillId="0" borderId="114" xfId="0" applyNumberFormat="1" applyFont="1" applyFill="1" applyBorder="1" applyAlignment="1" applyProtection="1">
      <alignment horizontal="center" vertical="center" wrapText="1"/>
      <protection locked="0"/>
    </xf>
    <xf numFmtId="0" fontId="53" fillId="0" borderId="115" xfId="0" applyNumberFormat="1" applyFont="1" applyFill="1" applyBorder="1" applyAlignment="1" applyProtection="1">
      <alignment horizontal="center" vertical="center" wrapText="1"/>
      <protection locked="0"/>
    </xf>
    <xf numFmtId="0" fontId="47" fillId="10" borderId="6"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left" vertical="center" wrapText="1"/>
      <protection locked="0"/>
    </xf>
    <xf numFmtId="0" fontId="47" fillId="10" borderId="28" xfId="0" applyNumberFormat="1" applyFont="1" applyFill="1" applyBorder="1" applyAlignment="1" applyProtection="1">
      <alignment horizontal="center" vertical="center" wrapText="1"/>
      <protection locked="0"/>
    </xf>
    <xf numFmtId="0" fontId="47" fillId="10" borderId="29" xfId="0" applyFont="1" applyFill="1" applyBorder="1" applyAlignment="1" applyProtection="1">
      <alignment horizontal="center" vertical="center"/>
      <protection locked="0"/>
    </xf>
    <xf numFmtId="0"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wrapText="1"/>
      <protection locked="0"/>
    </xf>
    <xf numFmtId="9"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protection locked="0"/>
    </xf>
    <xf numFmtId="0" fontId="47" fillId="10" borderId="31" xfId="0" applyFont="1" applyFill="1" applyBorder="1" applyAlignment="1" applyProtection="1">
      <alignment horizontal="center" vertical="center"/>
      <protection locked="0"/>
    </xf>
    <xf numFmtId="0" fontId="52" fillId="10" borderId="96" xfId="0" applyNumberFormat="1" applyFont="1" applyFill="1" applyBorder="1" applyAlignment="1" applyProtection="1">
      <alignment vertical="center" wrapText="1"/>
      <protection locked="0"/>
    </xf>
    <xf numFmtId="0" fontId="47" fillId="10" borderId="42" xfId="0" applyNumberFormat="1" applyFont="1" applyFill="1" applyBorder="1" applyAlignment="1" applyProtection="1">
      <alignment horizontal="center" vertical="center" wrapText="1"/>
    </xf>
    <xf numFmtId="0" fontId="47" fillId="10" borderId="25" xfId="0" applyNumberFormat="1" applyFont="1" applyFill="1" applyBorder="1" applyAlignment="1" applyProtection="1">
      <alignment horizontal="center" vertical="center" wrapText="1"/>
      <protection locked="0"/>
    </xf>
    <xf numFmtId="0" fontId="53" fillId="10" borderId="32" xfId="0" applyNumberFormat="1" applyFont="1" applyFill="1" applyBorder="1" applyAlignment="1" applyProtection="1">
      <alignment horizontal="center" vertical="center" wrapText="1"/>
      <protection locked="0"/>
    </xf>
    <xf numFmtId="0" fontId="53" fillId="10" borderId="33" xfId="0" applyNumberFormat="1" applyFont="1" applyFill="1" applyBorder="1" applyAlignment="1" applyProtection="1">
      <alignment horizontal="center" vertical="center" wrapText="1"/>
      <protection locked="0"/>
    </xf>
    <xf numFmtId="0" fontId="53" fillId="10" borderId="68" xfId="0" applyNumberFormat="1" applyFont="1" applyFill="1" applyBorder="1" applyAlignment="1" applyProtection="1">
      <alignment horizontal="center" vertical="center" wrapText="1"/>
      <protection locked="0"/>
    </xf>
    <xf numFmtId="0" fontId="44" fillId="6" borderId="1" xfId="0" applyFont="1" applyFill="1" applyBorder="1" applyProtection="1">
      <alignment vertical="center"/>
    </xf>
    <xf numFmtId="176" fontId="44" fillId="6" borderId="1" xfId="0" applyNumberFormat="1" applyFont="1" applyFill="1" applyBorder="1" applyProtection="1">
      <alignment vertical="center"/>
    </xf>
    <xf numFmtId="0" fontId="44" fillId="6" borderId="1" xfId="0" applyFont="1" applyFill="1" applyBorder="1" applyAlignment="1" applyProtection="1">
      <alignment horizontal="right" vertical="center" wrapText="1"/>
    </xf>
    <xf numFmtId="181" fontId="49" fillId="6" borderId="1" xfId="0" applyNumberFormat="1" applyFont="1" applyFill="1" applyBorder="1" applyAlignment="1" applyProtection="1">
      <alignment horizontal="center" vertical="center"/>
      <protection locked="0"/>
    </xf>
    <xf numFmtId="179" fontId="47" fillId="6" borderId="23" xfId="1" applyNumberFormat="1" applyFont="1" applyFill="1" applyBorder="1" applyAlignment="1" applyProtection="1">
      <alignment horizontal="center" vertical="center"/>
    </xf>
    <xf numFmtId="177" fontId="44" fillId="6" borderId="1" xfId="1" applyNumberFormat="1" applyFont="1" applyFill="1" applyBorder="1" applyAlignment="1" applyProtection="1">
      <alignment horizontal="center" vertical="center"/>
    </xf>
    <xf numFmtId="10" fontId="44" fillId="6" borderId="1" xfId="1" applyNumberFormat="1" applyFont="1" applyFill="1" applyBorder="1" applyAlignment="1" applyProtection="1">
      <alignment horizontal="center" vertical="center"/>
    </xf>
    <xf numFmtId="9" fontId="44" fillId="6" borderId="5" xfId="0" applyNumberFormat="1" applyFont="1" applyFill="1" applyBorder="1" applyAlignment="1" applyProtection="1">
      <alignment horizontal="center" vertical="center"/>
    </xf>
    <xf numFmtId="179" fontId="44" fillId="6" borderId="25" xfId="1" applyNumberFormat="1" applyFont="1" applyFill="1" applyBorder="1" applyAlignment="1" applyProtection="1">
      <alignment horizontal="center" vertical="center"/>
    </xf>
    <xf numFmtId="181" fontId="44" fillId="6" borderId="1" xfId="0" applyNumberFormat="1" applyFont="1" applyFill="1" applyBorder="1" applyAlignment="1" applyProtection="1">
      <alignment vertical="center"/>
    </xf>
    <xf numFmtId="181" fontId="44" fillId="6" borderId="5" xfId="0" applyNumberFormat="1" applyFont="1" applyFill="1" applyBorder="1" applyAlignment="1" applyProtection="1">
      <alignment vertical="center"/>
    </xf>
    <xf numFmtId="181" fontId="44" fillId="6" borderId="24" xfId="0" applyNumberFormat="1" applyFont="1" applyFill="1" applyBorder="1" applyAlignment="1" applyProtection="1">
      <alignment vertical="center"/>
    </xf>
    <xf numFmtId="0" fontId="44" fillId="6" borderId="3" xfId="0" applyFont="1" applyFill="1" applyBorder="1" applyAlignment="1" applyProtection="1">
      <alignment vertical="center"/>
    </xf>
    <xf numFmtId="181" fontId="44" fillId="6" borderId="1" xfId="0" applyNumberFormat="1" applyFont="1" applyFill="1" applyBorder="1" applyAlignment="1" applyProtection="1">
      <alignment horizontal="center" vertical="center"/>
    </xf>
    <xf numFmtId="181" fontId="44" fillId="6" borderId="5" xfId="0" applyNumberFormat="1" applyFont="1" applyFill="1" applyBorder="1" applyAlignment="1" applyProtection="1">
      <alignment horizontal="center" vertical="center"/>
    </xf>
    <xf numFmtId="0" fontId="44" fillId="6" borderId="23" xfId="0" applyFont="1" applyFill="1" applyBorder="1" applyAlignment="1" applyProtection="1">
      <alignment horizontal="center" vertical="center"/>
    </xf>
    <xf numFmtId="10" fontId="44" fillId="6" borderId="1" xfId="0" applyNumberFormat="1" applyFont="1" applyFill="1" applyBorder="1" applyAlignment="1" applyProtection="1">
      <alignment horizontal="center" vertical="center"/>
    </xf>
    <xf numFmtId="182" fontId="44" fillId="6" borderId="1" xfId="0" applyNumberFormat="1" applyFont="1" applyFill="1" applyBorder="1" applyAlignment="1" applyProtection="1">
      <alignment horizontal="center" vertical="center"/>
    </xf>
    <xf numFmtId="181" fontId="44" fillId="6" borderId="24" xfId="0" applyNumberFormat="1" applyFont="1" applyFill="1" applyBorder="1" applyAlignment="1" applyProtection="1">
      <alignment horizontal="center" vertical="center"/>
    </xf>
    <xf numFmtId="14" fontId="44" fillId="6" borderId="67" xfId="0" applyNumberFormat="1" applyFont="1" applyFill="1" applyBorder="1" applyAlignment="1" applyProtection="1">
      <alignment horizontal="center" vertical="center"/>
    </xf>
    <xf numFmtId="0" fontId="44" fillId="6" borderId="6" xfId="0" applyFont="1" applyFill="1" applyBorder="1" applyAlignment="1" applyProtection="1">
      <alignment horizontal="center" vertical="center" wrapText="1"/>
    </xf>
    <xf numFmtId="0" fontId="44" fillId="6" borderId="9" xfId="0"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0" fontId="99" fillId="6" borderId="1" xfId="0" applyFont="1" applyFill="1" applyBorder="1" applyAlignment="1" applyProtection="1">
      <alignment horizontal="left" vertical="center" wrapText="1"/>
      <protection locked="0"/>
    </xf>
    <xf numFmtId="0" fontId="47" fillId="3" borderId="5" xfId="0" applyFont="1" applyFill="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176" fontId="47" fillId="0" borderId="1" xfId="0" applyNumberFormat="1" applyFont="1" applyFill="1" applyBorder="1" applyAlignment="1" applyProtection="1">
      <alignment horizontal="center" vertical="center" wrapText="1"/>
      <protection locked="0"/>
    </xf>
    <xf numFmtId="179" fontId="44" fillId="6" borderId="2" xfId="0" applyNumberFormat="1" applyFont="1" applyFill="1" applyBorder="1" applyProtection="1">
      <alignment vertical="center"/>
    </xf>
    <xf numFmtId="181" fontId="52" fillId="0" borderId="24" xfId="0" applyNumberFormat="1" applyFont="1" applyFill="1" applyBorder="1" applyAlignment="1" applyProtection="1">
      <alignment horizontal="center" vertical="center"/>
      <protection locked="0"/>
    </xf>
    <xf numFmtId="0" fontId="47" fillId="6" borderId="46" xfId="0" applyFont="1" applyFill="1" applyBorder="1" applyAlignment="1" applyProtection="1">
      <alignment vertical="center"/>
      <protection locked="0"/>
    </xf>
    <xf numFmtId="0" fontId="47" fillId="6" borderId="7" xfId="0" applyFont="1" applyFill="1" applyBorder="1" applyAlignment="1" applyProtection="1">
      <alignment horizontal="left" vertical="center"/>
      <protection locked="0"/>
    </xf>
    <xf numFmtId="0" fontId="52" fillId="6" borderId="8" xfId="0" applyFont="1" applyFill="1" applyBorder="1" applyAlignment="1" applyProtection="1">
      <alignment horizontal="center" vertical="center"/>
    </xf>
    <xf numFmtId="0" fontId="47" fillId="6" borderId="29" xfId="0" applyFont="1" applyFill="1" applyBorder="1" applyAlignment="1" applyProtection="1">
      <alignment horizontal="right" vertical="center"/>
      <protection locked="0"/>
    </xf>
    <xf numFmtId="0" fontId="47" fillId="6" borderId="31" xfId="0" applyFont="1" applyFill="1" applyBorder="1" applyAlignment="1" applyProtection="1">
      <alignment horizontal="center" vertical="center"/>
      <protection locked="0"/>
    </xf>
    <xf numFmtId="0" fontId="54" fillId="7" borderId="24" xfId="0" applyFont="1" applyFill="1" applyBorder="1" applyAlignment="1" applyProtection="1">
      <alignment horizontal="center" vertical="center"/>
      <protection locked="0"/>
    </xf>
    <xf numFmtId="0" fontId="58" fillId="6" borderId="0" xfId="0" applyFont="1" applyFill="1" applyAlignment="1" applyProtection="1">
      <alignment horizontal="center" vertical="center"/>
    </xf>
    <xf numFmtId="0" fontId="58" fillId="6" borderId="0" xfId="0" applyNumberFormat="1" applyFont="1" applyFill="1" applyBorder="1" applyAlignment="1" applyProtection="1">
      <alignment horizontal="center"/>
    </xf>
    <xf numFmtId="10" fontId="98" fillId="0" borderId="1" xfId="0" applyNumberFormat="1" applyFont="1" applyBorder="1" applyAlignment="1" applyProtection="1">
      <alignment horizontal="center" vertical="center"/>
      <protection locked="0"/>
    </xf>
    <xf numFmtId="10" fontId="51" fillId="6" borderId="1" xfId="0" applyNumberFormat="1" applyFont="1" applyFill="1" applyBorder="1" applyAlignment="1" applyProtection="1">
      <alignment horizontal="center" vertical="center" wrapText="1"/>
    </xf>
    <xf numFmtId="10" fontId="99" fillId="6" borderId="1" xfId="0" applyNumberFormat="1" applyFont="1" applyFill="1" applyBorder="1" applyAlignment="1" applyProtection="1">
      <alignment horizontal="center" vertical="center" wrapText="1"/>
    </xf>
    <xf numFmtId="10" fontId="98"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2" fillId="6" borderId="4" xfId="0" applyFont="1" applyFill="1" applyBorder="1" applyAlignment="1" applyProtection="1">
      <alignment horizontal="center" vertical="center"/>
    </xf>
    <xf numFmtId="49" fontId="47" fillId="6" borderId="11" xfId="0" applyNumberFormat="1" applyFont="1" applyFill="1" applyBorder="1" applyAlignment="1" applyProtection="1">
      <alignment horizontal="left" vertical="center"/>
    </xf>
    <xf numFmtId="0" fontId="47" fillId="6" borderId="15" xfId="0" applyFont="1" applyFill="1" applyBorder="1" applyAlignment="1" applyProtection="1">
      <alignment horizontal="center" vertical="center"/>
    </xf>
    <xf numFmtId="0" fontId="47" fillId="6" borderId="4" xfId="0" applyFont="1" applyFill="1" applyBorder="1" applyAlignment="1" applyProtection="1">
      <alignment horizontal="right" vertical="center"/>
    </xf>
    <xf numFmtId="0" fontId="47" fillId="6" borderId="71" xfId="0" applyFont="1" applyFill="1" applyBorder="1" applyAlignment="1" applyProtection="1">
      <alignment horizontal="center" vertical="center"/>
    </xf>
    <xf numFmtId="49" fontId="47" fillId="6" borderId="35" xfId="0" applyNumberFormat="1" applyFont="1" applyFill="1" applyBorder="1" applyAlignment="1" applyProtection="1">
      <alignment horizontal="left" vertical="center"/>
    </xf>
    <xf numFmtId="0" fontId="52" fillId="6" borderId="22" xfId="0" applyFont="1" applyFill="1" applyBorder="1" applyAlignment="1" applyProtection="1">
      <alignment horizontal="center" vertical="center"/>
    </xf>
    <xf numFmtId="0" fontId="52" fillId="6" borderId="0" xfId="0" applyFont="1" applyFill="1" applyBorder="1" applyAlignment="1" applyProtection="1">
      <alignment horizontal="center" vertical="center"/>
    </xf>
    <xf numFmtId="0" fontId="47" fillId="6" borderId="3" xfId="0" applyFont="1" applyFill="1" applyBorder="1" applyAlignment="1" applyProtection="1">
      <alignment horizontal="left" vertical="center"/>
    </xf>
    <xf numFmtId="49" fontId="52" fillId="6" borderId="69" xfId="0" applyNumberFormat="1" applyFont="1" applyFill="1" applyBorder="1" applyAlignment="1" applyProtection="1">
      <alignment vertical="center"/>
    </xf>
    <xf numFmtId="10" fontId="47" fillId="6" borderId="61" xfId="0" applyNumberFormat="1" applyFont="1" applyFill="1" applyBorder="1" applyAlignment="1" applyProtection="1">
      <alignment horizontal="center" vertical="center"/>
    </xf>
    <xf numFmtId="49" fontId="52" fillId="6" borderId="41" xfId="0" applyNumberFormat="1" applyFont="1" applyFill="1" applyBorder="1" applyAlignment="1" applyProtection="1">
      <alignment horizontal="left" vertical="center"/>
    </xf>
    <xf numFmtId="0" fontId="52" fillId="6" borderId="2" xfId="0" applyFont="1" applyFill="1" applyBorder="1" applyAlignment="1" applyProtection="1">
      <alignment horizontal="left" vertical="center"/>
    </xf>
    <xf numFmtId="0" fontId="47" fillId="6" borderId="15" xfId="0" applyFont="1" applyFill="1" applyBorder="1" applyAlignment="1" applyProtection="1">
      <alignment horizontal="left" vertical="center"/>
    </xf>
    <xf numFmtId="181" fontId="47" fillId="6" borderId="53" xfId="0" applyNumberFormat="1" applyFont="1" applyFill="1" applyBorder="1" applyAlignment="1" applyProtection="1">
      <alignment horizontal="center" vertical="center"/>
    </xf>
    <xf numFmtId="49" fontId="47" fillId="6" borderId="91" xfId="0" applyNumberFormat="1" applyFont="1" applyFill="1" applyBorder="1" applyAlignment="1" applyProtection="1">
      <alignment vertical="center"/>
    </xf>
    <xf numFmtId="0" fontId="52" fillId="0" borderId="78" xfId="0" applyFont="1" applyFill="1" applyBorder="1" applyAlignment="1" applyProtection="1">
      <alignment horizontal="center" vertical="center"/>
      <protection locked="0"/>
    </xf>
    <xf numFmtId="0" fontId="47" fillId="6" borderId="78" xfId="0" applyFont="1" applyFill="1" applyBorder="1" applyAlignment="1" applyProtection="1">
      <alignment vertical="center"/>
    </xf>
    <xf numFmtId="181" fontId="52" fillId="6" borderId="79" xfId="0" applyNumberFormat="1" applyFont="1" applyFill="1" applyBorder="1" applyAlignment="1" applyProtection="1">
      <alignment horizontal="center" vertical="center"/>
    </xf>
    <xf numFmtId="0" fontId="47" fillId="6" borderId="4" xfId="0" applyFont="1" applyFill="1" applyBorder="1" applyAlignment="1" applyProtection="1">
      <alignment horizontal="left" vertical="center"/>
    </xf>
    <xf numFmtId="0" fontId="47" fillId="6" borderId="60" xfId="0" applyFont="1" applyFill="1" applyBorder="1" applyAlignment="1" applyProtection="1">
      <alignment horizontal="center" vertical="center"/>
    </xf>
    <xf numFmtId="49" fontId="47" fillId="6" borderId="91" xfId="0" applyNumberFormat="1" applyFont="1" applyFill="1" applyBorder="1" applyAlignment="1" applyProtection="1">
      <alignment horizontal="left" vertical="center"/>
    </xf>
    <xf numFmtId="0" fontId="47" fillId="6" borderId="78" xfId="0" applyFont="1" applyFill="1" applyBorder="1" applyAlignment="1" applyProtection="1">
      <alignment horizontal="left" vertical="center"/>
    </xf>
    <xf numFmtId="0" fontId="47" fillId="6" borderId="78" xfId="0" applyFont="1" applyFill="1" applyBorder="1" applyAlignment="1" applyProtection="1">
      <alignment horizontal="center" vertical="center"/>
    </xf>
    <xf numFmtId="0" fontId="47" fillId="6" borderId="78" xfId="0" applyFont="1" applyFill="1" applyBorder="1" applyAlignment="1" applyProtection="1">
      <alignment horizontal="left" vertical="center" wrapText="1"/>
    </xf>
    <xf numFmtId="181" fontId="47" fillId="6" borderId="79" xfId="0" applyNumberFormat="1" applyFont="1" applyFill="1" applyBorder="1" applyAlignment="1" applyProtection="1">
      <alignment horizontal="center" vertical="center"/>
    </xf>
    <xf numFmtId="0" fontId="52" fillId="6" borderId="2" xfId="0" applyFont="1" applyFill="1" applyBorder="1" applyAlignment="1" applyProtection="1">
      <alignment horizontal="left" vertical="center" wrapText="1"/>
    </xf>
    <xf numFmtId="0" fontId="47" fillId="6" borderId="4" xfId="0" applyFont="1" applyFill="1" applyBorder="1" applyAlignment="1" applyProtection="1">
      <alignment horizontal="left" vertical="center" wrapText="1"/>
    </xf>
    <xf numFmtId="0" fontId="47" fillId="6" borderId="60" xfId="0" applyFont="1" applyFill="1" applyBorder="1" applyAlignment="1" applyProtection="1">
      <alignment horizontal="center" vertical="center" wrapText="1"/>
    </xf>
    <xf numFmtId="0" fontId="47" fillId="6" borderId="71" xfId="0" applyFont="1" applyFill="1" applyBorder="1" applyAlignment="1" applyProtection="1">
      <alignment horizontal="center" vertical="center" wrapText="1"/>
    </xf>
    <xf numFmtId="0" fontId="47" fillId="6" borderId="85" xfId="0" applyFont="1" applyFill="1" applyBorder="1" applyAlignment="1" applyProtection="1">
      <alignment vertical="center"/>
    </xf>
    <xf numFmtId="181" fontId="52" fillId="6" borderId="78" xfId="0" applyNumberFormat="1" applyFont="1" applyFill="1" applyBorder="1" applyAlignment="1" applyProtection="1">
      <alignment horizontal="center" vertical="center"/>
    </xf>
    <xf numFmtId="0" fontId="47" fillId="6" borderId="85" xfId="0" applyFont="1" applyFill="1" applyBorder="1" applyAlignment="1" applyProtection="1">
      <alignment horizontal="left" vertical="center"/>
    </xf>
    <xf numFmtId="0" fontId="47" fillId="6" borderId="7" xfId="0" applyFont="1" applyFill="1" applyBorder="1" applyAlignment="1" applyProtection="1">
      <alignment vertical="center"/>
    </xf>
    <xf numFmtId="49" fontId="47" fillId="6" borderId="41" xfId="0" applyNumberFormat="1" applyFont="1" applyFill="1" applyBorder="1" applyAlignment="1" applyProtection="1">
      <alignment horizontal="left" vertical="center"/>
    </xf>
    <xf numFmtId="49" fontId="47" fillId="6" borderId="7" xfId="0" applyNumberFormat="1" applyFont="1" applyFill="1" applyBorder="1" applyAlignment="1" applyProtection="1">
      <alignment vertical="center"/>
    </xf>
    <xf numFmtId="178" fontId="54" fillId="6" borderId="1" xfId="0" applyNumberFormat="1" applyFont="1" applyFill="1" applyBorder="1" applyAlignment="1" applyProtection="1">
      <alignment horizontal="center" vertical="center"/>
    </xf>
    <xf numFmtId="178" fontId="53" fillId="6" borderId="1" xfId="0" applyNumberFormat="1" applyFont="1" applyFill="1" applyBorder="1" applyAlignment="1" applyProtection="1">
      <alignment horizontal="center" vertical="center"/>
    </xf>
    <xf numFmtId="177" fontId="46" fillId="6" borderId="0" xfId="0" applyNumberFormat="1" applyFont="1" applyFill="1" applyBorder="1" applyAlignment="1" applyProtection="1">
      <alignment horizontal="center" vertical="center"/>
    </xf>
    <xf numFmtId="186" fontId="47" fillId="6" borderId="3" xfId="0" applyNumberFormat="1" applyFont="1" applyFill="1" applyBorder="1" applyAlignment="1" applyProtection="1">
      <alignment horizontal="center" vertical="center"/>
    </xf>
    <xf numFmtId="177" fontId="47" fillId="6" borderId="0" xfId="0" applyNumberFormat="1" applyFont="1" applyFill="1" applyBorder="1" applyAlignment="1" applyProtection="1">
      <alignment horizontal="center" vertical="center"/>
    </xf>
    <xf numFmtId="0" fontId="46" fillId="6" borderId="39" xfId="0" applyNumberFormat="1" applyFont="1" applyFill="1" applyBorder="1" applyAlignment="1" applyProtection="1">
      <alignment vertical="center"/>
    </xf>
    <xf numFmtId="49" fontId="47" fillId="6" borderId="18" xfId="0" applyNumberFormat="1" applyFont="1" applyFill="1" applyBorder="1" applyAlignment="1" applyProtection="1">
      <alignment horizontal="center" vertical="center"/>
      <protection locked="0"/>
    </xf>
    <xf numFmtId="49" fontId="52" fillId="6" borderId="37" xfId="0" applyNumberFormat="1" applyFont="1" applyFill="1" applyBorder="1" applyAlignment="1" applyProtection="1">
      <alignment horizontal="left" vertical="center"/>
      <protection locked="0"/>
    </xf>
    <xf numFmtId="0" fontId="47" fillId="6" borderId="5" xfId="0" applyFont="1" applyFill="1" applyBorder="1" applyAlignment="1" applyProtection="1">
      <alignment horizontal="center" vertical="center"/>
      <protection locked="0"/>
    </xf>
    <xf numFmtId="0" fontId="47" fillId="6" borderId="5" xfId="0" applyFont="1" applyFill="1" applyBorder="1" applyAlignment="1" applyProtection="1">
      <alignment horizontal="right" vertical="center"/>
      <protection locked="0"/>
    </xf>
    <xf numFmtId="0" fontId="52" fillId="6" borderId="46" xfId="0" applyFont="1" applyFill="1" applyBorder="1" applyAlignment="1" applyProtection="1">
      <alignment horizontal="center" vertical="center"/>
    </xf>
    <xf numFmtId="0" fontId="57" fillId="6" borderId="0" xfId="0" applyFont="1" applyFill="1" applyBorder="1" applyAlignment="1" applyProtection="1">
      <alignment vertical="center"/>
    </xf>
    <xf numFmtId="181" fontId="52" fillId="5" borderId="61" xfId="0" applyNumberFormat="1" applyFont="1" applyFill="1" applyBorder="1" applyAlignment="1" applyProtection="1">
      <alignment horizontal="center" vertical="center"/>
      <protection locked="0"/>
    </xf>
    <xf numFmtId="0" fontId="47" fillId="6" borderId="17" xfId="0" applyFont="1" applyFill="1" applyBorder="1" applyAlignment="1" applyProtection="1">
      <alignment horizontal="center" vertical="center"/>
    </xf>
    <xf numFmtId="0" fontId="52" fillId="6" borderId="58" xfId="0" applyFont="1" applyFill="1" applyBorder="1" applyAlignment="1" applyProtection="1">
      <alignment horizontal="center" vertical="center"/>
    </xf>
    <xf numFmtId="0" fontId="53" fillId="7" borderId="0" xfId="0" applyFont="1" applyFill="1" applyAlignment="1" applyProtection="1">
      <alignment vertical="center" wrapText="1"/>
      <protection locked="0"/>
    </xf>
    <xf numFmtId="0" fontId="53" fillId="7" borderId="0" xfId="0" applyFont="1" applyFill="1" applyAlignment="1" applyProtection="1">
      <alignment horizontal="center" vertical="center" wrapText="1"/>
      <protection locked="0"/>
    </xf>
    <xf numFmtId="0" fontId="53" fillId="7" borderId="0" xfId="0" applyFont="1" applyFill="1" applyAlignment="1" applyProtection="1">
      <alignment horizontal="center" vertical="center" wrapText="1"/>
    </xf>
    <xf numFmtId="0" fontId="53" fillId="7" borderId="0" xfId="0" applyNumberFormat="1" applyFont="1" applyFill="1" applyAlignment="1" applyProtection="1">
      <alignment horizontal="center" vertical="center" wrapText="1"/>
      <protection locked="0"/>
    </xf>
    <xf numFmtId="14" fontId="53" fillId="7" borderId="0" xfId="0" applyNumberFormat="1" applyFont="1" applyFill="1" applyAlignment="1" applyProtection="1">
      <alignment horizontal="center" vertical="center" wrapText="1"/>
      <protection locked="0"/>
    </xf>
    <xf numFmtId="10" fontId="53" fillId="7" borderId="0" xfId="0" applyNumberFormat="1" applyFont="1" applyFill="1" applyAlignment="1" applyProtection="1">
      <alignment horizontal="center" vertical="center" wrapText="1"/>
      <protection locked="0"/>
    </xf>
    <xf numFmtId="0" fontId="51" fillId="7" borderId="0" xfId="0" applyFont="1" applyFill="1" applyAlignment="1" applyProtection="1">
      <alignment vertical="center" wrapText="1"/>
      <protection locked="0"/>
    </xf>
    <xf numFmtId="49" fontId="57" fillId="6" borderId="0" xfId="1" applyNumberFormat="1" applyFont="1" applyFill="1" applyBorder="1" applyAlignment="1" applyProtection="1">
      <alignment horizontal="right" vertical="center"/>
    </xf>
    <xf numFmtId="0" fontId="54" fillId="6" borderId="1" xfId="0" applyNumberFormat="1" applyFont="1" applyFill="1" applyBorder="1" applyAlignment="1" applyProtection="1">
      <alignment horizontal="center" vertical="center"/>
    </xf>
    <xf numFmtId="0" fontId="53" fillId="6" borderId="1" xfId="0" applyNumberFormat="1" applyFont="1" applyFill="1" applyBorder="1" applyAlignment="1" applyProtection="1">
      <alignment horizontal="center" vertical="center"/>
    </xf>
    <xf numFmtId="0" fontId="51" fillId="6" borderId="45" xfId="0" applyNumberFormat="1" applyFont="1" applyFill="1" applyBorder="1" applyAlignment="1" applyProtection="1">
      <alignment horizontal="center" vertical="center" wrapText="1"/>
    </xf>
    <xf numFmtId="0" fontId="58" fillId="6" borderId="14" xfId="0" applyNumberFormat="1" applyFont="1" applyFill="1" applyBorder="1" applyAlignment="1" applyProtection="1">
      <alignment horizontal="center" vertical="center" wrapText="1"/>
    </xf>
    <xf numFmtId="0" fontId="44" fillId="6" borderId="58" xfId="0" applyFont="1" applyFill="1" applyBorder="1" applyAlignment="1" applyProtection="1">
      <alignment horizontal="center" vertical="center" wrapText="1"/>
    </xf>
    <xf numFmtId="0" fontId="49" fillId="6" borderId="53" xfId="0" applyNumberFormat="1" applyFont="1" applyFill="1" applyBorder="1" applyAlignment="1" applyProtection="1">
      <alignment horizontal="center" vertical="center" wrapText="1"/>
    </xf>
    <xf numFmtId="0" fontId="44" fillId="0" borderId="5" xfId="0" applyFont="1" applyFill="1" applyBorder="1" applyAlignment="1" applyProtection="1">
      <alignment horizontal="center" vertical="center" wrapText="1"/>
      <protection locked="0"/>
    </xf>
    <xf numFmtId="0" fontId="51" fillId="0" borderId="5" xfId="0" applyFont="1" applyFill="1" applyBorder="1" applyAlignment="1" applyProtection="1">
      <alignment horizontal="center" vertical="center"/>
      <protection locked="0"/>
    </xf>
    <xf numFmtId="0" fontId="49" fillId="0" borderId="33" xfId="0" applyFont="1" applyFill="1" applyBorder="1" applyAlignment="1" applyProtection="1">
      <alignment horizontal="center" vertical="center"/>
      <protection locked="0"/>
    </xf>
    <xf numFmtId="0" fontId="51" fillId="6" borderId="37" xfId="0" applyNumberFormat="1" applyFont="1" applyFill="1" applyBorder="1" applyAlignment="1" applyProtection="1">
      <alignment horizontal="center" vertical="center" wrapText="1"/>
    </xf>
    <xf numFmtId="0" fontId="139" fillId="3" borderId="3" xfId="0" applyFont="1" applyFill="1" applyBorder="1" applyAlignment="1" applyProtection="1">
      <alignment vertical="center"/>
      <protection locked="0"/>
    </xf>
    <xf numFmtId="0" fontId="44" fillId="6" borderId="23" xfId="0" applyFont="1" applyFill="1" applyBorder="1" applyProtection="1">
      <alignment vertical="center"/>
    </xf>
    <xf numFmtId="0" fontId="44" fillId="6" borderId="0" xfId="0" applyFont="1" applyFill="1" applyProtection="1">
      <alignment vertical="center"/>
      <protection locked="0"/>
    </xf>
    <xf numFmtId="176" fontId="46" fillId="6" borderId="1" xfId="0" applyNumberFormat="1" applyFont="1" applyFill="1" applyBorder="1" applyAlignment="1" applyProtection="1">
      <alignment vertical="center"/>
    </xf>
    <xf numFmtId="176" fontId="46" fillId="6" borderId="1" xfId="0" applyNumberFormat="1" applyFont="1" applyFill="1" applyBorder="1" applyAlignment="1" applyProtection="1">
      <alignment horizontal="center" vertical="center"/>
    </xf>
    <xf numFmtId="176" fontId="46" fillId="6" borderId="24" xfId="0" applyNumberFormat="1" applyFont="1" applyFill="1" applyBorder="1" applyAlignment="1" applyProtection="1">
      <alignment vertical="center"/>
    </xf>
    <xf numFmtId="176" fontId="46" fillId="6" borderId="25" xfId="0" applyNumberFormat="1" applyFont="1" applyFill="1" applyBorder="1" applyAlignment="1" applyProtection="1">
      <alignment vertical="center"/>
    </xf>
    <xf numFmtId="176" fontId="46" fillId="6" borderId="76" xfId="0" applyNumberFormat="1" applyFont="1" applyFill="1" applyBorder="1" applyAlignment="1" applyProtection="1">
      <alignment vertical="center"/>
    </xf>
    <xf numFmtId="0" fontId="44" fillId="6" borderId="11" xfId="0" applyFont="1" applyFill="1" applyBorder="1" applyProtection="1">
      <alignment vertical="center"/>
    </xf>
    <xf numFmtId="0" fontId="44" fillId="6" borderId="13" xfId="0" applyFont="1" applyFill="1" applyBorder="1" applyProtection="1">
      <alignment vertical="center"/>
    </xf>
    <xf numFmtId="0" fontId="46" fillId="6" borderId="25" xfId="0" applyFont="1" applyFill="1" applyBorder="1" applyProtection="1">
      <alignment vertical="center"/>
    </xf>
    <xf numFmtId="0" fontId="46" fillId="6" borderId="32" xfId="0" applyFont="1" applyFill="1" applyBorder="1" applyProtection="1">
      <alignment vertical="center"/>
    </xf>
    <xf numFmtId="0" fontId="44" fillId="6" borderId="49" xfId="0" applyFont="1" applyFill="1" applyBorder="1" applyProtection="1">
      <alignment vertical="center"/>
    </xf>
    <xf numFmtId="0" fontId="44" fillId="6" borderId="24" xfId="0" applyFont="1" applyFill="1" applyBorder="1" applyProtection="1">
      <alignment vertical="center"/>
    </xf>
    <xf numFmtId="0" fontId="46" fillId="6" borderId="49" xfId="0" applyFont="1" applyFill="1" applyBorder="1" applyProtection="1">
      <alignment vertical="center"/>
    </xf>
    <xf numFmtId="49" fontId="52" fillId="6" borderId="22" xfId="0" applyNumberFormat="1" applyFont="1" applyFill="1" applyBorder="1" applyAlignment="1" applyProtection="1">
      <alignment horizontal="left" vertical="center"/>
      <protection locked="0"/>
    </xf>
    <xf numFmtId="49" fontId="52" fillId="6" borderId="41" xfId="0" applyNumberFormat="1" applyFont="1" applyFill="1" applyBorder="1" applyAlignment="1" applyProtection="1">
      <alignment horizontal="left" vertical="center"/>
      <protection locked="0"/>
    </xf>
    <xf numFmtId="0" fontId="50" fillId="6" borderId="51" xfId="0" applyNumberFormat="1" applyFont="1" applyFill="1" applyBorder="1" applyAlignment="1" applyProtection="1">
      <alignment horizontal="right" vertical="center" wrapText="1"/>
    </xf>
    <xf numFmtId="0" fontId="50" fillId="6" borderId="21" xfId="0" applyNumberFormat="1" applyFont="1" applyFill="1" applyBorder="1" applyAlignment="1" applyProtection="1">
      <alignment vertical="center" wrapText="1"/>
    </xf>
    <xf numFmtId="0" fontId="70" fillId="3" borderId="20" xfId="0" applyNumberFormat="1" applyFont="1" applyFill="1" applyBorder="1" applyAlignment="1" applyProtection="1">
      <alignment vertical="center" wrapText="1"/>
      <protection locked="0"/>
    </xf>
    <xf numFmtId="0" fontId="70" fillId="6" borderId="20" xfId="0" applyNumberFormat="1" applyFont="1" applyFill="1" applyBorder="1" applyAlignment="1" applyProtection="1">
      <alignment vertical="center" wrapText="1"/>
    </xf>
    <xf numFmtId="0" fontId="70" fillId="3" borderId="51" xfId="0" applyNumberFormat="1" applyFont="1" applyFill="1" applyBorder="1" applyAlignment="1" applyProtection="1">
      <alignment vertical="center" wrapText="1"/>
      <protection locked="0"/>
    </xf>
    <xf numFmtId="0" fontId="70" fillId="6" borderId="21" xfId="0" applyNumberFormat="1" applyFont="1" applyFill="1" applyBorder="1" applyAlignment="1" applyProtection="1">
      <alignment vertical="center" wrapText="1"/>
    </xf>
    <xf numFmtId="0" fontId="50" fillId="6" borderId="38" xfId="0" applyNumberFormat="1" applyFont="1" applyFill="1" applyBorder="1" applyAlignment="1" applyProtection="1">
      <alignment vertical="center" wrapText="1"/>
    </xf>
    <xf numFmtId="0" fontId="50" fillId="6" borderId="52" xfId="0" applyNumberFormat="1" applyFont="1" applyFill="1" applyBorder="1" applyAlignment="1" applyProtection="1">
      <alignment vertical="center" wrapText="1"/>
    </xf>
    <xf numFmtId="0" fontId="50" fillId="6" borderId="47" xfId="0" applyNumberFormat="1" applyFont="1" applyFill="1" applyBorder="1" applyAlignment="1" applyProtection="1">
      <alignment vertical="center" wrapText="1"/>
      <protection locked="0"/>
    </xf>
    <xf numFmtId="0" fontId="50" fillId="6" borderId="47" xfId="0" applyNumberFormat="1" applyFont="1" applyFill="1" applyBorder="1" applyAlignment="1" applyProtection="1">
      <alignment vertical="center" wrapText="1"/>
    </xf>
    <xf numFmtId="0" fontId="57" fillId="6" borderId="2" xfId="0" applyFont="1" applyFill="1" applyBorder="1" applyAlignment="1" applyProtection="1">
      <alignment horizontal="right" vertical="center"/>
    </xf>
    <xf numFmtId="0" fontId="62" fillId="6" borderId="58" xfId="0" applyFont="1" applyFill="1" applyBorder="1" applyAlignment="1" applyProtection="1">
      <alignment horizontal="center" vertical="center"/>
    </xf>
    <xf numFmtId="0" fontId="56" fillId="6" borderId="0" xfId="0" applyFont="1" applyFill="1" applyBorder="1" applyAlignment="1" applyProtection="1">
      <protection locked="0"/>
    </xf>
    <xf numFmtId="0" fontId="51" fillId="6" borderId="0" xfId="0" applyFont="1" applyFill="1" applyBorder="1" applyAlignment="1" applyProtection="1">
      <alignment horizontal="center"/>
      <protection locked="0"/>
    </xf>
    <xf numFmtId="0" fontId="44" fillId="6" borderId="0" xfId="0" applyFont="1" applyFill="1" applyAlignment="1" applyProtection="1">
      <alignment horizontal="center" vertical="center"/>
      <protection locked="0"/>
    </xf>
    <xf numFmtId="0" fontId="57" fillId="6" borderId="5" xfId="1" applyFont="1" applyFill="1" applyBorder="1" applyAlignment="1" applyProtection="1">
      <alignment horizontal="right" vertical="center"/>
    </xf>
    <xf numFmtId="0" fontId="46" fillId="6" borderId="33" xfId="0" applyFont="1" applyFill="1" applyBorder="1" applyAlignment="1" applyProtection="1">
      <alignment horizontal="center" vertical="center"/>
    </xf>
    <xf numFmtId="181" fontId="44" fillId="6" borderId="49" xfId="0" applyNumberFormat="1" applyFont="1" applyFill="1" applyBorder="1" applyProtection="1">
      <alignment vertical="center"/>
    </xf>
    <xf numFmtId="0" fontId="44" fillId="6" borderId="24" xfId="1" applyNumberFormat="1" applyFont="1" applyFill="1" applyBorder="1" applyAlignment="1" applyProtection="1">
      <alignment horizontal="center" vertical="center"/>
    </xf>
    <xf numFmtId="10" fontId="51" fillId="0" borderId="3" xfId="8" applyNumberFormat="1" applyFont="1" applyFill="1" applyBorder="1" applyAlignment="1" applyProtection="1">
      <alignment horizontal="center" vertical="center" wrapText="1"/>
      <protection locked="0"/>
    </xf>
    <xf numFmtId="10" fontId="53" fillId="6" borderId="24" xfId="8" applyNumberFormat="1" applyFont="1" applyFill="1" applyBorder="1" applyAlignment="1" applyProtection="1">
      <alignment horizontal="center" vertical="center" wrapText="1"/>
    </xf>
    <xf numFmtId="10" fontId="51" fillId="0" borderId="66" xfId="8" applyNumberFormat="1" applyFont="1" applyFill="1" applyBorder="1" applyAlignment="1" applyProtection="1">
      <alignment horizontal="center" vertical="center" wrapText="1"/>
      <protection locked="0"/>
    </xf>
    <xf numFmtId="10" fontId="53" fillId="6" borderId="49" xfId="8" applyNumberFormat="1" applyFont="1" applyFill="1" applyBorder="1" applyAlignment="1" applyProtection="1">
      <alignment horizontal="center" vertical="center" wrapText="1"/>
    </xf>
    <xf numFmtId="0" fontId="44" fillId="6" borderId="22" xfId="0" applyNumberFormat="1" applyFont="1" applyFill="1" applyBorder="1" applyAlignment="1" applyProtection="1">
      <alignment horizontal="center" vertical="center" wrapText="1"/>
      <protection locked="0"/>
    </xf>
    <xf numFmtId="0" fontId="44" fillId="0" borderId="5" xfId="0" applyNumberFormat="1" applyFont="1" applyFill="1" applyBorder="1" applyAlignment="1" applyProtection="1">
      <alignment horizontal="center" vertical="center" wrapText="1"/>
      <protection locked="0"/>
    </xf>
    <xf numFmtId="0" fontId="44" fillId="0" borderId="48" xfId="0" applyNumberFormat="1" applyFont="1" applyFill="1" applyBorder="1" applyAlignment="1" applyProtection="1">
      <alignment horizontal="center" vertical="center" wrapText="1"/>
      <protection locked="0"/>
    </xf>
    <xf numFmtId="0" fontId="44" fillId="0" borderId="24" xfId="0" applyNumberFormat="1" applyFont="1" applyFill="1" applyBorder="1" applyAlignment="1" applyProtection="1">
      <alignment horizontal="center" vertical="center" wrapText="1"/>
      <protection locked="0"/>
    </xf>
    <xf numFmtId="49" fontId="44" fillId="0" borderId="18" xfId="0" applyNumberFormat="1" applyFont="1" applyFill="1" applyBorder="1" applyAlignment="1" applyProtection="1">
      <alignment horizontal="center" vertical="center"/>
      <protection locked="0"/>
    </xf>
    <xf numFmtId="0" fontId="44" fillId="6" borderId="30" xfId="0" applyNumberFormat="1" applyFont="1" applyFill="1" applyBorder="1" applyAlignment="1" applyProtection="1">
      <alignment horizontal="center" vertical="center" wrapText="1"/>
    </xf>
    <xf numFmtId="0" fontId="51" fillId="6" borderId="13" xfId="0" applyNumberFormat="1" applyFont="1" applyFill="1" applyBorder="1" applyAlignment="1" applyProtection="1">
      <alignment horizontal="center" vertical="center" wrapText="1"/>
      <protection locked="0"/>
    </xf>
    <xf numFmtId="189" fontId="44" fillId="6" borderId="30" xfId="0" applyNumberFormat="1" applyFont="1" applyFill="1" applyBorder="1" applyAlignment="1" applyProtection="1">
      <alignment horizontal="center" vertical="center" wrapText="1"/>
    </xf>
    <xf numFmtId="189" fontId="44" fillId="6" borderId="9" xfId="0" applyNumberFormat="1" applyFont="1" applyFill="1" applyBorder="1" applyAlignment="1" applyProtection="1">
      <alignment horizontal="center" vertical="center" wrapText="1"/>
    </xf>
    <xf numFmtId="189" fontId="44" fillId="6" borderId="39" xfId="0" applyNumberFormat="1" applyFont="1" applyFill="1" applyBorder="1" applyAlignment="1" applyProtection="1">
      <alignment horizontal="center" vertical="center" wrapText="1"/>
    </xf>
    <xf numFmtId="0" fontId="47" fillId="0" borderId="54" xfId="0" applyFont="1" applyFill="1" applyBorder="1" applyAlignment="1" applyProtection="1">
      <alignment vertical="center"/>
      <protection locked="0"/>
    </xf>
    <xf numFmtId="0" fontId="47" fillId="6" borderId="36" xfId="0" applyFont="1" applyFill="1" applyBorder="1" applyAlignment="1" applyProtection="1">
      <alignment vertical="center"/>
    </xf>
    <xf numFmtId="0" fontId="47" fillId="6" borderId="60" xfId="0" applyFont="1" applyFill="1" applyBorder="1" applyAlignment="1" applyProtection="1">
      <alignment horizontal="left" vertical="center"/>
    </xf>
    <xf numFmtId="0" fontId="45" fillId="5" borderId="3" xfId="1" applyFont="1" applyFill="1" applyBorder="1" applyAlignment="1" applyProtection="1">
      <alignment vertical="center"/>
    </xf>
    <xf numFmtId="0" fontId="47" fillId="6" borderId="0" xfId="0" applyFont="1" applyFill="1" applyAlignment="1" applyProtection="1">
      <alignment vertical="center"/>
      <protection locked="0"/>
    </xf>
    <xf numFmtId="0" fontId="45" fillId="5" borderId="5" xfId="1" applyFont="1" applyFill="1" applyBorder="1" applyAlignment="1" applyProtection="1">
      <alignment horizontal="left" vertical="center"/>
      <protection locked="0"/>
    </xf>
    <xf numFmtId="0" fontId="62" fillId="0" borderId="32" xfId="0" applyFont="1" applyFill="1" applyBorder="1" applyAlignment="1" applyProtection="1">
      <alignment vertical="center"/>
      <protection locked="0"/>
    </xf>
    <xf numFmtId="0" fontId="147" fillId="0" borderId="0" xfId="11" applyFont="1" applyBorder="1" applyAlignment="1" applyProtection="1">
      <alignment vertical="center" wrapText="1"/>
    </xf>
    <xf numFmtId="0" fontId="124" fillId="0" borderId="78" xfId="0" applyFont="1" applyBorder="1" applyAlignment="1" applyProtection="1">
      <alignment horizontal="left" vertical="center"/>
    </xf>
    <xf numFmtId="0" fontId="147" fillId="0" borderId="78" xfId="11" applyFont="1" applyBorder="1" applyAlignment="1" applyProtection="1">
      <alignment horizontal="left" vertical="center" wrapText="1"/>
    </xf>
    <xf numFmtId="0" fontId="147" fillId="0" borderId="87" xfId="0" applyFont="1" applyBorder="1" applyProtection="1">
      <alignment vertical="center"/>
    </xf>
    <xf numFmtId="0" fontId="147" fillId="0" borderId="44" xfId="11" applyFont="1" applyBorder="1" applyAlignment="1" applyProtection="1">
      <alignment vertical="center" wrapText="1"/>
    </xf>
    <xf numFmtId="0" fontId="147" fillId="0" borderId="44" xfId="0" applyFont="1" applyBorder="1" applyAlignment="1" applyProtection="1">
      <alignment horizontal="left" vertical="center"/>
    </xf>
    <xf numFmtId="0" fontId="147" fillId="0" borderId="83" xfId="0" applyFont="1" applyBorder="1" applyProtection="1">
      <alignment vertical="center"/>
    </xf>
    <xf numFmtId="0" fontId="147" fillId="0" borderId="1" xfId="11" applyFont="1" applyBorder="1" applyAlignment="1" applyProtection="1">
      <alignment vertical="center" wrapText="1"/>
    </xf>
    <xf numFmtId="0" fontId="147" fillId="0" borderId="1" xfId="0" applyFont="1" applyBorder="1" applyAlignment="1" applyProtection="1">
      <alignment horizontal="left" vertical="center"/>
    </xf>
    <xf numFmtId="0" fontId="147" fillId="0" borderId="0" xfId="0" applyFont="1" applyBorder="1" applyProtection="1">
      <alignment vertical="center"/>
    </xf>
    <xf numFmtId="0" fontId="147" fillId="0" borderId="78" xfId="11" applyFont="1" applyBorder="1" applyAlignment="1" applyProtection="1">
      <alignment vertical="center" wrapText="1"/>
    </xf>
    <xf numFmtId="0" fontId="147" fillId="0" borderId="78" xfId="0" applyFont="1" applyBorder="1" applyAlignment="1" applyProtection="1">
      <alignment horizontal="left" vertical="center"/>
    </xf>
    <xf numFmtId="192" fontId="147" fillId="0" borderId="78" xfId="0" applyNumberFormat="1" applyFont="1" applyBorder="1" applyAlignment="1" applyProtection="1">
      <alignment horizontal="left" vertical="center"/>
    </xf>
    <xf numFmtId="0" fontId="147" fillId="0" borderId="2" xfId="11" applyFont="1" applyBorder="1" applyAlignment="1" applyProtection="1">
      <alignment vertical="center" wrapText="1"/>
    </xf>
    <xf numFmtId="14" fontId="147" fillId="0" borderId="2" xfId="0" applyNumberFormat="1" applyFont="1" applyBorder="1" applyAlignment="1" applyProtection="1">
      <alignment horizontal="left" vertical="center"/>
    </xf>
    <xf numFmtId="0" fontId="147" fillId="0" borderId="0" xfId="0" applyFont="1" applyProtection="1">
      <alignment vertical="center"/>
    </xf>
    <xf numFmtId="14" fontId="147" fillId="0" borderId="1" xfId="0" applyNumberFormat="1" applyFont="1" applyBorder="1" applyAlignment="1" applyProtection="1">
      <alignment horizontal="left" vertical="center"/>
    </xf>
    <xf numFmtId="0" fontId="147" fillId="0" borderId="0" xfId="0" applyFont="1" applyAlignment="1" applyProtection="1">
      <alignment horizontal="left" vertical="center"/>
    </xf>
    <xf numFmtId="0" fontId="58" fillId="6" borderId="1" xfId="8" applyFont="1" applyFill="1" applyBorder="1" applyAlignment="1" applyProtection="1">
      <alignment horizontal="center" vertical="center" wrapText="1"/>
    </xf>
    <xf numFmtId="0" fontId="58" fillId="0" borderId="1" xfId="8" applyFont="1" applyFill="1" applyBorder="1" applyAlignment="1" applyProtection="1">
      <alignment horizontal="center" vertical="center" wrapText="1"/>
      <protection locked="0"/>
    </xf>
    <xf numFmtId="0" fontId="53" fillId="6" borderId="1" xfId="8" applyFont="1" applyFill="1" applyBorder="1" applyAlignment="1" applyProtection="1">
      <alignment horizontal="center" vertical="center" wrapText="1"/>
      <protection locked="0"/>
    </xf>
    <xf numFmtId="179" fontId="53" fillId="6" borderId="1" xfId="8" applyNumberFormat="1" applyFont="1" applyFill="1" applyBorder="1" applyAlignment="1" applyProtection="1">
      <alignment horizontal="center" vertical="center" wrapText="1"/>
      <protection locked="0"/>
    </xf>
    <xf numFmtId="0" fontId="53" fillId="6" borderId="0" xfId="8" applyFont="1" applyFill="1" applyAlignment="1" applyProtection="1">
      <alignment vertical="center" wrapText="1"/>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99" fillId="6" borderId="1" xfId="8" applyFont="1" applyFill="1" applyBorder="1" applyAlignment="1" applyProtection="1">
      <alignment horizontal="center" vertical="center"/>
    </xf>
    <xf numFmtId="0" fontId="57" fillId="6" borderId="2" xfId="1" applyFont="1" applyFill="1" applyBorder="1" applyAlignment="1" applyProtection="1">
      <alignment vertical="center"/>
    </xf>
    <xf numFmtId="0" fontId="101" fillId="6" borderId="85" xfId="0" applyFont="1" applyFill="1" applyBorder="1" applyAlignment="1" applyProtection="1">
      <alignment vertical="center"/>
    </xf>
    <xf numFmtId="0" fontId="62" fillId="2" borderId="88" xfId="0" applyFont="1" applyFill="1" applyBorder="1" applyAlignment="1" applyProtection="1">
      <alignment horizontal="right" vertical="center"/>
      <protection locked="0"/>
    </xf>
    <xf numFmtId="0" fontId="62" fillId="6" borderId="87" xfId="0" applyFont="1" applyFill="1" applyBorder="1" applyAlignment="1" applyProtection="1">
      <alignment horizontal="center" vertical="center"/>
    </xf>
    <xf numFmtId="0" fontId="62" fillId="2" borderId="88" xfId="0" applyFont="1" applyFill="1" applyBorder="1" applyAlignment="1" applyProtection="1">
      <alignment vertical="center"/>
      <protection locked="0"/>
    </xf>
    <xf numFmtId="0" fontId="62" fillId="6"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188" fontId="62" fillId="6" borderId="88" xfId="0" applyNumberFormat="1" applyFont="1" applyFill="1" applyBorder="1" applyAlignment="1" applyProtection="1">
      <alignment horizontal="center" vertical="center"/>
      <protection locked="0"/>
    </xf>
    <xf numFmtId="181" fontId="62" fillId="6" borderId="88" xfId="0" applyNumberFormat="1" applyFont="1" applyFill="1" applyBorder="1" applyAlignment="1" applyProtection="1">
      <alignment vertical="center"/>
      <protection locked="0"/>
    </xf>
    <xf numFmtId="0" fontId="62" fillId="6" borderId="88" xfId="0" applyFont="1" applyFill="1" applyBorder="1" applyAlignment="1" applyProtection="1">
      <alignment horizontal="center" vertical="center"/>
      <protection locked="0"/>
    </xf>
    <xf numFmtId="0" fontId="62" fillId="6" borderId="103" xfId="0" applyFont="1" applyFill="1" applyBorder="1" applyAlignment="1" applyProtection="1">
      <alignment horizontal="center" vertical="center"/>
    </xf>
    <xf numFmtId="0" fontId="63" fillId="6" borderId="87" xfId="0" applyFont="1" applyFill="1" applyBorder="1" applyAlignment="1" applyProtection="1">
      <alignment horizontal="center" vertical="center"/>
    </xf>
    <xf numFmtId="0" fontId="63" fillId="0" borderId="87" xfId="0" applyFont="1" applyFill="1" applyBorder="1" applyAlignment="1" applyProtection="1">
      <alignment horizontal="center" vertical="center"/>
      <protection locked="0"/>
    </xf>
    <xf numFmtId="0" fontId="62" fillId="6" borderId="88" xfId="0" applyFont="1" applyFill="1" applyBorder="1" applyAlignment="1" applyProtection="1">
      <alignment vertical="center"/>
    </xf>
    <xf numFmtId="0" fontId="65" fillId="6" borderId="88" xfId="0" applyFont="1" applyFill="1" applyBorder="1" applyAlignment="1" applyProtection="1">
      <alignment vertical="center"/>
    </xf>
    <xf numFmtId="188" fontId="62" fillId="6" borderId="88" xfId="0" applyNumberFormat="1" applyFont="1" applyFill="1" applyBorder="1" applyAlignment="1" applyProtection="1">
      <alignment horizontal="center" vertical="center"/>
    </xf>
    <xf numFmtId="181" fontId="62" fillId="6" borderId="88" xfId="0" applyNumberFormat="1" applyFont="1" applyFill="1" applyBorder="1" applyAlignment="1" applyProtection="1">
      <alignment vertical="center"/>
    </xf>
    <xf numFmtId="0" fontId="62" fillId="6" borderId="88" xfId="0" applyFont="1" applyFill="1" applyBorder="1" applyAlignment="1" applyProtection="1">
      <alignment horizontal="center" vertical="center"/>
    </xf>
    <xf numFmtId="0" fontId="0" fillId="0" borderId="0" xfId="0" applyAlignment="1"/>
    <xf numFmtId="0" fontId="96" fillId="6" borderId="0" xfId="0" applyFont="1" applyFill="1" applyAlignment="1"/>
    <xf numFmtId="0" fontId="80" fillId="6" borderId="0" xfId="2" applyFont="1" applyFill="1"/>
    <xf numFmtId="0" fontId="19" fillId="6" borderId="0" xfId="2" applyFont="1" applyFill="1"/>
    <xf numFmtId="0" fontId="19" fillId="6" borderId="6" xfId="2" applyFont="1" applyFill="1" applyBorder="1"/>
    <xf numFmtId="0" fontId="122"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2"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2"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2"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2"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2"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2" fillId="6" borderId="0" xfId="2" applyNumberFormat="1" applyFont="1" applyFill="1" applyAlignment="1">
      <alignment horizontal="center"/>
    </xf>
    <xf numFmtId="0" fontId="153" fillId="6" borderId="0" xfId="2" applyFont="1" applyFill="1" applyAlignment="1">
      <alignment horizontal="left"/>
    </xf>
    <xf numFmtId="14" fontId="152" fillId="6" borderId="0" xfId="2" applyNumberFormat="1" applyFont="1" applyFill="1" applyAlignment="1">
      <alignment horizontal="center"/>
    </xf>
    <xf numFmtId="0" fontId="152" fillId="6" borderId="0" xfId="2" applyFont="1" applyFill="1"/>
    <xf numFmtId="0" fontId="152" fillId="0" borderId="0" xfId="2" applyFont="1"/>
    <xf numFmtId="0" fontId="152" fillId="0" borderId="0" xfId="0" applyFont="1" applyAlignment="1"/>
    <xf numFmtId="0" fontId="154" fillId="6" borderId="0" xfId="2" applyFont="1" applyFill="1"/>
    <xf numFmtId="0" fontId="155" fillId="6" borderId="0" xfId="2" applyFont="1" applyFill="1"/>
    <xf numFmtId="0" fontId="154" fillId="0" borderId="0" xfId="2" applyFont="1"/>
    <xf numFmtId="0" fontId="122" fillId="6" borderId="0" xfId="2" applyFont="1" applyFill="1" applyAlignment="1"/>
    <xf numFmtId="0" fontId="136" fillId="6" borderId="13" xfId="2" applyFont="1" applyFill="1" applyBorder="1" applyAlignment="1">
      <alignment horizontal="center" vertical="center"/>
    </xf>
    <xf numFmtId="0" fontId="136" fillId="6" borderId="13" xfId="2" applyFont="1" applyFill="1" applyBorder="1" applyAlignment="1">
      <alignment vertical="center"/>
    </xf>
    <xf numFmtId="0" fontId="136" fillId="6" borderId="5" xfId="2" applyFont="1" applyFill="1" applyBorder="1" applyAlignment="1">
      <alignment vertical="center"/>
    </xf>
    <xf numFmtId="0" fontId="136" fillId="6" borderId="3" xfId="2" applyFont="1" applyFill="1" applyBorder="1" applyAlignment="1">
      <alignment vertical="center"/>
    </xf>
    <xf numFmtId="0" fontId="136" fillId="6" borderId="54" xfId="2" applyFont="1" applyFill="1" applyBorder="1" applyAlignment="1">
      <alignment vertical="center"/>
    </xf>
    <xf numFmtId="0" fontId="122" fillId="0" borderId="0" xfId="2" applyFont="1" applyAlignment="1"/>
    <xf numFmtId="0" fontId="122" fillId="6" borderId="0" xfId="2" applyFont="1" applyFill="1"/>
    <xf numFmtId="0" fontId="136" fillId="6" borderId="2" xfId="2" applyFont="1" applyFill="1" applyBorder="1" applyAlignment="1">
      <alignment horizontal="center" vertical="center" wrapText="1"/>
    </xf>
    <xf numFmtId="0" fontId="136" fillId="6" borderId="2" xfId="2" applyFont="1" applyFill="1" applyBorder="1" applyAlignment="1">
      <alignment vertical="center" wrapText="1"/>
    </xf>
    <xf numFmtId="0" fontId="19" fillId="6" borderId="1" xfId="2" applyFont="1" applyFill="1" applyBorder="1"/>
    <xf numFmtId="0" fontId="136" fillId="6" borderId="1" xfId="2" applyFont="1" applyFill="1" applyBorder="1" applyAlignment="1">
      <alignment horizontal="center" vertical="center" wrapText="1"/>
    </xf>
    <xf numFmtId="0" fontId="122" fillId="0" borderId="0" xfId="2" applyFont="1"/>
    <xf numFmtId="0" fontId="157" fillId="6" borderId="0" xfId="2" applyFont="1" applyFill="1" applyAlignment="1">
      <alignment vertical="center"/>
    </xf>
    <xf numFmtId="0" fontId="157" fillId="6" borderId="1" xfId="2" applyFont="1" applyFill="1" applyBorder="1" applyAlignment="1">
      <alignment horizontal="left" vertical="center" wrapText="1"/>
    </xf>
    <xf numFmtId="0" fontId="157" fillId="6" borderId="1" xfId="2" applyFont="1" applyFill="1" applyBorder="1" applyAlignment="1">
      <alignment horizontal="center" vertical="center" wrapText="1"/>
    </xf>
    <xf numFmtId="14" fontId="157" fillId="6" borderId="1" xfId="2" applyNumberFormat="1" applyFont="1" applyFill="1" applyBorder="1" applyAlignment="1">
      <alignment horizontal="center" vertical="center" wrapText="1"/>
    </xf>
    <xf numFmtId="0" fontId="157" fillId="5" borderId="0" xfId="2" applyFont="1" applyFill="1" applyAlignment="1">
      <alignment vertical="center"/>
    </xf>
    <xf numFmtId="0" fontId="15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38" fillId="6" borderId="87" xfId="2" applyFont="1" applyFill="1" applyBorder="1"/>
    <xf numFmtId="14" fontId="138" fillId="6" borderId="78" xfId="2" applyNumberFormat="1" applyFont="1" applyFill="1" applyBorder="1" applyAlignment="1" applyProtection="1">
      <alignment horizontal="center"/>
    </xf>
    <xf numFmtId="0" fontId="138" fillId="6" borderId="78" xfId="2" applyFont="1" applyFill="1" applyBorder="1" applyAlignment="1" applyProtection="1">
      <alignment horizontal="center"/>
    </xf>
    <xf numFmtId="10" fontId="138" fillId="6" borderId="78" xfId="2" applyNumberFormat="1" applyFont="1" applyFill="1" applyBorder="1" applyAlignment="1">
      <alignment horizontal="center"/>
    </xf>
    <xf numFmtId="0" fontId="138" fillId="0" borderId="87" xfId="2" applyFont="1" applyBorder="1"/>
    <xf numFmtId="0" fontId="108" fillId="0" borderId="87" xfId="0" applyFont="1" applyBorder="1" applyAlignment="1"/>
    <xf numFmtId="0" fontId="108" fillId="0" borderId="0" xfId="0" applyFont="1" applyAlignment="1"/>
    <xf numFmtId="0" fontId="136" fillId="6" borderId="78" xfId="2" applyFont="1" applyFill="1" applyBorder="1" applyAlignment="1">
      <alignment horizontal="center"/>
    </xf>
    <xf numFmtId="177" fontId="136" fillId="6" borderId="87" xfId="2" applyNumberFormat="1" applyFont="1" applyFill="1" applyBorder="1" applyAlignment="1">
      <alignment horizontal="center"/>
    </xf>
    <xf numFmtId="0" fontId="118" fillId="0" borderId="1" xfId="5" applyFont="1" applyFill="1" applyBorder="1" applyAlignment="1">
      <alignment horizontal="left" vertical="center"/>
    </xf>
    <xf numFmtId="0" fontId="99"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left" vertical="center" wrapText="1"/>
      <protection locked="0"/>
    </xf>
    <xf numFmtId="0" fontId="99" fillId="0" borderId="5" xfId="0" applyNumberFormat="1" applyFont="1" applyFill="1" applyBorder="1" applyAlignment="1" applyProtection="1">
      <alignment horizontal="center" vertical="center" wrapText="1"/>
      <protection locked="0"/>
    </xf>
    <xf numFmtId="0" fontId="99" fillId="0" borderId="48" xfId="0" applyNumberFormat="1" applyFont="1" applyFill="1" applyBorder="1" applyAlignment="1" applyProtection="1">
      <alignment horizontal="center" vertical="center" wrapText="1"/>
      <protection locked="0"/>
    </xf>
    <xf numFmtId="0" fontId="99" fillId="0" borderId="13" xfId="0" applyNumberFormat="1" applyFont="1" applyFill="1" applyBorder="1" applyAlignment="1" applyProtection="1">
      <alignment horizontal="center" vertical="center" wrapText="1"/>
      <protection locked="0"/>
    </xf>
    <xf numFmtId="0" fontId="99" fillId="0" borderId="46" xfId="0" applyNumberFormat="1" applyFont="1" applyFill="1" applyBorder="1" applyAlignment="1" applyProtection="1">
      <alignment horizontal="center" vertical="center" wrapText="1"/>
      <protection locked="0"/>
    </xf>
    <xf numFmtId="0" fontId="99" fillId="0" borderId="59"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left" vertical="center" wrapText="1"/>
      <protection locked="0"/>
    </xf>
    <xf numFmtId="0" fontId="99" fillId="0" borderId="111" xfId="0" applyNumberFormat="1" applyFont="1" applyFill="1" applyBorder="1" applyAlignment="1" applyProtection="1">
      <alignment horizontal="center" vertical="center" wrapText="1"/>
      <protection locked="0"/>
    </xf>
    <xf numFmtId="0" fontId="99" fillId="0" borderId="112" xfId="0" applyNumberFormat="1" applyFont="1" applyFill="1" applyBorder="1" applyAlignment="1" applyProtection="1">
      <alignment horizontal="center" vertical="center" wrapText="1"/>
      <protection locked="0"/>
    </xf>
    <xf numFmtId="0" fontId="99" fillId="6" borderId="98" xfId="0" applyNumberFormat="1" applyFont="1" applyFill="1" applyBorder="1" applyAlignment="1" applyProtection="1">
      <alignment horizontal="center" vertical="center" wrapText="1"/>
    </xf>
    <xf numFmtId="0" fontId="99" fillId="0" borderId="2" xfId="0" applyNumberFormat="1" applyFont="1" applyFill="1" applyBorder="1" applyAlignment="1" applyProtection="1">
      <alignment horizontal="center" vertical="center" wrapText="1"/>
      <protection locked="0"/>
    </xf>
    <xf numFmtId="0" fontId="99" fillId="0" borderId="4" xfId="0" applyNumberFormat="1" applyFont="1" applyFill="1" applyBorder="1" applyAlignment="1" applyProtection="1">
      <alignment horizontal="center" vertical="center" wrapText="1"/>
      <protection locked="0"/>
    </xf>
    <xf numFmtId="0" fontId="99" fillId="0" borderId="58" xfId="0" applyFont="1" applyFill="1" applyBorder="1" applyAlignment="1" applyProtection="1">
      <alignment horizontal="center" vertical="center"/>
      <protection locked="0"/>
    </xf>
    <xf numFmtId="0"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wrapText="1"/>
      <protection locked="0"/>
    </xf>
    <xf numFmtId="9"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protection locked="0"/>
    </xf>
    <xf numFmtId="0" fontId="99" fillId="0" borderId="56" xfId="0" applyFont="1" applyFill="1" applyBorder="1" applyAlignment="1" applyProtection="1">
      <alignment horizontal="center" vertical="center"/>
      <protection locked="0"/>
    </xf>
    <xf numFmtId="0" fontId="99" fillId="0" borderId="2" xfId="0" applyNumberFormat="1" applyFont="1" applyFill="1" applyBorder="1" applyAlignment="1" applyProtection="1">
      <alignment horizontal="left" vertical="center" wrapText="1"/>
      <protection locked="0"/>
    </xf>
    <xf numFmtId="0" fontId="99" fillId="6" borderId="13" xfId="0" applyNumberFormat="1" applyFont="1" applyFill="1" applyBorder="1" applyAlignment="1" applyProtection="1">
      <alignment horizontal="center" vertical="center" wrapText="1"/>
    </xf>
    <xf numFmtId="0" fontId="54" fillId="6" borderId="1" xfId="0" applyNumberFormat="1" applyFont="1" applyFill="1" applyBorder="1" applyAlignment="1" applyProtection="1">
      <alignment horizontal="right" vertical="center"/>
    </xf>
    <xf numFmtId="0" fontId="58" fillId="6" borderId="10" xfId="0" applyFont="1" applyFill="1" applyBorder="1" applyAlignment="1" applyProtection="1">
      <alignment horizontal="center" vertical="center" wrapText="1"/>
    </xf>
    <xf numFmtId="0" fontId="58" fillId="6" borderId="49" xfId="0" applyFont="1" applyFill="1" applyBorder="1" applyAlignment="1" applyProtection="1">
      <alignment horizontal="center" vertical="center" wrapText="1"/>
    </xf>
    <xf numFmtId="0" fontId="47" fillId="0" borderId="24" xfId="0" applyFont="1" applyBorder="1" applyProtection="1">
      <alignment vertical="center"/>
      <protection locked="0"/>
    </xf>
    <xf numFmtId="0" fontId="160" fillId="0" borderId="1" xfId="12" applyFont="1" applyBorder="1" applyAlignment="1" applyProtection="1">
      <alignment horizontal="left" vertical="center" wrapText="1"/>
      <protection locked="0"/>
    </xf>
    <xf numFmtId="0" fontId="164" fillId="6" borderId="1" xfId="0" applyFont="1" applyFill="1" applyBorder="1" applyAlignment="1">
      <alignment horizontal="left" vertical="center" wrapText="1"/>
    </xf>
    <xf numFmtId="0" fontId="98" fillId="6" borderId="9" xfId="0" applyNumberFormat="1" applyFont="1" applyFill="1" applyBorder="1" applyAlignment="1" applyProtection="1">
      <alignment horizontal="center" vertical="center" wrapText="1"/>
    </xf>
    <xf numFmtId="0" fontId="98" fillId="6" borderId="10" xfId="0" applyNumberFormat="1" applyFont="1" applyFill="1" applyBorder="1" applyAlignment="1" applyProtection="1">
      <alignment horizontal="center" vertical="center" wrapText="1"/>
    </xf>
    <xf numFmtId="10" fontId="53" fillId="6" borderId="17" xfId="0" applyNumberFormat="1" applyFont="1" applyFill="1" applyBorder="1" applyAlignment="1" applyProtection="1">
      <alignment horizontal="center" vertical="center" wrapText="1"/>
    </xf>
    <xf numFmtId="0" fontId="168" fillId="0" borderId="108" xfId="0" applyNumberFormat="1" applyFont="1" applyFill="1" applyBorder="1" applyAlignment="1" applyProtection="1">
      <alignment horizontal="center" vertical="center" wrapText="1"/>
      <protection locked="0"/>
    </xf>
    <xf numFmtId="0" fontId="168" fillId="0" borderId="18" xfId="0" applyNumberFormat="1" applyFont="1" applyFill="1" applyBorder="1" applyAlignment="1" applyProtection="1">
      <alignment horizontal="center" vertical="center" wrapText="1"/>
      <protection locked="0"/>
    </xf>
    <xf numFmtId="0" fontId="113" fillId="6" borderId="24" xfId="0" applyFont="1" applyFill="1" applyBorder="1" applyAlignment="1" applyProtection="1">
      <alignment horizontal="left" vertical="center"/>
    </xf>
    <xf numFmtId="0" fontId="169" fillId="6" borderId="32" xfId="0" applyFont="1" applyFill="1" applyBorder="1" applyAlignment="1" applyProtection="1">
      <alignment horizontal="center" vertical="center"/>
    </xf>
    <xf numFmtId="0" fontId="47" fillId="6" borderId="19" xfId="0" applyFont="1" applyFill="1" applyBorder="1" applyAlignment="1" applyProtection="1">
      <alignment horizontal="center" vertical="center"/>
      <protection locked="0"/>
    </xf>
    <xf numFmtId="0" fontId="47" fillId="5" borderId="66" xfId="0" applyFont="1" applyFill="1" applyBorder="1" applyAlignment="1" applyProtection="1">
      <alignment horizontal="center" vertical="center"/>
      <protection locked="0"/>
    </xf>
    <xf numFmtId="0" fontId="47" fillId="6" borderId="54" xfId="0" applyFont="1" applyFill="1" applyBorder="1" applyAlignment="1" applyProtection="1">
      <alignment horizontal="left" vertical="center" wrapText="1"/>
    </xf>
    <xf numFmtId="0" fontId="44" fillId="6"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4" fillId="0" borderId="1" xfId="0" applyFont="1" applyBorder="1" applyAlignment="1" applyProtection="1">
      <alignment horizontal="center" vertical="center"/>
      <protection locked="0"/>
    </xf>
    <xf numFmtId="0" fontId="47"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wrapText="1"/>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5"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53" fillId="6" borderId="3" xfId="8"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8" fillId="5" borderId="0" xfId="0" applyFont="1" applyFill="1" applyAlignment="1" applyProtection="1">
      <alignment horizontal="right" vertical="center"/>
      <protection locked="0"/>
    </xf>
    <xf numFmtId="49" fontId="58" fillId="6" borderId="0" xfId="0" applyNumberFormat="1" applyFont="1" applyFill="1" applyBorder="1" applyAlignment="1" applyProtection="1">
      <alignment horizontal="center"/>
    </xf>
    <xf numFmtId="0" fontId="53" fillId="6" borderId="13" xfId="0" applyFont="1" applyFill="1" applyBorder="1" applyAlignment="1" applyProtection="1">
      <alignment vertical="center"/>
    </xf>
    <xf numFmtId="0" fontId="47" fillId="6" borderId="22" xfId="0" applyFont="1" applyFill="1" applyBorder="1" applyAlignment="1" applyProtection="1">
      <alignment vertical="center" wrapText="1"/>
    </xf>
    <xf numFmtId="0" fontId="47" fillId="6" borderId="22" xfId="0" applyFont="1" applyFill="1" applyBorder="1" applyAlignment="1" applyProtection="1">
      <alignment vertical="center"/>
    </xf>
    <xf numFmtId="0" fontId="171" fillId="6" borderId="1" xfId="0" applyFont="1" applyFill="1" applyBorder="1" applyAlignment="1" applyProtection="1">
      <alignment horizontal="right" vertical="center" wrapText="1"/>
    </xf>
    <xf numFmtId="0" fontId="113" fillId="6" borderId="15" xfId="0" applyFont="1" applyFill="1" applyBorder="1" applyAlignment="1" applyProtection="1">
      <alignment vertical="center"/>
    </xf>
    <xf numFmtId="0" fontId="47" fillId="6" borderId="118" xfId="0" applyFont="1" applyFill="1" applyBorder="1" applyAlignment="1" applyProtection="1">
      <alignment vertical="center" wrapText="1"/>
    </xf>
    <xf numFmtId="0" fontId="47" fillId="2" borderId="1" xfId="0" applyFont="1" applyFill="1" applyBorder="1" applyAlignment="1" applyProtection="1">
      <alignment horizontal="left" vertical="center" wrapText="1"/>
      <protection locked="0"/>
    </xf>
    <xf numFmtId="0" fontId="52" fillId="6" borderId="46" xfId="0" applyFont="1" applyFill="1" applyBorder="1" applyAlignment="1" applyProtection="1">
      <alignment vertical="center" wrapText="1"/>
      <protection locked="0"/>
    </xf>
    <xf numFmtId="0" fontId="47" fillId="6" borderId="1" xfId="0" applyFont="1" applyFill="1" applyBorder="1" applyAlignment="1" applyProtection="1">
      <protection locked="0"/>
    </xf>
    <xf numFmtId="0" fontId="47" fillId="6" borderId="3" xfId="0" applyFont="1" applyFill="1" applyBorder="1" applyAlignment="1" applyProtection="1">
      <alignment vertical="center" wrapText="1"/>
    </xf>
    <xf numFmtId="0" fontId="47" fillId="6" borderId="36" xfId="0" applyFont="1" applyFill="1" applyBorder="1" applyAlignment="1" applyProtection="1">
      <alignment horizontal="left" vertical="center"/>
    </xf>
    <xf numFmtId="49" fontId="64" fillId="6" borderId="60" xfId="0" applyNumberFormat="1" applyFont="1" applyFill="1" applyBorder="1" applyAlignment="1" applyProtection="1"/>
    <xf numFmtId="0" fontId="77" fillId="6" borderId="13" xfId="0" applyFont="1" applyFill="1" applyBorder="1" applyAlignment="1" applyProtection="1">
      <alignment vertical="center"/>
    </xf>
    <xf numFmtId="0" fontId="77" fillId="6" borderId="22" xfId="0" applyFont="1" applyFill="1" applyBorder="1" applyAlignment="1" applyProtection="1">
      <alignment vertical="center"/>
    </xf>
    <xf numFmtId="177" fontId="57" fillId="6" borderId="60" xfId="0" applyNumberFormat="1" applyFont="1" applyFill="1" applyBorder="1" applyAlignment="1" applyProtection="1"/>
    <xf numFmtId="49" fontId="57" fillId="2" borderId="27" xfId="0" applyNumberFormat="1" applyFont="1" applyFill="1" applyBorder="1" applyAlignment="1" applyProtection="1">
      <alignment horizontal="right"/>
      <protection locked="0"/>
    </xf>
    <xf numFmtId="0" fontId="53" fillId="6" borderId="0" xfId="0" applyFont="1" applyFill="1" applyAlignment="1" applyProtection="1">
      <alignment horizontal="center" vertical="center"/>
    </xf>
    <xf numFmtId="0" fontId="53" fillId="6" borderId="0" xfId="0" applyFont="1" applyFill="1" applyAlignment="1" applyProtection="1">
      <alignment vertical="center"/>
    </xf>
    <xf numFmtId="49" fontId="54" fillId="6" borderId="0" xfId="0" applyNumberFormat="1" applyFont="1" applyFill="1" applyBorder="1" applyAlignment="1" applyProtection="1">
      <alignment horizontal="center"/>
    </xf>
    <xf numFmtId="49" fontId="54" fillId="6" borderId="0" xfId="0" applyNumberFormat="1" applyFont="1" applyFill="1" applyBorder="1" applyAlignment="1" applyProtection="1">
      <alignment horizontal="left"/>
    </xf>
    <xf numFmtId="0" fontId="53" fillId="7" borderId="0" xfId="0" applyFont="1" applyFill="1" applyAlignment="1" applyProtection="1">
      <alignment vertical="center"/>
      <protection locked="0"/>
    </xf>
    <xf numFmtId="0" fontId="54" fillId="6" borderId="1" xfId="1" applyFont="1" applyFill="1" applyBorder="1" applyAlignment="1" applyProtection="1">
      <alignment vertical="center"/>
    </xf>
    <xf numFmtId="0" fontId="52" fillId="6" borderId="1" xfId="0" applyFont="1" applyFill="1" applyBorder="1" applyAlignment="1" applyProtection="1">
      <alignment horizontal="right" vertical="center"/>
    </xf>
    <xf numFmtId="0" fontId="53" fillId="6" borderId="0" xfId="0" applyFont="1" applyFill="1" applyBorder="1" applyAlignment="1" applyProtection="1">
      <alignment vertical="center"/>
    </xf>
    <xf numFmtId="49" fontId="53" fillId="6" borderId="0" xfId="0" applyNumberFormat="1" applyFont="1" applyFill="1" applyBorder="1" applyAlignment="1" applyProtection="1"/>
    <xf numFmtId="49" fontId="54" fillId="6" borderId="0" xfId="0" applyNumberFormat="1" applyFont="1" applyFill="1" applyBorder="1" applyAlignment="1" applyProtection="1"/>
    <xf numFmtId="0" fontId="54" fillId="6" borderId="32" xfId="1" applyFont="1" applyFill="1" applyBorder="1" applyAlignment="1" applyProtection="1">
      <alignment vertical="center"/>
    </xf>
    <xf numFmtId="0" fontId="52" fillId="6" borderId="32" xfId="0" applyFont="1" applyFill="1" applyBorder="1" applyAlignment="1" applyProtection="1">
      <alignment horizontal="right" vertical="center"/>
    </xf>
    <xf numFmtId="0" fontId="47" fillId="6" borderId="60" xfId="0" applyFont="1" applyFill="1" applyBorder="1" applyAlignment="1" applyProtection="1">
      <alignment vertical="center"/>
    </xf>
    <xf numFmtId="0" fontId="47" fillId="6" borderId="71" xfId="0" applyFont="1" applyFill="1" applyBorder="1" applyAlignment="1" applyProtection="1">
      <alignment vertical="center"/>
    </xf>
    <xf numFmtId="0" fontId="47" fillId="6" borderId="88" xfId="0" applyFont="1" applyFill="1" applyBorder="1" applyAlignment="1" applyProtection="1">
      <alignment vertical="center"/>
    </xf>
    <xf numFmtId="0" fontId="47" fillId="6" borderId="90"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54" fillId="6" borderId="0" xfId="0" applyFont="1" applyFill="1" applyBorder="1" applyAlignment="1" applyProtection="1">
      <alignment horizontal="left" vertical="center"/>
      <protection locked="0"/>
    </xf>
    <xf numFmtId="0" fontId="60" fillId="6" borderId="0" xfId="0" applyFont="1" applyFill="1" applyBorder="1" applyAlignment="1" applyProtection="1">
      <alignment horizontal="center" vertical="center"/>
      <protection locked="0"/>
    </xf>
    <xf numFmtId="0" fontId="47" fillId="7" borderId="0" xfId="0" applyFont="1" applyFill="1" applyAlignment="1" applyProtection="1">
      <protection locked="0"/>
    </xf>
    <xf numFmtId="0" fontId="47" fillId="7" borderId="0" xfId="0" applyFont="1" applyFill="1" applyAlignment="1" applyProtection="1">
      <alignment horizontal="center"/>
      <protection locked="0"/>
    </xf>
    <xf numFmtId="0" fontId="53" fillId="7" borderId="0" xfId="0" applyFont="1" applyFill="1" applyAlignment="1" applyProtection="1">
      <alignment horizontal="left" vertical="center"/>
      <protection locked="0"/>
    </xf>
    <xf numFmtId="0" fontId="139" fillId="6" borderId="0" xfId="0" applyFont="1" applyFill="1" applyAlignment="1" applyProtection="1">
      <alignment vertical="center"/>
    </xf>
    <xf numFmtId="0" fontId="139" fillId="7" borderId="0" xfId="0" applyFont="1" applyFill="1" applyAlignment="1" applyProtection="1">
      <protection locked="0"/>
    </xf>
    <xf numFmtId="0" fontId="53" fillId="6" borderId="16" xfId="0" applyFont="1" applyFill="1" applyBorder="1" applyAlignment="1" applyProtection="1">
      <alignment horizontal="center" vertical="center"/>
    </xf>
    <xf numFmtId="0" fontId="47" fillId="6" borderId="31" xfId="0" applyFont="1" applyFill="1" applyBorder="1" applyAlignment="1" applyProtection="1"/>
    <xf numFmtId="0" fontId="139" fillId="7" borderId="63" xfId="0" applyFont="1" applyFill="1" applyBorder="1" applyAlignment="1" applyProtection="1">
      <alignment vertical="center"/>
      <protection locked="0"/>
    </xf>
    <xf numFmtId="0" fontId="53" fillId="7" borderId="64" xfId="0" applyFont="1" applyFill="1" applyBorder="1" applyAlignment="1" applyProtection="1">
      <alignment vertical="center"/>
      <protection locked="0"/>
    </xf>
    <xf numFmtId="0" fontId="53" fillId="7" borderId="65" xfId="0" applyFont="1" applyFill="1" applyBorder="1" applyAlignment="1" applyProtection="1">
      <alignment horizontal="left" vertical="center"/>
      <protection locked="0"/>
    </xf>
    <xf numFmtId="0" fontId="102" fillId="6" borderId="82" xfId="0" applyFont="1" applyFill="1" applyBorder="1" applyAlignment="1" applyProtection="1">
      <alignment horizontal="center" vertical="center"/>
    </xf>
    <xf numFmtId="0" fontId="99" fillId="6" borderId="82" xfId="0" applyFont="1" applyFill="1" applyBorder="1" applyAlignment="1" applyProtection="1">
      <alignment vertical="center" wrapText="1"/>
    </xf>
    <xf numFmtId="0" fontId="99" fillId="6" borderId="65" xfId="0" applyFont="1" applyFill="1" applyBorder="1" applyAlignment="1" applyProtection="1">
      <alignment vertical="center"/>
    </xf>
    <xf numFmtId="0" fontId="99" fillId="6" borderId="65" xfId="0" applyFont="1" applyFill="1" applyBorder="1" applyAlignment="1" applyProtection="1">
      <alignment vertical="center" wrapText="1"/>
    </xf>
    <xf numFmtId="0" fontId="53" fillId="6" borderId="6" xfId="0" applyFont="1" applyFill="1" applyBorder="1" applyAlignment="1" applyProtection="1">
      <alignment vertical="center"/>
    </xf>
    <xf numFmtId="0" fontId="53" fillId="5" borderId="10" xfId="0" applyFont="1" applyFill="1" applyBorder="1" applyAlignment="1" applyProtection="1">
      <alignment horizontal="center" vertical="center"/>
      <protection locked="0"/>
    </xf>
    <xf numFmtId="0" fontId="53" fillId="6" borderId="6" xfId="0" applyFont="1" applyFill="1" applyBorder="1" applyAlignment="1" applyProtection="1">
      <alignment horizontal="left" vertical="center"/>
      <protection locked="0"/>
    </xf>
    <xf numFmtId="0" fontId="53" fillId="6" borderId="10" xfId="0" applyFont="1" applyFill="1" applyBorder="1" applyAlignment="1" applyProtection="1">
      <alignment horizontal="center" vertical="center"/>
    </xf>
    <xf numFmtId="0" fontId="99" fillId="6" borderId="81" xfId="0" applyFont="1" applyFill="1" applyBorder="1" applyAlignment="1" applyProtection="1">
      <alignment vertical="center" wrapText="1"/>
    </xf>
    <xf numFmtId="0" fontId="99" fillId="6" borderId="43" xfId="0" applyFont="1" applyFill="1" applyBorder="1" applyAlignment="1" applyProtection="1">
      <alignment vertical="center"/>
    </xf>
    <xf numFmtId="0" fontId="99" fillId="6" borderId="43" xfId="0" applyFont="1" applyFill="1" applyBorder="1" applyAlignment="1" applyProtection="1">
      <alignment vertical="center" wrapText="1"/>
    </xf>
    <xf numFmtId="0" fontId="53" fillId="6" borderId="23" xfId="0" applyFont="1" applyFill="1" applyBorder="1" applyAlignment="1" applyProtection="1">
      <alignment vertical="center"/>
    </xf>
    <xf numFmtId="0" fontId="99" fillId="5" borderId="24" xfId="0" applyFont="1" applyFill="1" applyBorder="1" applyAlignment="1" applyProtection="1">
      <alignment horizontal="center"/>
      <protection locked="0"/>
    </xf>
    <xf numFmtId="0" fontId="99" fillId="6" borderId="23" xfId="0" applyFont="1" applyFill="1" applyBorder="1" applyAlignment="1" applyProtection="1">
      <alignment horizontal="left"/>
      <protection locked="0"/>
    </xf>
    <xf numFmtId="0" fontId="53" fillId="6" borderId="24" xfId="0" applyFont="1" applyFill="1" applyBorder="1" applyAlignment="1" applyProtection="1">
      <alignment horizontal="center" vertical="center"/>
    </xf>
    <xf numFmtId="0" fontId="53" fillId="7" borderId="0" xfId="0" applyFont="1" applyFill="1" applyBorder="1" applyAlignment="1" applyProtection="1">
      <alignment vertical="center"/>
      <protection locked="0"/>
    </xf>
    <xf numFmtId="0" fontId="53" fillId="7" borderId="24" xfId="0" applyFont="1" applyFill="1" applyBorder="1" applyAlignment="1" applyProtection="1">
      <alignment horizontal="center" vertical="center"/>
      <protection locked="0"/>
    </xf>
    <xf numFmtId="0" fontId="53" fillId="0" borderId="24" xfId="0" applyFont="1" applyFill="1" applyBorder="1" applyAlignment="1" applyProtection="1">
      <alignment horizontal="center" vertical="center"/>
      <protection locked="0"/>
    </xf>
    <xf numFmtId="0" fontId="99" fillId="6" borderId="81" xfId="0" applyFont="1" applyFill="1" applyBorder="1" applyAlignment="1" applyProtection="1">
      <alignment horizontal="right" vertical="center" wrapText="1"/>
    </xf>
    <xf numFmtId="0" fontId="99" fillId="6" borderId="24" xfId="0" applyFont="1" applyFill="1" applyBorder="1" applyAlignment="1" applyProtection="1">
      <alignment horizontal="center"/>
    </xf>
    <xf numFmtId="0" fontId="53" fillId="7" borderId="35" xfId="0" applyFont="1" applyFill="1" applyBorder="1" applyAlignment="1" applyProtection="1">
      <alignment vertical="center" wrapText="1"/>
      <protection locked="0"/>
    </xf>
    <xf numFmtId="10" fontId="99" fillId="6" borderId="43" xfId="0" applyNumberFormat="1" applyFont="1" applyFill="1" applyBorder="1" applyAlignment="1" applyProtection="1">
      <alignment vertical="center" wrapText="1"/>
    </xf>
    <xf numFmtId="49" fontId="53" fillId="6" borderId="23" xfId="0" applyNumberFormat="1" applyFont="1" applyFill="1" applyBorder="1" applyAlignment="1" applyProtection="1">
      <alignment horizontal="left" vertical="center"/>
    </xf>
    <xf numFmtId="0" fontId="53" fillId="6" borderId="24" xfId="0" applyNumberFormat="1" applyFont="1" applyFill="1" applyBorder="1" applyAlignment="1" applyProtection="1">
      <alignment horizontal="center" vertical="center"/>
    </xf>
    <xf numFmtId="0" fontId="53" fillId="6" borderId="23" xfId="0" applyFont="1" applyFill="1" applyBorder="1" applyAlignment="1" applyProtection="1">
      <alignment vertical="center"/>
      <protection locked="0"/>
    </xf>
    <xf numFmtId="193" fontId="53" fillId="6" borderId="24" xfId="0" applyNumberFormat="1" applyFont="1" applyFill="1" applyBorder="1" applyAlignment="1" applyProtection="1">
      <alignment horizontal="center" vertical="center"/>
    </xf>
    <xf numFmtId="0" fontId="53" fillId="7" borderId="7" xfId="0" applyFont="1" applyFill="1" applyBorder="1" applyAlignment="1" applyProtection="1">
      <alignment vertical="center" wrapText="1"/>
      <protection locked="0"/>
    </xf>
    <xf numFmtId="0" fontId="53" fillId="6" borderId="25" xfId="0" applyFont="1" applyFill="1" applyBorder="1" applyAlignment="1" applyProtection="1">
      <alignment vertical="center"/>
    </xf>
    <xf numFmtId="10" fontId="53" fillId="0" borderId="49" xfId="0" applyNumberFormat="1" applyFont="1" applyFill="1" applyBorder="1" applyAlignment="1" applyProtection="1">
      <alignment horizontal="center" vertical="center"/>
      <protection locked="0"/>
    </xf>
    <xf numFmtId="0" fontId="53" fillId="6" borderId="26" xfId="0" applyFont="1" applyFill="1" applyBorder="1" applyAlignment="1" applyProtection="1">
      <alignment vertical="center" wrapText="1"/>
    </xf>
    <xf numFmtId="0" fontId="53" fillId="6" borderId="48" xfId="0" applyFont="1" applyFill="1" applyBorder="1" applyAlignment="1" applyProtection="1">
      <alignment vertical="center"/>
      <protection locked="0"/>
    </xf>
    <xf numFmtId="0" fontId="113" fillId="6" borderId="0" xfId="0" applyFont="1" applyFill="1" applyAlignment="1" applyProtection="1">
      <alignment vertical="center"/>
      <protection locked="0"/>
    </xf>
    <xf numFmtId="0" fontId="113" fillId="6" borderId="47" xfId="0" applyFont="1" applyFill="1" applyBorder="1" applyAlignment="1" applyProtection="1">
      <alignment vertical="center" wrapText="1"/>
    </xf>
    <xf numFmtId="0" fontId="54" fillId="6" borderId="51" xfId="0" applyFont="1" applyFill="1" applyBorder="1" applyAlignment="1" applyProtection="1">
      <alignment horizontal="left" vertical="center" wrapText="1"/>
    </xf>
    <xf numFmtId="181" fontId="53" fillId="6" borderId="9" xfId="0" applyNumberFormat="1" applyFont="1" applyFill="1" applyBorder="1" applyAlignment="1" applyProtection="1">
      <alignment horizontal="center" vertical="center"/>
    </xf>
    <xf numFmtId="0" fontId="54" fillId="6" borderId="16" xfId="0" applyFont="1" applyFill="1" applyBorder="1" applyAlignment="1" applyProtection="1">
      <alignment horizontal="center" vertical="center"/>
    </xf>
    <xf numFmtId="0" fontId="53" fillId="5" borderId="21" xfId="0" applyFont="1" applyFill="1" applyBorder="1" applyAlignment="1" applyProtection="1">
      <alignment horizontal="center" vertical="center"/>
      <protection locked="0"/>
    </xf>
    <xf numFmtId="0" fontId="53" fillId="6" borderId="1" xfId="0" applyFont="1" applyFill="1" applyBorder="1" applyAlignment="1" applyProtection="1">
      <alignment vertical="center"/>
      <protection locked="0"/>
    </xf>
    <xf numFmtId="0" fontId="53" fillId="6" borderId="54" xfId="0" applyFont="1" applyFill="1" applyBorder="1" applyAlignment="1" applyProtection="1">
      <alignment vertical="center"/>
      <protection locked="0"/>
    </xf>
    <xf numFmtId="0" fontId="53" fillId="6" borderId="41" xfId="0" applyFont="1" applyFill="1" applyBorder="1" applyAlignment="1" applyProtection="1">
      <alignment vertical="center" wrapText="1"/>
    </xf>
    <xf numFmtId="0" fontId="53" fillId="5" borderId="0" xfId="0" applyFont="1" applyFill="1" applyBorder="1" applyAlignment="1" applyProtection="1">
      <alignment horizontal="center" vertical="center"/>
      <protection locked="0"/>
    </xf>
    <xf numFmtId="0" fontId="53" fillId="6" borderId="18" xfId="0" applyFont="1" applyFill="1" applyBorder="1" applyAlignment="1" applyProtection="1">
      <alignment vertical="center"/>
      <protection locked="0"/>
    </xf>
    <xf numFmtId="0" fontId="53" fillId="6" borderId="4" xfId="0" applyFont="1" applyFill="1" applyBorder="1" applyAlignment="1" applyProtection="1">
      <alignment vertical="center"/>
      <protection locked="0"/>
    </xf>
    <xf numFmtId="0" fontId="53" fillId="6" borderId="60" xfId="0" applyFont="1" applyFill="1" applyBorder="1" applyAlignment="1" applyProtection="1">
      <alignment vertical="center"/>
      <protection locked="0"/>
    </xf>
    <xf numFmtId="0" fontId="53" fillId="6" borderId="71" xfId="0" applyFont="1" applyFill="1" applyBorder="1" applyAlignment="1" applyProtection="1">
      <alignment vertical="center"/>
      <protection locked="0"/>
    </xf>
    <xf numFmtId="0" fontId="53" fillId="6" borderId="23" xfId="0" applyFont="1" applyFill="1" applyBorder="1" applyAlignment="1" applyProtection="1">
      <alignment vertical="center" wrapText="1"/>
    </xf>
    <xf numFmtId="0" fontId="53" fillId="6" borderId="5" xfId="0" applyFont="1" applyFill="1" applyBorder="1" applyAlignment="1" applyProtection="1">
      <alignment horizontal="center" vertical="center"/>
    </xf>
    <xf numFmtId="181" fontId="53" fillId="6" borderId="5"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3" fillId="6" borderId="49" xfId="0" applyFont="1" applyFill="1" applyBorder="1" applyAlignment="1" applyProtection="1">
      <alignment horizontal="center" vertical="center"/>
    </xf>
    <xf numFmtId="0" fontId="54" fillId="6" borderId="25" xfId="0" applyFont="1" applyFill="1" applyBorder="1" applyAlignment="1" applyProtection="1">
      <alignment horizontal="center" vertical="center"/>
    </xf>
    <xf numFmtId="0" fontId="53" fillId="6" borderId="0" xfId="0" applyFont="1" applyFill="1" applyAlignment="1" applyProtection="1">
      <alignment vertical="center"/>
      <protection locked="0"/>
    </xf>
    <xf numFmtId="0" fontId="53" fillId="6" borderId="1" xfId="0" applyFont="1" applyFill="1" applyBorder="1" applyAlignment="1"/>
    <xf numFmtId="0" fontId="53" fillId="6" borderId="1" xfId="0" applyFont="1" applyFill="1" applyBorder="1" applyAlignment="1">
      <alignment horizontal="center"/>
    </xf>
    <xf numFmtId="0" fontId="53" fillId="6" borderId="1" xfId="0" applyFont="1" applyFill="1" applyBorder="1" applyAlignment="1" applyProtection="1">
      <alignment horizontal="center" vertical="center"/>
      <protection locked="0"/>
    </xf>
    <xf numFmtId="9" fontId="53" fillId="6" borderId="1" xfId="0" applyNumberFormat="1" applyFont="1" applyFill="1" applyBorder="1" applyAlignment="1" applyProtection="1">
      <alignment horizontal="center" vertical="center"/>
      <protection locked="0"/>
    </xf>
    <xf numFmtId="193" fontId="99" fillId="6" borderId="43" xfId="0" applyNumberFormat="1" applyFont="1" applyFill="1" applyBorder="1" applyAlignment="1" applyProtection="1">
      <alignment vertical="center" wrapText="1"/>
    </xf>
    <xf numFmtId="0" fontId="164" fillId="6" borderId="43" xfId="0" applyFont="1" applyFill="1" applyBorder="1" applyAlignment="1" applyProtection="1">
      <alignment vertical="center"/>
    </xf>
    <xf numFmtId="0" fontId="53" fillId="0" borderId="0" xfId="0" applyFont="1" applyFill="1" applyAlignment="1" applyProtection="1">
      <alignment horizontal="left" vertical="center"/>
      <protection locked="0"/>
    </xf>
    <xf numFmtId="0" fontId="47" fillId="6" borderId="1" xfId="0" applyFont="1" applyFill="1" applyBorder="1" applyAlignment="1" applyProtection="1">
      <alignment horizontal="center"/>
    </xf>
    <xf numFmtId="49" fontId="62" fillId="2" borderId="27" xfId="0" applyNumberFormat="1" applyFont="1" applyFill="1" applyBorder="1" applyAlignment="1" applyProtection="1">
      <alignment horizontal="right"/>
      <protection locked="0"/>
    </xf>
    <xf numFmtId="0" fontId="54" fillId="6" borderId="0" xfId="0" applyFont="1" applyFill="1" applyBorder="1" applyAlignment="1" applyProtection="1">
      <alignment vertical="center"/>
    </xf>
    <xf numFmtId="0" fontId="47" fillId="6" borderId="0" xfId="0" applyFont="1" applyFill="1" applyAlignment="1" applyProtection="1"/>
    <xf numFmtId="0" fontId="171" fillId="6" borderId="3" xfId="0" applyFont="1" applyFill="1" applyBorder="1" applyAlignment="1" applyProtection="1">
      <alignment horizontal="right" vertical="center" wrapText="1"/>
    </xf>
    <xf numFmtId="0" fontId="186" fillId="0" borderId="0" xfId="5" applyFont="1">
      <alignment vertical="center"/>
    </xf>
    <xf numFmtId="0" fontId="95" fillId="0" borderId="0" xfId="0" applyFont="1" applyProtection="1">
      <alignment vertical="center"/>
      <protection locked="0"/>
    </xf>
    <xf numFmtId="0" fontId="195" fillId="0" borderId="0" xfId="0" applyFont="1" applyBorder="1" applyAlignment="1">
      <alignment horizontal="center" vertical="center"/>
    </xf>
    <xf numFmtId="0" fontId="98" fillId="0" borderId="0" xfId="0" applyFont="1">
      <alignment vertical="center"/>
    </xf>
    <xf numFmtId="0" fontId="98" fillId="0" borderId="0" xfId="0" applyFont="1" applyBorder="1">
      <alignment vertical="center"/>
    </xf>
    <xf numFmtId="0" fontId="196" fillId="0" borderId="0" xfId="0" applyFont="1" applyAlignment="1">
      <alignment vertical="center"/>
    </xf>
    <xf numFmtId="0" fontId="130" fillId="0" borderId="0" xfId="0" applyFont="1" applyAlignment="1">
      <alignment vertical="center" wrapText="1"/>
    </xf>
    <xf numFmtId="0" fontId="197" fillId="0" borderId="0" xfId="0" applyFont="1">
      <alignment vertical="center"/>
    </xf>
    <xf numFmtId="0" fontId="198" fillId="0" borderId="0" xfId="0" applyFont="1">
      <alignment vertical="center"/>
    </xf>
    <xf numFmtId="0" fontId="199" fillId="0" borderId="0" xfId="0" applyFont="1" applyAlignment="1" applyProtection="1">
      <alignment vertical="center" wrapText="1"/>
      <protection locked="0"/>
    </xf>
    <xf numFmtId="0" fontId="130" fillId="0" borderId="0" xfId="0" applyFont="1" applyFill="1" applyAlignment="1">
      <alignment vertical="center" wrapText="1"/>
    </xf>
    <xf numFmtId="0" fontId="196" fillId="0" borderId="0" xfId="0" applyFont="1">
      <alignment vertical="center"/>
    </xf>
    <xf numFmtId="183" fontId="130" fillId="0" borderId="0" xfId="0" applyNumberFormat="1" applyFont="1" applyAlignment="1">
      <alignment horizontal="left" vertical="center"/>
    </xf>
    <xf numFmtId="0" fontId="130" fillId="0" borderId="0" xfId="0" applyFont="1">
      <alignment vertical="center"/>
    </xf>
    <xf numFmtId="0" fontId="200" fillId="5" borderId="0" xfId="0" applyFont="1" applyFill="1" applyProtection="1">
      <alignment vertical="center"/>
      <protection locked="0"/>
    </xf>
    <xf numFmtId="0" fontId="98" fillId="0" borderId="0" xfId="0" applyFont="1" applyProtection="1">
      <alignment vertical="center"/>
      <protection locked="0"/>
    </xf>
    <xf numFmtId="0" fontId="196" fillId="0" borderId="0" xfId="7" applyFont="1" applyProtection="1">
      <alignment vertical="center"/>
    </xf>
    <xf numFmtId="0" fontId="98" fillId="0" borderId="0" xfId="7" applyFont="1" applyProtection="1">
      <alignment vertical="center"/>
    </xf>
    <xf numFmtId="0" fontId="98" fillId="0" borderId="0" xfId="7" applyFont="1">
      <alignment vertical="center"/>
    </xf>
    <xf numFmtId="0" fontId="196" fillId="0" borderId="0" xfId="7" applyFont="1" applyAlignment="1" applyProtection="1">
      <alignment horizontal="center" vertical="center"/>
    </xf>
    <xf numFmtId="0" fontId="124" fillId="0" borderId="2" xfId="7" applyFont="1" applyFill="1" applyBorder="1" applyAlignment="1" applyProtection="1">
      <alignment horizontal="left" vertical="center" wrapText="1"/>
    </xf>
    <xf numFmtId="0" fontId="125" fillId="0" borderId="1" xfId="7" applyFont="1" applyFill="1" applyBorder="1" applyAlignment="1" applyProtection="1">
      <alignment horizontal="left" vertical="center" wrapText="1"/>
    </xf>
    <xf numFmtId="0" fontId="203" fillId="0" borderId="1" xfId="7" applyFont="1" applyFill="1" applyBorder="1" applyAlignment="1" applyProtection="1">
      <alignment horizontal="left" vertical="center" wrapText="1"/>
    </xf>
    <xf numFmtId="0" fontId="61" fillId="0" borderId="5" xfId="7" applyFont="1" applyFill="1" applyBorder="1" applyAlignment="1" applyProtection="1">
      <alignment vertical="center" wrapText="1"/>
    </xf>
    <xf numFmtId="0" fontId="104" fillId="0" borderId="1" xfId="7" applyFont="1" applyFill="1" applyBorder="1" applyAlignment="1" applyProtection="1">
      <alignment horizontal="left" vertical="center" wrapText="1"/>
    </xf>
    <xf numFmtId="0" fontId="124" fillId="0" borderId="1" xfId="7" applyFont="1" applyFill="1" applyBorder="1" applyAlignment="1" applyProtection="1">
      <alignment horizontal="left" vertical="center" wrapText="1"/>
    </xf>
    <xf numFmtId="0" fontId="204" fillId="0" borderId="1" xfId="7" applyFont="1" applyBorder="1" applyAlignment="1">
      <alignment horizontal="center" vertical="center"/>
    </xf>
    <xf numFmtId="0" fontId="125" fillId="0" borderId="78" xfId="7" applyFont="1" applyFill="1" applyBorder="1" applyAlignment="1" applyProtection="1">
      <alignment horizontal="left" vertical="center" wrapText="1"/>
    </xf>
    <xf numFmtId="0" fontId="99" fillId="0" borderId="0" xfId="7" applyFont="1" applyProtection="1">
      <alignment vertical="center"/>
    </xf>
    <xf numFmtId="0" fontId="98" fillId="0" borderId="0" xfId="7" applyFont="1" applyProtection="1">
      <alignment vertical="center"/>
      <protection locked="0"/>
    </xf>
    <xf numFmtId="0" fontId="130" fillId="0" borderId="0" xfId="7" applyFont="1" applyProtection="1">
      <alignment vertical="center"/>
      <protection locked="0"/>
    </xf>
    <xf numFmtId="0" fontId="61" fillId="0" borderId="1" xfId="0" applyFont="1" applyFill="1" applyBorder="1" applyAlignment="1" applyProtection="1">
      <alignment horizontal="left" vertical="center" wrapText="1"/>
    </xf>
    <xf numFmtId="0" fontId="130" fillId="0" borderId="0" xfId="0" applyFont="1" applyProtection="1">
      <alignment vertical="center"/>
      <protection locked="0"/>
    </xf>
    <xf numFmtId="0" fontId="95" fillId="0" borderId="0" xfId="0" applyFont="1" applyProtection="1">
      <alignment vertical="center"/>
    </xf>
    <xf numFmtId="0" fontId="193" fillId="0" borderId="0" xfId="0" applyFont="1" applyBorder="1" applyAlignment="1" applyProtection="1">
      <alignment horizontal="left" vertical="center"/>
    </xf>
    <xf numFmtId="0" fontId="211" fillId="0" borderId="0" xfId="0" applyFont="1" applyBorder="1" applyAlignment="1" applyProtection="1">
      <alignment horizontal="center" vertical="center" wrapText="1"/>
    </xf>
    <xf numFmtId="14" fontId="130" fillId="0" borderId="0" xfId="0" applyNumberFormat="1" applyFont="1" applyFill="1" applyBorder="1" applyAlignment="1" applyProtection="1">
      <alignment horizontal="center" vertical="center" wrapText="1"/>
    </xf>
    <xf numFmtId="0" fontId="130" fillId="0" borderId="0" xfId="0" applyFont="1" applyBorder="1" applyAlignment="1" applyProtection="1">
      <alignment horizontal="center" vertical="center" wrapText="1"/>
    </xf>
    <xf numFmtId="0" fontId="211" fillId="0" borderId="60" xfId="0" applyFont="1" applyBorder="1" applyAlignment="1" applyProtection="1">
      <alignment horizontal="justify" vertical="center" wrapText="1"/>
    </xf>
    <xf numFmtId="0" fontId="211" fillId="0" borderId="0" xfId="0" applyFont="1" applyBorder="1" applyAlignment="1" applyProtection="1">
      <alignment horizontal="right" vertical="center" wrapText="1"/>
    </xf>
    <xf numFmtId="0" fontId="211" fillId="0" borderId="54" xfId="0" applyFont="1" applyBorder="1" applyAlignment="1" applyProtection="1">
      <alignment horizontal="justify" vertical="center" wrapText="1"/>
    </xf>
    <xf numFmtId="0" fontId="212" fillId="0" borderId="0" xfId="0" applyFont="1" applyBorder="1" applyAlignment="1" applyProtection="1">
      <alignment horizontal="center" vertical="center" wrapText="1"/>
      <protection locked="0"/>
    </xf>
    <xf numFmtId="0" fontId="196" fillId="0" borderId="0" xfId="0" applyFont="1" applyBorder="1" applyAlignment="1" applyProtection="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0" fontId="95" fillId="0" borderId="0" xfId="0" applyFont="1" applyBorder="1" applyProtection="1">
      <alignment vertical="center"/>
      <protection locked="0"/>
    </xf>
    <xf numFmtId="0" fontId="194" fillId="0" borderId="0" xfId="0" applyFont="1" applyBorder="1" applyProtection="1">
      <alignment vertical="center"/>
      <protection locked="0"/>
    </xf>
    <xf numFmtId="0" fontId="215" fillId="0" borderId="0" xfId="0" applyFont="1" applyProtection="1">
      <alignment vertical="center"/>
    </xf>
    <xf numFmtId="0" fontId="194" fillId="0" borderId="0" xfId="0" applyFont="1" applyProtection="1">
      <alignment vertical="center"/>
    </xf>
    <xf numFmtId="0" fontId="202" fillId="0" borderId="1" xfId="0" applyFont="1" applyBorder="1" applyAlignment="1" applyProtection="1">
      <alignment horizontal="center" vertical="center" wrapText="1"/>
    </xf>
    <xf numFmtId="0" fontId="95" fillId="0" borderId="0" xfId="0" applyFont="1" applyAlignment="1" applyProtection="1">
      <alignment horizontal="left" vertical="center"/>
    </xf>
    <xf numFmtId="0" fontId="202" fillId="0" borderId="0" xfId="0" applyFont="1" applyProtection="1">
      <alignment vertical="center"/>
    </xf>
    <xf numFmtId="0" fontId="202" fillId="2" borderId="1" xfId="0" applyFont="1" applyFill="1" applyBorder="1" applyAlignment="1" applyProtection="1">
      <alignment horizontal="center" vertical="center" wrapText="1"/>
    </xf>
    <xf numFmtId="0" fontId="202" fillId="6" borderId="1" xfId="0" applyFont="1" applyFill="1" applyBorder="1" applyAlignment="1" applyProtection="1">
      <alignment horizontal="center" vertical="center" wrapText="1"/>
    </xf>
    <xf numFmtId="0" fontId="218" fillId="4" borderId="1" xfId="0" applyFont="1" applyFill="1" applyBorder="1" applyAlignment="1" applyProtection="1">
      <alignment horizontal="center" vertical="center"/>
    </xf>
    <xf numFmtId="0" fontId="219" fillId="0" borderId="1" xfId="0" applyFont="1" applyFill="1" applyBorder="1" applyAlignment="1" applyProtection="1">
      <alignment horizontal="center" vertical="center"/>
    </xf>
    <xf numFmtId="0" fontId="217" fillId="0" borderId="0" xfId="0" applyFont="1" applyProtection="1">
      <alignment vertical="center"/>
    </xf>
    <xf numFmtId="0" fontId="116" fillId="0" borderId="1" xfId="0" applyFont="1" applyBorder="1" applyAlignment="1" applyProtection="1">
      <alignment horizontal="center" vertical="center"/>
    </xf>
    <xf numFmtId="0" fontId="95" fillId="0" borderId="1" xfId="0" applyFont="1" applyBorder="1" applyAlignment="1" applyProtection="1">
      <alignment horizontal="left" vertical="center"/>
    </xf>
    <xf numFmtId="0" fontId="95" fillId="8" borderId="5" xfId="0" applyFont="1" applyFill="1" applyBorder="1" applyAlignment="1" applyProtection="1">
      <alignment vertical="center"/>
    </xf>
    <xf numFmtId="0" fontId="95" fillId="7" borderId="54" xfId="0" applyFont="1" applyFill="1" applyBorder="1" applyAlignment="1" applyProtection="1">
      <alignment vertical="center"/>
    </xf>
    <xf numFmtId="0" fontId="95" fillId="7" borderId="3" xfId="0" applyFont="1" applyFill="1" applyBorder="1" applyAlignment="1" applyProtection="1">
      <alignment vertical="center"/>
    </xf>
    <xf numFmtId="0" fontId="220" fillId="0" borderId="0" xfId="0" applyFont="1" applyProtection="1">
      <alignment vertical="center"/>
    </xf>
    <xf numFmtId="0" fontId="217" fillId="0" borderId="0" xfId="0" applyFont="1" applyAlignment="1" applyProtection="1">
      <alignment horizontal="left" vertical="center"/>
    </xf>
    <xf numFmtId="176" fontId="217" fillId="0" borderId="0" xfId="0" applyNumberFormat="1" applyFont="1" applyAlignment="1" applyProtection="1">
      <alignment horizontal="left" vertical="center"/>
    </xf>
    <xf numFmtId="0" fontId="217" fillId="6" borderId="35" xfId="0" applyFont="1" applyFill="1" applyBorder="1" applyAlignment="1" applyProtection="1">
      <alignment horizontal="center" vertical="center" wrapText="1"/>
    </xf>
    <xf numFmtId="0" fontId="95" fillId="6" borderId="15" xfId="0" applyFont="1" applyFill="1" applyBorder="1" applyAlignment="1" applyProtection="1">
      <alignment horizontal="center" vertical="center" wrapText="1"/>
    </xf>
    <xf numFmtId="0" fontId="95" fillId="6" borderId="0" xfId="0" applyFont="1" applyFill="1" applyBorder="1" applyAlignment="1" applyProtection="1">
      <alignment horizontal="center" vertical="center" wrapText="1"/>
    </xf>
    <xf numFmtId="0" fontId="95" fillId="6" borderId="0" xfId="0" applyFont="1" applyFill="1" applyAlignment="1" applyProtection="1">
      <alignment horizontal="center" vertical="center" wrapText="1"/>
    </xf>
    <xf numFmtId="0" fontId="217" fillId="6" borderId="0" xfId="0" applyFont="1" applyFill="1" applyAlignment="1" applyProtection="1">
      <alignment horizontal="center" vertical="center" wrapText="1"/>
    </xf>
    <xf numFmtId="0" fontId="217" fillId="6" borderId="0" xfId="0" applyNumberFormat="1" applyFont="1" applyFill="1" applyBorder="1" applyAlignment="1" applyProtection="1">
      <alignment horizontal="center" vertical="center" wrapText="1"/>
    </xf>
    <xf numFmtId="0" fontId="95" fillId="0" borderId="0" xfId="0" applyFont="1" applyAlignment="1" applyProtection="1">
      <alignment horizontal="center" vertical="center" wrapText="1"/>
    </xf>
    <xf numFmtId="0" fontId="95" fillId="0" borderId="1" xfId="0" applyFont="1" applyBorder="1" applyAlignment="1" applyProtection="1">
      <alignment horizontal="left" vertical="center"/>
      <protection locked="0"/>
    </xf>
    <xf numFmtId="0" fontId="95" fillId="6" borderId="0" xfId="0" applyFont="1" applyFill="1" applyBorder="1" applyAlignment="1" applyProtection="1">
      <alignment horizontal="center" vertical="center"/>
      <protection locked="0"/>
    </xf>
    <xf numFmtId="0" fontId="95" fillId="6" borderId="0" xfId="0" applyFont="1" applyFill="1" applyAlignment="1" applyProtection="1">
      <alignment horizontal="center" vertical="center"/>
    </xf>
    <xf numFmtId="0" fontId="217" fillId="0" borderId="1" xfId="0" applyFont="1" applyBorder="1" applyAlignment="1" applyProtection="1">
      <alignment horizontal="left" vertical="center"/>
      <protection locked="0"/>
    </xf>
    <xf numFmtId="0" fontId="95" fillId="6" borderId="0" xfId="0" applyFont="1" applyFill="1" applyAlignment="1" applyProtection="1">
      <alignment horizontal="center" vertical="center"/>
      <protection locked="0"/>
    </xf>
    <xf numFmtId="0" fontId="95" fillId="6" borderId="0" xfId="0" applyFont="1" applyFill="1" applyProtection="1">
      <alignment vertical="center"/>
    </xf>
    <xf numFmtId="0" fontId="217" fillId="6" borderId="0" xfId="0" applyFont="1" applyFill="1" applyBorder="1" applyAlignment="1" applyProtection="1">
      <alignment horizontal="center" vertical="center"/>
      <protection locked="0"/>
    </xf>
    <xf numFmtId="0" fontId="95" fillId="6" borderId="0" xfId="0" applyFont="1" applyFill="1" applyBorder="1" applyAlignment="1" applyProtection="1">
      <alignment horizontal="left" vertical="center"/>
    </xf>
    <xf numFmtId="0" fontId="95" fillId="6" borderId="0" xfId="0" applyFont="1" applyFill="1" applyAlignment="1" applyProtection="1">
      <alignment horizontal="left" vertical="center"/>
    </xf>
    <xf numFmtId="0" fontId="95" fillId="6" borderId="0" xfId="0" applyFont="1" applyFill="1" applyBorder="1" applyAlignment="1" applyProtection="1">
      <alignment horizontal="center" vertical="center"/>
    </xf>
    <xf numFmtId="0" fontId="95" fillId="0" borderId="0" xfId="0" applyFont="1" applyBorder="1" applyAlignment="1" applyProtection="1">
      <alignment horizontal="center" vertical="center"/>
    </xf>
    <xf numFmtId="0" fontId="44" fillId="6" borderId="0" xfId="0" applyFont="1" applyFill="1" applyAlignment="1" applyProtection="1">
      <alignment vertical="center" wrapText="1"/>
    </xf>
    <xf numFmtId="0" fontId="44" fillId="6" borderId="0" xfId="0" applyFont="1" applyFill="1" applyAlignment="1" applyProtection="1">
      <alignment horizontal="center" vertical="center" wrapText="1"/>
    </xf>
    <xf numFmtId="0" fontId="44" fillId="0" borderId="0" xfId="0" applyFont="1" applyAlignment="1" applyProtection="1">
      <alignment vertical="center"/>
    </xf>
    <xf numFmtId="0" fontId="44" fillId="0" borderId="0" xfId="0" applyFont="1" applyAlignment="1" applyProtection="1">
      <alignment vertical="center" wrapText="1"/>
    </xf>
    <xf numFmtId="0" fontId="61" fillId="5" borderId="13" xfId="0" applyFont="1" applyFill="1" applyBorder="1" applyAlignment="1" applyProtection="1">
      <alignment horizontal="center" vertical="center" wrapText="1"/>
      <protection locked="0"/>
    </xf>
    <xf numFmtId="0" fontId="44" fillId="6" borderId="1" xfId="0" applyFont="1" applyFill="1" applyBorder="1" applyAlignment="1" applyProtection="1">
      <alignment vertical="center" wrapText="1"/>
    </xf>
    <xf numFmtId="0" fontId="47" fillId="5" borderId="15" xfId="0" applyFont="1" applyFill="1" applyBorder="1" applyAlignment="1" applyProtection="1">
      <alignment horizontal="center" vertical="center" wrapText="1"/>
      <protection locked="0"/>
    </xf>
    <xf numFmtId="0" fontId="47" fillId="6" borderId="74" xfId="0" applyFont="1" applyFill="1" applyBorder="1" applyAlignment="1" applyProtection="1">
      <alignment horizontal="center" vertical="center" wrapText="1"/>
    </xf>
    <xf numFmtId="0" fontId="47" fillId="5" borderId="74" xfId="0" applyFont="1" applyFill="1" applyBorder="1" applyAlignment="1" applyProtection="1">
      <alignment horizontal="center" vertical="center" wrapText="1"/>
      <protection locked="0"/>
    </xf>
    <xf numFmtId="0" fontId="113" fillId="6" borderId="74" xfId="0" applyFont="1" applyFill="1" applyBorder="1" applyAlignment="1" applyProtection="1">
      <alignment vertical="center" wrapText="1"/>
    </xf>
    <xf numFmtId="0" fontId="47" fillId="5" borderId="76" xfId="0" applyFont="1" applyFill="1" applyBorder="1" applyAlignment="1" applyProtection="1">
      <alignment horizontal="center" vertical="center" wrapText="1"/>
      <protection locked="0"/>
    </xf>
    <xf numFmtId="0" fontId="168" fillId="0" borderId="23" xfId="0" applyFont="1" applyBorder="1" applyAlignment="1" applyProtection="1">
      <alignment vertical="center" wrapText="1"/>
      <protection locked="0"/>
    </xf>
    <xf numFmtId="0" fontId="47" fillId="6" borderId="58" xfId="0" applyFont="1" applyFill="1" applyBorder="1" applyAlignment="1" applyProtection="1">
      <alignment horizontal="center" vertical="center" wrapText="1"/>
    </xf>
    <xf numFmtId="0" fontId="47" fillId="0" borderId="1" xfId="0" applyFont="1" applyBorder="1" applyAlignment="1" applyProtection="1">
      <alignment vertical="center" wrapText="1"/>
      <protection locked="0"/>
    </xf>
    <xf numFmtId="0" fontId="44" fillId="0" borderId="5" xfId="0" applyFont="1" applyBorder="1" applyAlignment="1" applyProtection="1">
      <alignment horizontal="center" vertical="center" wrapText="1"/>
      <protection locked="0"/>
    </xf>
    <xf numFmtId="0" fontId="44" fillId="0" borderId="0" xfId="0" applyFont="1" applyAlignment="1" applyProtection="1">
      <alignment vertical="center" wrapText="1"/>
      <protection locked="0"/>
    </xf>
    <xf numFmtId="0" fontId="44" fillId="0" borderId="0" xfId="0" applyFont="1" applyAlignment="1" applyProtection="1">
      <alignment horizontal="center" vertical="center" wrapText="1"/>
    </xf>
    <xf numFmtId="0" fontId="103" fillId="6" borderId="0" xfId="0" applyFont="1" applyFill="1" applyAlignment="1" applyProtection="1">
      <alignment horizontal="left" vertical="center"/>
    </xf>
    <xf numFmtId="0" fontId="101" fillId="6" borderId="0" xfId="0" applyFont="1" applyFill="1" applyAlignment="1" applyProtection="1">
      <alignment horizontal="left" vertical="center"/>
    </xf>
    <xf numFmtId="0" fontId="47" fillId="6" borderId="0" xfId="0" applyFont="1" applyFill="1" applyAlignment="1" applyProtection="1">
      <alignment horizontal="center" vertical="center" wrapText="1"/>
    </xf>
    <xf numFmtId="0" fontId="47" fillId="6" borderId="0" xfId="0" applyFont="1" applyFill="1" applyBorder="1" applyAlignment="1" applyProtection="1">
      <alignment horizontal="center" vertical="center"/>
    </xf>
    <xf numFmtId="0" fontId="47" fillId="6" borderId="0" xfId="0" applyFont="1" applyFill="1" applyBorder="1" applyAlignment="1" applyProtection="1">
      <alignment horizontal="center" vertical="center" wrapText="1"/>
    </xf>
    <xf numFmtId="0" fontId="47" fillId="0" borderId="0" xfId="0" applyFont="1" applyAlignment="1" applyProtection="1">
      <alignment horizontal="center" vertical="center" wrapText="1"/>
    </xf>
    <xf numFmtId="0" fontId="47" fillId="2" borderId="1" xfId="0" applyFont="1" applyFill="1" applyBorder="1" applyAlignment="1" applyProtection="1">
      <alignment horizontal="center" vertical="center" wrapText="1"/>
      <protection locked="0"/>
    </xf>
    <xf numFmtId="0" fontId="48" fillId="6" borderId="4" xfId="0" applyFont="1" applyFill="1" applyBorder="1" applyAlignment="1" applyProtection="1">
      <alignment horizontal="left" vertical="center"/>
    </xf>
    <xf numFmtId="179" fontId="47" fillId="6" borderId="0" xfId="0" applyNumberFormat="1" applyFont="1" applyFill="1" applyBorder="1" applyAlignment="1" applyProtection="1">
      <alignment horizontal="center" vertical="center" wrapText="1"/>
    </xf>
    <xf numFmtId="179" fontId="48" fillId="6" borderId="0" xfId="0" applyNumberFormat="1" applyFont="1" applyFill="1" applyBorder="1" applyAlignment="1" applyProtection="1">
      <alignment horizontal="center" vertical="center" wrapText="1"/>
    </xf>
    <xf numFmtId="176" fontId="47" fillId="6" borderId="0" xfId="0" applyNumberFormat="1" applyFont="1" applyFill="1" applyAlignment="1" applyProtection="1">
      <alignment horizontal="center" vertical="center" wrapText="1"/>
    </xf>
    <xf numFmtId="0" fontId="47" fillId="0" borderId="0" xfId="0" applyFont="1" applyFill="1" applyAlignment="1" applyProtection="1">
      <alignment horizontal="center" vertical="center" wrapText="1"/>
    </xf>
    <xf numFmtId="176" fontId="47" fillId="6" borderId="54" xfId="0" applyNumberFormat="1" applyFont="1" applyFill="1" applyBorder="1" applyAlignment="1" applyProtection="1">
      <alignment horizontal="center" vertical="center" wrapText="1"/>
    </xf>
    <xf numFmtId="176" fontId="47" fillId="6" borderId="3" xfId="0" applyNumberFormat="1" applyFont="1" applyFill="1" applyBorder="1" applyAlignment="1" applyProtection="1">
      <alignment horizontal="center" vertical="center" wrapText="1"/>
    </xf>
    <xf numFmtId="176" fontId="47" fillId="6" borderId="5" xfId="0" applyNumberFormat="1" applyFont="1" applyFill="1" applyBorder="1" applyAlignment="1" applyProtection="1">
      <alignment horizontal="center" vertical="center" wrapText="1"/>
    </xf>
    <xf numFmtId="176" fontId="47" fillId="0" borderId="0" xfId="0" applyNumberFormat="1" applyFont="1" applyAlignment="1" applyProtection="1">
      <alignment horizontal="center" vertical="center" wrapText="1"/>
    </xf>
    <xf numFmtId="0" fontId="47" fillId="6" borderId="46" xfId="0" applyFont="1" applyFill="1" applyBorder="1" applyAlignment="1" applyProtection="1">
      <alignment horizontal="left" vertical="center"/>
    </xf>
    <xf numFmtId="0" fontId="47" fillId="6" borderId="36" xfId="0" applyFont="1" applyFill="1" applyBorder="1" applyAlignment="1" applyProtection="1">
      <alignment horizontal="center" vertical="center" wrapText="1"/>
    </xf>
    <xf numFmtId="0" fontId="47" fillId="6" borderId="36" xfId="0" applyFont="1" applyFill="1" applyBorder="1" applyAlignment="1" applyProtection="1">
      <alignment horizontal="center" vertical="center"/>
    </xf>
    <xf numFmtId="0" fontId="47" fillId="6" borderId="59"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xf>
    <xf numFmtId="0" fontId="47" fillId="6" borderId="46" xfId="0" applyFont="1" applyFill="1" applyBorder="1" applyAlignment="1" applyProtection="1">
      <alignment horizontal="center" vertical="center"/>
    </xf>
    <xf numFmtId="179" fontId="47" fillId="6" borderId="5" xfId="0" applyNumberFormat="1" applyFont="1" applyFill="1" applyBorder="1" applyAlignment="1" applyProtection="1">
      <alignment horizontal="left" vertical="center"/>
    </xf>
    <xf numFmtId="0" fontId="48" fillId="6" borderId="54" xfId="0" applyFont="1" applyFill="1" applyBorder="1" applyAlignment="1" applyProtection="1">
      <alignment horizontal="center" vertical="center"/>
    </xf>
    <xf numFmtId="179" fontId="47" fillId="6" borderId="54" xfId="0" applyNumberFormat="1" applyFont="1" applyFill="1" applyBorder="1" applyAlignment="1" applyProtection="1">
      <alignment horizontal="center" vertical="center"/>
    </xf>
    <xf numFmtId="179" fontId="47" fillId="6" borderId="3" xfId="0" applyNumberFormat="1" applyFont="1" applyFill="1" applyBorder="1" applyAlignment="1" applyProtection="1">
      <alignment horizontal="center" vertical="center"/>
    </xf>
    <xf numFmtId="0" fontId="48" fillId="6" borderId="36" xfId="0" applyFont="1" applyFill="1" applyBorder="1" applyAlignment="1" applyProtection="1">
      <alignment horizontal="center" vertical="center"/>
    </xf>
    <xf numFmtId="0" fontId="47" fillId="0" borderId="0" xfId="0" applyFont="1" applyAlignment="1" applyProtection="1">
      <alignment horizontal="center" vertical="center"/>
    </xf>
    <xf numFmtId="179" fontId="47" fillId="6" borderId="0" xfId="0" applyNumberFormat="1" applyFont="1" applyFill="1" applyBorder="1" applyAlignment="1" applyProtection="1">
      <alignment horizontal="center" vertical="center"/>
    </xf>
    <xf numFmtId="0" fontId="47" fillId="2" borderId="4" xfId="0" applyFont="1" applyFill="1" applyBorder="1" applyAlignment="1" applyProtection="1">
      <alignment horizontal="left" vertical="center"/>
      <protection locked="0"/>
    </xf>
    <xf numFmtId="0" fontId="48" fillId="6" borderId="54" xfId="0" applyFont="1" applyFill="1" applyBorder="1" applyAlignment="1" applyProtection="1">
      <alignment horizontal="left" vertical="center"/>
    </xf>
    <xf numFmtId="0" fontId="47" fillId="6" borderId="7" xfId="0" applyFont="1" applyFill="1" applyBorder="1" applyAlignment="1" applyProtection="1">
      <alignment horizontal="left" vertical="center"/>
    </xf>
    <xf numFmtId="179" fontId="47" fillId="6" borderId="4" xfId="0" applyNumberFormat="1" applyFont="1" applyFill="1" applyBorder="1" applyAlignment="1" applyProtection="1">
      <alignment horizontal="center" vertical="center"/>
    </xf>
    <xf numFmtId="0" fontId="48" fillId="6" borderId="60" xfId="0" applyFont="1" applyFill="1" applyBorder="1" applyAlignment="1" applyProtection="1">
      <alignment horizontal="center" vertical="center"/>
    </xf>
    <xf numFmtId="179" fontId="47" fillId="6" borderId="7" xfId="0" applyNumberFormat="1" applyFont="1" applyFill="1" applyBorder="1" applyAlignment="1" applyProtection="1">
      <alignment horizontal="center" vertical="center"/>
    </xf>
    <xf numFmtId="0" fontId="47" fillId="2" borderId="5" xfId="0" applyFont="1" applyFill="1" applyBorder="1" applyAlignment="1" applyProtection="1">
      <alignment horizontal="left" vertical="center"/>
      <protection locked="0"/>
    </xf>
    <xf numFmtId="0" fontId="47" fillId="6" borderId="3" xfId="0" applyFont="1" applyFill="1" applyBorder="1" applyAlignment="1" applyProtection="1">
      <alignment horizontal="right" vertical="center"/>
    </xf>
    <xf numFmtId="179" fontId="47" fillId="6" borderId="35" xfId="0"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0" fontId="47" fillId="2" borderId="54" xfId="0" applyFont="1" applyFill="1" applyBorder="1" applyAlignment="1" applyProtection="1">
      <alignment horizontal="left" vertical="center"/>
      <protection locked="0"/>
    </xf>
    <xf numFmtId="0" fontId="48" fillId="6" borderId="3" xfId="0" applyFont="1" applyFill="1" applyBorder="1" applyAlignment="1" applyProtection="1">
      <alignment horizontal="left" vertical="center"/>
    </xf>
    <xf numFmtId="0" fontId="113" fillId="6" borderId="5" xfId="0" applyFont="1" applyFill="1" applyBorder="1" applyAlignment="1" applyProtection="1">
      <alignment horizontal="left" vertical="center"/>
    </xf>
    <xf numFmtId="0" fontId="223" fillId="6" borderId="3" xfId="0" applyFont="1" applyFill="1" applyBorder="1" applyAlignment="1" applyProtection="1">
      <alignment horizontal="right" vertical="center"/>
    </xf>
    <xf numFmtId="0" fontId="47" fillId="6" borderId="61" xfId="0" applyFont="1" applyFill="1" applyBorder="1" applyAlignment="1" applyProtection="1">
      <alignment horizontal="center" vertical="center"/>
    </xf>
    <xf numFmtId="0" fontId="47" fillId="6" borderId="4" xfId="0" applyFont="1" applyFill="1" applyBorder="1" applyAlignment="1" applyProtection="1">
      <alignment horizontal="center" vertical="center" wrapText="1"/>
    </xf>
    <xf numFmtId="179" fontId="47" fillId="6" borderId="7" xfId="0" applyNumberFormat="1" applyFont="1" applyFill="1" applyBorder="1" applyAlignment="1" applyProtection="1">
      <alignment horizontal="center" vertical="center" wrapText="1"/>
    </xf>
    <xf numFmtId="179" fontId="47" fillId="6" borderId="2" xfId="0" applyNumberFormat="1" applyFont="1" applyFill="1" applyBorder="1" applyAlignment="1" applyProtection="1">
      <alignment horizontal="center" vertical="center" wrapText="1"/>
    </xf>
    <xf numFmtId="179" fontId="47" fillId="6" borderId="4" xfId="0" applyNumberFormat="1" applyFont="1" applyFill="1" applyBorder="1" applyAlignment="1" applyProtection="1">
      <alignment horizontal="center" vertical="center" wrapText="1"/>
    </xf>
    <xf numFmtId="0" fontId="47" fillId="6" borderId="35" xfId="0" applyFont="1" applyFill="1" applyBorder="1" applyAlignment="1" applyProtection="1">
      <alignment horizontal="center" vertical="center" wrapText="1"/>
    </xf>
    <xf numFmtId="179" fontId="47" fillId="6" borderId="1" xfId="0" applyNumberFormat="1" applyFont="1" applyFill="1" applyBorder="1" applyAlignment="1" applyProtection="1">
      <alignment horizontal="center" vertical="center"/>
    </xf>
    <xf numFmtId="0" fontId="47" fillId="2" borderId="2"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4" fillId="5" borderId="2" xfId="0" applyFont="1" applyFill="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xf>
    <xf numFmtId="176" fontId="44" fillId="0" borderId="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wrapText="1"/>
    </xf>
    <xf numFmtId="0" fontId="49" fillId="0" borderId="0" xfId="0" applyFont="1" applyAlignment="1" applyProtection="1">
      <alignment horizontal="center" vertical="center" wrapText="1"/>
    </xf>
    <xf numFmtId="0" fontId="49" fillId="0" borderId="0" xfId="0" applyFont="1" applyAlignment="1" applyProtection="1">
      <alignment horizontal="center" vertical="center"/>
    </xf>
    <xf numFmtId="0" fontId="103" fillId="6" borderId="0" xfId="0" applyFont="1" applyFill="1" applyProtection="1">
      <alignment vertical="center"/>
    </xf>
    <xf numFmtId="0" fontId="44" fillId="0" borderId="0" xfId="0" applyFont="1" applyProtection="1">
      <alignment vertical="center"/>
      <protection locked="0"/>
    </xf>
    <xf numFmtId="176" fontId="50" fillId="6" borderId="1" xfId="1" applyNumberFormat="1" applyFont="1" applyFill="1" applyBorder="1" applyAlignment="1" applyProtection="1">
      <alignment horizontal="center" vertical="center"/>
    </xf>
    <xf numFmtId="0" fontId="44" fillId="6" borderId="5" xfId="0" applyFont="1" applyFill="1" applyBorder="1" applyProtection="1">
      <alignment vertical="center"/>
    </xf>
    <xf numFmtId="0" fontId="46" fillId="6" borderId="9" xfId="0" applyFont="1" applyFill="1" applyBorder="1" applyAlignment="1" applyProtection="1">
      <alignment horizontal="center" vertical="center"/>
    </xf>
    <xf numFmtId="176" fontId="50" fillId="6" borderId="10" xfId="1" applyNumberFormat="1" applyFont="1" applyFill="1" applyBorder="1" applyAlignment="1" applyProtection="1">
      <alignment horizontal="center" vertical="center"/>
    </xf>
    <xf numFmtId="0" fontId="44" fillId="6" borderId="2" xfId="0" applyFont="1" applyFill="1" applyBorder="1" applyProtection="1">
      <alignment vertical="center"/>
    </xf>
    <xf numFmtId="0" fontId="44" fillId="6" borderId="12" xfId="0" applyFont="1" applyFill="1" applyBorder="1" applyAlignment="1" applyProtection="1">
      <alignment vertical="center"/>
    </xf>
    <xf numFmtId="176" fontId="46" fillId="6" borderId="10" xfId="1" applyNumberFormat="1" applyFont="1" applyFill="1" applyBorder="1" applyAlignment="1" applyProtection="1">
      <alignment horizontal="center" vertical="center"/>
    </xf>
    <xf numFmtId="0" fontId="44" fillId="6" borderId="14" xfId="0" applyFont="1" applyFill="1" applyBorder="1" applyAlignment="1" applyProtection="1">
      <alignment vertical="center"/>
    </xf>
    <xf numFmtId="0" fontId="44" fillId="6" borderId="15" xfId="0" applyFont="1" applyFill="1" applyBorder="1" applyAlignment="1" applyProtection="1">
      <alignment vertical="center"/>
    </xf>
    <xf numFmtId="0" fontId="46" fillId="6" borderId="51" xfId="0" applyFont="1" applyFill="1" applyBorder="1" applyProtection="1">
      <alignment vertical="center"/>
    </xf>
    <xf numFmtId="0" fontId="44" fillId="6" borderId="21" xfId="0" applyFont="1" applyFill="1" applyBorder="1" applyProtection="1">
      <alignment vertical="center"/>
    </xf>
    <xf numFmtId="0" fontId="44" fillId="6" borderId="16" xfId="0" applyFont="1" applyFill="1" applyBorder="1" applyAlignment="1" applyProtection="1">
      <alignment vertical="center"/>
    </xf>
    <xf numFmtId="0" fontId="44" fillId="6" borderId="17" xfId="0" applyFont="1" applyFill="1" applyBorder="1" applyProtection="1">
      <alignment vertical="center"/>
    </xf>
    <xf numFmtId="0" fontId="44" fillId="6" borderId="19" xfId="0" applyFont="1" applyFill="1" applyBorder="1" applyAlignment="1" applyProtection="1">
      <alignment vertical="center"/>
    </xf>
    <xf numFmtId="0" fontId="46" fillId="6" borderId="17" xfId="0" applyFont="1" applyFill="1" applyBorder="1" applyAlignment="1" applyProtection="1">
      <alignment horizontal="center" vertical="center"/>
    </xf>
    <xf numFmtId="176" fontId="50" fillId="6" borderId="29" xfId="1" applyNumberFormat="1" applyFont="1" applyFill="1" applyBorder="1" applyAlignment="1" applyProtection="1">
      <alignment horizontal="center" vertical="center"/>
    </xf>
    <xf numFmtId="176" fontId="50" fillId="6" borderId="20" xfId="1" applyNumberFormat="1" applyFont="1" applyFill="1" applyBorder="1" applyAlignment="1" applyProtection="1">
      <alignment horizontal="center" vertical="center"/>
    </xf>
    <xf numFmtId="176" fontId="50" fillId="6" borderId="21" xfId="1" applyNumberFormat="1" applyFont="1" applyFill="1" applyBorder="1" applyAlignment="1" applyProtection="1">
      <alignment horizontal="center" vertical="center"/>
    </xf>
    <xf numFmtId="0" fontId="46" fillId="6" borderId="55" xfId="0" applyFont="1" applyFill="1" applyBorder="1" applyAlignment="1" applyProtection="1">
      <alignment horizontal="right" vertical="center"/>
    </xf>
    <xf numFmtId="179" fontId="46" fillId="2" borderId="24" xfId="0" applyNumberFormat="1" applyFont="1" applyFill="1" applyBorder="1" applyAlignment="1" applyProtection="1">
      <alignment horizontal="center" vertical="center"/>
      <protection locked="0"/>
    </xf>
    <xf numFmtId="0" fontId="44" fillId="6" borderId="2" xfId="0" applyFont="1" applyFill="1" applyBorder="1" applyAlignment="1" applyProtection="1">
      <alignment vertical="center"/>
    </xf>
    <xf numFmtId="0" fontId="44" fillId="6" borderId="0" xfId="0" applyFont="1" applyFill="1" applyBorder="1" applyAlignment="1" applyProtection="1">
      <alignment vertical="center"/>
    </xf>
    <xf numFmtId="0" fontId="46" fillId="6" borderId="2" xfId="0" applyFont="1" applyFill="1" applyBorder="1" applyAlignment="1" applyProtection="1">
      <alignment horizontal="center" vertical="center"/>
    </xf>
    <xf numFmtId="176" fontId="51" fillId="6" borderId="2" xfId="1" applyNumberFormat="1" applyFont="1" applyFill="1" applyBorder="1" applyAlignment="1" applyProtection="1">
      <alignment horizontal="center" vertical="center"/>
    </xf>
    <xf numFmtId="0" fontId="44" fillId="6" borderId="7" xfId="0" applyFont="1" applyFill="1" applyBorder="1" applyAlignment="1" applyProtection="1">
      <alignment horizontal="center" vertical="center"/>
    </xf>
    <xf numFmtId="0" fontId="44" fillId="6" borderId="8" xfId="0" applyFont="1" applyFill="1" applyBorder="1" applyAlignment="1" applyProtection="1">
      <alignment horizontal="center" vertical="center"/>
    </xf>
    <xf numFmtId="179" fontId="44" fillId="6" borderId="24" xfId="0" applyNumberFormat="1" applyFont="1" applyFill="1" applyBorder="1" applyAlignment="1" applyProtection="1">
      <alignment horizontal="center" vertical="center"/>
    </xf>
    <xf numFmtId="0" fontId="44" fillId="6" borderId="1" xfId="0" applyFont="1" applyFill="1" applyBorder="1" applyAlignment="1" applyProtection="1">
      <alignment horizontal="left" vertical="center"/>
    </xf>
    <xf numFmtId="0" fontId="44" fillId="6" borderId="18" xfId="0" applyFont="1" applyFill="1" applyBorder="1" applyProtection="1">
      <alignment vertical="center"/>
    </xf>
    <xf numFmtId="0" fontId="44" fillId="0" borderId="23" xfId="0" applyFont="1" applyBorder="1" applyProtection="1">
      <alignment vertical="center"/>
      <protection locked="0"/>
    </xf>
    <xf numFmtId="0" fontId="44" fillId="0" borderId="1" xfId="0" applyFont="1" applyBorder="1" applyProtection="1">
      <alignment vertical="center"/>
      <protection locked="0"/>
    </xf>
    <xf numFmtId="0" fontId="44" fillId="6" borderId="18" xfId="0" applyFont="1" applyFill="1" applyBorder="1" applyAlignment="1" applyProtection="1">
      <alignment vertical="center"/>
    </xf>
    <xf numFmtId="0" fontId="44" fillId="0" borderId="11" xfId="0" applyFont="1" applyBorder="1" applyProtection="1">
      <alignment vertical="center"/>
      <protection locked="0"/>
    </xf>
    <xf numFmtId="0" fontId="44" fillId="0" borderId="13" xfId="0" applyFont="1" applyBorder="1" applyProtection="1">
      <alignment vertical="center"/>
      <protection locked="0"/>
    </xf>
    <xf numFmtId="0" fontId="46" fillId="6" borderId="3" xfId="0" applyFont="1" applyFill="1" applyBorder="1" applyAlignment="1" applyProtection="1">
      <alignment horizontal="left" vertical="center"/>
    </xf>
    <xf numFmtId="0" fontId="44" fillId="6" borderId="3" xfId="0" applyFont="1" applyFill="1" applyBorder="1" applyAlignment="1" applyProtection="1">
      <alignment horizontal="left" vertical="center"/>
    </xf>
    <xf numFmtId="0" fontId="46" fillId="6" borderId="22" xfId="0" applyFont="1" applyFill="1" applyBorder="1" applyAlignment="1" applyProtection="1">
      <alignment horizontal="left" vertical="center"/>
    </xf>
    <xf numFmtId="0" fontId="44" fillId="6" borderId="42" xfId="0" applyFont="1" applyFill="1" applyBorder="1" applyAlignment="1" applyProtection="1">
      <alignment vertical="center"/>
    </xf>
    <xf numFmtId="0" fontId="44" fillId="6" borderId="33" xfId="0" applyFont="1" applyFill="1" applyBorder="1" applyProtection="1">
      <alignment vertical="center"/>
    </xf>
    <xf numFmtId="176" fontId="44" fillId="0" borderId="0" xfId="0" applyNumberFormat="1" applyFont="1" applyProtection="1">
      <alignment vertical="center"/>
      <protection locked="0"/>
    </xf>
    <xf numFmtId="0" fontId="103" fillId="6" borderId="0" xfId="0" applyFont="1" applyFill="1" applyAlignment="1" applyProtection="1">
      <alignment vertical="center" wrapText="1"/>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0" borderId="0" xfId="0" applyFont="1" applyAlignment="1" applyProtection="1">
      <alignment vertical="center"/>
    </xf>
    <xf numFmtId="0" fontId="46" fillId="6" borderId="26" xfId="0" applyFont="1" applyFill="1" applyBorder="1" applyAlignment="1" applyProtection="1">
      <alignment vertical="center" wrapText="1"/>
    </xf>
    <xf numFmtId="0" fontId="44" fillId="6" borderId="0" xfId="0" applyFont="1" applyFill="1" applyAlignment="1" applyProtection="1">
      <alignment vertical="center"/>
      <protection locked="0"/>
    </xf>
    <xf numFmtId="179" fontId="44" fillId="6" borderId="0" xfId="0" applyNumberFormat="1" applyFont="1" applyFill="1" applyAlignment="1" applyProtection="1">
      <alignment vertical="center"/>
      <protection locked="0"/>
    </xf>
    <xf numFmtId="0" fontId="44" fillId="0" borderId="0" xfId="0" applyFont="1" applyAlignment="1" applyProtection="1">
      <alignment vertical="center"/>
      <protection locked="0"/>
    </xf>
    <xf numFmtId="0" fontId="44" fillId="6" borderId="0" xfId="0" applyFont="1" applyFill="1" applyAlignment="1" applyProtection="1">
      <alignment vertical="center"/>
    </xf>
    <xf numFmtId="0" fontId="44" fillId="6" borderId="63" xfId="0" applyFont="1" applyFill="1" applyBorder="1" applyAlignment="1" applyProtection="1">
      <alignment vertical="center"/>
    </xf>
    <xf numFmtId="0" fontId="44" fillId="6" borderId="64" xfId="0" applyFont="1" applyFill="1" applyBorder="1" applyAlignment="1" applyProtection="1">
      <alignment vertical="center"/>
    </xf>
    <xf numFmtId="179" fontId="44" fillId="6" borderId="64" xfId="0" applyNumberFormat="1" applyFont="1" applyFill="1" applyBorder="1" applyAlignment="1" applyProtection="1">
      <alignment vertical="center"/>
    </xf>
    <xf numFmtId="0" fontId="44" fillId="6" borderId="65" xfId="0" applyFont="1" applyFill="1" applyBorder="1" applyAlignment="1" applyProtection="1">
      <alignment vertical="center"/>
    </xf>
    <xf numFmtId="0" fontId="44" fillId="6" borderId="63" xfId="0" applyFont="1" applyFill="1" applyBorder="1" applyAlignment="1" applyProtection="1">
      <alignment horizontal="center" vertical="center"/>
    </xf>
    <xf numFmtId="0" fontId="44" fillId="6" borderId="64" xfId="0" applyFont="1" applyFill="1" applyBorder="1" applyAlignment="1" applyProtection="1">
      <alignment horizontal="center" vertical="center"/>
    </xf>
    <xf numFmtId="0" fontId="44" fillId="6" borderId="31" xfId="0" applyFont="1" applyFill="1" applyBorder="1" applyAlignment="1" applyProtection="1">
      <alignment vertical="center"/>
    </xf>
    <xf numFmtId="0" fontId="44" fillId="6" borderId="6" xfId="1" applyFont="1" applyFill="1" applyBorder="1" applyAlignment="1" applyProtection="1">
      <alignment vertical="center" wrapText="1"/>
    </xf>
    <xf numFmtId="0" fontId="44" fillId="6" borderId="9" xfId="1" applyFont="1" applyFill="1" applyBorder="1" applyAlignment="1" applyProtection="1">
      <alignment vertical="center" wrapText="1"/>
    </xf>
    <xf numFmtId="0" fontId="44" fillId="6" borderId="28" xfId="1" applyFont="1" applyFill="1" applyBorder="1" applyAlignment="1" applyProtection="1">
      <alignment vertical="center" wrapText="1"/>
    </xf>
    <xf numFmtId="180" fontId="51" fillId="6" borderId="6" xfId="1" applyNumberFormat="1" applyFont="1" applyFill="1" applyBorder="1" applyAlignment="1" applyProtection="1">
      <alignment horizontal="center" vertical="center" wrapText="1"/>
    </xf>
    <xf numFmtId="179" fontId="44" fillId="6" borderId="9" xfId="0" applyNumberFormat="1" applyFont="1" applyFill="1" applyBorder="1" applyAlignment="1" applyProtection="1">
      <alignment horizontal="center" vertical="center" wrapText="1"/>
    </xf>
    <xf numFmtId="0" fontId="98" fillId="6" borderId="10" xfId="0" applyFont="1" applyFill="1" applyBorder="1" applyAlignment="1" applyProtection="1">
      <alignment horizontal="center" vertical="center" wrapText="1"/>
    </xf>
    <xf numFmtId="177" fontId="44" fillId="6" borderId="6" xfId="1" applyNumberFormat="1" applyFont="1" applyFill="1" applyBorder="1" applyAlignment="1" applyProtection="1">
      <alignment horizontal="center" vertical="center" wrapText="1"/>
    </xf>
    <xf numFmtId="0" fontId="44" fillId="6" borderId="9" xfId="1" applyFont="1" applyFill="1" applyBorder="1" applyAlignment="1" applyProtection="1">
      <alignment horizontal="center" vertical="center" wrapText="1"/>
    </xf>
    <xf numFmtId="179" fontId="44" fillId="6" borderId="9" xfId="1" applyNumberFormat="1" applyFont="1" applyFill="1" applyBorder="1" applyAlignment="1" applyProtection="1">
      <alignment horizontal="center" vertical="center" wrapText="1"/>
    </xf>
    <xf numFmtId="0" fontId="44" fillId="5" borderId="9" xfId="1" applyFont="1" applyFill="1" applyBorder="1" applyAlignment="1" applyProtection="1">
      <alignment horizontal="center" vertical="center" wrapText="1"/>
      <protection locked="0"/>
    </xf>
    <xf numFmtId="0" fontId="44" fillId="6" borderId="28" xfId="1" applyFont="1" applyFill="1" applyBorder="1" applyAlignment="1" applyProtection="1">
      <alignment horizontal="center" vertical="center" wrapText="1"/>
    </xf>
    <xf numFmtId="0" fontId="44" fillId="6" borderId="6" xfId="1" applyFont="1" applyFill="1" applyBorder="1" applyAlignment="1" applyProtection="1">
      <alignment horizontal="center" vertical="center" wrapText="1"/>
    </xf>
    <xf numFmtId="0" fontId="44" fillId="6" borderId="19" xfId="1" applyFont="1" applyFill="1" applyBorder="1" applyAlignment="1" applyProtection="1">
      <alignment horizontal="center" vertical="center" wrapText="1"/>
    </xf>
    <xf numFmtId="0" fontId="44" fillId="6" borderId="62" xfId="1" applyFont="1" applyFill="1" applyBorder="1" applyAlignment="1" applyProtection="1">
      <alignment horizontal="center" vertical="center" wrapText="1"/>
    </xf>
    <xf numFmtId="0" fontId="44" fillId="6" borderId="30" xfId="0" applyFont="1" applyFill="1" applyBorder="1" applyAlignment="1" applyProtection="1">
      <alignment horizontal="center" vertical="center" wrapText="1"/>
    </xf>
    <xf numFmtId="0" fontId="44" fillId="6" borderId="3" xfId="0" applyFont="1" applyFill="1" applyBorder="1" applyAlignment="1" applyProtection="1">
      <alignment horizontal="center" vertical="center" wrapText="1"/>
      <protection locked="0"/>
    </xf>
    <xf numFmtId="0" fontId="44" fillId="6" borderId="1" xfId="1" applyFont="1" applyFill="1" applyBorder="1" applyAlignment="1" applyProtection="1">
      <alignment horizontal="center" vertical="center" wrapText="1"/>
    </xf>
    <xf numFmtId="177" fontId="47" fillId="6" borderId="23" xfId="1" applyNumberFormat="1" applyFont="1" applyFill="1" applyBorder="1" applyAlignment="1" applyProtection="1">
      <alignment horizontal="left" vertical="center"/>
    </xf>
    <xf numFmtId="177" fontId="44" fillId="6" borderId="1" xfId="1" applyNumberFormat="1" applyFont="1" applyFill="1" applyBorder="1" applyAlignment="1" applyProtection="1">
      <alignment vertical="center"/>
    </xf>
    <xf numFmtId="177" fontId="44" fillId="2" borderId="5" xfId="1" applyNumberFormat="1" applyFont="1" applyFill="1" applyBorder="1" applyAlignment="1" applyProtection="1">
      <alignment vertical="center"/>
      <protection locked="0"/>
    </xf>
    <xf numFmtId="0" fontId="98" fillId="2" borderId="3" xfId="0" applyFont="1" applyFill="1" applyBorder="1" applyAlignment="1" applyProtection="1">
      <alignment horizontal="center" vertical="center"/>
      <protection locked="0"/>
    </xf>
    <xf numFmtId="0" fontId="44" fillId="6" borderId="1" xfId="0" applyFont="1" applyFill="1" applyBorder="1" applyAlignment="1" applyProtection="1">
      <alignment horizontal="right" vertical="center"/>
    </xf>
    <xf numFmtId="177" fontId="44" fillId="6" borderId="23" xfId="1" applyNumberFormat="1" applyFont="1" applyFill="1" applyBorder="1" applyAlignment="1" applyProtection="1">
      <alignment horizontal="left" vertical="center" wrapText="1"/>
      <protection locked="0"/>
    </xf>
    <xf numFmtId="177" fontId="44" fillId="6" borderId="5" xfId="1" applyNumberFormat="1" applyFont="1" applyFill="1" applyBorder="1" applyAlignment="1" applyProtection="1">
      <alignment vertical="center"/>
    </xf>
    <xf numFmtId="0" fontId="46" fillId="6" borderId="25" xfId="1" applyFont="1" applyFill="1" applyBorder="1" applyAlignment="1" applyProtection="1">
      <alignment vertical="center" wrapText="1"/>
    </xf>
    <xf numFmtId="0" fontId="46" fillId="6" borderId="25" xfId="1" applyFont="1" applyFill="1" applyBorder="1" applyAlignment="1" applyProtection="1">
      <alignment vertical="center"/>
    </xf>
    <xf numFmtId="0" fontId="52" fillId="6" borderId="0" xfId="0" applyFont="1" applyFill="1" applyAlignment="1" applyProtection="1">
      <alignment vertical="center" wrapText="1"/>
    </xf>
    <xf numFmtId="176" fontId="51" fillId="6" borderId="6" xfId="1" applyNumberFormat="1" applyFont="1" applyFill="1" applyBorder="1" applyAlignment="1" applyProtection="1">
      <alignment vertical="center" wrapText="1"/>
    </xf>
    <xf numFmtId="176" fontId="51" fillId="6" borderId="23" xfId="1" applyNumberFormat="1" applyFont="1" applyFill="1" applyBorder="1" applyAlignment="1" applyProtection="1">
      <alignment vertical="center" wrapText="1"/>
    </xf>
    <xf numFmtId="176" fontId="44" fillId="6" borderId="23" xfId="1" applyNumberFormat="1" applyFont="1" applyFill="1" applyBorder="1" applyAlignment="1" applyProtection="1">
      <alignment vertical="center" wrapText="1"/>
    </xf>
    <xf numFmtId="176" fontId="51" fillId="6" borderId="25" xfId="1" applyNumberFormat="1" applyFont="1" applyFill="1" applyBorder="1" applyAlignment="1" applyProtection="1">
      <alignment vertical="center" wrapText="1"/>
    </xf>
    <xf numFmtId="0" fontId="44" fillId="6" borderId="34" xfId="0" applyFont="1" applyFill="1" applyBorder="1" applyAlignment="1" applyProtection="1">
      <alignment horizontal="center" vertical="center"/>
    </xf>
    <xf numFmtId="0" fontId="44" fillId="6" borderId="6" xfId="0" applyFont="1" applyFill="1" applyBorder="1" applyAlignment="1" applyProtection="1">
      <alignment vertical="center" wrapText="1"/>
    </xf>
    <xf numFmtId="0" fontId="47" fillId="0" borderId="0" xfId="0" applyFont="1" applyFill="1" applyAlignment="1" applyProtection="1">
      <alignment vertical="center"/>
    </xf>
    <xf numFmtId="0" fontId="44" fillId="6" borderId="23" xfId="0" applyFont="1" applyFill="1" applyBorder="1" applyAlignment="1" applyProtection="1">
      <alignment vertical="center" wrapText="1"/>
    </xf>
    <xf numFmtId="0" fontId="44" fillId="6" borderId="25" xfId="0" applyFont="1" applyFill="1" applyBorder="1" applyAlignment="1" applyProtection="1">
      <alignment vertical="center" wrapText="1"/>
    </xf>
    <xf numFmtId="0" fontId="44" fillId="6" borderId="41" xfId="0" applyFont="1" applyFill="1" applyBorder="1" applyAlignment="1" applyProtection="1">
      <alignment vertical="center" wrapText="1"/>
    </xf>
    <xf numFmtId="0" fontId="44" fillId="6" borderId="11" xfId="0" applyFont="1" applyFill="1" applyBorder="1" applyAlignment="1" applyProtection="1">
      <alignment vertical="center" wrapText="1"/>
    </xf>
    <xf numFmtId="0" fontId="44" fillId="6" borderId="11" xfId="0" applyFont="1" applyFill="1" applyBorder="1" applyAlignment="1" applyProtection="1">
      <alignment horizontal="left" vertical="center" wrapText="1"/>
    </xf>
    <xf numFmtId="0" fontId="44" fillId="6" borderId="11" xfId="0" applyFont="1" applyFill="1" applyBorder="1" applyAlignment="1" applyProtection="1">
      <alignment horizontal="right" vertical="center" wrapText="1"/>
    </xf>
    <xf numFmtId="0" fontId="44" fillId="6" borderId="25" xfId="0" applyFont="1" applyFill="1" applyBorder="1" applyAlignment="1" applyProtection="1">
      <alignment horizontal="right" vertical="center" wrapText="1"/>
    </xf>
    <xf numFmtId="0" fontId="44" fillId="6" borderId="14" xfId="0" applyFont="1" applyFill="1" applyBorder="1" applyAlignment="1" applyProtection="1">
      <alignment vertical="center" wrapText="1"/>
    </xf>
    <xf numFmtId="0" fontId="44" fillId="6" borderId="40" xfId="0" applyFont="1" applyFill="1" applyBorder="1" applyAlignment="1" applyProtection="1">
      <alignment vertical="center" wrapText="1"/>
    </xf>
    <xf numFmtId="0" fontId="44" fillId="2" borderId="24" xfId="0" applyFont="1" applyFill="1" applyBorder="1" applyAlignment="1" applyProtection="1">
      <alignment horizontal="center" vertical="center"/>
      <protection locked="0"/>
    </xf>
    <xf numFmtId="0" fontId="44" fillId="0" borderId="23" xfId="0" applyFont="1" applyBorder="1" applyAlignment="1" applyProtection="1">
      <alignment horizontal="right" vertical="center" wrapText="1"/>
      <protection locked="0"/>
    </xf>
    <xf numFmtId="0" fontId="44" fillId="0" borderId="25" xfId="0" applyFont="1" applyBorder="1" applyAlignment="1" applyProtection="1">
      <alignment horizontal="right" vertical="center" wrapText="1"/>
      <protection locked="0"/>
    </xf>
    <xf numFmtId="0" fontId="47" fillId="7" borderId="0" xfId="0" applyFont="1" applyFill="1" applyAlignment="1" applyProtection="1">
      <alignment vertical="center" wrapText="1"/>
      <protection locked="0"/>
    </xf>
    <xf numFmtId="179" fontId="47" fillId="7" borderId="0" xfId="0" applyNumberFormat="1" applyFont="1" applyFill="1" applyAlignment="1" applyProtection="1">
      <alignment vertical="center"/>
      <protection locked="0"/>
    </xf>
    <xf numFmtId="0" fontId="47" fillId="0" borderId="0" xfId="0" applyFont="1" applyAlignment="1" applyProtection="1">
      <alignment vertical="center" wrapText="1"/>
      <protection locked="0"/>
    </xf>
    <xf numFmtId="179" fontId="47" fillId="0" borderId="0" xfId="0" applyNumberFormat="1" applyFont="1" applyAlignment="1" applyProtection="1">
      <alignment vertical="center"/>
      <protection locked="0"/>
    </xf>
    <xf numFmtId="0" fontId="47" fillId="0" borderId="0" xfId="0" applyFont="1" applyAlignment="1" applyProtection="1">
      <alignment vertical="center" wrapText="1"/>
    </xf>
    <xf numFmtId="179" fontId="47" fillId="0" borderId="0" xfId="0" applyNumberFormat="1" applyFont="1" applyAlignment="1" applyProtection="1">
      <alignment vertical="center"/>
    </xf>
    <xf numFmtId="0" fontId="47" fillId="6" borderId="0" xfId="0" applyFont="1" applyFill="1" applyProtection="1">
      <alignment vertical="center"/>
    </xf>
    <xf numFmtId="0" fontId="47" fillId="5" borderId="0" xfId="0" applyFont="1" applyFill="1" applyProtection="1">
      <alignment vertical="center"/>
      <protection locked="0"/>
    </xf>
    <xf numFmtId="0" fontId="61" fillId="6" borderId="13" xfId="0" applyFont="1" applyFill="1" applyBorder="1" applyProtection="1">
      <alignment vertical="center"/>
    </xf>
    <xf numFmtId="0" fontId="61" fillId="6" borderId="13" xfId="0" applyNumberFormat="1" applyFont="1" applyFill="1" applyBorder="1" applyProtection="1">
      <alignment vertical="center"/>
    </xf>
    <xf numFmtId="0" fontId="61" fillId="5" borderId="13" xfId="0" applyFont="1" applyFill="1" applyBorder="1" applyAlignment="1" applyProtection="1">
      <alignment horizontal="center" vertical="center"/>
      <protection locked="0"/>
    </xf>
    <xf numFmtId="0" fontId="47" fillId="7" borderId="0" xfId="0" applyFont="1" applyFill="1" applyProtection="1">
      <alignment vertical="center"/>
    </xf>
    <xf numFmtId="0" fontId="47" fillId="0" borderId="0" xfId="0" applyFont="1" applyProtection="1">
      <alignment vertical="center"/>
    </xf>
    <xf numFmtId="0" fontId="44" fillId="6" borderId="13" xfId="0" applyFont="1" applyFill="1" applyBorder="1" applyAlignment="1" applyProtection="1">
      <alignment vertical="center" wrapText="1"/>
    </xf>
    <xf numFmtId="0" fontId="44" fillId="6" borderId="13" xfId="0" applyFont="1" applyFill="1" applyBorder="1" applyAlignment="1" applyProtection="1">
      <alignment horizontal="center" vertical="center" wrapText="1"/>
    </xf>
    <xf numFmtId="0" fontId="98" fillId="2" borderId="13" xfId="0" applyFont="1" applyFill="1" applyBorder="1" applyAlignment="1" applyProtection="1">
      <alignment horizontal="center" vertical="center"/>
      <protection locked="0"/>
    </xf>
    <xf numFmtId="0" fontId="47" fillId="6" borderId="54" xfId="0" applyFont="1" applyFill="1" applyBorder="1" applyAlignment="1" applyProtection="1">
      <alignment vertical="center" wrapText="1"/>
    </xf>
    <xf numFmtId="0" fontId="46" fillId="6" borderId="5" xfId="0" applyFont="1" applyFill="1" applyBorder="1" applyAlignment="1" applyProtection="1">
      <alignment horizontal="right" vertical="center"/>
    </xf>
    <xf numFmtId="0" fontId="46" fillId="6" borderId="58" xfId="0" applyFont="1" applyFill="1" applyBorder="1" applyAlignment="1" applyProtection="1">
      <alignment horizontal="right" vertical="center"/>
    </xf>
    <xf numFmtId="0" fontId="44" fillId="6" borderId="0" xfId="0" applyFont="1" applyFill="1" applyProtection="1">
      <alignment vertical="center"/>
    </xf>
    <xf numFmtId="0" fontId="46" fillId="6" borderId="16" xfId="0" applyFont="1" applyFill="1" applyBorder="1" applyAlignment="1" applyProtection="1">
      <alignment vertical="center"/>
    </xf>
    <xf numFmtId="0" fontId="44" fillId="6" borderId="9" xfId="0" applyFont="1" applyFill="1" applyBorder="1" applyAlignment="1" applyProtection="1">
      <alignment vertical="center"/>
    </xf>
    <xf numFmtId="0" fontId="47" fillId="6" borderId="21" xfId="0" applyFont="1" applyFill="1" applyBorder="1" applyAlignment="1" applyProtection="1">
      <alignment vertical="center"/>
    </xf>
    <xf numFmtId="0" fontId="46" fillId="6" borderId="18" xfId="0" applyFont="1" applyFill="1" applyBorder="1" applyAlignment="1" applyProtection="1">
      <alignment vertical="center"/>
    </xf>
    <xf numFmtId="0" fontId="44" fillId="6" borderId="32" xfId="0" applyFont="1" applyFill="1" applyBorder="1" applyProtection="1">
      <alignment vertical="center"/>
    </xf>
    <xf numFmtId="0" fontId="47" fillId="6" borderId="68" xfId="0" applyFont="1" applyFill="1" applyBorder="1" applyAlignment="1" applyProtection="1">
      <alignment vertical="center"/>
    </xf>
    <xf numFmtId="0" fontId="44" fillId="6" borderId="70" xfId="0" applyFont="1" applyFill="1" applyBorder="1" applyProtection="1">
      <alignment vertical="center"/>
    </xf>
    <xf numFmtId="0" fontId="44" fillId="6" borderId="34" xfId="0" applyFont="1" applyFill="1" applyBorder="1" applyProtection="1">
      <alignment vertical="center"/>
    </xf>
    <xf numFmtId="0" fontId="44" fillId="6" borderId="21" xfId="0" applyFont="1" applyFill="1" applyBorder="1" applyAlignment="1" applyProtection="1">
      <alignment horizontal="center" vertical="center"/>
    </xf>
    <xf numFmtId="0" fontId="44" fillId="6" borderId="48" xfId="0" applyFont="1" applyFill="1" applyBorder="1" applyAlignment="1" applyProtection="1">
      <alignment horizontal="center" vertical="center"/>
    </xf>
    <xf numFmtId="0" fontId="100" fillId="0" borderId="23" xfId="0" applyFont="1" applyBorder="1" applyAlignment="1" applyProtection="1">
      <alignment horizontal="center" vertical="center"/>
      <protection locked="0"/>
    </xf>
    <xf numFmtId="0" fontId="47" fillId="0" borderId="0" xfId="0" applyFont="1" applyFill="1" applyProtection="1">
      <alignment vertical="center"/>
    </xf>
    <xf numFmtId="0" fontId="46" fillId="6" borderId="16" xfId="0" applyFont="1" applyFill="1" applyBorder="1" applyAlignment="1" applyProtection="1">
      <alignment horizontal="left" vertical="center"/>
    </xf>
    <xf numFmtId="0" fontId="44" fillId="6" borderId="19" xfId="0" applyFont="1" applyFill="1" applyBorder="1" applyProtection="1">
      <alignment vertical="center"/>
    </xf>
    <xf numFmtId="0" fontId="46" fillId="5" borderId="62" xfId="0" applyFont="1" applyFill="1" applyBorder="1" applyAlignment="1" applyProtection="1">
      <alignment horizontal="right" vertical="center"/>
      <protection locked="0"/>
    </xf>
    <xf numFmtId="0" fontId="47" fillId="6" borderId="5" xfId="0" applyFont="1" applyFill="1" applyBorder="1" applyProtection="1">
      <alignment vertical="center"/>
    </xf>
    <xf numFmtId="0" fontId="46" fillId="5" borderId="1" xfId="0" applyFont="1" applyFill="1" applyBorder="1" applyAlignment="1" applyProtection="1">
      <alignment horizontal="center" vertical="center"/>
      <protection locked="0"/>
    </xf>
    <xf numFmtId="0" fontId="204" fillId="2" borderId="24" xfId="0" applyFont="1" applyFill="1" applyBorder="1" applyAlignment="1" applyProtection="1">
      <alignment horizontal="center" vertical="center"/>
      <protection locked="0"/>
    </xf>
    <xf numFmtId="0" fontId="47" fillId="6" borderId="30" xfId="0" applyFont="1" applyFill="1" applyBorder="1" applyProtection="1">
      <alignment vertical="center"/>
    </xf>
    <xf numFmtId="0" fontId="47" fillId="6" borderId="10" xfId="0" applyFont="1" applyFill="1" applyBorder="1" applyAlignment="1" applyProtection="1">
      <alignment horizontal="center" vertical="center"/>
    </xf>
    <xf numFmtId="0" fontId="46" fillId="6" borderId="69" xfId="0" applyFont="1" applyFill="1" applyBorder="1" applyAlignment="1" applyProtection="1">
      <alignment horizontal="left" vertical="center"/>
    </xf>
    <xf numFmtId="0" fontId="44" fillId="6" borderId="7" xfId="0" applyFont="1" applyFill="1" applyBorder="1" applyAlignment="1" applyProtection="1">
      <alignment horizontal="right" vertical="center"/>
    </xf>
    <xf numFmtId="0" fontId="47" fillId="6" borderId="3" xfId="0" applyFont="1" applyFill="1" applyBorder="1" applyProtection="1">
      <alignment vertical="center"/>
    </xf>
    <xf numFmtId="0" fontId="46" fillId="6" borderId="38" xfId="0" applyFont="1" applyFill="1" applyBorder="1" applyAlignment="1" applyProtection="1">
      <alignment horizontal="left" vertical="center"/>
    </xf>
    <xf numFmtId="0" fontId="44" fillId="6" borderId="66" xfId="0" applyFont="1" applyFill="1" applyBorder="1" applyAlignment="1" applyProtection="1">
      <alignment horizontal="right" vertical="center"/>
    </xf>
    <xf numFmtId="0" fontId="47" fillId="6" borderId="66" xfId="0" applyFont="1" applyFill="1" applyBorder="1" applyProtection="1">
      <alignment vertical="center"/>
    </xf>
    <xf numFmtId="0" fontId="44" fillId="6" borderId="30" xfId="0" applyFont="1" applyFill="1" applyBorder="1" applyAlignment="1" applyProtection="1">
      <alignment horizontal="left" vertical="center"/>
    </xf>
    <xf numFmtId="0" fontId="44" fillId="5" borderId="63" xfId="0" applyFont="1" applyFill="1" applyBorder="1" applyProtection="1">
      <alignment vertical="center"/>
      <protection locked="0"/>
    </xf>
    <xf numFmtId="0" fontId="44" fillId="6" borderId="65" xfId="0" applyFont="1" applyFill="1" applyBorder="1" applyProtection="1">
      <alignment vertical="center"/>
    </xf>
    <xf numFmtId="0" fontId="44" fillId="6" borderId="0" xfId="0" applyFont="1" applyFill="1" applyBorder="1" applyAlignment="1" applyProtection="1">
      <alignment horizontal="left" vertical="center"/>
      <protection locked="0"/>
    </xf>
    <xf numFmtId="0" fontId="44" fillId="6" borderId="66" xfId="0" applyFont="1" applyFill="1" applyBorder="1" applyAlignment="1" applyProtection="1">
      <alignment horizontal="left" vertical="center"/>
    </xf>
    <xf numFmtId="0" fontId="44" fillId="0" borderId="65" xfId="0" applyFont="1" applyFill="1" applyBorder="1" applyProtection="1">
      <alignment vertical="center"/>
      <protection locked="0"/>
    </xf>
    <xf numFmtId="0" fontId="100" fillId="0" borderId="6" xfId="0" applyFont="1" applyFill="1" applyBorder="1" applyAlignment="1" applyProtection="1">
      <alignment horizontal="center" vertical="center"/>
      <protection locked="0"/>
    </xf>
    <xf numFmtId="0" fontId="100" fillId="0" borderId="9" xfId="0" applyFont="1" applyFill="1" applyBorder="1" applyAlignment="1" applyProtection="1">
      <alignment horizontal="center" vertical="center"/>
      <protection locked="0"/>
    </xf>
    <xf numFmtId="0" fontId="100" fillId="0" borderId="10" xfId="0" applyFont="1" applyFill="1" applyBorder="1" applyAlignment="1" applyProtection="1">
      <alignment horizontal="center" vertical="center"/>
      <protection locked="0"/>
    </xf>
    <xf numFmtId="0" fontId="47" fillId="6" borderId="18" xfId="0" applyFont="1" applyFill="1" applyBorder="1" applyProtection="1">
      <alignment vertical="center"/>
    </xf>
    <xf numFmtId="0" fontId="47" fillId="6" borderId="42" xfId="0" applyFont="1" applyFill="1" applyBorder="1" applyProtection="1">
      <alignment vertical="center"/>
    </xf>
    <xf numFmtId="0" fontId="113" fillId="6" borderId="0" xfId="0" applyFont="1" applyFill="1" applyBorder="1" applyAlignment="1" applyProtection="1">
      <alignment horizontal="center" vertical="center"/>
    </xf>
    <xf numFmtId="0" fontId="113" fillId="6" borderId="0" xfId="0" applyFont="1" applyFill="1" applyProtection="1">
      <alignment vertical="center"/>
    </xf>
    <xf numFmtId="0" fontId="103" fillId="6" borderId="0" xfId="0" applyFont="1" applyFill="1" applyBorder="1" applyAlignment="1" applyProtection="1">
      <alignment horizontal="left" vertical="center"/>
    </xf>
    <xf numFmtId="0" fontId="205" fillId="6" borderId="0" xfId="0" applyFont="1" applyFill="1" applyBorder="1" applyAlignment="1" applyProtection="1">
      <alignment horizontal="left" vertical="center"/>
    </xf>
    <xf numFmtId="0" fontId="225" fillId="6" borderId="0" xfId="0" applyFont="1" applyFill="1" applyBorder="1" applyAlignment="1" applyProtection="1">
      <alignment vertical="center"/>
    </xf>
    <xf numFmtId="0" fontId="225" fillId="6" borderId="0" xfId="0" applyFont="1" applyFill="1" applyBorder="1" applyAlignment="1" applyProtection="1">
      <alignment horizontal="center" vertical="center"/>
    </xf>
    <xf numFmtId="0" fontId="102" fillId="6" borderId="0" xfId="0" applyFont="1" applyFill="1" applyBorder="1" applyAlignment="1" applyProtection="1">
      <alignment horizontal="left" vertical="center"/>
    </xf>
    <xf numFmtId="0" fontId="98" fillId="6" borderId="0" xfId="0" applyFont="1" applyFill="1" applyBorder="1" applyProtection="1">
      <alignment vertical="center"/>
    </xf>
    <xf numFmtId="9" fontId="47" fillId="6" borderId="0" xfId="0" applyNumberFormat="1" applyFont="1" applyFill="1" applyAlignment="1" applyProtection="1">
      <alignment horizontal="center" vertical="center"/>
      <protection locked="0"/>
    </xf>
    <xf numFmtId="10" fontId="47" fillId="6" borderId="0" xfId="0" applyNumberFormat="1" applyFont="1" applyFill="1" applyAlignment="1" applyProtection="1">
      <alignment horizontal="center" vertical="center"/>
      <protection locked="0"/>
    </xf>
    <xf numFmtId="0" fontId="47" fillId="6" borderId="0" xfId="0" applyFont="1" applyFill="1" applyBorder="1" applyAlignment="1" applyProtection="1">
      <alignment horizontal="center" vertical="center" wrapText="1"/>
      <protection locked="0"/>
    </xf>
    <xf numFmtId="0" fontId="47" fillId="6" borderId="0" xfId="0" applyFont="1" applyFill="1" applyBorder="1" applyAlignment="1" applyProtection="1">
      <alignment horizontal="left" vertical="center" wrapText="1"/>
    </xf>
    <xf numFmtId="0" fontId="47" fillId="6" borderId="0" xfId="0"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wrapText="1"/>
    </xf>
    <xf numFmtId="0" fontId="54" fillId="6" borderId="0" xfId="0" applyFont="1" applyFill="1" applyBorder="1" applyAlignment="1" applyProtection="1">
      <alignment horizontal="left" vertical="center" wrapText="1"/>
    </xf>
    <xf numFmtId="177" fontId="54" fillId="6" borderId="0" xfId="0" applyNumberFormat="1" applyFont="1" applyFill="1" applyBorder="1" applyAlignment="1" applyProtection="1">
      <alignment horizontal="center" vertical="center" wrapText="1"/>
    </xf>
    <xf numFmtId="10" fontId="53" fillId="6" borderId="0" xfId="0" applyNumberFormat="1" applyFont="1" applyFill="1" applyBorder="1" applyAlignment="1" applyProtection="1">
      <alignment horizontal="center" vertical="center" wrapText="1"/>
    </xf>
    <xf numFmtId="0" fontId="47" fillId="6" borderId="0" xfId="0" applyFont="1" applyFill="1" applyBorder="1" applyAlignment="1" applyProtection="1">
      <alignment horizontal="left" vertical="center"/>
    </xf>
    <xf numFmtId="0" fontId="47" fillId="6" borderId="0" xfId="2" applyFont="1" applyFill="1" applyBorder="1" applyAlignment="1" applyProtection="1">
      <alignment horizontal="left" vertical="center" wrapText="1"/>
    </xf>
    <xf numFmtId="0" fontId="98" fillId="0" borderId="0" xfId="0" applyFont="1" applyFill="1" applyProtection="1">
      <alignment vertical="center"/>
    </xf>
    <xf numFmtId="0" fontId="98" fillId="7" borderId="0" xfId="0" applyFont="1" applyFill="1" applyProtection="1">
      <alignment vertical="center"/>
      <protection locked="0"/>
    </xf>
    <xf numFmtId="0" fontId="98" fillId="7" borderId="0" xfId="0" applyFont="1" applyFill="1" applyProtection="1">
      <alignment vertical="center"/>
    </xf>
    <xf numFmtId="0" fontId="98" fillId="6" borderId="0" xfId="2" applyFont="1" applyFill="1" applyAlignment="1" applyProtection="1">
      <alignment vertical="center" wrapText="1"/>
      <protection locked="0"/>
    </xf>
    <xf numFmtId="0" fontId="98" fillId="6" borderId="0" xfId="0" applyFont="1" applyFill="1" applyProtection="1">
      <alignment vertical="center"/>
      <protection locked="0"/>
    </xf>
    <xf numFmtId="0" fontId="47" fillId="2" borderId="54" xfId="0" applyFont="1" applyFill="1" applyBorder="1" applyAlignment="1" applyProtection="1">
      <alignment horizontal="left" vertical="center" wrapText="1"/>
      <protection locked="0"/>
    </xf>
    <xf numFmtId="0" fontId="98" fillId="6" borderId="0" xfId="2" applyFont="1" applyFill="1" applyProtection="1">
      <protection locked="0"/>
    </xf>
    <xf numFmtId="10" fontId="47" fillId="2" borderId="48" xfId="0" applyNumberFormat="1" applyFont="1" applyFill="1" applyBorder="1" applyAlignment="1" applyProtection="1">
      <alignment horizontal="left" vertical="center" wrapText="1"/>
      <protection locked="0"/>
    </xf>
    <xf numFmtId="10" fontId="47" fillId="5" borderId="48" xfId="0" applyNumberFormat="1" applyFont="1" applyFill="1" applyBorder="1" applyAlignment="1" applyProtection="1">
      <alignment horizontal="left" vertical="center" wrapText="1"/>
      <protection locked="0"/>
    </xf>
    <xf numFmtId="0" fontId="98" fillId="0" borderId="23" xfId="0" applyFont="1" applyFill="1" applyBorder="1" applyProtection="1">
      <alignment vertical="center"/>
      <protection locked="0"/>
    </xf>
    <xf numFmtId="0" fontId="125" fillId="6" borderId="1" xfId="0" applyFont="1" applyFill="1" applyBorder="1" applyAlignment="1" applyProtection="1">
      <alignment vertical="center" wrapText="1"/>
    </xf>
    <xf numFmtId="0" fontId="104" fillId="6" borderId="1" xfId="0" applyFont="1" applyFill="1" applyBorder="1" applyAlignment="1" applyProtection="1">
      <alignment vertical="center" wrapText="1"/>
    </xf>
    <xf numFmtId="0" fontId="44" fillId="6" borderId="23" xfId="0" applyFont="1" applyFill="1" applyBorder="1" applyAlignment="1" applyProtection="1">
      <alignment horizontal="left" vertical="center"/>
    </xf>
    <xf numFmtId="0" fontId="125" fillId="6" borderId="32" xfId="0" applyFont="1" applyFill="1" applyBorder="1" applyAlignment="1" applyProtection="1">
      <alignment vertical="center" wrapText="1"/>
    </xf>
    <xf numFmtId="0" fontId="131" fillId="0" borderId="46" xfId="0" applyFont="1" applyBorder="1" applyAlignment="1" applyProtection="1">
      <alignment horizontal="left" vertical="center"/>
    </xf>
    <xf numFmtId="0" fontId="47" fillId="0" borderId="36" xfId="0" applyFont="1" applyBorder="1" applyAlignment="1" applyProtection="1">
      <alignment horizontal="left" vertical="center" wrapText="1"/>
    </xf>
    <xf numFmtId="0" fontId="56" fillId="5" borderId="36" xfId="0" applyFont="1" applyFill="1" applyBorder="1" applyAlignment="1" applyProtection="1">
      <alignment horizontal="left" vertical="center" wrapText="1"/>
      <protection locked="0"/>
    </xf>
    <xf numFmtId="0" fontId="47" fillId="7" borderId="36" xfId="0" applyFont="1" applyFill="1" applyBorder="1" applyAlignment="1" applyProtection="1">
      <alignment horizontal="center" vertical="center" wrapText="1"/>
    </xf>
    <xf numFmtId="0" fontId="47" fillId="7" borderId="36" xfId="0" applyFont="1" applyFill="1" applyBorder="1" applyAlignment="1" applyProtection="1">
      <alignment horizontal="center" vertical="center"/>
    </xf>
    <xf numFmtId="0" fontId="47" fillId="7" borderId="22" xfId="0" applyFont="1" applyFill="1" applyBorder="1" applyProtection="1">
      <alignment vertical="center"/>
    </xf>
    <xf numFmtId="0" fontId="47" fillId="7" borderId="58"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center" vertical="center" wrapText="1"/>
      <protection locked="0"/>
    </xf>
    <xf numFmtId="0" fontId="47" fillId="7" borderId="0" xfId="0" applyFont="1" applyFill="1" applyBorder="1" applyAlignment="1" applyProtection="1">
      <alignment horizontal="center" vertical="center"/>
      <protection locked="0"/>
    </xf>
    <xf numFmtId="0" fontId="47" fillId="7" borderId="35" xfId="0" applyFont="1" applyFill="1" applyBorder="1" applyProtection="1">
      <alignment vertical="center"/>
      <protection locked="0"/>
    </xf>
    <xf numFmtId="0" fontId="47" fillId="7" borderId="4"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center" vertical="center" wrapText="1"/>
      <protection locked="0"/>
    </xf>
    <xf numFmtId="0" fontId="47" fillId="7" borderId="60" xfId="0" applyFont="1" applyFill="1" applyBorder="1" applyAlignment="1" applyProtection="1">
      <alignment horizontal="center" vertical="center"/>
      <protection locked="0"/>
    </xf>
    <xf numFmtId="0" fontId="47" fillId="7" borderId="7" xfId="0" applyFont="1" applyFill="1" applyBorder="1" applyProtection="1">
      <alignment vertical="center"/>
      <protection locked="0"/>
    </xf>
    <xf numFmtId="0" fontId="52" fillId="7" borderId="60" xfId="0" applyFont="1" applyFill="1" applyBorder="1" applyAlignment="1" applyProtection="1">
      <alignment horizontal="left" vertical="center"/>
      <protection locked="0"/>
    </xf>
    <xf numFmtId="0" fontId="47" fillId="7" borderId="60" xfId="0" applyFont="1" applyFill="1" applyBorder="1" applyProtection="1">
      <alignment vertical="center"/>
      <protection locked="0"/>
    </xf>
    <xf numFmtId="0" fontId="47" fillId="7" borderId="60" xfId="0" applyFont="1" applyFill="1" applyBorder="1" applyAlignment="1" applyProtection="1">
      <alignment horizontal="right" vertical="center"/>
      <protection locked="0"/>
    </xf>
    <xf numFmtId="0" fontId="52" fillId="7" borderId="0" xfId="0" applyFont="1" applyFill="1" applyAlignment="1" applyProtection="1">
      <alignment horizontal="left" vertical="center"/>
      <protection locked="0"/>
    </xf>
    <xf numFmtId="2" fontId="47" fillId="7" borderId="0" xfId="0" applyNumberFormat="1" applyFont="1" applyFill="1" applyAlignment="1" applyProtection="1">
      <alignment vertical="center" wrapText="1"/>
      <protection locked="0"/>
    </xf>
    <xf numFmtId="0" fontId="52" fillId="7" borderId="0" xfId="0" applyFont="1" applyFill="1" applyAlignment="1" applyProtection="1">
      <alignment vertical="center" wrapText="1"/>
      <protection locked="0"/>
    </xf>
    <xf numFmtId="0" fontId="54" fillId="5" borderId="5" xfId="1" applyFont="1" applyFill="1" applyBorder="1" applyAlignment="1" applyProtection="1">
      <alignment vertical="center"/>
      <protection locked="0"/>
    </xf>
    <xf numFmtId="0" fontId="57" fillId="6" borderId="3" xfId="1" applyFont="1" applyFill="1" applyBorder="1" applyAlignment="1" applyProtection="1">
      <alignment vertical="center"/>
    </xf>
    <xf numFmtId="0" fontId="57" fillId="5" borderId="1" xfId="1" applyFont="1" applyFill="1" applyBorder="1" applyAlignment="1" applyProtection="1">
      <alignment vertical="center"/>
      <protection locked="0"/>
    </xf>
    <xf numFmtId="0" fontId="54" fillId="5" borderId="24" xfId="1" applyFont="1" applyFill="1" applyBorder="1" applyAlignment="1" applyProtection="1">
      <alignment horizontal="left" vertical="center"/>
      <protection locked="0"/>
    </xf>
    <xf numFmtId="0" fontId="139" fillId="5" borderId="24" xfId="1" applyFont="1" applyFill="1" applyBorder="1" applyAlignment="1" applyProtection="1">
      <alignment horizontal="right" vertical="center"/>
      <protection locked="0"/>
    </xf>
    <xf numFmtId="0" fontId="139" fillId="3" borderId="0" xfId="0" applyFont="1" applyFill="1" applyAlignment="1" applyProtection="1">
      <alignment vertical="center"/>
      <protection locked="0"/>
    </xf>
    <xf numFmtId="0" fontId="131" fillId="6" borderId="19" xfId="1" applyFont="1" applyFill="1" applyBorder="1" applyAlignment="1" applyProtection="1">
      <alignment vertical="center"/>
    </xf>
    <xf numFmtId="185" fontId="47" fillId="5" borderId="1" xfId="0" applyNumberFormat="1" applyFont="1" applyFill="1" applyBorder="1" applyAlignment="1" applyProtection="1">
      <alignment horizontal="center" vertical="center" wrapText="1"/>
      <protection locked="0"/>
    </xf>
    <xf numFmtId="49" fontId="47" fillId="6" borderId="11" xfId="0" applyNumberFormat="1" applyFont="1" applyFill="1" applyBorder="1" applyAlignment="1" applyProtection="1">
      <alignment horizontal="center" vertical="center"/>
    </xf>
    <xf numFmtId="0" fontId="139" fillId="5" borderId="5" xfId="1" applyFont="1" applyFill="1" applyBorder="1" applyAlignment="1" applyProtection="1">
      <alignment horizontal="right" vertical="center"/>
      <protection locked="0"/>
    </xf>
    <xf numFmtId="0" fontId="52" fillId="6" borderId="54" xfId="0" applyFont="1" applyFill="1" applyBorder="1" applyAlignment="1" applyProtection="1">
      <alignment vertical="center"/>
    </xf>
    <xf numFmtId="0" fontId="47" fillId="6" borderId="5" xfId="0" applyFont="1" applyFill="1" applyBorder="1" applyAlignment="1" applyProtection="1"/>
    <xf numFmtId="0" fontId="46" fillId="6" borderId="1" xfId="1" applyFont="1" applyFill="1" applyBorder="1" applyAlignment="1" applyProtection="1">
      <alignment vertical="center" wrapText="1"/>
    </xf>
    <xf numFmtId="49" fontId="47" fillId="6" borderId="25" xfId="0" applyNumberFormat="1" applyFont="1" applyFill="1" applyBorder="1" applyAlignment="1" applyProtection="1">
      <alignment horizontal="center" vertical="center"/>
    </xf>
    <xf numFmtId="49" fontId="101" fillId="6" borderId="51" xfId="0" applyNumberFormat="1" applyFont="1" applyFill="1" applyBorder="1" applyAlignment="1" applyProtection="1"/>
    <xf numFmtId="0" fontId="98" fillId="6" borderId="19" xfId="0" applyFont="1" applyFill="1" applyBorder="1">
      <alignment vertical="center"/>
    </xf>
    <xf numFmtId="0" fontId="98" fillId="6" borderId="31" xfId="0" applyFont="1" applyFill="1" applyBorder="1">
      <alignment vertical="center"/>
    </xf>
    <xf numFmtId="0" fontId="57" fillId="6" borderId="23" xfId="1" applyFont="1" applyFill="1" applyBorder="1" applyAlignment="1" applyProtection="1">
      <alignment vertical="center"/>
    </xf>
    <xf numFmtId="0" fontId="98" fillId="6" borderId="5" xfId="0" applyFont="1" applyFill="1" applyBorder="1">
      <alignment vertical="center"/>
    </xf>
    <xf numFmtId="0" fontId="98" fillId="6" borderId="3" xfId="0" applyFont="1" applyFill="1" applyBorder="1">
      <alignment vertical="center"/>
    </xf>
    <xf numFmtId="0" fontId="204" fillId="6" borderId="1" xfId="0" applyFont="1" applyFill="1" applyBorder="1">
      <alignment vertical="center"/>
    </xf>
    <xf numFmtId="0" fontId="204" fillId="6" borderId="5" xfId="0" applyFont="1" applyFill="1" applyBorder="1" applyAlignment="1" applyProtection="1">
      <alignment horizontal="center" vertical="center"/>
    </xf>
    <xf numFmtId="0" fontId="98" fillId="6" borderId="1" xfId="0" applyFont="1" applyFill="1" applyBorder="1" applyAlignment="1">
      <alignment horizontal="center" vertical="center"/>
    </xf>
    <xf numFmtId="0" fontId="98" fillId="5" borderId="1" xfId="0" applyFont="1" applyFill="1" applyBorder="1" applyAlignment="1" applyProtection="1">
      <alignment horizontal="center" vertical="center"/>
      <protection locked="0"/>
    </xf>
    <xf numFmtId="0" fontId="98" fillId="6" borderId="66" xfId="0" applyFont="1" applyFill="1" applyBorder="1">
      <alignment vertical="center"/>
    </xf>
    <xf numFmtId="0" fontId="62" fillId="6" borderId="85" xfId="0" applyFont="1" applyFill="1" applyBorder="1" applyAlignment="1" applyProtection="1">
      <alignment horizontal="right" vertical="center"/>
    </xf>
    <xf numFmtId="0" fontId="62" fillId="5" borderId="78" xfId="0" applyFont="1" applyFill="1" applyBorder="1" applyAlignment="1" applyProtection="1">
      <alignment horizontal="center" vertical="center"/>
      <protection locked="0"/>
    </xf>
    <xf numFmtId="0" fontId="62" fillId="6" borderId="89" xfId="0" applyFont="1" applyFill="1" applyBorder="1" applyAlignment="1" applyProtection="1">
      <alignment horizontal="center" vertical="center"/>
    </xf>
    <xf numFmtId="0" fontId="54" fillId="5" borderId="4" xfId="1" applyFont="1" applyFill="1" applyBorder="1" applyAlignment="1" applyProtection="1">
      <alignment vertical="center"/>
      <protection locked="0"/>
    </xf>
    <xf numFmtId="0" fontId="57" fillId="6" borderId="7" xfId="1" applyFont="1" applyFill="1" applyBorder="1" applyAlignment="1" applyProtection="1">
      <alignment vertical="center"/>
      <protection locked="0"/>
    </xf>
    <xf numFmtId="0" fontId="57" fillId="5" borderId="2" xfId="1" applyFont="1" applyFill="1" applyBorder="1" applyAlignment="1" applyProtection="1">
      <alignment vertical="center"/>
      <protection locked="0"/>
    </xf>
    <xf numFmtId="188" fontId="57" fillId="6" borderId="0" xfId="0" applyNumberFormat="1" applyFont="1" applyFill="1" applyBorder="1" applyAlignment="1" applyProtection="1">
      <alignment horizontal="center" vertical="center"/>
      <protection locked="0"/>
    </xf>
    <xf numFmtId="0" fontId="57" fillId="6" borderId="18" xfId="0" applyFont="1" applyFill="1" applyBorder="1" applyAlignment="1" applyProtection="1">
      <alignment horizontal="center" vertical="center"/>
    </xf>
    <xf numFmtId="0" fontId="57" fillId="6" borderId="0" xfId="0" applyFont="1" applyFill="1" applyBorder="1" applyAlignment="1" applyProtection="1">
      <alignment horizontal="center" vertical="center"/>
    </xf>
    <xf numFmtId="0" fontId="58" fillId="6" borderId="0" xfId="0" applyFont="1" applyFill="1" applyBorder="1" applyAlignment="1" applyProtection="1">
      <alignment horizontal="center" vertical="center"/>
    </xf>
    <xf numFmtId="0" fontId="230" fillId="6" borderId="0" xfId="0" applyFont="1" applyFill="1" applyBorder="1" applyAlignment="1" applyProtection="1">
      <alignment vertical="center"/>
      <protection locked="0"/>
    </xf>
    <xf numFmtId="188" fontId="44" fillId="6" borderId="21" xfId="0" applyNumberFormat="1" applyFont="1" applyFill="1" applyBorder="1" applyAlignment="1" applyProtection="1">
      <alignment horizontal="center" vertical="center" wrapText="1"/>
    </xf>
    <xf numFmtId="188" fontId="44" fillId="6" borderId="48" xfId="0" applyNumberFormat="1" applyFont="1" applyFill="1" applyBorder="1" applyAlignment="1" applyProtection="1">
      <alignment horizontal="center" vertical="center" wrapText="1"/>
    </xf>
    <xf numFmtId="0" fontId="44" fillId="6" borderId="48" xfId="0" applyNumberFormat="1" applyFont="1" applyFill="1" applyBorder="1" applyAlignment="1" applyProtection="1">
      <alignment horizontal="center" vertical="center" wrapText="1"/>
    </xf>
    <xf numFmtId="0" fontId="44" fillId="0" borderId="46" xfId="0" applyFont="1" applyFill="1" applyBorder="1" applyAlignment="1" applyProtection="1">
      <alignment horizontal="center" vertical="center" wrapText="1"/>
      <protection locked="0"/>
    </xf>
    <xf numFmtId="0" fontId="58" fillId="6" borderId="48" xfId="0" applyNumberFormat="1" applyFont="1" applyFill="1" applyBorder="1" applyAlignment="1" applyProtection="1">
      <alignment horizontal="center" vertical="center" wrapText="1"/>
    </xf>
    <xf numFmtId="0" fontId="44" fillId="0" borderId="33" xfId="0" applyFont="1" applyFill="1" applyBorder="1" applyAlignment="1" applyProtection="1">
      <alignment horizontal="center" vertical="center" wrapText="1"/>
      <protection locked="0"/>
    </xf>
    <xf numFmtId="49" fontId="51" fillId="6" borderId="40" xfId="0" applyNumberFormat="1" applyFont="1" applyFill="1" applyBorder="1" applyAlignment="1" applyProtection="1">
      <alignment horizontal="center" vertical="center" wrapText="1"/>
    </xf>
    <xf numFmtId="49" fontId="51" fillId="2" borderId="41" xfId="0" applyNumberFormat="1" applyFont="1" applyFill="1" applyBorder="1" applyAlignment="1" applyProtection="1">
      <alignment horizontal="center" vertical="center" wrapText="1"/>
      <protection locked="0"/>
    </xf>
    <xf numFmtId="49" fontId="51" fillId="2" borderId="7" xfId="0" applyNumberFormat="1" applyFont="1" applyFill="1" applyBorder="1" applyAlignment="1" applyProtection="1">
      <alignment horizontal="center" vertical="center" wrapText="1"/>
      <protection locked="0"/>
    </xf>
    <xf numFmtId="0" fontId="58" fillId="6" borderId="50" xfId="0" applyNumberFormat="1" applyFont="1" applyFill="1" applyBorder="1" applyAlignment="1" applyProtection="1">
      <alignment horizontal="center" vertical="center" wrapText="1"/>
    </xf>
    <xf numFmtId="0" fontId="51" fillId="6" borderId="11" xfId="0" applyNumberFormat="1" applyFont="1" applyFill="1" applyBorder="1" applyAlignment="1" applyProtection="1">
      <alignment horizontal="center" vertical="center" wrapText="1"/>
    </xf>
    <xf numFmtId="0" fontId="51" fillId="2" borderId="14" xfId="0" applyNumberFormat="1" applyFont="1" applyFill="1" applyBorder="1" applyAlignment="1" applyProtection="1">
      <alignment horizontal="center" vertical="center" wrapText="1"/>
      <protection locked="0"/>
    </xf>
    <xf numFmtId="49" fontId="51" fillId="2" borderId="14" xfId="0" applyNumberFormat="1" applyFont="1" applyFill="1" applyBorder="1" applyAlignment="1" applyProtection="1">
      <alignment horizontal="center" vertical="center" wrapText="1"/>
      <protection locked="0"/>
    </xf>
    <xf numFmtId="49" fontId="51" fillId="2" borderId="35" xfId="0" applyNumberFormat="1" applyFont="1" applyFill="1" applyBorder="1" applyAlignment="1" applyProtection="1">
      <alignment horizontal="center" vertical="center" wrapText="1"/>
      <protection locked="0"/>
    </xf>
    <xf numFmtId="0" fontId="51" fillId="2" borderId="7" xfId="0" applyNumberFormat="1" applyFont="1" applyFill="1" applyBorder="1" applyAlignment="1" applyProtection="1">
      <alignment horizontal="center" vertical="center" wrapText="1"/>
      <protection locked="0"/>
    </xf>
    <xf numFmtId="0" fontId="58" fillId="6" borderId="80" xfId="0" applyNumberFormat="1" applyFont="1" applyFill="1" applyBorder="1" applyAlignment="1" applyProtection="1">
      <alignment horizontal="center" vertical="center" wrapText="1"/>
    </xf>
    <xf numFmtId="49" fontId="51" fillId="2" borderId="23" xfId="0" applyNumberFormat="1" applyFont="1" applyFill="1" applyBorder="1" applyAlignment="1" applyProtection="1">
      <alignment horizontal="center" vertical="center" wrapText="1"/>
      <protection locked="0"/>
    </xf>
    <xf numFmtId="49" fontId="51" fillId="2" borderId="3" xfId="0" applyNumberFormat="1" applyFont="1" applyFill="1" applyBorder="1" applyAlignment="1" applyProtection="1">
      <alignment horizontal="center" vertical="center" wrapText="1"/>
      <protection locked="0"/>
    </xf>
    <xf numFmtId="0" fontId="51" fillId="0" borderId="54" xfId="0" applyNumberFormat="1" applyFont="1" applyFill="1" applyBorder="1" applyAlignment="1" applyProtection="1">
      <alignment horizontal="center" vertical="center" wrapText="1"/>
      <protection locked="0"/>
    </xf>
    <xf numFmtId="0" fontId="51" fillId="0" borderId="52" xfId="0" applyNumberFormat="1" applyFont="1" applyFill="1" applyBorder="1" applyAlignment="1" applyProtection="1">
      <alignment horizontal="center" vertical="center" wrapText="1"/>
      <protection locked="0"/>
    </xf>
    <xf numFmtId="0" fontId="51" fillId="2" borderId="6" xfId="0" applyFont="1" applyFill="1" applyBorder="1" applyAlignment="1" applyProtection="1">
      <alignment horizontal="center" vertical="center" wrapText="1"/>
      <protection locked="0"/>
    </xf>
    <xf numFmtId="0" fontId="51" fillId="2" borderId="23" xfId="0" applyFont="1" applyFill="1" applyBorder="1" applyAlignment="1" applyProtection="1">
      <alignment horizontal="center" vertical="center" wrapText="1"/>
      <protection locked="0"/>
    </xf>
    <xf numFmtId="188" fontId="51" fillId="6" borderId="48" xfId="0" applyNumberFormat="1" applyFont="1" applyFill="1" applyBorder="1" applyAlignment="1" applyProtection="1">
      <alignment horizontal="center" vertical="center"/>
    </xf>
    <xf numFmtId="188" fontId="51" fillId="6" borderId="49" xfId="0" applyNumberFormat="1" applyFont="1" applyFill="1" applyBorder="1" applyAlignment="1" applyProtection="1">
      <alignment horizontal="center" vertical="center" wrapText="1"/>
    </xf>
    <xf numFmtId="0" fontId="51" fillId="0" borderId="18" xfId="0" applyFont="1" applyFill="1" applyBorder="1" applyAlignment="1" applyProtection="1">
      <alignment horizontal="center" vertical="center"/>
      <protection locked="0"/>
    </xf>
    <xf numFmtId="0" fontId="68" fillId="0" borderId="18" xfId="0" applyFont="1" applyFill="1" applyBorder="1" applyAlignment="1" applyProtection="1">
      <alignment horizontal="center" vertical="center"/>
      <protection locked="0"/>
    </xf>
    <xf numFmtId="0" fontId="51" fillId="0" borderId="18" xfId="0" applyFont="1" applyBorder="1" applyAlignment="1" applyProtection="1">
      <protection locked="0"/>
    </xf>
    <xf numFmtId="0" fontId="46" fillId="6" borderId="0" xfId="0" applyNumberFormat="1" applyFont="1" applyFill="1" applyBorder="1" applyAlignment="1" applyProtection="1">
      <alignment vertical="center" wrapText="1"/>
    </xf>
    <xf numFmtId="9" fontId="44" fillId="0" borderId="18" xfId="0" applyNumberFormat="1" applyFont="1" applyFill="1" applyBorder="1" applyAlignment="1" applyProtection="1">
      <alignment horizontal="center" vertical="center" wrapText="1"/>
      <protection locked="0"/>
    </xf>
    <xf numFmtId="0" fontId="98" fillId="0" borderId="18" xfId="0" applyFont="1" applyFill="1" applyBorder="1" applyAlignment="1" applyProtection="1">
      <alignment vertical="center"/>
      <protection locked="0"/>
    </xf>
    <xf numFmtId="0" fontId="44"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protection locked="0"/>
    </xf>
    <xf numFmtId="0" fontId="49" fillId="0" borderId="18" xfId="0" applyFont="1" applyFill="1" applyBorder="1" applyAlignment="1" applyProtection="1">
      <alignment vertical="center" wrapText="1"/>
      <protection locked="0"/>
    </xf>
    <xf numFmtId="0" fontId="44" fillId="0" borderId="18" xfId="0" applyFont="1" applyFill="1" applyBorder="1" applyAlignment="1" applyProtection="1">
      <alignment vertical="center" wrapText="1"/>
      <protection locked="0"/>
    </xf>
    <xf numFmtId="0" fontId="44" fillId="0" borderId="83" xfId="0" applyNumberFormat="1" applyFont="1" applyFill="1" applyBorder="1" applyAlignment="1" applyProtection="1">
      <alignment horizontal="center" vertical="center"/>
      <protection locked="0"/>
    </xf>
    <xf numFmtId="0" fontId="50" fillId="6" borderId="1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98" fillId="6" borderId="16" xfId="0" applyFont="1" applyFill="1" applyBorder="1" applyAlignment="1" applyProtection="1">
      <alignment horizontal="center" vertical="center"/>
    </xf>
    <xf numFmtId="0" fontId="58" fillId="6" borderId="19" xfId="0" applyFont="1" applyFill="1" applyBorder="1" applyAlignment="1" applyProtection="1">
      <alignment horizontal="center" vertical="center"/>
    </xf>
    <xf numFmtId="0" fontId="51" fillId="6" borderId="19" xfId="0" applyFont="1" applyFill="1" applyBorder="1" applyAlignment="1" applyProtection="1">
      <alignment horizontal="center" vertical="center"/>
    </xf>
    <xf numFmtId="0" fontId="51" fillId="6" borderId="31" xfId="0" applyFont="1" applyFill="1" applyBorder="1" applyAlignment="1" applyProtection="1">
      <alignment horizontal="center" vertical="center"/>
    </xf>
    <xf numFmtId="0" fontId="98" fillId="6" borderId="19" xfId="0" applyFont="1" applyFill="1" applyBorder="1" applyAlignment="1" applyProtection="1">
      <alignment horizontal="center" vertical="center"/>
    </xf>
    <xf numFmtId="0" fontId="58" fillId="6" borderId="31" xfId="0" applyFont="1" applyFill="1" applyBorder="1" applyAlignment="1" applyProtection="1">
      <alignment horizontal="center" vertical="center"/>
    </xf>
    <xf numFmtId="0" fontId="58" fillId="6" borderId="69" xfId="0" applyFont="1" applyFill="1" applyBorder="1" applyProtection="1">
      <alignment vertical="center"/>
    </xf>
    <xf numFmtId="0" fontId="98" fillId="6" borderId="5" xfId="0" applyFont="1" applyFill="1" applyBorder="1" applyAlignment="1" applyProtection="1">
      <alignment horizontal="center" vertical="center"/>
    </xf>
    <xf numFmtId="0" fontId="98" fillId="6" borderId="92" xfId="0" applyFont="1" applyFill="1" applyBorder="1" applyAlignment="1" applyProtection="1">
      <alignment horizontal="center" vertical="center"/>
    </xf>
    <xf numFmtId="0" fontId="58" fillId="6" borderId="60" xfId="0" applyFont="1" applyFill="1" applyBorder="1" applyAlignment="1" applyProtection="1">
      <alignment horizontal="center" vertical="center"/>
    </xf>
    <xf numFmtId="0" fontId="98" fillId="0" borderId="2" xfId="0" applyFont="1" applyBorder="1" applyAlignment="1" applyProtection="1">
      <alignment horizontal="center" vertical="center"/>
      <protection locked="0"/>
    </xf>
    <xf numFmtId="0" fontId="98" fillId="6" borderId="7" xfId="0" applyFont="1" applyFill="1" applyBorder="1" applyAlignment="1" applyProtection="1">
      <alignment horizontal="center" vertical="center"/>
    </xf>
    <xf numFmtId="0" fontId="98" fillId="6"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6" borderId="25" xfId="0" applyFont="1" applyFill="1" applyBorder="1" applyAlignment="1" applyProtection="1">
      <alignment horizontal="center" vertical="center"/>
    </xf>
    <xf numFmtId="0" fontId="58" fillId="6" borderId="94" xfId="0" applyFont="1" applyFill="1" applyBorder="1" applyAlignment="1" applyProtection="1">
      <alignment horizontal="left" vertical="center"/>
    </xf>
    <xf numFmtId="0" fontId="51" fillId="6" borderId="47" xfId="0" applyFont="1" applyFill="1" applyBorder="1" applyAlignment="1" applyProtection="1">
      <alignment horizontal="center" vertical="center"/>
    </xf>
    <xf numFmtId="0" fontId="51" fillId="6" borderId="43" xfId="0" applyFont="1" applyFill="1" applyBorder="1" applyAlignment="1" applyProtection="1">
      <alignment horizontal="center" vertical="center"/>
    </xf>
    <xf numFmtId="0" fontId="98" fillId="6" borderId="66" xfId="0" applyFont="1" applyFill="1" applyBorder="1" applyAlignment="1" applyProtection="1">
      <alignment horizontal="center" vertical="center"/>
    </xf>
    <xf numFmtId="0" fontId="62" fillId="6" borderId="89" xfId="0" applyFont="1" applyFill="1" applyBorder="1" applyAlignment="1" applyProtection="1">
      <alignment horizontal="center" vertical="center"/>
      <protection locked="0"/>
    </xf>
    <xf numFmtId="0" fontId="62" fillId="6" borderId="87" xfId="0" applyFont="1" applyFill="1" applyBorder="1" applyAlignment="1" applyProtection="1">
      <alignment horizontal="center" vertical="center"/>
      <protection locked="0"/>
    </xf>
    <xf numFmtId="0" fontId="63" fillId="6" borderId="87" xfId="0" applyFont="1" applyFill="1" applyBorder="1" applyAlignment="1" applyProtection="1">
      <alignment horizontal="center" vertical="center"/>
      <protection locked="0"/>
    </xf>
    <xf numFmtId="0" fontId="62" fillId="6" borderId="18" xfId="0" applyFont="1" applyFill="1" applyBorder="1" applyAlignment="1" applyProtection="1">
      <alignment horizontal="center" vertical="center"/>
      <protection locked="0"/>
    </xf>
    <xf numFmtId="0" fontId="63" fillId="6" borderId="0" xfId="0" applyFont="1" applyFill="1" applyBorder="1" applyAlignment="1" applyProtection="1">
      <alignment horizontal="center" vertical="center"/>
      <protection locked="0"/>
    </xf>
    <xf numFmtId="0" fontId="63" fillId="6" borderId="0" xfId="0" applyFont="1" applyFill="1" applyAlignment="1" applyProtection="1">
      <alignment horizontal="center" vertical="center"/>
      <protection locked="0"/>
    </xf>
    <xf numFmtId="49" fontId="51" fillId="6" borderId="11" xfId="0" applyNumberFormat="1" applyFont="1" applyFill="1" applyBorder="1" applyAlignment="1" applyProtection="1">
      <alignment horizontal="center" vertical="center" wrapText="1"/>
    </xf>
    <xf numFmtId="0" fontId="44" fillId="2" borderId="41" xfId="0" applyNumberFormat="1" applyFont="1" applyFill="1" applyBorder="1" applyAlignment="1" applyProtection="1">
      <alignment horizontal="center" vertical="center" wrapText="1"/>
      <protection locked="0"/>
    </xf>
    <xf numFmtId="0" fontId="62" fillId="6" borderId="88" xfId="0" applyFont="1" applyFill="1" applyBorder="1" applyAlignment="1" applyProtection="1">
      <alignment horizontal="right" vertical="center"/>
    </xf>
    <xf numFmtId="0" fontId="51" fillId="6" borderId="17" xfId="0" applyFont="1" applyFill="1" applyBorder="1" applyAlignment="1" applyProtection="1">
      <alignment horizontal="center" vertical="center"/>
    </xf>
    <xf numFmtId="0" fontId="44" fillId="6" borderId="24" xfId="0" applyNumberFormat="1" applyFont="1" applyFill="1" applyBorder="1" applyAlignment="1" applyProtection="1">
      <alignment horizontal="center" vertical="center"/>
    </xf>
    <xf numFmtId="0" fontId="44" fillId="0" borderId="7" xfId="0" applyNumberFormat="1" applyFont="1" applyFill="1" applyBorder="1" applyAlignment="1" applyProtection="1">
      <alignment horizontal="center" vertical="center" wrapText="1"/>
      <protection locked="0"/>
    </xf>
    <xf numFmtId="49" fontId="51" fillId="6" borderId="39" xfId="0" applyNumberFormat="1" applyFont="1" applyFill="1" applyBorder="1" applyAlignment="1" applyProtection="1">
      <alignment horizontal="center" vertical="center" wrapText="1"/>
    </xf>
    <xf numFmtId="0" fontId="51" fillId="6" borderId="24" xfId="0" applyNumberFormat="1" applyFont="1" applyFill="1" applyBorder="1" applyAlignment="1" applyProtection="1">
      <alignment horizontal="center" vertical="center"/>
    </xf>
    <xf numFmtId="0" fontId="51" fillId="6" borderId="22" xfId="0" applyNumberFormat="1" applyFont="1" applyFill="1" applyBorder="1" applyAlignment="1" applyProtection="1">
      <alignment horizontal="center" vertical="center" wrapText="1"/>
    </xf>
    <xf numFmtId="0" fontId="51" fillId="2" borderId="35" xfId="0" applyNumberFormat="1" applyFont="1" applyFill="1" applyBorder="1" applyAlignment="1" applyProtection="1">
      <alignment horizontal="center" vertical="center" wrapText="1"/>
      <protection locked="0"/>
    </xf>
    <xf numFmtId="0" fontId="44" fillId="2" borderId="7" xfId="0" applyNumberFormat="1" applyFont="1" applyFill="1" applyBorder="1" applyAlignment="1" applyProtection="1">
      <alignment horizontal="center" vertical="center" wrapText="1"/>
      <protection locked="0"/>
    </xf>
    <xf numFmtId="0" fontId="44" fillId="0" borderId="24" xfId="0" applyFont="1" applyFill="1" applyBorder="1" applyAlignment="1" applyProtection="1">
      <alignment horizontal="center" vertical="center" wrapText="1"/>
      <protection locked="0"/>
    </xf>
    <xf numFmtId="0" fontId="51" fillId="2" borderId="6"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44" fillId="0" borderId="54" xfId="0" applyNumberFormat="1" applyFont="1" applyFill="1" applyBorder="1" applyAlignment="1" applyProtection="1">
      <alignment horizontal="center" vertical="center" wrapText="1"/>
      <protection locked="0"/>
    </xf>
    <xf numFmtId="0" fontId="51" fillId="6" borderId="40" xfId="0" applyNumberFormat="1" applyFont="1" applyFill="1" applyBorder="1" applyAlignment="1" applyProtection="1">
      <alignment horizontal="center" vertical="center" wrapText="1"/>
    </xf>
    <xf numFmtId="0" fontId="51" fillId="6" borderId="41" xfId="0" applyNumberFormat="1" applyFont="1" applyFill="1" applyBorder="1" applyAlignment="1" applyProtection="1">
      <alignment horizontal="center" vertical="center" wrapText="1"/>
    </xf>
    <xf numFmtId="49" fontId="50" fillId="5" borderId="20" xfId="0" applyNumberFormat="1" applyFont="1" applyFill="1" applyBorder="1" applyAlignment="1" applyProtection="1">
      <alignment vertical="center"/>
      <protection locked="0"/>
    </xf>
    <xf numFmtId="183" fontId="44" fillId="0" borderId="26" xfId="0" applyNumberFormat="1" applyFont="1" applyFill="1" applyBorder="1" applyAlignment="1" applyProtection="1">
      <alignment horizontal="center" vertical="center" wrapText="1"/>
      <protection locked="0"/>
    </xf>
    <xf numFmtId="0" fontId="44" fillId="0" borderId="38" xfId="0" applyNumberFormat="1" applyFont="1" applyFill="1" applyBorder="1" applyAlignment="1" applyProtection="1">
      <alignment horizontal="center" vertical="center" wrapText="1"/>
      <protection locked="0"/>
    </xf>
    <xf numFmtId="0" fontId="51" fillId="0" borderId="55" xfId="0" applyNumberFormat="1" applyFont="1" applyFill="1" applyBorder="1" applyAlignment="1" applyProtection="1">
      <alignment horizontal="center" vertical="center" wrapText="1"/>
      <protection locked="0"/>
    </xf>
    <xf numFmtId="0" fontId="44" fillId="2" borderId="51" xfId="0" applyNumberFormat="1" applyFont="1" applyFill="1" applyBorder="1" applyAlignment="1" applyProtection="1">
      <alignment horizontal="center" vertical="center" wrapText="1"/>
      <protection locked="0"/>
    </xf>
    <xf numFmtId="0" fontId="44" fillId="2" borderId="69" xfId="0" applyNumberFormat="1" applyFont="1" applyFill="1" applyBorder="1" applyAlignment="1" applyProtection="1">
      <alignment horizontal="center" vertical="center" wrapText="1"/>
      <protection locked="0"/>
    </xf>
    <xf numFmtId="0" fontId="44" fillId="2" borderId="60" xfId="0" applyNumberFormat="1" applyFont="1" applyFill="1" applyBorder="1" applyAlignment="1" applyProtection="1">
      <alignment horizontal="center" vertical="center" wrapText="1"/>
      <protection locked="0"/>
    </xf>
    <xf numFmtId="9" fontId="44" fillId="2" borderId="37" xfId="0" applyNumberFormat="1" applyFont="1" applyFill="1" applyBorder="1" applyAlignment="1" applyProtection="1">
      <alignment horizontal="center" vertical="center" wrapText="1"/>
      <protection locked="0"/>
    </xf>
    <xf numFmtId="0" fontId="49" fillId="0" borderId="38" xfId="0" applyNumberFormat="1" applyFont="1" applyFill="1" applyBorder="1" applyAlignment="1" applyProtection="1">
      <alignment horizontal="center" vertical="center" wrapText="1"/>
      <protection locked="0"/>
    </xf>
    <xf numFmtId="49" fontId="50" fillId="2" borderId="10" xfId="0" applyNumberFormat="1" applyFont="1" applyFill="1" applyBorder="1" applyAlignment="1" applyProtection="1">
      <alignment vertical="center"/>
      <protection locked="0"/>
    </xf>
    <xf numFmtId="0" fontId="51" fillId="5" borderId="9" xfId="0" applyFont="1" applyFill="1" applyBorder="1" applyAlignment="1" applyProtection="1">
      <alignment horizontal="center" vertical="center"/>
      <protection locked="0"/>
    </xf>
    <xf numFmtId="0" fontId="51" fillId="6" borderId="19" xfId="0" applyFont="1" applyFill="1" applyBorder="1" applyAlignment="1" applyProtection="1">
      <alignment horizontal="center" vertical="center" wrapText="1"/>
      <protection locked="0"/>
    </xf>
    <xf numFmtId="0" fontId="98" fillId="6" borderId="95" xfId="0" applyFont="1" applyFill="1" applyBorder="1" applyAlignment="1" applyProtection="1">
      <alignment horizontal="center" vertical="center"/>
    </xf>
    <xf numFmtId="0" fontId="100" fillId="6" borderId="0" xfId="0" applyFont="1" applyFill="1" applyAlignment="1" applyProtection="1">
      <alignment horizontal="left" vertical="center"/>
      <protection locked="0"/>
    </xf>
    <xf numFmtId="0" fontId="99" fillId="6" borderId="23" xfId="0" applyFont="1" applyFill="1" applyBorder="1" applyAlignment="1" applyProtection="1">
      <alignment horizontal="center" vertical="center"/>
    </xf>
    <xf numFmtId="0" fontId="99" fillId="6" borderId="25" xfId="0" applyFont="1" applyFill="1" applyBorder="1" applyAlignment="1" applyProtection="1">
      <alignment horizontal="center" vertical="center"/>
    </xf>
    <xf numFmtId="0" fontId="46" fillId="6" borderId="16" xfId="0" applyNumberFormat="1" applyFont="1" applyFill="1" applyBorder="1" applyAlignment="1" applyProtection="1">
      <alignment vertical="center"/>
    </xf>
    <xf numFmtId="0" fontId="46" fillId="5" borderId="23" xfId="0" applyNumberFormat="1" applyFont="1" applyFill="1" applyBorder="1" applyAlignment="1" applyProtection="1">
      <alignment horizontal="center" vertical="center" wrapText="1"/>
      <protection locked="0"/>
    </xf>
    <xf numFmtId="0" fontId="51" fillId="6" borderId="14" xfId="0" applyNumberFormat="1" applyFont="1" applyFill="1" applyBorder="1" applyAlignment="1" applyProtection="1">
      <alignment horizontal="center" vertical="center" wrapText="1"/>
    </xf>
    <xf numFmtId="0" fontId="51" fillId="0" borderId="24" xfId="0" applyFont="1" applyFill="1" applyBorder="1" applyAlignment="1" applyProtection="1">
      <alignment horizontal="center" vertical="center"/>
      <protection locked="0"/>
    </xf>
    <xf numFmtId="0" fontId="98" fillId="0" borderId="49" xfId="0" applyFont="1" applyFill="1" applyBorder="1" applyAlignment="1" applyProtection="1">
      <alignment horizontal="center" vertical="center"/>
      <protection locked="0"/>
    </xf>
    <xf numFmtId="0" fontId="46" fillId="6" borderId="37" xfId="0" applyNumberFormat="1" applyFont="1" applyFill="1" applyBorder="1" applyAlignment="1" applyProtection="1">
      <alignment horizontal="center" vertical="center" wrapText="1"/>
    </xf>
    <xf numFmtId="0" fontId="53" fillId="6" borderId="0" xfId="0" applyFont="1" applyFill="1" applyAlignment="1" applyProtection="1">
      <alignment vertical="center" wrapText="1"/>
    </xf>
    <xf numFmtId="0" fontId="98" fillId="6" borderId="6" xfId="0" applyNumberFormat="1" applyFont="1" applyFill="1" applyBorder="1" applyAlignment="1" applyProtection="1">
      <alignment horizontal="center" vertical="center"/>
    </xf>
    <xf numFmtId="0" fontId="53" fillId="0" borderId="0" xfId="0" applyFont="1" applyAlignment="1" applyProtection="1">
      <alignment vertical="center" wrapText="1"/>
      <protection locked="0"/>
    </xf>
    <xf numFmtId="0" fontId="53" fillId="0" borderId="0" xfId="0" applyFont="1" applyAlignment="1" applyProtection="1">
      <alignment vertical="center" wrapText="1"/>
    </xf>
    <xf numFmtId="0" fontId="57" fillId="6" borderId="5" xfId="1" applyFont="1" applyFill="1" applyBorder="1" applyAlignment="1" applyProtection="1">
      <alignment vertical="center"/>
    </xf>
    <xf numFmtId="0" fontId="53" fillId="6" borderId="1" xfId="0" applyNumberFormat="1" applyFont="1" applyFill="1" applyBorder="1" applyAlignment="1" applyProtection="1">
      <alignment horizontal="left" vertical="center" wrapText="1"/>
    </xf>
    <xf numFmtId="0" fontId="53" fillId="6" borderId="1" xfId="0" applyNumberFormat="1" applyFont="1" applyFill="1" applyBorder="1" applyAlignment="1" applyProtection="1">
      <alignment horizontal="center" vertical="center" wrapText="1"/>
    </xf>
    <xf numFmtId="0" fontId="53" fillId="6" borderId="0" xfId="0" applyNumberFormat="1" applyFont="1" applyFill="1" applyAlignment="1" applyProtection="1">
      <alignment vertical="center" wrapText="1"/>
    </xf>
    <xf numFmtId="0" fontId="98" fillId="6" borderId="23" xfId="0" applyNumberFormat="1" applyFont="1" applyFill="1" applyBorder="1" applyAlignment="1" applyProtection="1">
      <alignment horizontal="center" vertical="center"/>
    </xf>
    <xf numFmtId="0" fontId="53" fillId="5" borderId="1" xfId="0" applyFont="1" applyFill="1" applyBorder="1" applyAlignment="1" applyProtection="1">
      <alignment horizontal="left" vertical="center"/>
      <protection locked="0"/>
    </xf>
    <xf numFmtId="49" fontId="50" fillId="6" borderId="13" xfId="0" applyNumberFormat="1" applyFont="1" applyFill="1" applyBorder="1" applyAlignment="1" applyProtection="1">
      <alignment horizontal="left" vertical="center" wrapText="1"/>
    </xf>
    <xf numFmtId="0" fontId="50" fillId="6" borderId="13" xfId="0" applyFont="1" applyFill="1" applyBorder="1" applyAlignment="1" applyProtection="1">
      <alignment horizontal="left" vertical="center" wrapText="1"/>
    </xf>
    <xf numFmtId="0" fontId="50" fillId="6" borderId="36" xfId="0" applyFont="1" applyFill="1" applyBorder="1" applyAlignment="1" applyProtection="1">
      <alignment vertical="center" wrapText="1"/>
    </xf>
    <xf numFmtId="0" fontId="51" fillId="6" borderId="36" xfId="0" applyFont="1" applyFill="1" applyBorder="1" applyAlignment="1" applyProtection="1">
      <alignment vertical="center" wrapText="1"/>
    </xf>
    <xf numFmtId="0" fontId="51" fillId="6" borderId="22" xfId="0" applyFont="1" applyFill="1" applyBorder="1" applyAlignment="1" applyProtection="1">
      <alignment vertical="center" wrapText="1"/>
    </xf>
    <xf numFmtId="0" fontId="51" fillId="7" borderId="0" xfId="0" applyFont="1" applyFill="1" applyAlignment="1" applyProtection="1">
      <alignment vertical="center"/>
      <protection locked="0"/>
    </xf>
    <xf numFmtId="0" fontId="51" fillId="6" borderId="0" xfId="8" applyFont="1" applyFill="1" applyAlignment="1" applyProtection="1">
      <alignment horizontal="center" vertical="center" wrapText="1"/>
      <protection locked="0"/>
    </xf>
    <xf numFmtId="0" fontId="51" fillId="7" borderId="0" xfId="8" applyFont="1" applyFill="1" applyAlignment="1" applyProtection="1">
      <alignment horizontal="center" vertical="center" wrapText="1"/>
    </xf>
    <xf numFmtId="0" fontId="51" fillId="0" borderId="0" xfId="8" applyFont="1" applyAlignment="1" applyProtection="1">
      <alignment horizontal="center" vertical="center" wrapText="1"/>
    </xf>
    <xf numFmtId="0" fontId="51" fillId="0" borderId="0" xfId="0" applyFont="1" applyAlignment="1" applyProtection="1">
      <alignment vertical="center" wrapText="1"/>
    </xf>
    <xf numFmtId="49" fontId="54" fillId="6" borderId="26" xfId="0" applyNumberFormat="1" applyFont="1" applyFill="1" applyBorder="1" applyAlignment="1" applyProtection="1">
      <alignment horizontal="center" vertical="center" wrapText="1"/>
    </xf>
    <xf numFmtId="0" fontId="54" fillId="6" borderId="64" xfId="0" applyFont="1" applyFill="1" applyBorder="1" applyAlignment="1" applyProtection="1">
      <alignment horizontal="left" vertical="center" wrapText="1"/>
    </xf>
    <xf numFmtId="0" fontId="113" fillId="6" borderId="34" xfId="0" applyFont="1" applyFill="1" applyBorder="1" applyAlignment="1" applyProtection="1">
      <alignment vertical="center"/>
    </xf>
    <xf numFmtId="0" fontId="54" fillId="6" borderId="64" xfId="0" applyFont="1" applyFill="1" applyBorder="1" applyAlignment="1" applyProtection="1">
      <alignment horizontal="center" vertical="center" wrapText="1"/>
    </xf>
    <xf numFmtId="0" fontId="53" fillId="6" borderId="64" xfId="0" applyFont="1" applyFill="1" applyBorder="1" applyAlignment="1" applyProtection="1">
      <alignment vertical="center" wrapText="1"/>
    </xf>
    <xf numFmtId="0" fontId="53" fillId="6" borderId="65" xfId="0" applyFont="1" applyFill="1" applyBorder="1" applyAlignment="1" applyProtection="1">
      <alignment vertical="center" wrapText="1"/>
    </xf>
    <xf numFmtId="0" fontId="54" fillId="6" borderId="9" xfId="0" applyFont="1" applyFill="1" applyBorder="1" applyAlignment="1" applyProtection="1">
      <alignment horizontal="left" vertical="center" wrapText="1"/>
    </xf>
    <xf numFmtId="0" fontId="53" fillId="6" borderId="9" xfId="0" applyFont="1" applyFill="1" applyBorder="1" applyAlignment="1" applyProtection="1">
      <alignment horizontal="center" vertical="center" wrapText="1"/>
    </xf>
    <xf numFmtId="0" fontId="53" fillId="6" borderId="19" xfId="0" applyFont="1" applyFill="1" applyBorder="1" applyAlignment="1" applyProtection="1">
      <alignment horizontal="center" vertical="center" wrapText="1"/>
    </xf>
    <xf numFmtId="0" fontId="53" fillId="6" borderId="19" xfId="0" applyFont="1" applyFill="1" applyBorder="1" applyAlignment="1" applyProtection="1">
      <alignment vertical="center" wrapText="1"/>
    </xf>
    <xf numFmtId="0" fontId="53" fillId="6" borderId="31" xfId="0" applyFont="1" applyFill="1" applyBorder="1" applyAlignment="1" applyProtection="1">
      <alignment vertical="center" wrapText="1"/>
    </xf>
    <xf numFmtId="0" fontId="53" fillId="5" borderId="1" xfId="0" applyFont="1" applyFill="1" applyBorder="1" applyAlignment="1" applyProtection="1">
      <alignment horizontal="center" vertical="center" wrapText="1"/>
      <protection locked="0"/>
    </xf>
    <xf numFmtId="0" fontId="53" fillId="6" borderId="5" xfId="0" applyFont="1" applyFill="1" applyBorder="1" applyAlignment="1" applyProtection="1">
      <alignment vertical="center"/>
    </xf>
    <xf numFmtId="0" fontId="53" fillId="6" borderId="54" xfId="0" applyFont="1" applyFill="1" applyBorder="1" applyAlignment="1" applyProtection="1">
      <alignment vertical="center" wrapText="1"/>
    </xf>
    <xf numFmtId="0" fontId="53" fillId="6" borderId="48" xfId="0" applyFont="1" applyFill="1" applyBorder="1" applyAlignment="1" applyProtection="1">
      <alignment vertical="center" wrapText="1"/>
    </xf>
    <xf numFmtId="0" fontId="53" fillId="6" borderId="13" xfId="0" applyFont="1" applyFill="1" applyBorder="1" applyAlignment="1" applyProtection="1">
      <alignment horizontal="left" vertical="center" wrapText="1"/>
    </xf>
    <xf numFmtId="0" fontId="53" fillId="6" borderId="46" xfId="0" applyFont="1" applyFill="1" applyBorder="1" applyAlignment="1" applyProtection="1">
      <alignment vertical="center"/>
    </xf>
    <xf numFmtId="0" fontId="53" fillId="6" borderId="36" xfId="0" applyFont="1" applyFill="1" applyBorder="1" applyAlignment="1" applyProtection="1">
      <alignment vertical="center" wrapText="1"/>
    </xf>
    <xf numFmtId="0" fontId="53" fillId="6" borderId="59" xfId="0" applyFont="1" applyFill="1" applyBorder="1" applyAlignment="1" applyProtection="1">
      <alignment vertical="center" wrapText="1"/>
    </xf>
    <xf numFmtId="0" fontId="54" fillId="6" borderId="17" xfId="0" applyFont="1" applyFill="1" applyBorder="1" applyAlignment="1" applyProtection="1">
      <alignment horizontal="left" vertical="center" wrapText="1"/>
    </xf>
    <xf numFmtId="0" fontId="53" fillId="6" borderId="28" xfId="0" applyFont="1" applyFill="1" applyBorder="1" applyAlignment="1" applyProtection="1">
      <alignment vertical="center"/>
    </xf>
    <xf numFmtId="0" fontId="53" fillId="6" borderId="20" xfId="0" applyFont="1" applyFill="1" applyBorder="1" applyAlignment="1" applyProtection="1">
      <alignment horizontal="center" vertical="center" wrapText="1"/>
    </xf>
    <xf numFmtId="0" fontId="53" fillId="6" borderId="20" xfId="0" applyFont="1" applyFill="1" applyBorder="1" applyAlignment="1" applyProtection="1">
      <alignment vertical="center" wrapText="1"/>
    </xf>
    <xf numFmtId="0" fontId="53" fillId="6" borderId="21" xfId="0" applyFont="1" applyFill="1" applyBorder="1" applyAlignment="1" applyProtection="1">
      <alignment vertical="center" wrapText="1"/>
    </xf>
    <xf numFmtId="0" fontId="98" fillId="6" borderId="25" xfId="0" applyNumberFormat="1" applyFont="1" applyFill="1" applyBorder="1" applyAlignment="1" applyProtection="1">
      <alignment horizontal="center" vertical="center"/>
    </xf>
    <xf numFmtId="0" fontId="99" fillId="6" borderId="13" xfId="0" applyFont="1" applyFill="1" applyBorder="1" applyAlignment="1" applyProtection="1">
      <alignment horizontal="left" vertical="center" wrapText="1"/>
    </xf>
    <xf numFmtId="0" fontId="99"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left" vertical="center" wrapText="1"/>
    </xf>
    <xf numFmtId="0" fontId="99" fillId="5" borderId="3"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wrapText="1"/>
      <protection locked="0"/>
    </xf>
    <xf numFmtId="0" fontId="99" fillId="5" borderId="2" xfId="0" applyFont="1" applyFill="1" applyBorder="1" applyAlignment="1" applyProtection="1">
      <alignment horizontal="center" vertical="center" wrapText="1"/>
      <protection locked="0"/>
    </xf>
    <xf numFmtId="0" fontId="53" fillId="6" borderId="0" xfId="0" applyFont="1" applyFill="1" applyBorder="1" applyAlignment="1" applyProtection="1">
      <alignment vertical="center" wrapText="1"/>
    </xf>
    <xf numFmtId="0" fontId="53" fillId="5" borderId="9" xfId="0" applyFont="1" applyFill="1" applyBorder="1" applyAlignment="1" applyProtection="1">
      <alignment horizontal="center" vertical="center" wrapText="1"/>
      <protection locked="0"/>
    </xf>
    <xf numFmtId="0" fontId="53" fillId="5" borderId="10" xfId="0" applyFont="1" applyFill="1" applyBorder="1" applyAlignment="1" applyProtection="1">
      <alignment horizontal="center" vertical="center" wrapText="1"/>
      <protection locked="0"/>
    </xf>
    <xf numFmtId="0" fontId="53" fillId="7" borderId="0" xfId="0" applyFont="1" applyFill="1" applyAlignment="1" applyProtection="1">
      <alignment vertical="center" wrapText="1"/>
    </xf>
    <xf numFmtId="49" fontId="50" fillId="6" borderId="26" xfId="0" applyNumberFormat="1" applyFont="1" applyFill="1" applyBorder="1" applyAlignment="1" applyProtection="1">
      <alignment horizontal="left" vertical="center" wrapText="1"/>
    </xf>
    <xf numFmtId="0" fontId="50" fillId="6" borderId="84" xfId="0" applyFont="1" applyFill="1" applyBorder="1" applyAlignment="1" applyProtection="1">
      <alignment horizontal="left" vertical="center" wrapText="1"/>
    </xf>
    <xf numFmtId="0" fontId="53" fillId="6" borderId="64" xfId="0" applyFont="1" applyFill="1" applyBorder="1" applyAlignment="1" applyProtection="1">
      <alignment vertical="center"/>
    </xf>
    <xf numFmtId="0" fontId="53" fillId="0" borderId="0" xfId="0" applyFont="1" applyAlignment="1" applyProtection="1">
      <alignment horizontal="center" vertical="center" wrapText="1"/>
    </xf>
    <xf numFmtId="0" fontId="51" fillId="6" borderId="84" xfId="0" applyFont="1" applyFill="1" applyBorder="1" applyAlignment="1" applyProtection="1">
      <alignment horizontal="center" vertical="center" wrapText="1"/>
    </xf>
    <xf numFmtId="0" fontId="51" fillId="6" borderId="6" xfId="0" applyFont="1" applyFill="1" applyBorder="1" applyAlignment="1" applyProtection="1">
      <alignment vertical="center" wrapText="1"/>
    </xf>
    <xf numFmtId="0" fontId="53" fillId="6" borderId="64" xfId="0" applyFont="1" applyFill="1" applyBorder="1" applyAlignment="1" applyProtection="1">
      <alignment horizontal="center" vertical="center" wrapText="1"/>
    </xf>
    <xf numFmtId="0" fontId="51" fillId="0" borderId="0" xfId="0" applyFont="1" applyAlignment="1" applyProtection="1">
      <alignment horizontal="center" vertical="center" wrapText="1"/>
    </xf>
    <xf numFmtId="49" fontId="50" fillId="6" borderId="40" xfId="0" applyNumberFormat="1" applyFont="1" applyFill="1" applyBorder="1" applyAlignment="1" applyProtection="1">
      <alignment horizontal="left" vertical="center" wrapText="1"/>
    </xf>
    <xf numFmtId="0" fontId="50" fillId="6" borderId="17" xfId="0" applyFont="1" applyFill="1" applyBorder="1" applyAlignment="1" applyProtection="1">
      <alignment horizontal="left" vertical="center" wrapText="1"/>
    </xf>
    <xf numFmtId="0" fontId="53" fillId="6" borderId="17" xfId="0" applyFont="1" applyFill="1" applyBorder="1" applyAlignment="1" applyProtection="1">
      <alignment horizontal="center" vertical="center" wrapText="1"/>
    </xf>
    <xf numFmtId="0" fontId="51" fillId="6" borderId="25" xfId="0" applyFont="1" applyFill="1" applyBorder="1" applyAlignment="1" applyProtection="1">
      <alignment vertical="center" wrapText="1"/>
    </xf>
    <xf numFmtId="0" fontId="51" fillId="6" borderId="19" xfId="8" applyFont="1" applyFill="1" applyBorder="1" applyAlignment="1" applyProtection="1">
      <alignment horizontal="center" vertical="center" wrapText="1"/>
      <protection locked="0"/>
    </xf>
    <xf numFmtId="0" fontId="51" fillId="6" borderId="9" xfId="8" applyFont="1" applyFill="1" applyBorder="1" applyAlignment="1" applyProtection="1">
      <alignment vertical="center" wrapText="1"/>
      <protection locked="0"/>
    </xf>
    <xf numFmtId="0" fontId="51" fillId="6" borderId="31" xfId="8" applyFont="1" applyFill="1" applyBorder="1" applyAlignment="1" applyProtection="1">
      <alignment vertical="center"/>
      <protection locked="0"/>
    </xf>
    <xf numFmtId="49" fontId="50" fillId="6" borderId="6" xfId="0" applyNumberFormat="1" applyFont="1" applyFill="1" applyBorder="1" applyAlignment="1" applyProtection="1">
      <alignment horizontal="left" vertical="center" wrapText="1"/>
    </xf>
    <xf numFmtId="0" fontId="50" fillId="5" borderId="9" xfId="0" applyFont="1" applyFill="1" applyBorder="1" applyAlignment="1" applyProtection="1">
      <alignment horizontal="left" vertical="center" wrapText="1"/>
      <protection locked="0"/>
    </xf>
    <xf numFmtId="0" fontId="51" fillId="6" borderId="19" xfId="0" applyFont="1" applyFill="1" applyBorder="1" applyAlignment="1" applyProtection="1">
      <alignment vertical="center" wrapText="1"/>
    </xf>
    <xf numFmtId="0" fontId="51" fillId="6" borderId="10" xfId="0" applyFont="1" applyFill="1" applyBorder="1" applyAlignment="1" applyProtection="1">
      <alignment vertical="center" wrapText="1"/>
    </xf>
    <xf numFmtId="0" fontId="51" fillId="6" borderId="23" xfId="8" applyFont="1" applyFill="1" applyBorder="1" applyAlignment="1" applyProtection="1">
      <alignment horizontal="center" vertical="center" wrapText="1"/>
    </xf>
    <xf numFmtId="0" fontId="51" fillId="6" borderId="1" xfId="0" applyFont="1" applyFill="1" applyBorder="1" applyAlignment="1" applyProtection="1">
      <alignment horizontal="left" vertical="center" wrapText="1"/>
    </xf>
    <xf numFmtId="0" fontId="51" fillId="6" borderId="13" xfId="0" applyFont="1" applyFill="1" applyBorder="1" applyAlignment="1" applyProtection="1">
      <alignment horizontal="left" vertical="center" wrapText="1"/>
    </xf>
    <xf numFmtId="186" fontId="53" fillId="6" borderId="15" xfId="0" applyNumberFormat="1" applyFont="1" applyFill="1" applyBorder="1" applyAlignment="1" applyProtection="1">
      <alignment horizontal="center" vertical="center" wrapText="1"/>
    </xf>
    <xf numFmtId="186" fontId="53" fillId="6" borderId="58" xfId="0" applyNumberFormat="1" applyFont="1" applyFill="1" applyBorder="1" applyAlignment="1" applyProtection="1">
      <alignment horizontal="center" vertical="center" wrapText="1"/>
    </xf>
    <xf numFmtId="0" fontId="53" fillId="6" borderId="22" xfId="0" applyFont="1" applyFill="1" applyBorder="1" applyAlignment="1" applyProtection="1">
      <alignment vertical="center" wrapText="1"/>
    </xf>
    <xf numFmtId="0" fontId="51" fillId="6" borderId="13" xfId="0" applyFont="1" applyFill="1" applyBorder="1" applyAlignment="1" applyProtection="1">
      <alignment vertical="center" wrapText="1"/>
    </xf>
    <xf numFmtId="0" fontId="51" fillId="6" borderId="61" xfId="0" applyFont="1" applyFill="1" applyBorder="1" applyAlignment="1" applyProtection="1">
      <alignment vertical="center" wrapText="1"/>
    </xf>
    <xf numFmtId="0" fontId="51" fillId="6" borderId="84" xfId="0" applyFont="1" applyFill="1" applyBorder="1" applyAlignment="1" applyProtection="1">
      <alignment vertical="center" wrapText="1"/>
    </xf>
    <xf numFmtId="0" fontId="51" fillId="6" borderId="67" xfId="0" applyFont="1" applyFill="1" applyBorder="1" applyAlignment="1" applyProtection="1">
      <alignment vertical="center" wrapText="1"/>
    </xf>
    <xf numFmtId="0" fontId="51" fillId="6" borderId="25" xfId="8" applyFont="1" applyFill="1" applyBorder="1" applyAlignment="1" applyProtection="1">
      <alignment horizontal="center" vertical="center" wrapText="1"/>
    </xf>
    <xf numFmtId="0" fontId="50" fillId="6" borderId="28" xfId="0" applyFont="1" applyFill="1" applyBorder="1" applyAlignment="1" applyProtection="1">
      <alignment horizontal="left" vertical="center" wrapText="1"/>
    </xf>
    <xf numFmtId="0" fontId="54" fillId="6" borderId="19" xfId="0" applyFont="1" applyFill="1" applyBorder="1" applyAlignment="1" applyProtection="1">
      <alignment vertical="center" wrapText="1"/>
    </xf>
    <xf numFmtId="49" fontId="50" fillId="6" borderId="14" xfId="0" applyNumberFormat="1" applyFont="1" applyFill="1" applyBorder="1" applyAlignment="1" applyProtection="1">
      <alignment horizontal="center" vertical="center" wrapText="1"/>
    </xf>
    <xf numFmtId="0" fontId="53" fillId="6" borderId="58" xfId="0" applyFont="1" applyFill="1" applyBorder="1" applyAlignment="1" applyProtection="1">
      <alignment vertical="center" wrapText="1"/>
    </xf>
    <xf numFmtId="0" fontId="54" fillId="6" borderId="0" xfId="0" applyFont="1" applyFill="1" applyBorder="1" applyAlignment="1" applyProtection="1">
      <alignment vertical="center" wrapText="1"/>
    </xf>
    <xf numFmtId="0" fontId="53" fillId="6" borderId="56" xfId="0" applyFont="1" applyFill="1" applyBorder="1" applyAlignment="1" applyProtection="1">
      <alignment vertical="center" wrapText="1"/>
    </xf>
    <xf numFmtId="0" fontId="51" fillId="6" borderId="0" xfId="0" applyFont="1" applyFill="1" applyBorder="1" applyAlignment="1" applyProtection="1">
      <alignment horizontal="left" vertical="center" wrapText="1"/>
    </xf>
    <xf numFmtId="0" fontId="53" fillId="6" borderId="75"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54" fillId="6" borderId="47" xfId="0" applyFont="1" applyFill="1" applyBorder="1" applyAlignment="1" applyProtection="1">
      <alignment vertical="center" wrapText="1"/>
    </xf>
    <xf numFmtId="0" fontId="53" fillId="6" borderId="43" xfId="0" applyFont="1" applyFill="1" applyBorder="1" applyAlignment="1" applyProtection="1">
      <alignment vertical="center" wrapText="1"/>
    </xf>
    <xf numFmtId="49" fontId="50" fillId="6" borderId="40" xfId="0" applyNumberFormat="1" applyFont="1" applyFill="1" applyBorder="1" applyAlignment="1" applyProtection="1">
      <alignment horizontal="center" vertical="center" wrapText="1"/>
    </xf>
    <xf numFmtId="0" fontId="54" fillId="6" borderId="30" xfId="0" applyFont="1" applyFill="1" applyBorder="1" applyAlignment="1" applyProtection="1">
      <alignment vertical="center" wrapText="1"/>
    </xf>
    <xf numFmtId="0" fontId="50" fillId="6" borderId="9" xfId="0" applyFont="1" applyFill="1" applyBorder="1" applyAlignment="1" applyProtection="1">
      <alignment horizontal="center" vertical="center" wrapText="1"/>
    </xf>
    <xf numFmtId="0" fontId="50" fillId="6" borderId="28" xfId="0" applyFont="1" applyFill="1" applyBorder="1" applyAlignment="1" applyProtection="1">
      <alignment horizontal="center" vertical="center" wrapText="1"/>
    </xf>
    <xf numFmtId="0" fontId="54" fillId="6" borderId="28" xfId="0" applyFont="1" applyFill="1" applyBorder="1" applyAlignment="1" applyProtection="1">
      <alignment vertical="center" wrapText="1"/>
    </xf>
    <xf numFmtId="0" fontId="53" fillId="6" borderId="14" xfId="0" applyFont="1" applyFill="1" applyBorder="1" applyAlignment="1" applyProtection="1">
      <alignment horizontal="center" vertical="center" wrapText="1"/>
    </xf>
    <xf numFmtId="0" fontId="53" fillId="6" borderId="3" xfId="0" applyFont="1" applyFill="1" applyBorder="1" applyAlignment="1" applyProtection="1">
      <alignment horizontal="left" vertical="center" wrapText="1"/>
    </xf>
    <xf numFmtId="0" fontId="53" fillId="0" borderId="1" xfId="0" applyFont="1" applyBorder="1" applyAlignment="1" applyProtection="1">
      <alignment vertical="center" wrapText="1"/>
      <protection locked="0"/>
    </xf>
    <xf numFmtId="0" fontId="99" fillId="6" borderId="54" xfId="0" applyFont="1" applyFill="1" applyBorder="1" applyAlignment="1" applyProtection="1">
      <alignment vertical="center"/>
    </xf>
    <xf numFmtId="0" fontId="99" fillId="6" borderId="48" xfId="0" applyFont="1" applyFill="1" applyBorder="1" applyAlignment="1" applyProtection="1">
      <alignment vertical="center"/>
    </xf>
    <xf numFmtId="0" fontId="54" fillId="6" borderId="12" xfId="0" applyFont="1" applyFill="1" applyBorder="1" applyAlignment="1" applyProtection="1">
      <alignment vertical="center" wrapText="1"/>
    </xf>
    <xf numFmtId="0" fontId="53" fillId="6" borderId="66" xfId="0" applyFont="1" applyFill="1" applyBorder="1" applyAlignment="1" applyProtection="1">
      <alignment horizontal="left" vertical="center" wrapText="1"/>
    </xf>
    <xf numFmtId="0" fontId="53" fillId="0" borderId="32" xfId="0" applyFont="1" applyBorder="1" applyAlignment="1" applyProtection="1">
      <alignment vertical="center" wrapText="1"/>
      <protection locked="0"/>
    </xf>
    <xf numFmtId="0" fontId="53" fillId="6" borderId="32" xfId="0" applyFont="1" applyFill="1" applyBorder="1" applyAlignment="1" applyProtection="1">
      <alignment vertical="center"/>
    </xf>
    <xf numFmtId="0" fontId="53" fillId="6" borderId="52" xfId="0" applyFont="1" applyFill="1" applyBorder="1" applyAlignment="1" applyProtection="1">
      <alignment vertical="center" wrapText="1"/>
    </xf>
    <xf numFmtId="0" fontId="53" fillId="6" borderId="68" xfId="0" applyFont="1" applyFill="1" applyBorder="1" applyAlignment="1" applyProtection="1">
      <alignment vertical="center" wrapText="1"/>
    </xf>
    <xf numFmtId="0" fontId="54" fillId="6" borderId="40" xfId="0" applyFont="1" applyFill="1" applyBorder="1" applyAlignment="1" applyProtection="1">
      <alignment vertical="center" wrapText="1"/>
    </xf>
    <xf numFmtId="0" fontId="54" fillId="6" borderId="39" xfId="0" applyFont="1" applyFill="1" applyBorder="1" applyAlignment="1" applyProtection="1">
      <alignment horizontal="left" vertical="center" wrapText="1"/>
    </xf>
    <xf numFmtId="0" fontId="53" fillId="6" borderId="20" xfId="0" applyFont="1" applyFill="1" applyBorder="1" applyAlignment="1" applyProtection="1">
      <alignment vertical="center"/>
    </xf>
    <xf numFmtId="0" fontId="53" fillId="6" borderId="30" xfId="0" applyFont="1" applyFill="1" applyBorder="1" applyAlignment="1" applyProtection="1">
      <alignment vertical="center"/>
    </xf>
    <xf numFmtId="0" fontId="54" fillId="6" borderId="7" xfId="0" applyFont="1" applyFill="1" applyBorder="1" applyAlignment="1" applyProtection="1">
      <alignment vertical="center" wrapText="1"/>
    </xf>
    <xf numFmtId="0" fontId="50" fillId="6" borderId="2" xfId="0" applyFont="1" applyFill="1" applyBorder="1" applyAlignment="1" applyProtection="1">
      <alignment horizontal="center" vertical="center" wrapText="1"/>
    </xf>
    <xf numFmtId="0" fontId="99" fillId="6" borderId="7"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wrapText="1"/>
    </xf>
    <xf numFmtId="0" fontId="54" fillId="6" borderId="14" xfId="0" applyFont="1" applyFill="1" applyBorder="1" applyAlignment="1" applyProtection="1">
      <alignment vertical="center" wrapText="1"/>
    </xf>
    <xf numFmtId="0" fontId="53" fillId="6" borderId="16" xfId="0" applyFont="1" applyFill="1" applyBorder="1" applyAlignment="1" applyProtection="1">
      <alignment vertical="center"/>
      <protection locked="0"/>
    </xf>
    <xf numFmtId="0" fontId="53" fillId="6" borderId="31" xfId="0" applyFont="1" applyFill="1" applyBorder="1" applyAlignment="1" applyProtection="1">
      <alignment vertical="center" wrapText="1"/>
      <protection locked="0"/>
    </xf>
    <xf numFmtId="9" fontId="53" fillId="6" borderId="24" xfId="0" applyNumberFormat="1" applyFont="1" applyFill="1" applyBorder="1" applyAlignment="1" applyProtection="1">
      <alignment horizontal="center" vertical="center"/>
    </xf>
    <xf numFmtId="0" fontId="99" fillId="6" borderId="66" xfId="0" applyFont="1" applyFill="1" applyBorder="1" applyAlignment="1" applyProtection="1">
      <alignment horizontal="center" vertical="center" wrapText="1"/>
    </xf>
    <xf numFmtId="0" fontId="53" fillId="6" borderId="43"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9" fontId="53" fillId="6" borderId="49" xfId="0" applyNumberFormat="1" applyFont="1" applyFill="1" applyBorder="1" applyAlignment="1" applyProtection="1">
      <alignment horizontal="center" vertical="center" wrapText="1"/>
    </xf>
    <xf numFmtId="0" fontId="53" fillId="7" borderId="0" xfId="0" applyFont="1" applyFill="1" applyAlignment="1" applyProtection="1">
      <alignment horizontal="left" vertical="center" wrapText="1"/>
      <protection locked="0"/>
    </xf>
    <xf numFmtId="0" fontId="109" fillId="6" borderId="0" xfId="0" applyFont="1" applyFill="1" applyProtection="1">
      <alignment vertical="center"/>
    </xf>
    <xf numFmtId="186" fontId="98" fillId="6" borderId="0" xfId="0" applyNumberFormat="1" applyFont="1" applyFill="1" applyAlignment="1" applyProtection="1">
      <alignment horizontal="center" vertical="center" wrapText="1"/>
    </xf>
    <xf numFmtId="0" fontId="109" fillId="6" borderId="51" xfId="0" applyFont="1" applyFill="1" applyBorder="1" applyAlignment="1" applyProtection="1">
      <alignment vertical="center"/>
    </xf>
    <xf numFmtId="186" fontId="204" fillId="6" borderId="19" xfId="0" applyNumberFormat="1" applyFont="1" applyFill="1" applyBorder="1" applyAlignment="1" applyProtection="1">
      <alignment horizontal="center" vertical="center" wrapText="1"/>
    </xf>
    <xf numFmtId="0" fontId="98" fillId="6" borderId="19" xfId="0" applyFont="1" applyFill="1" applyBorder="1" applyProtection="1">
      <alignment vertical="center"/>
    </xf>
    <xf numFmtId="0" fontId="109" fillId="6" borderId="0" xfId="0" applyFont="1" applyFill="1" applyBorder="1" applyAlignment="1" applyProtection="1">
      <alignment horizontal="center" vertical="center"/>
    </xf>
    <xf numFmtId="0" fontId="99" fillId="6" borderId="23" xfId="0" applyFont="1" applyFill="1" applyBorder="1" applyAlignment="1" applyProtection="1">
      <alignment horizontal="center" vertical="center" wrapText="1"/>
    </xf>
    <xf numFmtId="0" fontId="113" fillId="6" borderId="58"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49" fontId="99" fillId="6" borderId="1" xfId="0" applyNumberFormat="1" applyFont="1" applyFill="1" applyBorder="1" applyAlignment="1" applyProtection="1">
      <alignment horizontal="center" vertical="center" wrapText="1"/>
    </xf>
    <xf numFmtId="0" fontId="99" fillId="6" borderId="1" xfId="0" applyNumberFormat="1" applyFont="1" applyFill="1" applyBorder="1" applyAlignment="1" applyProtection="1">
      <alignment horizontal="center" vertical="center" wrapText="1"/>
    </xf>
    <xf numFmtId="0" fontId="168" fillId="0" borderId="1" xfId="0" applyNumberFormat="1" applyFont="1" applyFill="1" applyBorder="1" applyAlignment="1" applyProtection="1">
      <alignment horizontal="center" vertical="center" wrapText="1"/>
      <protection locked="0"/>
    </xf>
    <xf numFmtId="0" fontId="168" fillId="0" borderId="13" xfId="0" applyNumberFormat="1" applyFont="1" applyFill="1" applyBorder="1" applyAlignment="1" applyProtection="1">
      <alignment horizontal="center" vertical="center" wrapText="1"/>
      <protection locked="0"/>
    </xf>
    <xf numFmtId="0" fontId="99" fillId="6" borderId="37" xfId="0" applyFont="1" applyFill="1" applyBorder="1" applyAlignment="1" applyProtection="1">
      <alignment horizontal="center" vertical="center" wrapText="1"/>
    </xf>
    <xf numFmtId="0" fontId="99" fillId="6" borderId="25" xfId="0" applyFont="1" applyFill="1" applyBorder="1" applyAlignment="1" applyProtection="1">
      <alignment horizontal="center" vertical="center" wrapText="1"/>
    </xf>
    <xf numFmtId="49" fontId="99" fillId="6" borderId="74" xfId="0" applyNumberFormat="1" applyFont="1" applyFill="1" applyBorder="1" applyAlignment="1" applyProtection="1">
      <alignment horizontal="center" vertical="center" wrapText="1"/>
    </xf>
    <xf numFmtId="49"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center" vertical="center" wrapText="1"/>
      <protection locked="0"/>
    </xf>
    <xf numFmtId="0" fontId="168" fillId="0" borderId="32" xfId="0" applyNumberFormat="1" applyFont="1" applyFill="1" applyBorder="1" applyAlignment="1" applyProtection="1">
      <alignment horizontal="center" vertical="center" wrapText="1"/>
      <protection locked="0"/>
    </xf>
    <xf numFmtId="0"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left" vertical="center" wrapText="1"/>
    </xf>
    <xf numFmtId="0" fontId="124" fillId="6" borderId="1" xfId="0" applyFont="1" applyFill="1" applyBorder="1">
      <alignment vertical="center"/>
    </xf>
    <xf numFmtId="0" fontId="98" fillId="6" borderId="1" xfId="0" applyFont="1" applyFill="1" applyBorder="1">
      <alignment vertical="center"/>
    </xf>
    <xf numFmtId="0" fontId="98" fillId="6" borderId="0" xfId="0" applyFont="1" applyFill="1">
      <alignment vertical="center"/>
    </xf>
    <xf numFmtId="0" fontId="52" fillId="6" borderId="95" xfId="0" applyNumberFormat="1" applyFont="1" applyFill="1" applyBorder="1" applyAlignment="1" applyProtection="1">
      <alignment horizontal="center" vertical="center" wrapText="1"/>
    </xf>
    <xf numFmtId="0" fontId="47" fillId="10" borderId="16" xfId="0" applyNumberFormat="1" applyFont="1" applyFill="1" applyBorder="1" applyAlignment="1" applyProtection="1">
      <alignment horizontal="center" vertical="center" wrapText="1"/>
    </xf>
    <xf numFmtId="0" fontId="52" fillId="6" borderId="16" xfId="0" applyFont="1" applyFill="1" applyBorder="1" applyAlignment="1" applyProtection="1">
      <alignment horizontal="left" vertical="center"/>
      <protection locked="0"/>
    </xf>
    <xf numFmtId="0" fontId="54" fillId="5" borderId="38" xfId="1" applyFont="1" applyFill="1" applyBorder="1" applyAlignment="1" applyProtection="1">
      <alignment vertical="center"/>
      <protection locked="0"/>
    </xf>
    <xf numFmtId="0" fontId="57" fillId="5" borderId="49" xfId="1" applyFont="1" applyFill="1" applyBorder="1" applyAlignment="1" applyProtection="1">
      <alignment vertical="center"/>
      <protection locked="0"/>
    </xf>
    <xf numFmtId="181" fontId="99"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3" fillId="6" borderId="33" xfId="0" applyFont="1" applyFill="1" applyBorder="1" applyAlignment="1" applyProtection="1">
      <alignment horizontal="center" vertical="center" wrapText="1"/>
    </xf>
    <xf numFmtId="0" fontId="53" fillId="5" borderId="32" xfId="0" applyFont="1" applyFill="1" applyBorder="1" applyAlignment="1" applyProtection="1">
      <alignment horizontal="right" vertical="center" wrapText="1"/>
      <protection locked="0"/>
    </xf>
    <xf numFmtId="0" fontId="53" fillId="6" borderId="66" xfId="0" applyFont="1" applyFill="1" applyBorder="1" applyAlignment="1" applyProtection="1">
      <alignment horizontal="center" vertical="center" wrapText="1"/>
    </xf>
    <xf numFmtId="49" fontId="50" fillId="6" borderId="12" xfId="0" applyNumberFormat="1" applyFont="1" applyFill="1" applyBorder="1" applyAlignment="1" applyProtection="1">
      <alignment horizontal="left" vertical="center" wrapText="1"/>
    </xf>
    <xf numFmtId="0" fontId="50" fillId="6" borderId="74" xfId="0" applyFont="1" applyFill="1" applyBorder="1" applyAlignment="1" applyProtection="1">
      <alignment horizontal="left" vertical="center" wrapText="1"/>
    </xf>
    <xf numFmtId="0" fontId="50" fillId="6" borderId="75" xfId="0" applyFont="1" applyFill="1" applyBorder="1" applyAlignment="1" applyProtection="1">
      <alignment horizontal="center" vertical="center" wrapText="1"/>
    </xf>
    <xf numFmtId="0" fontId="53" fillId="6" borderId="75" xfId="0" applyFont="1" applyFill="1" applyBorder="1" applyAlignment="1" applyProtection="1">
      <alignment vertical="center"/>
    </xf>
    <xf numFmtId="0" fontId="50" fillId="6" borderId="47" xfId="0" applyFont="1" applyFill="1" applyBorder="1" applyAlignment="1" applyProtection="1">
      <alignment horizontal="center" vertical="center" wrapText="1"/>
    </xf>
    <xf numFmtId="0" fontId="51" fillId="6" borderId="43" xfId="0" applyFont="1" applyFill="1" applyBorder="1" applyAlignment="1" applyProtection="1">
      <alignment vertical="center" wrapText="1"/>
    </xf>
    <xf numFmtId="0" fontId="53" fillId="6" borderId="32" xfId="0" applyFont="1" applyFill="1" applyBorder="1" applyAlignment="1" applyProtection="1">
      <alignment horizontal="left" vertical="center"/>
    </xf>
    <xf numFmtId="0" fontId="53" fillId="6" borderId="74" xfId="0" applyFont="1" applyFill="1" applyBorder="1" applyAlignment="1" applyProtection="1">
      <alignment horizontal="center" vertical="center" wrapText="1"/>
    </xf>
    <xf numFmtId="0" fontId="53" fillId="6" borderId="75" xfId="0" applyFont="1" applyFill="1" applyBorder="1" applyAlignment="1" applyProtection="1">
      <alignment horizontal="center" vertical="center" wrapText="1"/>
    </xf>
    <xf numFmtId="0" fontId="53" fillId="6" borderId="76" xfId="0" applyFont="1" applyFill="1" applyBorder="1" applyAlignment="1" applyProtection="1">
      <alignment horizontal="center" vertical="center" wrapText="1"/>
    </xf>
    <xf numFmtId="0" fontId="53" fillId="6" borderId="84" xfId="0" applyFont="1" applyFill="1" applyBorder="1" applyAlignment="1" applyProtection="1">
      <alignment horizontal="center" vertical="center"/>
    </xf>
    <xf numFmtId="0" fontId="143" fillId="12" borderId="126" xfId="16" applyFont="1" applyFill="1" applyBorder="1" applyAlignment="1" applyProtection="1">
      <alignment horizontal="left" vertical="center" wrapText="1"/>
    </xf>
    <xf numFmtId="0" fontId="143" fillId="12" borderId="130" xfId="16" applyFont="1" applyFill="1" applyBorder="1" applyAlignment="1" applyProtection="1">
      <alignment horizontal="left" vertical="center" wrapText="1"/>
    </xf>
    <xf numFmtId="0" fontId="102" fillId="0" borderId="0" xfId="9" applyFont="1" applyAlignment="1">
      <alignment horizontal="left" vertical="center"/>
    </xf>
    <xf numFmtId="0" fontId="102" fillId="0" borderId="119" xfId="9" applyFont="1" applyBorder="1" applyAlignment="1">
      <alignment horizontal="left" vertical="center"/>
    </xf>
    <xf numFmtId="0" fontId="97"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2" fillId="0" borderId="120" xfId="9" applyFont="1" applyBorder="1" applyAlignment="1">
      <alignment horizontal="left" vertical="center"/>
    </xf>
    <xf numFmtId="0" fontId="138" fillId="15" borderId="0" xfId="9" applyFont="1" applyFill="1" applyAlignment="1">
      <alignment horizontal="left" vertical="center"/>
    </xf>
    <xf numFmtId="0" fontId="98" fillId="15" borderId="0" xfId="10" applyFont="1" applyFill="1" applyAlignment="1" applyProtection="1">
      <alignment horizontal="left" vertical="center"/>
    </xf>
    <xf numFmtId="0" fontId="22" fillId="15" borderId="0" xfId="10" applyFont="1" applyFill="1" applyAlignment="1" applyProtection="1">
      <alignment horizontal="left" vertical="center"/>
    </xf>
    <xf numFmtId="0" fontId="102" fillId="15" borderId="121" xfId="9" applyFont="1" applyFill="1" applyBorder="1" applyAlignment="1">
      <alignment horizontal="left" vertical="center"/>
    </xf>
    <xf numFmtId="0" fontId="102" fillId="15" borderId="0" xfId="9" applyFont="1" applyFill="1" applyBorder="1" applyAlignment="1">
      <alignment horizontal="left" vertical="center"/>
    </xf>
    <xf numFmtId="0" fontId="144" fillId="15" borderId="0" xfId="9" applyFont="1" applyFill="1" applyBorder="1" applyAlignment="1" applyProtection="1">
      <alignment horizontal="left" vertical="center"/>
      <protection locked="0"/>
    </xf>
    <xf numFmtId="0" fontId="102" fillId="15" borderId="0" xfId="9" applyFont="1" applyFill="1" applyAlignment="1">
      <alignment horizontal="left" vertical="center"/>
    </xf>
    <xf numFmtId="0" fontId="136" fillId="15" borderId="0" xfId="9" applyFont="1" applyFill="1" applyAlignment="1">
      <alignment horizontal="left" vertical="center"/>
    </xf>
    <xf numFmtId="0" fontId="99" fillId="15" borderId="0" xfId="9" applyFont="1" applyFill="1" applyAlignment="1">
      <alignment horizontal="left" vertical="center"/>
    </xf>
    <xf numFmtId="10" fontId="99" fillId="15" borderId="0" xfId="9" applyNumberFormat="1" applyFont="1" applyFill="1" applyAlignment="1">
      <alignment horizontal="left" vertical="center"/>
    </xf>
    <xf numFmtId="0" fontId="102" fillId="0" borderId="0" xfId="9" applyFont="1" applyFill="1" applyAlignment="1">
      <alignment horizontal="left" vertical="center"/>
    </xf>
    <xf numFmtId="0" fontId="98"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2" fillId="0" borderId="121" xfId="9" applyFont="1" applyFill="1" applyBorder="1" applyAlignment="1">
      <alignment horizontal="left" vertical="center"/>
    </xf>
    <xf numFmtId="0" fontId="102" fillId="0" borderId="0" xfId="9" applyFont="1" applyFill="1" applyBorder="1" applyAlignment="1">
      <alignment horizontal="left" vertical="center"/>
    </xf>
    <xf numFmtId="0" fontId="102" fillId="0" borderId="0" xfId="9" applyFont="1" applyFill="1" applyBorder="1" applyAlignment="1" applyProtection="1">
      <alignment horizontal="left" vertical="center"/>
      <protection locked="0"/>
    </xf>
    <xf numFmtId="0" fontId="99" fillId="0" borderId="0" xfId="9" applyFont="1" applyAlignment="1">
      <alignment horizontal="left" vertical="center"/>
    </xf>
    <xf numFmtId="10" fontId="99" fillId="0" borderId="0" xfId="9" applyNumberFormat="1" applyFont="1" applyAlignment="1">
      <alignment horizontal="left" vertical="center"/>
    </xf>
    <xf numFmtId="49" fontId="53" fillId="13" borderId="1" xfId="9" applyNumberFormat="1" applyFont="1" applyFill="1" applyBorder="1" applyAlignment="1" applyProtection="1">
      <alignment horizontal="left" vertical="center" wrapText="1"/>
    </xf>
    <xf numFmtId="185" fontId="144" fillId="13" borderId="0" xfId="9" applyNumberFormat="1" applyFont="1" applyFill="1" applyAlignment="1">
      <alignment horizontal="left" vertical="center"/>
    </xf>
    <xf numFmtId="0" fontId="143" fillId="11" borderId="125" xfId="9" applyFont="1" applyFill="1" applyBorder="1" applyAlignment="1" applyProtection="1">
      <alignment horizontal="left" vertical="center" wrapText="1"/>
    </xf>
    <xf numFmtId="0" fontId="143" fillId="13" borderId="126" xfId="9" applyFont="1" applyFill="1" applyBorder="1" applyAlignment="1" applyProtection="1">
      <alignment horizontal="left" vertical="center" wrapText="1"/>
    </xf>
    <xf numFmtId="0" fontId="144" fillId="13" borderId="0" xfId="9" applyFont="1" applyFill="1" applyBorder="1" applyAlignment="1" applyProtection="1">
      <alignment horizontal="left" vertical="center"/>
      <protection locked="0"/>
    </xf>
    <xf numFmtId="0" fontId="102" fillId="13" borderId="0" xfId="9" applyFont="1" applyFill="1" applyAlignment="1">
      <alignment horizontal="left" vertical="center"/>
    </xf>
    <xf numFmtId="10" fontId="144" fillId="13" borderId="128" xfId="9" applyNumberFormat="1" applyFont="1" applyFill="1" applyBorder="1" applyAlignment="1">
      <alignment horizontal="left" vertical="center"/>
    </xf>
    <xf numFmtId="0" fontId="102" fillId="13" borderId="121" xfId="9" applyFont="1" applyFill="1" applyBorder="1" applyAlignment="1">
      <alignment horizontal="left" vertical="center"/>
    </xf>
    <xf numFmtId="0" fontId="113" fillId="5" borderId="0" xfId="9" applyFont="1" applyFill="1" applyAlignment="1">
      <alignment horizontal="left" vertical="center"/>
    </xf>
    <xf numFmtId="0" fontId="99" fillId="13" borderId="0" xfId="9" applyFont="1" applyFill="1" applyAlignment="1">
      <alignment horizontal="left" vertical="center"/>
    </xf>
    <xf numFmtId="10" fontId="99" fillId="13" borderId="0" xfId="9" applyNumberFormat="1" applyFont="1" applyFill="1" applyAlignment="1">
      <alignment horizontal="left" vertical="center"/>
    </xf>
    <xf numFmtId="49" fontId="53" fillId="6" borderId="1" xfId="9" applyNumberFormat="1" applyFont="1" applyFill="1" applyBorder="1" applyAlignment="1" applyProtection="1">
      <alignment horizontal="left" vertical="center" wrapText="1"/>
    </xf>
    <xf numFmtId="185" fontId="99" fillId="0" borderId="0" xfId="9" applyNumberFormat="1" applyFont="1" applyAlignment="1">
      <alignment horizontal="left" vertical="center"/>
    </xf>
    <xf numFmtId="0" fontId="143" fillId="12" borderId="126" xfId="9" applyFont="1" applyFill="1" applyBorder="1" applyAlignment="1" applyProtection="1">
      <alignment horizontal="left" vertical="center" wrapText="1"/>
    </xf>
    <xf numFmtId="10" fontId="99" fillId="0" borderId="121" xfId="9" applyNumberFormat="1" applyFont="1" applyBorder="1" applyAlignment="1">
      <alignment horizontal="left" vertical="center"/>
    </xf>
    <xf numFmtId="177" fontId="99" fillId="0" borderId="0" xfId="9" applyNumberFormat="1" applyFont="1" applyAlignment="1">
      <alignment horizontal="left" vertical="center"/>
    </xf>
    <xf numFmtId="0" fontId="99" fillId="0" borderId="0" xfId="9" applyFont="1" applyFill="1" applyAlignment="1">
      <alignment horizontal="left" vertical="center"/>
    </xf>
    <xf numFmtId="10" fontId="99" fillId="0" borderId="0" xfId="9" applyNumberFormat="1" applyFont="1" applyFill="1" applyAlignment="1">
      <alignment horizontal="left" vertical="center"/>
    </xf>
    <xf numFmtId="0" fontId="144" fillId="13" borderId="0" xfId="9" applyFont="1" applyFill="1" applyAlignment="1">
      <alignment horizontal="left" vertical="center"/>
    </xf>
    <xf numFmtId="0" fontId="143" fillId="12" borderId="130" xfId="9" applyFont="1" applyFill="1" applyBorder="1" applyAlignment="1" applyProtection="1">
      <alignment horizontal="left" vertical="center" wrapText="1"/>
    </xf>
    <xf numFmtId="0" fontId="143" fillId="11" borderId="123" xfId="9" applyFont="1" applyFill="1" applyBorder="1" applyAlignment="1" applyProtection="1">
      <alignment horizontal="left" vertical="center" wrapText="1"/>
    </xf>
    <xf numFmtId="0" fontId="143" fillId="11" borderId="124" xfId="9" applyFont="1" applyFill="1" applyBorder="1" applyAlignment="1" applyProtection="1">
      <alignment horizontal="left" vertical="center" wrapText="1"/>
    </xf>
    <xf numFmtId="185" fontId="102" fillId="11" borderId="123" xfId="9" applyNumberFormat="1" applyFont="1" applyFill="1" applyBorder="1" applyAlignment="1" applyProtection="1">
      <alignment horizontal="left" vertical="center" wrapText="1"/>
    </xf>
    <xf numFmtId="185" fontId="102" fillId="11" borderId="129" xfId="9" applyNumberFormat="1" applyFont="1" applyFill="1" applyBorder="1" applyAlignment="1" applyProtection="1">
      <alignment horizontal="left" vertical="center" wrapText="1"/>
    </xf>
    <xf numFmtId="0" fontId="143" fillId="11" borderId="126" xfId="9" applyFont="1" applyFill="1" applyBorder="1" applyAlignment="1" applyProtection="1">
      <alignment horizontal="left" vertical="center" wrapText="1"/>
    </xf>
    <xf numFmtId="0" fontId="143" fillId="11" borderId="130" xfId="9" applyFont="1" applyFill="1" applyBorder="1" applyAlignment="1" applyProtection="1">
      <alignment horizontal="left" vertical="center" wrapText="1"/>
    </xf>
    <xf numFmtId="185" fontId="102" fillId="11" borderId="123" xfId="9" applyNumberFormat="1" applyFont="1" applyFill="1" applyBorder="1" applyAlignment="1">
      <alignment horizontal="left" vertical="center" wrapText="1"/>
    </xf>
    <xf numFmtId="185" fontId="102" fillId="11" borderId="129" xfId="9" applyNumberFormat="1" applyFont="1" applyFill="1" applyBorder="1" applyAlignment="1">
      <alignment horizontal="left" vertical="center" wrapText="1"/>
    </xf>
    <xf numFmtId="181" fontId="99" fillId="0" borderId="121" xfId="9" applyNumberFormat="1" applyFont="1" applyBorder="1" applyAlignment="1">
      <alignment horizontal="left" vertical="center"/>
    </xf>
    <xf numFmtId="181" fontId="99" fillId="0" borderId="0" xfId="9" applyNumberFormat="1" applyFont="1" applyAlignment="1">
      <alignment horizontal="left" vertical="center"/>
    </xf>
    <xf numFmtId="10" fontId="99" fillId="0" borderId="128" xfId="9" applyNumberFormat="1" applyFont="1" applyBorder="1" applyAlignment="1">
      <alignment horizontal="left" vertical="center"/>
    </xf>
    <xf numFmtId="10" fontId="99" fillId="0" borderId="60" xfId="9" applyNumberFormat="1" applyFont="1" applyBorder="1" applyAlignment="1">
      <alignment horizontal="left" vertical="center"/>
    </xf>
    <xf numFmtId="0" fontId="143" fillId="11" borderId="132" xfId="9" applyFont="1" applyFill="1" applyBorder="1" applyAlignment="1" applyProtection="1">
      <alignment horizontal="left" vertical="center" wrapText="1"/>
    </xf>
    <xf numFmtId="0" fontId="143" fillId="11" borderId="133" xfId="9" applyFont="1" applyFill="1" applyBorder="1" applyAlignment="1" applyProtection="1">
      <alignment horizontal="left" vertical="center" wrapText="1"/>
    </xf>
    <xf numFmtId="10" fontId="99" fillId="0" borderId="134" xfId="9" applyNumberFormat="1" applyFont="1" applyBorder="1" applyAlignment="1">
      <alignment horizontal="left" vertical="center"/>
    </xf>
    <xf numFmtId="10" fontId="99" fillId="0" borderId="36" xfId="9" applyNumberFormat="1" applyFont="1" applyBorder="1" applyAlignment="1">
      <alignment horizontal="left" vertical="center"/>
    </xf>
    <xf numFmtId="0" fontId="99" fillId="0" borderId="121" xfId="9" applyFont="1" applyBorder="1" applyAlignment="1">
      <alignment horizontal="left" vertical="center"/>
    </xf>
    <xf numFmtId="0" fontId="143" fillId="12" borderId="123" xfId="9" applyFont="1" applyFill="1" applyBorder="1" applyAlignment="1" applyProtection="1">
      <alignment horizontal="left" vertical="center" wrapText="1"/>
    </xf>
    <xf numFmtId="0" fontId="143" fillId="12" borderId="124" xfId="9" applyFont="1" applyFill="1" applyBorder="1" applyAlignment="1" applyProtection="1">
      <alignment horizontal="left" vertical="center" wrapText="1"/>
    </xf>
    <xf numFmtId="10" fontId="99" fillId="0" borderId="0" xfId="9" applyNumberFormat="1" applyFont="1" applyBorder="1" applyAlignment="1">
      <alignment horizontal="left" vertical="center"/>
    </xf>
    <xf numFmtId="185" fontId="102" fillId="11" borderId="126" xfId="9" applyNumberFormat="1" applyFont="1" applyFill="1" applyBorder="1" applyAlignment="1">
      <alignment horizontal="left" vertical="center" wrapText="1"/>
    </xf>
    <xf numFmtId="185" fontId="102" fillId="11" borderId="135" xfId="9" applyNumberFormat="1" applyFont="1" applyFill="1" applyBorder="1" applyAlignment="1">
      <alignment horizontal="left" vertical="center" wrapText="1"/>
    </xf>
    <xf numFmtId="0" fontId="99" fillId="12" borderId="123" xfId="9" applyFont="1" applyFill="1" applyBorder="1" applyAlignment="1" applyProtection="1">
      <alignment horizontal="left" vertical="center" wrapText="1"/>
    </xf>
    <xf numFmtId="0" fontId="99" fillId="12" borderId="124" xfId="9" applyFont="1" applyFill="1" applyBorder="1" applyAlignment="1" applyProtection="1">
      <alignment horizontal="left" vertical="center" wrapText="1"/>
    </xf>
    <xf numFmtId="49" fontId="53" fillId="5" borderId="1" xfId="9" applyNumberFormat="1" applyFont="1" applyFill="1" applyBorder="1" applyAlignment="1" applyProtection="1">
      <alignment horizontal="left" vertical="center" wrapText="1"/>
    </xf>
    <xf numFmtId="185" fontId="99" fillId="5" borderId="0" xfId="9" applyNumberFormat="1" applyFont="1" applyFill="1" applyAlignment="1">
      <alignment horizontal="left" vertical="center"/>
    </xf>
    <xf numFmtId="0" fontId="99" fillId="5" borderId="126" xfId="9" applyFont="1" applyFill="1" applyBorder="1" applyAlignment="1" applyProtection="1">
      <alignment horizontal="left" vertical="center" wrapText="1"/>
    </xf>
    <xf numFmtId="0" fontId="99" fillId="5" borderId="130" xfId="9" applyFont="1" applyFill="1" applyBorder="1" applyAlignment="1" applyProtection="1">
      <alignment horizontal="left" vertical="center" wrapText="1"/>
    </xf>
    <xf numFmtId="0" fontId="99" fillId="5" borderId="0" xfId="9" applyFont="1" applyFill="1" applyAlignment="1">
      <alignment horizontal="left" vertical="center"/>
    </xf>
    <xf numFmtId="10" fontId="99" fillId="5" borderId="121" xfId="9" applyNumberFormat="1" applyFont="1" applyFill="1" applyBorder="1" applyAlignment="1">
      <alignment horizontal="left" vertical="center"/>
    </xf>
    <xf numFmtId="10" fontId="99" fillId="5" borderId="0" xfId="9" applyNumberFormat="1" applyFont="1" applyFill="1" applyAlignment="1">
      <alignment horizontal="left" vertical="center"/>
    </xf>
    <xf numFmtId="177" fontId="99" fillId="5" borderId="0" xfId="9" applyNumberFormat="1" applyFont="1" applyFill="1" applyAlignment="1">
      <alignment horizontal="left" vertical="center"/>
    </xf>
    <xf numFmtId="10" fontId="99" fillId="5" borderId="128" xfId="9" applyNumberFormat="1" applyFont="1" applyFill="1" applyBorder="1" applyAlignment="1">
      <alignment horizontal="left" vertical="center"/>
    </xf>
    <xf numFmtId="10" fontId="99" fillId="5" borderId="60" xfId="9" applyNumberFormat="1" applyFont="1" applyFill="1" applyBorder="1" applyAlignment="1">
      <alignment horizontal="left" vertical="center"/>
    </xf>
    <xf numFmtId="0" fontId="122" fillId="5" borderId="0" xfId="9" applyFont="1" applyFill="1" applyAlignment="1">
      <alignment horizontal="left" vertical="center"/>
    </xf>
    <xf numFmtId="0" fontId="99" fillId="5" borderId="0" xfId="9" applyNumberFormat="1" applyFont="1" applyFill="1" applyAlignment="1">
      <alignment horizontal="left" vertical="center"/>
    </xf>
    <xf numFmtId="0" fontId="99" fillId="11" borderId="132" xfId="9" applyFont="1" applyFill="1" applyBorder="1" applyAlignment="1" applyProtection="1">
      <alignment horizontal="left" vertical="center" wrapText="1"/>
    </xf>
    <xf numFmtId="0" fontId="99" fillId="11" borderId="133" xfId="9" applyFont="1" applyFill="1" applyBorder="1" applyAlignment="1" applyProtection="1">
      <alignment horizontal="left" vertical="center" wrapText="1"/>
    </xf>
    <xf numFmtId="14" fontId="99" fillId="0" borderId="0" xfId="9" applyNumberFormat="1" applyFont="1" applyAlignment="1">
      <alignment horizontal="left" vertical="center"/>
    </xf>
    <xf numFmtId="0" fontId="122" fillId="0" borderId="0" xfId="9" applyFont="1" applyAlignment="1">
      <alignment horizontal="left" vertical="center"/>
    </xf>
    <xf numFmtId="0" fontId="99" fillId="0" borderId="0" xfId="9" applyNumberFormat="1" applyFont="1" applyAlignment="1">
      <alignment horizontal="left" vertical="center"/>
    </xf>
    <xf numFmtId="185" fontId="102" fillId="11" borderId="132" xfId="9" applyNumberFormat="1" applyFont="1" applyFill="1" applyBorder="1" applyAlignment="1">
      <alignment horizontal="left" vertical="center" wrapText="1"/>
    </xf>
    <xf numFmtId="185" fontId="102" fillId="11" borderId="136" xfId="9" applyNumberFormat="1" applyFont="1" applyFill="1" applyBorder="1" applyAlignment="1">
      <alignment horizontal="left" vertical="center" wrapText="1"/>
    </xf>
    <xf numFmtId="185" fontId="99" fillId="13" borderId="0" xfId="9" applyNumberFormat="1" applyFont="1" applyFill="1" applyAlignment="1">
      <alignment horizontal="left" vertical="center"/>
    </xf>
    <xf numFmtId="185" fontId="99" fillId="0" borderId="47" xfId="9" applyNumberFormat="1" applyFont="1" applyBorder="1" applyAlignment="1">
      <alignment horizontal="left" vertical="center"/>
    </xf>
    <xf numFmtId="0" fontId="143" fillId="12" borderId="137" xfId="9" applyFont="1" applyFill="1" applyBorder="1" applyAlignment="1" applyProtection="1">
      <alignment horizontal="left" vertical="center" wrapText="1"/>
    </xf>
    <xf numFmtId="0" fontId="143" fillId="12" borderId="138" xfId="9" applyFont="1" applyFill="1" applyBorder="1" applyAlignment="1" applyProtection="1">
      <alignment horizontal="left" vertical="center" wrapText="1"/>
    </xf>
    <xf numFmtId="0" fontId="99" fillId="0" borderId="47" xfId="9" applyFont="1" applyBorder="1" applyAlignment="1">
      <alignment horizontal="left" vertical="center"/>
    </xf>
    <xf numFmtId="10" fontId="99" fillId="0" borderId="139" xfId="9" applyNumberFormat="1" applyFont="1" applyBorder="1" applyAlignment="1">
      <alignment horizontal="left" vertical="center"/>
    </xf>
    <xf numFmtId="10" fontId="99" fillId="0" borderId="47" xfId="9" applyNumberFormat="1" applyFont="1" applyBorder="1" applyAlignment="1">
      <alignment horizontal="left" vertical="center"/>
    </xf>
    <xf numFmtId="177" fontId="99" fillId="0" borderId="47" xfId="9" applyNumberFormat="1" applyFont="1" applyBorder="1" applyAlignment="1">
      <alignment horizontal="left" vertical="center"/>
    </xf>
    <xf numFmtId="0" fontId="143" fillId="11" borderId="140" xfId="9" applyFont="1" applyFill="1" applyBorder="1" applyAlignment="1" applyProtection="1">
      <alignment horizontal="left" vertical="center" wrapText="1"/>
    </xf>
    <xf numFmtId="0" fontId="143" fillId="11" borderId="141" xfId="9" applyFont="1" applyFill="1" applyBorder="1" applyAlignment="1" applyProtection="1">
      <alignment horizontal="left" vertical="center" wrapText="1"/>
    </xf>
    <xf numFmtId="10" fontId="99" fillId="14" borderId="121" xfId="9" applyNumberFormat="1" applyFont="1" applyFill="1" applyBorder="1" applyAlignment="1">
      <alignment horizontal="left" vertical="center"/>
    </xf>
    <xf numFmtId="10" fontId="99" fillId="14" borderId="0" xfId="9" applyNumberFormat="1" applyFont="1" applyFill="1" applyAlignment="1">
      <alignment horizontal="left" vertical="center"/>
    </xf>
    <xf numFmtId="178" fontId="99" fillId="0" borderId="0" xfId="9" applyNumberFormat="1" applyFont="1" applyAlignment="1">
      <alignment horizontal="left" vertical="center"/>
    </xf>
    <xf numFmtId="10" fontId="99" fillId="14" borderId="128" xfId="9" applyNumberFormat="1" applyFont="1" applyFill="1" applyBorder="1" applyAlignment="1">
      <alignment horizontal="left" vertical="center"/>
    </xf>
    <xf numFmtId="10" fontId="99" fillId="14" borderId="60" xfId="9" applyNumberFormat="1" applyFont="1" applyFill="1" applyBorder="1" applyAlignment="1">
      <alignment horizontal="left" vertical="center"/>
    </xf>
    <xf numFmtId="10" fontId="99" fillId="14" borderId="139" xfId="9" applyNumberFormat="1" applyFont="1" applyFill="1" applyBorder="1" applyAlignment="1">
      <alignment horizontal="left" vertical="center"/>
    </xf>
    <xf numFmtId="10" fontId="99" fillId="14" borderId="47" xfId="9" applyNumberFormat="1" applyFont="1" applyFill="1" applyBorder="1" applyAlignment="1">
      <alignment horizontal="left" vertical="center"/>
    </xf>
    <xf numFmtId="178" fontId="99" fillId="0" borderId="47" xfId="9" applyNumberFormat="1" applyFont="1" applyBorder="1" applyAlignment="1">
      <alignment horizontal="left" vertical="center"/>
    </xf>
    <xf numFmtId="0" fontId="102" fillId="12" borderId="142" xfId="9" applyFont="1" applyFill="1" applyBorder="1" applyAlignment="1">
      <alignment horizontal="left" vertical="center" wrapText="1"/>
    </xf>
    <xf numFmtId="0" fontId="102" fillId="12" borderId="143" xfId="9" applyFont="1" applyFill="1" applyBorder="1" applyAlignment="1">
      <alignment horizontal="left" vertical="center" wrapText="1"/>
    </xf>
    <xf numFmtId="180" fontId="99" fillId="0" borderId="0" xfId="9" applyNumberFormat="1" applyFont="1" applyAlignment="1">
      <alignment horizontal="left" vertical="center"/>
    </xf>
    <xf numFmtId="180" fontId="99" fillId="0" borderId="121" xfId="9" applyNumberFormat="1" applyFont="1" applyBorder="1" applyAlignment="1">
      <alignment horizontal="left" vertical="center"/>
    </xf>
    <xf numFmtId="177" fontId="99" fillId="14" borderId="0" xfId="9" applyNumberFormat="1" applyFont="1" applyFill="1" applyAlignment="1">
      <alignment horizontal="left" vertical="center"/>
    </xf>
    <xf numFmtId="0" fontId="143" fillId="12" borderId="132" xfId="9" applyFont="1" applyFill="1" applyBorder="1" applyAlignment="1" applyProtection="1">
      <alignment horizontal="left" vertical="center" wrapText="1"/>
    </xf>
    <xf numFmtId="0" fontId="102" fillId="11" borderId="132" xfId="9" applyFont="1" applyFill="1" applyBorder="1" applyAlignment="1">
      <alignment horizontal="left" vertical="center" wrapText="1"/>
    </xf>
    <xf numFmtId="0" fontId="102" fillId="11" borderId="136" xfId="9" applyFont="1" applyFill="1" applyBorder="1" applyAlignment="1">
      <alignment horizontal="left" vertical="center" wrapText="1"/>
    </xf>
    <xf numFmtId="0" fontId="143" fillId="5" borderId="126" xfId="9" applyFont="1" applyFill="1" applyBorder="1" applyAlignment="1" applyProtection="1">
      <alignment horizontal="left" vertical="center" wrapText="1"/>
    </xf>
    <xf numFmtId="180" fontId="99" fillId="5" borderId="0" xfId="9" applyNumberFormat="1" applyFont="1" applyFill="1" applyAlignment="1">
      <alignment horizontal="left" vertical="center"/>
    </xf>
    <xf numFmtId="0" fontId="99" fillId="5" borderId="121" xfId="9" applyFont="1" applyFill="1" applyBorder="1" applyAlignment="1">
      <alignment horizontal="left" vertical="center"/>
    </xf>
    <xf numFmtId="178" fontId="99" fillId="5" borderId="0" xfId="9" applyNumberFormat="1" applyFont="1" applyFill="1" applyAlignment="1">
      <alignment horizontal="left" vertical="center"/>
    </xf>
    <xf numFmtId="0" fontId="102" fillId="11" borderId="144" xfId="9" applyFont="1" applyFill="1" applyBorder="1" applyAlignment="1">
      <alignment horizontal="left" vertical="center" wrapText="1"/>
    </xf>
    <xf numFmtId="0" fontId="102" fillId="11" borderId="145" xfId="9" applyFont="1" applyFill="1" applyBorder="1" applyAlignment="1">
      <alignment horizontal="left" vertical="center" wrapText="1"/>
    </xf>
    <xf numFmtId="0" fontId="102" fillId="11" borderId="146" xfId="9" applyFont="1" applyFill="1" applyBorder="1" applyAlignment="1">
      <alignment horizontal="left" vertical="center" wrapText="1"/>
    </xf>
    <xf numFmtId="0" fontId="129" fillId="0" borderId="0" xfId="9" applyFont="1" applyAlignment="1">
      <alignment horizontal="left" vertical="center"/>
    </xf>
    <xf numFmtId="0" fontId="113" fillId="0" borderId="0" xfId="9" applyFont="1" applyAlignment="1">
      <alignment horizontal="left" vertical="center"/>
    </xf>
    <xf numFmtId="0" fontId="113" fillId="0" borderId="121" xfId="9" applyFont="1" applyBorder="1" applyAlignment="1">
      <alignment horizontal="left" vertical="center"/>
    </xf>
    <xf numFmtId="180" fontId="113" fillId="0" borderId="0" xfId="9" applyNumberFormat="1" applyFont="1" applyAlignment="1">
      <alignment horizontal="left" vertical="center"/>
    </xf>
    <xf numFmtId="180" fontId="113" fillId="0" borderId="121" xfId="9" applyNumberFormat="1" applyFont="1" applyBorder="1" applyAlignment="1">
      <alignment horizontal="left" vertical="center"/>
    </xf>
    <xf numFmtId="0" fontId="143" fillId="12" borderId="147" xfId="9" applyFont="1" applyFill="1" applyBorder="1" applyAlignment="1">
      <alignment horizontal="left" vertical="center" wrapText="1"/>
    </xf>
    <xf numFmtId="0" fontId="143" fillId="12" borderId="123" xfId="9" applyFont="1" applyFill="1" applyBorder="1" applyAlignment="1">
      <alignment horizontal="left" vertical="center" wrapText="1"/>
    </xf>
    <xf numFmtId="0" fontId="143" fillId="11" borderId="148" xfId="9" applyFont="1" applyFill="1" applyBorder="1" applyAlignment="1">
      <alignment horizontal="left" vertical="center" wrapText="1"/>
    </xf>
    <xf numFmtId="0" fontId="143" fillId="11" borderId="126" xfId="9" applyFont="1" applyFill="1" applyBorder="1" applyAlignment="1">
      <alignment horizontal="left" vertical="center" wrapText="1"/>
    </xf>
    <xf numFmtId="0" fontId="143" fillId="12" borderId="148" xfId="9" applyFont="1" applyFill="1" applyBorder="1" applyAlignment="1">
      <alignment horizontal="left" vertical="center" wrapText="1"/>
    </xf>
    <xf numFmtId="0" fontId="143" fillId="12" borderId="126" xfId="9" applyFont="1" applyFill="1" applyBorder="1" applyAlignment="1">
      <alignment horizontal="left" vertical="center" wrapText="1"/>
    </xf>
    <xf numFmtId="0" fontId="143" fillId="11" borderId="149" xfId="9" applyFont="1" applyFill="1" applyBorder="1" applyAlignment="1">
      <alignment horizontal="left" vertical="center" wrapText="1"/>
    </xf>
    <xf numFmtId="0" fontId="143" fillId="11" borderId="132" xfId="9" applyFont="1" applyFill="1" applyBorder="1" applyAlignment="1">
      <alignment horizontal="left" vertical="center" wrapText="1"/>
    </xf>
    <xf numFmtId="0" fontId="129" fillId="6" borderId="0" xfId="0" applyFont="1" applyFill="1" applyAlignment="1" applyProtection="1">
      <alignment horizontal="left" vertical="center"/>
    </xf>
    <xf numFmtId="0" fontId="177" fillId="6" borderId="154" xfId="0" applyFont="1" applyFill="1" applyBorder="1" applyAlignment="1" applyProtection="1">
      <alignment horizontal="left"/>
    </xf>
    <xf numFmtId="0" fontId="101" fillId="6" borderId="154" xfId="0" applyFont="1" applyFill="1" applyBorder="1" applyAlignment="1" applyProtection="1">
      <alignment horizontal="left"/>
    </xf>
    <xf numFmtId="0" fontId="177" fillId="6" borderId="154" xfId="0" applyFont="1" applyFill="1" applyBorder="1" applyAlignment="1" applyProtection="1">
      <alignment horizontal="right"/>
    </xf>
    <xf numFmtId="0" fontId="101" fillId="7" borderId="154" xfId="0" applyFont="1" applyFill="1" applyBorder="1" applyAlignment="1" applyProtection="1">
      <protection locked="0"/>
    </xf>
    <xf numFmtId="0" fontId="101" fillId="7" borderId="154" xfId="0" applyFont="1" applyFill="1" applyBorder="1" applyAlignment="1" applyProtection="1"/>
    <xf numFmtId="0" fontId="101" fillId="0" borderId="154" xfId="0" applyFont="1" applyFill="1" applyBorder="1" applyAlignment="1" applyProtection="1"/>
    <xf numFmtId="0" fontId="77" fillId="18" borderId="0" xfId="0" applyFont="1" applyFill="1" applyAlignment="1" applyProtection="1">
      <alignment horizontal="left" vertical="center"/>
    </xf>
    <xf numFmtId="10" fontId="47" fillId="18" borderId="0" xfId="0" applyNumberFormat="1" applyFont="1" applyFill="1" applyAlignment="1" applyProtection="1">
      <alignment horizontal="left" vertical="center"/>
    </xf>
    <xf numFmtId="0" fontId="47" fillId="18" borderId="0" xfId="0" applyFont="1" applyFill="1" applyAlignment="1" applyProtection="1">
      <alignment horizontal="left" vertical="center"/>
    </xf>
    <xf numFmtId="0" fontId="77" fillId="18" borderId="0" xfId="0" applyFont="1" applyFill="1" applyProtection="1">
      <alignment vertical="center"/>
    </xf>
    <xf numFmtId="0" fontId="77" fillId="18" borderId="3" xfId="0" applyFont="1" applyFill="1" applyBorder="1" applyAlignment="1" applyProtection="1">
      <alignment horizontal="left" vertical="center" wrapText="1"/>
      <protection locked="0"/>
    </xf>
    <xf numFmtId="181" fontId="47" fillId="18" borderId="48" xfId="0" applyNumberFormat="1" applyFont="1" applyFill="1" applyBorder="1" applyAlignment="1" applyProtection="1">
      <alignment horizontal="center" vertical="center" wrapText="1"/>
    </xf>
    <xf numFmtId="0" fontId="47" fillId="18" borderId="1" xfId="0" applyFont="1" applyFill="1" applyBorder="1" applyAlignment="1" applyProtection="1">
      <alignment horizontal="center" vertical="center"/>
    </xf>
    <xf numFmtId="0" fontId="54" fillId="18" borderId="68" xfId="0" applyNumberFormat="1" applyFont="1" applyFill="1" applyBorder="1" applyAlignment="1" applyProtection="1">
      <alignment horizontal="left" vertical="center" wrapText="1"/>
      <protection locked="0"/>
    </xf>
    <xf numFmtId="181" fontId="50" fillId="18" borderId="68" xfId="0" applyNumberFormat="1" applyFont="1" applyFill="1" applyBorder="1" applyAlignment="1" applyProtection="1">
      <alignment horizontal="left" vertical="center" wrapText="1"/>
      <protection locked="0"/>
    </xf>
    <xf numFmtId="176" fontId="51" fillId="18" borderId="48" xfId="0" applyNumberFormat="1" applyFont="1" applyFill="1" applyBorder="1" applyAlignment="1" applyProtection="1">
      <alignment horizontal="left" vertical="center" wrapText="1"/>
    </xf>
    <xf numFmtId="176" fontId="51" fillId="6" borderId="48" xfId="0" applyNumberFormat="1" applyFont="1" applyFill="1" applyBorder="1" applyAlignment="1" applyProtection="1">
      <alignment horizontal="left" vertical="center" wrapText="1"/>
    </xf>
    <xf numFmtId="0" fontId="54" fillId="18"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6" fillId="6" borderId="21" xfId="0" applyFont="1" applyFill="1" applyBorder="1" applyAlignment="1" applyProtection="1">
      <alignment horizontal="center" vertical="center"/>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10" fontId="47" fillId="6" borderId="48" xfId="0" applyNumberFormat="1" applyFont="1" applyFill="1" applyBorder="1" applyAlignment="1" applyProtection="1">
      <alignment horizontal="left" vertical="center" wrapText="1"/>
    </xf>
    <xf numFmtId="0" fontId="44" fillId="6" borderId="1"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48" xfId="0" applyFont="1" applyFill="1" applyBorder="1" applyAlignment="1" applyProtection="1">
      <alignment horizontal="left" vertical="center" wrapText="1"/>
    </xf>
    <xf numFmtId="0" fontId="47" fillId="6" borderId="11"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7" fillId="6" borderId="23" xfId="0" applyFont="1" applyFill="1" applyBorder="1" applyAlignment="1" applyProtection="1">
      <alignment horizontal="left" vertical="center" wrapText="1"/>
    </xf>
    <xf numFmtId="0" fontId="119" fillId="0" borderId="0" xfId="5" applyFont="1" applyAlignment="1">
      <alignment horizontal="left" vertical="center"/>
    </xf>
    <xf numFmtId="0" fontId="147" fillId="0" borderId="0" xfId="5" applyFont="1" applyAlignment="1">
      <alignment horizontal="left" vertical="center"/>
    </xf>
    <xf numFmtId="0" fontId="120" fillId="0" borderId="0" xfId="5" applyFont="1" applyAlignment="1">
      <alignment horizontal="left" vertical="center"/>
    </xf>
    <xf numFmtId="14" fontId="120" fillId="0" borderId="0" xfId="5" applyNumberFormat="1" applyFont="1" applyAlignment="1">
      <alignment horizontal="left" vertical="center"/>
    </xf>
    <xf numFmtId="0" fontId="237" fillId="0" borderId="0" xfId="5" applyFont="1" applyAlignment="1">
      <alignment horizontal="left" vertical="center"/>
    </xf>
    <xf numFmtId="0" fontId="117" fillId="5" borderId="13" xfId="5" applyFont="1" applyFill="1" applyBorder="1" applyAlignment="1">
      <alignment horizontal="left" vertical="center"/>
    </xf>
    <xf numFmtId="0" fontId="118" fillId="0" borderId="1" xfId="5" applyFont="1" applyBorder="1" applyAlignment="1">
      <alignment horizontal="left" vertical="center"/>
    </xf>
    <xf numFmtId="0" fontId="118" fillId="0" borderId="5" xfId="5" applyFont="1" applyBorder="1" applyAlignment="1">
      <alignment horizontal="left" vertical="center"/>
    </xf>
    <xf numFmtId="0" fontId="117" fillId="5" borderId="155" xfId="5" applyFont="1" applyFill="1" applyBorder="1" applyAlignment="1">
      <alignment horizontal="left" vertical="center"/>
    </xf>
    <xf numFmtId="191" fontId="118" fillId="0" borderId="1" xfId="5" applyNumberFormat="1" applyFont="1" applyFill="1" applyBorder="1" applyAlignment="1">
      <alignment horizontal="left" vertical="center"/>
    </xf>
    <xf numFmtId="191" fontId="238" fillId="0" borderId="5" xfId="5" applyNumberFormat="1" applyFont="1" applyFill="1" applyBorder="1" applyAlignment="1">
      <alignment horizontal="left" vertical="center"/>
    </xf>
    <xf numFmtId="0" fontId="118" fillId="0" borderId="156" xfId="5" applyFont="1" applyFill="1" applyBorder="1" applyAlignment="1">
      <alignment horizontal="left" vertical="center"/>
    </xf>
    <xf numFmtId="183" fontId="118" fillId="0" borderId="1" xfId="5" applyNumberFormat="1" applyFont="1" applyFill="1" applyBorder="1" applyAlignment="1">
      <alignment horizontal="left" vertical="center"/>
    </xf>
    <xf numFmtId="0" fontId="238" fillId="0" borderId="1" xfId="5" applyFont="1" applyFill="1" applyBorder="1" applyAlignment="1">
      <alignment horizontal="left" vertical="center"/>
    </xf>
    <xf numFmtId="191" fontId="118" fillId="0" borderId="5" xfId="5" applyNumberFormat="1" applyFont="1" applyFill="1" applyBorder="1" applyAlignment="1">
      <alignment horizontal="left" vertical="center"/>
    </xf>
    <xf numFmtId="0" fontId="238" fillId="0" borderId="0" xfId="5" applyFont="1" applyFill="1" applyAlignment="1">
      <alignment horizontal="left" vertical="center"/>
    </xf>
    <xf numFmtId="0" fontId="147" fillId="0" borderId="0" xfId="5" applyFont="1" applyFill="1" applyAlignment="1">
      <alignment horizontal="left" vertical="center"/>
    </xf>
    <xf numFmtId="0" fontId="117" fillId="0" borderId="1" xfId="5" applyFont="1" applyFill="1" applyBorder="1" applyAlignment="1">
      <alignment horizontal="left" vertical="center"/>
    </xf>
    <xf numFmtId="0" fontId="116" fillId="0" borderId="0" xfId="5" applyFont="1" applyAlignment="1">
      <alignment horizontal="left" vertical="center"/>
    </xf>
    <xf numFmtId="0" fontId="120" fillId="0" borderId="1" xfId="5" applyFont="1" applyBorder="1" applyAlignment="1">
      <alignment horizontal="left" vertical="center"/>
    </xf>
    <xf numFmtId="183" fontId="118" fillId="0" borderId="5" xfId="5" applyNumberFormat="1" applyFont="1" applyFill="1" applyBorder="1" applyAlignment="1">
      <alignment horizontal="left" vertical="center"/>
    </xf>
    <xf numFmtId="0" fontId="120" fillId="0" borderId="156" xfId="5" applyFont="1" applyBorder="1" applyAlignment="1">
      <alignment horizontal="left" vertical="center"/>
    </xf>
    <xf numFmtId="14" fontId="120" fillId="0" borderId="1" xfId="5" applyNumberFormat="1" applyFont="1" applyBorder="1" applyAlignment="1">
      <alignment horizontal="left" vertical="center"/>
    </xf>
    <xf numFmtId="14" fontId="120" fillId="0" borderId="5" xfId="5" applyNumberFormat="1" applyFont="1" applyBorder="1" applyAlignment="1">
      <alignment horizontal="left" vertical="center"/>
    </xf>
    <xf numFmtId="0" fontId="127" fillId="0" borderId="1" xfId="5" applyFont="1" applyBorder="1" applyAlignment="1">
      <alignment horizontal="left" vertical="center"/>
    </xf>
    <xf numFmtId="183" fontId="127" fillId="0" borderId="1" xfId="0" applyNumberFormat="1" applyFont="1" applyFill="1" applyBorder="1" applyAlignment="1">
      <alignment horizontal="left" vertical="center"/>
    </xf>
    <xf numFmtId="14" fontId="147" fillId="0" borderId="0" xfId="5" applyNumberFormat="1" applyFont="1" applyAlignment="1">
      <alignment horizontal="left" vertical="center"/>
    </xf>
    <xf numFmtId="14" fontId="147" fillId="0" borderId="157" xfId="5" applyNumberFormat="1" applyFont="1" applyBorder="1" applyAlignment="1">
      <alignment horizontal="left" vertical="center"/>
    </xf>
    <xf numFmtId="0" fontId="147" fillId="0" borderId="0" xfId="5" applyFont="1" applyBorder="1" applyAlignment="1">
      <alignment horizontal="left" vertical="center"/>
    </xf>
    <xf numFmtId="0" fontId="215" fillId="0" borderId="0" xfId="5" applyFont="1" applyBorder="1" applyAlignment="1">
      <alignment horizontal="left" vertical="center"/>
    </xf>
    <xf numFmtId="0" fontId="47" fillId="6" borderId="26" xfId="0" applyFont="1" applyFill="1" applyBorder="1" applyAlignment="1" applyProtection="1">
      <alignment vertical="center" wrapText="1"/>
    </xf>
    <xf numFmtId="0" fontId="47" fillId="6" borderId="0" xfId="0" applyFont="1" applyFill="1" applyBorder="1" applyAlignment="1" applyProtection="1">
      <alignment vertical="center" wrapText="1"/>
    </xf>
    <xf numFmtId="0" fontId="47"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0" borderId="0" xfId="0" applyFont="1" applyFill="1" applyBorder="1" applyAlignment="1" applyProtection="1">
      <alignment vertical="center"/>
      <protection locked="0"/>
    </xf>
    <xf numFmtId="0" fontId="47" fillId="0" borderId="0" xfId="0" applyFont="1" applyFill="1" applyBorder="1" applyAlignment="1" applyProtection="1">
      <alignment vertical="center" wrapText="1"/>
    </xf>
    <xf numFmtId="14" fontId="47" fillId="0" borderId="13" xfId="0" applyNumberFormat="1" applyFont="1" applyFill="1" applyBorder="1" applyAlignment="1" applyProtection="1">
      <alignment horizontal="left" vertical="center"/>
      <protection locked="0"/>
    </xf>
    <xf numFmtId="0" fontId="47" fillId="16" borderId="1" xfId="0" applyFont="1" applyFill="1" applyBorder="1" applyAlignment="1" applyProtection="1">
      <alignment vertical="center" wrapText="1"/>
    </xf>
    <xf numFmtId="14" fontId="47" fillId="5" borderId="78" xfId="0" applyNumberFormat="1" applyFont="1" applyFill="1" applyBorder="1" applyAlignment="1" applyProtection="1">
      <alignment horizontal="center" vertical="center"/>
      <protection locked="0"/>
    </xf>
    <xf numFmtId="0" fontId="47" fillId="6" borderId="78" xfId="0" applyFont="1" applyFill="1" applyBorder="1" applyAlignment="1" applyProtection="1">
      <alignment horizontal="right" vertical="center" shrinkToFit="1"/>
    </xf>
    <xf numFmtId="0" fontId="47" fillId="6" borderId="78" xfId="0" applyNumberFormat="1" applyFont="1" applyFill="1" applyBorder="1" applyAlignment="1" applyProtection="1">
      <alignment horizontal="right" vertical="center" shrinkToFit="1"/>
    </xf>
    <xf numFmtId="0" fontId="47" fillId="6" borderId="58" xfId="0" applyNumberFormat="1" applyFont="1" applyFill="1" applyBorder="1" applyAlignment="1" applyProtection="1">
      <alignment horizontal="left" vertical="center"/>
    </xf>
    <xf numFmtId="0" fontId="47" fillId="6" borderId="4" xfId="0" applyFont="1" applyFill="1" applyBorder="1" applyAlignment="1" applyProtection="1">
      <alignment vertical="center" wrapText="1"/>
    </xf>
    <xf numFmtId="0" fontId="47" fillId="7" borderId="150" xfId="0" applyFont="1" applyFill="1" applyBorder="1" applyAlignment="1" applyProtection="1">
      <alignment vertical="center" wrapText="1"/>
      <protection locked="0"/>
    </xf>
    <xf numFmtId="0" fontId="47" fillId="7" borderId="60" xfId="0" applyFont="1" applyFill="1" applyBorder="1" applyAlignment="1" applyProtection="1">
      <alignment vertical="center" wrapText="1"/>
    </xf>
    <xf numFmtId="0" fontId="47" fillId="7" borderId="7" xfId="0" applyFont="1" applyFill="1" applyBorder="1" applyAlignment="1" applyProtection="1">
      <alignment vertical="center" wrapText="1"/>
    </xf>
    <xf numFmtId="0" fontId="47" fillId="6" borderId="46" xfId="0" applyFont="1" applyFill="1" applyBorder="1" applyAlignment="1" applyProtection="1">
      <alignment vertical="center" wrapText="1"/>
    </xf>
    <xf numFmtId="0" fontId="47" fillId="7" borderId="5" xfId="0" applyFont="1" applyFill="1" applyBorder="1" applyAlignment="1" applyProtection="1">
      <alignment vertical="center"/>
      <protection locked="0"/>
    </xf>
    <xf numFmtId="0" fontId="47" fillId="7" borderId="54" xfId="0" applyFont="1" applyFill="1" applyBorder="1" applyAlignment="1" applyProtection="1">
      <alignment vertical="center" wrapText="1"/>
    </xf>
    <xf numFmtId="0" fontId="47" fillId="7" borderId="22" xfId="0" applyFont="1" applyFill="1" applyBorder="1" applyAlignment="1" applyProtection="1">
      <alignment vertical="center" wrapText="1"/>
    </xf>
    <xf numFmtId="0" fontId="47" fillId="7" borderId="5" xfId="0" applyFont="1" applyFill="1" applyBorder="1" applyAlignment="1" applyProtection="1">
      <alignment vertical="center" wrapText="1"/>
      <protection locked="0"/>
    </xf>
    <xf numFmtId="0" fontId="47" fillId="16" borderId="46" xfId="0" applyFont="1" applyFill="1" applyBorder="1" applyAlignment="1" applyProtection="1">
      <alignment vertical="center" wrapText="1"/>
    </xf>
    <xf numFmtId="0" fontId="47" fillId="5" borderId="5" xfId="0" applyFont="1" applyFill="1" applyBorder="1" applyAlignment="1" applyProtection="1">
      <alignment horizontal="left" vertical="center" wrapText="1"/>
      <protection locked="0"/>
    </xf>
    <xf numFmtId="0" fontId="47" fillId="5" borderId="54" xfId="0" applyFont="1" applyFill="1" applyBorder="1" applyAlignment="1" applyProtection="1">
      <alignment vertical="center" wrapText="1"/>
    </xf>
    <xf numFmtId="0" fontId="47" fillId="5" borderId="13" xfId="0" applyFont="1" applyFill="1" applyBorder="1" applyAlignment="1" applyProtection="1">
      <alignment horizontal="left" vertical="center"/>
      <protection locked="0"/>
    </xf>
    <xf numFmtId="0" fontId="47" fillId="5" borderId="22" xfId="0" applyFont="1" applyFill="1" applyBorder="1" applyAlignment="1" applyProtection="1">
      <alignment vertical="center" wrapText="1"/>
    </xf>
    <xf numFmtId="0" fontId="47" fillId="16" borderId="85" xfId="0" applyFont="1" applyFill="1" applyBorder="1" applyAlignment="1" applyProtection="1">
      <alignment vertical="center" wrapText="1"/>
    </xf>
    <xf numFmtId="0" fontId="47" fillId="5" borderId="85" xfId="0" applyFont="1" applyFill="1" applyBorder="1" applyAlignment="1" applyProtection="1">
      <alignment horizontal="left" vertical="center"/>
      <protection locked="0"/>
    </xf>
    <xf numFmtId="0" fontId="47" fillId="5" borderId="88" xfId="0" applyFont="1" applyFill="1" applyBorder="1" applyAlignment="1" applyProtection="1">
      <alignment vertical="center" wrapText="1"/>
    </xf>
    <xf numFmtId="0" fontId="47" fillId="5" borderId="118" xfId="0" applyFont="1" applyFill="1" applyBorder="1" applyAlignment="1" applyProtection="1">
      <alignment vertical="center" wrapText="1"/>
    </xf>
    <xf numFmtId="0" fontId="47" fillId="16" borderId="2" xfId="0" applyFont="1" applyFill="1" applyBorder="1" applyAlignment="1" applyProtection="1">
      <alignment horizontal="left" vertical="center"/>
    </xf>
    <xf numFmtId="0" fontId="47" fillId="2" borderId="7" xfId="0" applyFont="1" applyFill="1" applyBorder="1" applyAlignment="1" applyProtection="1">
      <alignment horizontal="center" vertical="center" wrapText="1"/>
      <protection locked="0"/>
    </xf>
    <xf numFmtId="0" fontId="47" fillId="7" borderId="60" xfId="0" applyFont="1" applyFill="1" applyBorder="1" applyAlignment="1" applyProtection="1">
      <alignment vertical="center" wrapText="1"/>
      <protection locked="0"/>
    </xf>
    <xf numFmtId="49" fontId="47" fillId="6" borderId="2" xfId="0" applyNumberFormat="1" applyFont="1" applyFill="1" applyBorder="1" applyAlignment="1" applyProtection="1">
      <alignment horizontal="left" vertical="center" wrapText="1"/>
    </xf>
    <xf numFmtId="0" fontId="47" fillId="16" borderId="46" xfId="0" applyFont="1" applyFill="1" applyBorder="1" applyAlignment="1" applyProtection="1">
      <alignment horizontal="left" vertical="center"/>
    </xf>
    <xf numFmtId="0" fontId="47" fillId="5" borderId="13" xfId="0" applyFont="1" applyFill="1" applyBorder="1" applyAlignment="1" applyProtection="1">
      <alignment horizontal="center" vertical="center" wrapText="1"/>
      <protection locked="0"/>
    </xf>
    <xf numFmtId="0" fontId="47" fillId="7" borderId="54" xfId="0" applyFont="1" applyFill="1" applyBorder="1" applyAlignment="1" applyProtection="1">
      <alignment vertical="center" wrapText="1"/>
      <protection locked="0"/>
    </xf>
    <xf numFmtId="0" fontId="47" fillId="7" borderId="3" xfId="0" applyFont="1" applyFill="1" applyBorder="1" applyAlignment="1" applyProtection="1">
      <alignment vertical="center" wrapText="1"/>
    </xf>
    <xf numFmtId="49" fontId="47" fillId="16" borderId="13" xfId="0" applyNumberFormat="1" applyFont="1" applyFill="1" applyBorder="1" applyAlignment="1" applyProtection="1">
      <alignment horizontal="left" vertical="center" wrapText="1"/>
    </xf>
    <xf numFmtId="49" fontId="47" fillId="6" borderId="1" xfId="0" applyNumberFormat="1" applyFont="1" applyFill="1" applyBorder="1" applyAlignment="1" applyProtection="1">
      <alignment horizontal="center" vertical="center" wrapText="1"/>
    </xf>
    <xf numFmtId="0" fontId="47" fillId="16" borderId="60" xfId="0" applyFont="1" applyFill="1" applyBorder="1" applyAlignment="1" applyProtection="1">
      <alignment vertical="center" wrapText="1"/>
    </xf>
    <xf numFmtId="177" fontId="47" fillId="5" borderId="1" xfId="1" applyNumberFormat="1" applyFont="1" applyFill="1" applyBorder="1" applyAlignment="1" applyProtection="1">
      <alignment horizontal="center" vertical="center"/>
      <protection locked="0"/>
    </xf>
    <xf numFmtId="0" fontId="47" fillId="6" borderId="60" xfId="0" applyFont="1" applyFill="1" applyBorder="1" applyAlignment="1" applyProtection="1">
      <alignment vertical="center" wrapText="1"/>
    </xf>
    <xf numFmtId="179" fontId="47" fillId="6" borderId="1"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47" fillId="6" borderId="15"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protection locked="0"/>
    </xf>
    <xf numFmtId="0" fontId="47" fillId="6" borderId="78" xfId="0" applyFont="1" applyFill="1" applyBorder="1" applyAlignment="1" applyProtection="1">
      <alignment horizontal="center" vertical="center" wrapText="1"/>
    </xf>
    <xf numFmtId="0" fontId="47" fillId="2" borderId="4" xfId="0" applyFont="1" applyFill="1" applyBorder="1" applyAlignment="1" applyProtection="1">
      <alignment vertical="center"/>
      <protection locked="0"/>
    </xf>
    <xf numFmtId="0" fontId="47" fillId="2" borderId="7" xfId="0" applyFont="1" applyFill="1" applyBorder="1" applyAlignment="1" applyProtection="1">
      <alignment vertical="center" wrapText="1"/>
    </xf>
    <xf numFmtId="0" fontId="47" fillId="2" borderId="7" xfId="0" applyFont="1" applyFill="1" applyBorder="1" applyAlignment="1" applyProtection="1">
      <alignment horizontal="left" vertical="center"/>
      <protection locked="0"/>
    </xf>
    <xf numFmtId="0" fontId="47" fillId="0" borderId="2" xfId="0" applyFont="1" applyBorder="1" applyAlignment="1" applyProtection="1">
      <alignment horizontal="left" vertical="center" wrapText="1"/>
      <protection locked="0"/>
    </xf>
    <xf numFmtId="0" fontId="47" fillId="2" borderId="5" xfId="0" applyFont="1" applyFill="1" applyBorder="1" applyAlignment="1" applyProtection="1">
      <alignment vertical="center"/>
      <protection locked="0"/>
    </xf>
    <xf numFmtId="0" fontId="47" fillId="2" borderId="3" xfId="0" applyFont="1" applyFill="1" applyBorder="1" applyAlignment="1" applyProtection="1">
      <alignment vertical="center"/>
    </xf>
    <xf numFmtId="0" fontId="47" fillId="5" borderId="3" xfId="0" applyFont="1" applyFill="1" applyBorder="1" applyAlignment="1" applyProtection="1">
      <alignment horizontal="center" vertical="center" wrapText="1"/>
      <protection locked="0"/>
    </xf>
    <xf numFmtId="0" fontId="47" fillId="0" borderId="1" xfId="0" applyFont="1" applyBorder="1" applyAlignment="1" applyProtection="1">
      <alignment horizontal="left" vertical="center"/>
      <protection locked="0"/>
    </xf>
    <xf numFmtId="0" fontId="47" fillId="6" borderId="35" xfId="0" applyFont="1" applyFill="1" applyBorder="1" applyAlignment="1" applyProtection="1">
      <alignment horizontal="left" vertical="center"/>
    </xf>
    <xf numFmtId="0" fontId="47" fillId="5" borderId="22" xfId="0" applyFont="1" applyFill="1" applyBorder="1" applyAlignment="1" applyProtection="1">
      <alignment horizontal="center" vertical="center" wrapText="1"/>
      <protection locked="0"/>
    </xf>
    <xf numFmtId="0" fontId="47" fillId="0" borderId="13" xfId="0" applyFont="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47" fillId="6" borderId="1" xfId="0" applyFont="1" applyFill="1" applyBorder="1" applyAlignment="1" applyProtection="1">
      <alignment vertical="center" wrapText="1"/>
    </xf>
    <xf numFmtId="0" fontId="47" fillId="6" borderId="13" xfId="0" applyNumberFormat="1" applyFont="1" applyFill="1" applyBorder="1" applyAlignment="1" applyProtection="1">
      <alignment vertical="center" wrapText="1"/>
    </xf>
    <xf numFmtId="0" fontId="47" fillId="6" borderId="58" xfId="0" applyNumberFormat="1" applyFont="1" applyFill="1" applyBorder="1" applyAlignment="1" applyProtection="1">
      <alignment vertical="center" wrapText="1"/>
    </xf>
    <xf numFmtId="0" fontId="47" fillId="5" borderId="1" xfId="0" applyNumberFormat="1" applyFont="1" applyFill="1" applyBorder="1" applyAlignment="1" applyProtection="1">
      <alignment horizontal="center" vertical="center" wrapText="1"/>
      <protection locked="0"/>
    </xf>
    <xf numFmtId="0" fontId="47" fillId="5" borderId="78" xfId="0" applyNumberFormat="1" applyFont="1" applyFill="1" applyBorder="1" applyAlignment="1" applyProtection="1">
      <alignment horizontal="center" vertical="center" wrapText="1"/>
      <protection locked="0"/>
    </xf>
    <xf numFmtId="0" fontId="139" fillId="6" borderId="151" xfId="0" applyFont="1" applyFill="1" applyBorder="1" applyAlignment="1" applyProtection="1">
      <alignment vertical="center"/>
    </xf>
    <xf numFmtId="0" fontId="52" fillId="6" borderId="151" xfId="0" applyFont="1" applyFill="1" applyBorder="1" applyAlignment="1" applyProtection="1">
      <alignment vertical="center" wrapText="1"/>
    </xf>
    <xf numFmtId="0" fontId="52" fillId="0" borderId="151" xfId="0" applyFont="1" applyBorder="1" applyAlignment="1" applyProtection="1">
      <alignment vertical="center" wrapText="1"/>
    </xf>
    <xf numFmtId="0" fontId="52" fillId="6" borderId="5" xfId="0" applyFont="1" applyFill="1" applyBorder="1" applyAlignment="1" applyProtection="1">
      <alignment vertical="center"/>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52" fillId="6" borderId="40" xfId="0" applyFont="1" applyFill="1" applyBorder="1" applyAlignment="1" applyProtection="1">
      <alignment vertical="center" wrapText="1"/>
    </xf>
    <xf numFmtId="0" fontId="52" fillId="6" borderId="14" xfId="0" applyFont="1" applyFill="1" applyBorder="1" applyAlignment="1" applyProtection="1">
      <alignment vertical="center" wrapText="1"/>
    </xf>
    <xf numFmtId="0" fontId="52" fillId="6" borderId="12" xfId="0" applyFont="1" applyFill="1" applyBorder="1" applyAlignment="1" applyProtection="1">
      <alignment vertical="center" wrapText="1"/>
    </xf>
    <xf numFmtId="0" fontId="52" fillId="6" borderId="27" xfId="0" applyFont="1" applyFill="1" applyBorder="1" applyAlignment="1" applyProtection="1">
      <alignment vertical="center" wrapText="1"/>
    </xf>
    <xf numFmtId="49" fontId="52" fillId="6" borderId="27" xfId="0" applyNumberFormat="1" applyFont="1" applyFill="1" applyBorder="1" applyAlignment="1" applyProtection="1">
      <alignment vertical="center" wrapText="1"/>
    </xf>
    <xf numFmtId="0" fontId="52" fillId="6" borderId="80" xfId="0" applyFont="1" applyFill="1" applyBorder="1" applyAlignment="1" applyProtection="1">
      <alignment vertical="center" wrapText="1"/>
    </xf>
    <xf numFmtId="49" fontId="52" fillId="6" borderId="80" xfId="0" applyNumberFormat="1" applyFont="1" applyFill="1" applyBorder="1" applyAlignment="1" applyProtection="1">
      <alignment vertical="center" wrapText="1"/>
    </xf>
    <xf numFmtId="49" fontId="52" fillId="6" borderId="81" xfId="0" applyNumberFormat="1" applyFont="1" applyFill="1" applyBorder="1" applyAlignment="1" applyProtection="1">
      <alignment vertical="center" wrapText="1"/>
    </xf>
    <xf numFmtId="0" fontId="52"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205" fillId="7" borderId="101" xfId="0" applyFont="1" applyFill="1" applyBorder="1" applyAlignment="1" applyProtection="1">
      <alignment vertical="center" wrapText="1"/>
      <protection locked="0"/>
    </xf>
    <xf numFmtId="0" fontId="205" fillId="7" borderId="101" xfId="0" applyNumberFormat="1" applyFont="1" applyFill="1" applyBorder="1" applyAlignment="1" applyProtection="1">
      <alignment vertical="center" wrapText="1"/>
      <protection locked="0"/>
    </xf>
    <xf numFmtId="0" fontId="205" fillId="7" borderId="102" xfId="0" applyFont="1" applyFill="1" applyBorder="1" applyAlignment="1" applyProtection="1">
      <alignment vertical="center" wrapText="1"/>
      <protection locked="0"/>
    </xf>
    <xf numFmtId="0" fontId="225" fillId="7" borderId="0" xfId="0" applyNumberFormat="1" applyFont="1" applyFill="1" applyAlignment="1" applyProtection="1">
      <alignment vertical="center"/>
      <protection locked="0"/>
    </xf>
    <xf numFmtId="0" fontId="225" fillId="7" borderId="0" xfId="0" applyFont="1" applyFill="1" applyAlignment="1" applyProtection="1">
      <alignment vertical="center"/>
      <protection locked="0"/>
    </xf>
    <xf numFmtId="0" fontId="225" fillId="0" borderId="0" xfId="0" applyFont="1" applyAlignment="1" applyProtection="1">
      <alignment vertical="center"/>
      <protection locked="0"/>
    </xf>
    <xf numFmtId="0" fontId="52" fillId="6" borderId="63" xfId="0" applyFont="1" applyFill="1" applyBorder="1" applyAlignment="1" applyProtection="1">
      <alignment vertical="center" wrapText="1"/>
    </xf>
    <xf numFmtId="0" fontId="52" fillId="6" borderId="34" xfId="0" applyFont="1" applyFill="1" applyBorder="1" applyAlignment="1" applyProtection="1">
      <alignment vertical="center" wrapText="1"/>
    </xf>
    <xf numFmtId="0" fontId="52" fillId="6" borderId="65" xfId="0" applyFont="1" applyFill="1" applyBorder="1" applyAlignment="1" applyProtection="1">
      <alignment vertical="center"/>
    </xf>
    <xf numFmtId="0" fontId="52" fillId="6" borderId="0" xfId="0" applyFont="1" applyFill="1" applyBorder="1" applyAlignment="1" applyProtection="1">
      <alignment vertical="center" wrapText="1"/>
    </xf>
    <xf numFmtId="0" fontId="47" fillId="6" borderId="64" xfId="0" applyFont="1" applyFill="1" applyBorder="1" applyAlignment="1" applyProtection="1">
      <alignment vertical="center"/>
    </xf>
    <xf numFmtId="0" fontId="47" fillId="6" borderId="9" xfId="0" applyFont="1" applyFill="1" applyBorder="1" applyAlignment="1" applyProtection="1">
      <alignment vertical="center" wrapText="1"/>
    </xf>
    <xf numFmtId="49" fontId="47" fillId="6" borderId="0" xfId="0" applyNumberFormat="1" applyFont="1" applyFill="1" applyBorder="1" applyAlignment="1" applyProtection="1">
      <alignment vertical="center" wrapText="1"/>
      <protection locked="0"/>
    </xf>
    <xf numFmtId="0" fontId="47" fillId="6" borderId="7" xfId="0" applyFont="1" applyFill="1" applyBorder="1" applyAlignment="1" applyProtection="1">
      <alignment vertical="center" wrapText="1"/>
    </xf>
    <xf numFmtId="0" fontId="168" fillId="0" borderId="8" xfId="0" applyNumberFormat="1" applyFont="1" applyFill="1" applyBorder="1" applyAlignment="1" applyProtection="1">
      <alignment vertical="center" wrapText="1"/>
      <protection locked="0"/>
    </xf>
    <xf numFmtId="49" fontId="168" fillId="0" borderId="24" xfId="0" applyNumberFormat="1" applyFont="1" applyFill="1" applyBorder="1" applyAlignment="1" applyProtection="1">
      <alignment vertical="center" wrapText="1"/>
      <protection locked="0"/>
    </xf>
    <xf numFmtId="49" fontId="47" fillId="6" borderId="14" xfId="0" applyNumberFormat="1" applyFont="1" applyFill="1" applyBorder="1" applyAlignment="1" applyProtection="1">
      <alignment vertical="center" wrapText="1"/>
    </xf>
    <xf numFmtId="0" fontId="168" fillId="0" borderId="24" xfId="0" applyFont="1" applyBorder="1" applyAlignment="1" applyProtection="1">
      <alignment vertical="center" wrapText="1"/>
      <protection locked="0"/>
    </xf>
    <xf numFmtId="0" fontId="47" fillId="6" borderId="0" xfId="0" applyFont="1" applyFill="1" applyBorder="1" applyAlignment="1" applyProtection="1">
      <alignment vertical="center" wrapText="1"/>
      <protection locked="0"/>
    </xf>
    <xf numFmtId="49" fontId="47" fillId="6" borderId="12" xfId="0" applyNumberFormat="1" applyFont="1" applyFill="1" applyBorder="1" applyAlignment="1" applyProtection="1">
      <alignment vertical="center" wrapText="1"/>
    </xf>
    <xf numFmtId="0" fontId="47" fillId="6" borderId="66" xfId="0" applyFont="1" applyFill="1" applyBorder="1" applyAlignment="1" applyProtection="1">
      <alignment vertical="center" wrapText="1"/>
    </xf>
    <xf numFmtId="0" fontId="168" fillId="0" borderId="49" xfId="0" applyNumberFormat="1" applyFont="1" applyFill="1" applyBorder="1" applyAlignment="1" applyProtection="1">
      <alignment vertical="center" wrapText="1"/>
      <protection locked="0"/>
    </xf>
    <xf numFmtId="0" fontId="47" fillId="6" borderId="0" xfId="0" applyFont="1" applyFill="1" applyBorder="1" applyAlignment="1" applyProtection="1">
      <alignment vertical="center"/>
      <protection locked="0"/>
    </xf>
    <xf numFmtId="0" fontId="47" fillId="6" borderId="32" xfId="0" applyFont="1" applyFill="1" applyBorder="1" applyAlignment="1" applyProtection="1">
      <alignment vertical="center" wrapText="1"/>
    </xf>
    <xf numFmtId="0" fontId="168" fillId="0" borderId="49" xfId="0" applyFont="1" applyBorder="1" applyAlignment="1" applyProtection="1">
      <alignment vertical="center"/>
      <protection locked="0"/>
    </xf>
    <xf numFmtId="0" fontId="44" fillId="7" borderId="0" xfId="0" applyFont="1" applyFill="1" applyBorder="1" applyAlignment="1" applyProtection="1">
      <alignment vertical="center" wrapText="1"/>
      <protection locked="0"/>
    </xf>
    <xf numFmtId="0" fontId="44" fillId="7" borderId="0" xfId="0" applyNumberFormat="1" applyFont="1" applyFill="1" applyBorder="1" applyAlignment="1" applyProtection="1">
      <alignment vertical="center" wrapText="1"/>
      <protection locked="0"/>
    </xf>
    <xf numFmtId="49" fontId="44" fillId="7" borderId="0" xfId="0" applyNumberFormat="1" applyFont="1" applyFill="1" applyBorder="1" applyAlignment="1" applyProtection="1">
      <alignment vertical="center" wrapText="1"/>
      <protection locked="0"/>
    </xf>
    <xf numFmtId="0" fontId="44" fillId="0" borderId="0" xfId="0" applyFont="1" applyFill="1" applyAlignment="1" applyProtection="1">
      <alignment vertical="center"/>
      <protection locked="0"/>
    </xf>
    <xf numFmtId="0" fontId="52" fillId="6" borderId="0" xfId="0" applyFont="1" applyFill="1" applyBorder="1" applyAlignment="1" applyProtection="1">
      <alignment vertical="center" wrapText="1"/>
      <protection locked="0"/>
    </xf>
    <xf numFmtId="0" fontId="47" fillId="6" borderId="0" xfId="0" applyNumberFormat="1" applyFont="1" applyFill="1" applyBorder="1" applyAlignment="1" applyProtection="1">
      <alignment vertical="center" wrapText="1"/>
      <protection locked="0"/>
    </xf>
    <xf numFmtId="0" fontId="60" fillId="6" borderId="0" xfId="0" applyFont="1" applyFill="1" applyBorder="1" applyAlignment="1" applyProtection="1">
      <alignment vertical="center"/>
    </xf>
    <xf numFmtId="0" fontId="205" fillId="7" borderId="0" xfId="0" applyFont="1" applyFill="1" applyBorder="1" applyAlignment="1" applyProtection="1">
      <alignment vertical="center" wrapText="1"/>
      <protection locked="0"/>
    </xf>
    <xf numFmtId="0" fontId="205" fillId="7" borderId="0" xfId="0" applyNumberFormat="1" applyFont="1" applyFill="1" applyBorder="1" applyAlignment="1" applyProtection="1">
      <alignment vertical="center" wrapText="1"/>
      <protection locked="0"/>
    </xf>
    <xf numFmtId="0" fontId="205" fillId="7" borderId="35" xfId="0" applyNumberFormat="1" applyFont="1" applyFill="1" applyBorder="1" applyAlignment="1" applyProtection="1">
      <alignment vertical="center" wrapText="1"/>
      <protection locked="0"/>
    </xf>
    <xf numFmtId="0" fontId="225" fillId="7" borderId="0" xfId="0" applyFont="1" applyFill="1" applyAlignment="1" applyProtection="1">
      <alignment vertical="center" wrapText="1"/>
      <protection locked="0"/>
    </xf>
    <xf numFmtId="0" fontId="225" fillId="7" borderId="0" xfId="0" applyNumberFormat="1" applyFont="1" applyFill="1" applyAlignment="1" applyProtection="1">
      <alignment vertical="center" wrapText="1"/>
      <protection locked="0"/>
    </xf>
    <xf numFmtId="0" fontId="69" fillId="6" borderId="104" xfId="0" applyFont="1" applyFill="1" applyBorder="1" applyAlignment="1" applyProtection="1">
      <alignment vertical="center"/>
    </xf>
    <xf numFmtId="0" fontId="44" fillId="7" borderId="0" xfId="0" applyFont="1" applyFill="1" applyAlignment="1" applyProtection="1">
      <alignment vertical="center" wrapText="1"/>
      <protection locked="0"/>
    </xf>
    <xf numFmtId="0" fontId="44" fillId="7" borderId="0" xfId="0" applyNumberFormat="1" applyFont="1" applyFill="1" applyAlignment="1" applyProtection="1">
      <alignment vertical="center" wrapText="1"/>
      <protection locked="0"/>
    </xf>
    <xf numFmtId="0" fontId="44" fillId="7" borderId="0" xfId="0" applyNumberFormat="1" applyFont="1" applyFill="1" applyAlignment="1" applyProtection="1">
      <alignment vertical="center"/>
      <protection locked="0"/>
    </xf>
    <xf numFmtId="0" fontId="52" fillId="6" borderId="16" xfId="0" applyFont="1" applyFill="1" applyBorder="1" applyAlignment="1" applyProtection="1">
      <alignment vertical="center" wrapText="1"/>
    </xf>
    <xf numFmtId="0" fontId="52" fillId="6" borderId="31" xfId="0" applyFont="1" applyFill="1" applyBorder="1" applyAlignment="1" applyProtection="1">
      <alignment vertical="center" wrapText="1"/>
    </xf>
    <xf numFmtId="0" fontId="52" fillId="6" borderId="82" xfId="0" applyFont="1" applyFill="1" applyBorder="1" applyAlignment="1" applyProtection="1">
      <alignment vertical="center" wrapText="1"/>
    </xf>
    <xf numFmtId="0" fontId="47" fillId="6" borderId="6" xfId="0" applyFont="1" applyFill="1" applyBorder="1" applyAlignment="1" applyProtection="1">
      <alignment vertical="center" wrapText="1"/>
    </xf>
    <xf numFmtId="49" fontId="47" fillId="6" borderId="62" xfId="0" applyNumberFormat="1" applyFont="1" applyFill="1" applyBorder="1" applyAlignment="1" applyProtection="1">
      <alignment vertical="center" wrapText="1"/>
    </xf>
    <xf numFmtId="0" fontId="47" fillId="6" borderId="10" xfId="0" applyNumberFormat="1" applyFont="1" applyFill="1" applyBorder="1" applyAlignment="1" applyProtection="1">
      <alignment vertical="center" wrapText="1"/>
    </xf>
    <xf numFmtId="0" fontId="47" fillId="6" borderId="41" xfId="0" applyFont="1" applyFill="1" applyBorder="1" applyAlignment="1" applyProtection="1">
      <alignment vertical="center" wrapText="1"/>
    </xf>
    <xf numFmtId="49" fontId="47" fillId="6" borderId="24" xfId="0" applyNumberFormat="1" applyFont="1" applyFill="1" applyBorder="1" applyAlignment="1" applyProtection="1">
      <alignment vertical="center" wrapText="1"/>
    </xf>
    <xf numFmtId="0" fontId="47" fillId="6" borderId="23" xfId="0" applyFont="1" applyFill="1" applyBorder="1" applyAlignment="1" applyProtection="1">
      <alignment vertical="center" wrapText="1"/>
    </xf>
    <xf numFmtId="0" fontId="47" fillId="6" borderId="24" xfId="0" applyNumberFormat="1" applyFont="1" applyFill="1" applyBorder="1" applyAlignment="1" applyProtection="1">
      <alignment vertical="center" wrapText="1"/>
    </xf>
    <xf numFmtId="0" fontId="47" fillId="0" borderId="24" xfId="0" applyNumberFormat="1" applyFont="1" applyFill="1" applyBorder="1" applyAlignment="1" applyProtection="1">
      <alignment vertical="center" wrapText="1"/>
      <protection locked="0"/>
    </xf>
    <xf numFmtId="0" fontId="47" fillId="5" borderId="24" xfId="0" applyNumberFormat="1" applyFont="1" applyFill="1" applyBorder="1" applyAlignment="1" applyProtection="1">
      <alignment vertical="center" wrapText="1"/>
      <protection locked="0"/>
    </xf>
    <xf numFmtId="0" fontId="47" fillId="6" borderId="25" xfId="0" applyFont="1" applyFill="1" applyBorder="1" applyAlignment="1" applyProtection="1">
      <alignment vertical="center" wrapText="1"/>
    </xf>
    <xf numFmtId="0" fontId="47" fillId="0" borderId="49" xfId="0" applyNumberFormat="1" applyFont="1" applyFill="1" applyBorder="1" applyAlignment="1" applyProtection="1">
      <alignment vertical="center" wrapText="1"/>
      <protection locked="0"/>
    </xf>
    <xf numFmtId="0" fontId="47" fillId="6" borderId="49" xfId="0" applyNumberFormat="1" applyFont="1" applyFill="1" applyBorder="1" applyAlignment="1" applyProtection="1">
      <alignment vertical="center" wrapText="1"/>
    </xf>
    <xf numFmtId="0" fontId="47" fillId="6" borderId="0" xfId="0" applyNumberFormat="1" applyFont="1" applyFill="1" applyAlignment="1" applyProtection="1">
      <alignment vertical="center" wrapText="1"/>
      <protection locked="0"/>
    </xf>
    <xf numFmtId="0" fontId="44" fillId="0" borderId="0" xfId="0" applyFont="1" applyFill="1" applyAlignment="1" applyProtection="1">
      <alignment vertical="center" wrapText="1"/>
      <protection locked="0"/>
    </xf>
    <xf numFmtId="0" fontId="44" fillId="0" borderId="0" xfId="0" applyNumberFormat="1" applyFont="1" applyFill="1" applyAlignment="1" applyProtection="1">
      <alignment vertical="center" wrapText="1"/>
      <protection locked="0"/>
    </xf>
    <xf numFmtId="0" fontId="160" fillId="6" borderId="1" xfId="12" applyFont="1" applyFill="1" applyBorder="1" applyAlignment="1" applyProtection="1">
      <alignment horizontal="left" vertical="center" wrapText="1"/>
    </xf>
    <xf numFmtId="0" fontId="159" fillId="0" borderId="0" xfId="12" applyAlignment="1" applyProtection="1">
      <alignment horizontal="left"/>
      <protection locked="0"/>
    </xf>
    <xf numFmtId="14" fontId="160" fillId="6" borderId="1" xfId="12" applyNumberFormat="1" applyFont="1" applyFill="1" applyBorder="1" applyAlignment="1" applyProtection="1">
      <alignment horizontal="left" vertical="center" wrapText="1"/>
    </xf>
    <xf numFmtId="0" fontId="159" fillId="6" borderId="1" xfId="12" applyFill="1" applyBorder="1" applyAlignment="1" applyProtection="1">
      <alignment horizontal="left" vertical="center"/>
    </xf>
    <xf numFmtId="0" fontId="160" fillId="6" borderId="13" xfId="12" applyFont="1" applyFill="1" applyBorder="1" applyAlignment="1" applyProtection="1">
      <alignment horizontal="left" vertical="center" wrapText="1"/>
    </xf>
    <xf numFmtId="0" fontId="95" fillId="0" borderId="1" xfId="12" applyFont="1" applyFill="1" applyBorder="1" applyAlignment="1" applyProtection="1">
      <alignment horizontal="left"/>
      <protection locked="0"/>
    </xf>
    <xf numFmtId="0" fontId="160" fillId="0" borderId="13" xfId="12" applyFont="1" applyFill="1" applyBorder="1" applyAlignment="1" applyProtection="1">
      <alignment horizontal="left" vertical="center" wrapText="1"/>
      <protection locked="0"/>
    </xf>
    <xf numFmtId="0" fontId="159" fillId="0" borderId="1" xfId="12" applyBorder="1" applyAlignment="1" applyProtection="1">
      <alignment horizontal="left"/>
      <protection locked="0"/>
    </xf>
    <xf numFmtId="0" fontId="160" fillId="0" borderId="1" xfId="12" applyFont="1" applyFill="1" applyBorder="1" applyAlignment="1" applyProtection="1">
      <alignment horizontal="left" vertical="center" wrapText="1"/>
      <protection locked="0"/>
    </xf>
    <xf numFmtId="0" fontId="123" fillId="7" borderId="0" xfId="0" applyFont="1" applyFill="1" applyProtection="1">
      <alignment vertical="center"/>
    </xf>
    <xf numFmtId="0" fontId="100" fillId="7" borderId="0" xfId="0" applyFont="1" applyFill="1" applyProtection="1">
      <alignment vertical="center"/>
    </xf>
    <xf numFmtId="0" fontId="99" fillId="6" borderId="1" xfId="0" applyFont="1" applyFill="1" applyBorder="1" applyAlignment="1" applyProtection="1">
      <alignment horizontal="left" vertical="center" wrapText="1"/>
    </xf>
    <xf numFmtId="0" fontId="102"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10" fontId="106" fillId="6" borderId="1" xfId="0" applyNumberFormat="1" applyFont="1" applyFill="1" applyBorder="1" applyAlignment="1" applyProtection="1">
      <alignment horizontal="left" vertical="center"/>
    </xf>
    <xf numFmtId="9" fontId="106" fillId="6" borderId="1" xfId="0" applyNumberFormat="1" applyFont="1" applyFill="1" applyBorder="1" applyAlignment="1" applyProtection="1">
      <alignment horizontal="left" vertical="center"/>
    </xf>
    <xf numFmtId="0" fontId="106" fillId="6" borderId="13" xfId="0" applyFont="1" applyFill="1" applyBorder="1" applyAlignment="1" applyProtection="1">
      <alignment horizontal="left" vertical="center" wrapText="1"/>
    </xf>
    <xf numFmtId="9" fontId="106" fillId="6" borderId="13" xfId="0" applyNumberFormat="1" applyFont="1" applyFill="1" applyBorder="1" applyAlignment="1" applyProtection="1">
      <alignment horizontal="left" vertical="center"/>
    </xf>
    <xf numFmtId="0" fontId="99" fillId="6" borderId="5" xfId="0" applyFont="1" applyFill="1" applyBorder="1" applyAlignment="1" applyProtection="1">
      <alignment horizontal="left" vertical="center" wrapText="1"/>
    </xf>
    <xf numFmtId="0" fontId="106" fillId="6" borderId="46" xfId="0" applyFont="1" applyFill="1" applyBorder="1" applyAlignment="1" applyProtection="1">
      <alignment horizontal="left" vertical="center" wrapText="1"/>
    </xf>
    <xf numFmtId="0" fontId="106" fillId="6" borderId="36" xfId="0" applyFont="1" applyFill="1" applyBorder="1" applyAlignment="1" applyProtection="1">
      <alignment horizontal="left" vertical="center" wrapText="1"/>
    </xf>
    <xf numFmtId="0" fontId="106" fillId="6" borderId="22" xfId="0" applyFont="1" applyFill="1" applyBorder="1" applyAlignment="1" applyProtection="1">
      <alignment horizontal="left" vertical="center" wrapText="1"/>
    </xf>
    <xf numFmtId="0" fontId="106" fillId="6" borderId="5" xfId="0" applyFont="1" applyFill="1" applyBorder="1" applyAlignment="1" applyProtection="1">
      <alignment horizontal="left" vertical="center" wrapText="1"/>
    </xf>
    <xf numFmtId="0" fontId="106" fillId="6" borderId="54" xfId="0" applyFont="1" applyFill="1" applyBorder="1" applyAlignment="1" applyProtection="1">
      <alignment horizontal="left" vertical="center"/>
    </xf>
    <xf numFmtId="0" fontId="106" fillId="6" borderId="3" xfId="0" applyFont="1" applyFill="1" applyBorder="1" applyAlignment="1" applyProtection="1">
      <alignment horizontal="left" vertical="center" wrapText="1"/>
    </xf>
    <xf numFmtId="0" fontId="106" fillId="6" borderId="58" xfId="0" applyFont="1" applyFill="1" applyBorder="1" applyAlignment="1" applyProtection="1">
      <alignment horizontal="left" vertical="center" wrapText="1"/>
    </xf>
    <xf numFmtId="0" fontId="106" fillId="6" borderId="0" xfId="0" applyFont="1" applyFill="1" applyBorder="1" applyAlignment="1" applyProtection="1">
      <alignment horizontal="left" vertical="center" wrapText="1"/>
    </xf>
    <xf numFmtId="0" fontId="106" fillId="6" borderId="35" xfId="0" applyFont="1" applyFill="1" applyBorder="1" applyAlignment="1" applyProtection="1">
      <alignment horizontal="left" vertical="center" wrapText="1"/>
    </xf>
    <xf numFmtId="0" fontId="106" fillId="6" borderId="4" xfId="0" applyFont="1" applyFill="1" applyBorder="1" applyAlignment="1" applyProtection="1">
      <alignment horizontal="left" vertical="center" wrapText="1"/>
    </xf>
    <xf numFmtId="0" fontId="106" fillId="6" borderId="60" xfId="0" applyFont="1" applyFill="1" applyBorder="1" applyAlignment="1" applyProtection="1">
      <alignment horizontal="left" vertical="center" wrapText="1"/>
    </xf>
    <xf numFmtId="0" fontId="106" fillId="6" borderId="7" xfId="0" applyFont="1" applyFill="1" applyBorder="1" applyAlignment="1" applyProtection="1">
      <alignment horizontal="left" vertical="center" wrapText="1"/>
    </xf>
    <xf numFmtId="0" fontId="47" fillId="7" borderId="0" xfId="0" applyFont="1" applyFill="1" applyAlignment="1" applyProtection="1">
      <alignment horizontal="left" vertical="center"/>
      <protection locked="0"/>
    </xf>
    <xf numFmtId="0" fontId="47" fillId="6" borderId="0" xfId="0" applyFont="1" applyFill="1" applyAlignment="1" applyProtection="1">
      <alignment horizontal="left" vertical="center"/>
      <protection locked="0"/>
    </xf>
    <xf numFmtId="181" fontId="47" fillId="6" borderId="0" xfId="0" applyNumberFormat="1" applyFont="1" applyFill="1" applyAlignment="1" applyProtection="1">
      <alignment horizontal="left" vertical="center"/>
    </xf>
    <xf numFmtId="9" fontId="47" fillId="6" borderId="24" xfId="0" applyNumberFormat="1" applyFont="1" applyFill="1" applyBorder="1" applyAlignment="1" applyProtection="1">
      <alignment horizontal="left" vertical="center"/>
    </xf>
    <xf numFmtId="9" fontId="47" fillId="6" borderId="0" xfId="0" applyNumberFormat="1" applyFont="1" applyFill="1" applyAlignment="1" applyProtection="1">
      <alignment horizontal="left" vertical="center"/>
      <protection locked="0"/>
    </xf>
    <xf numFmtId="10" fontId="47" fillId="6" borderId="2" xfId="0" applyNumberFormat="1" applyFont="1" applyFill="1" applyBorder="1" applyAlignment="1" applyProtection="1">
      <alignment horizontal="left" vertical="center"/>
    </xf>
    <xf numFmtId="0" fontId="48" fillId="0" borderId="24" xfId="0" applyFont="1" applyFill="1" applyBorder="1" applyAlignment="1" applyProtection="1">
      <alignment horizontal="left" vertical="center" wrapText="1"/>
      <protection locked="0"/>
    </xf>
    <xf numFmtId="0" fontId="47" fillId="5" borderId="3" xfId="0" applyFont="1" applyFill="1" applyBorder="1" applyAlignment="1" applyProtection="1">
      <alignment horizontal="left" vertical="center"/>
      <protection locked="0"/>
    </xf>
    <xf numFmtId="0" fontId="47" fillId="6" borderId="14" xfId="0" applyFont="1" applyFill="1" applyBorder="1" applyAlignment="1" applyProtection="1">
      <alignment horizontal="left" vertical="center" wrapText="1"/>
    </xf>
    <xf numFmtId="0" fontId="47" fillId="6" borderId="58" xfId="0" applyFont="1" applyFill="1" applyBorder="1" applyAlignment="1" applyProtection="1">
      <alignment horizontal="left" vertical="center"/>
    </xf>
    <xf numFmtId="0" fontId="47" fillId="6" borderId="41" xfId="0"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xf>
    <xf numFmtId="0" fontId="47" fillId="6" borderId="24" xfId="0" applyFont="1" applyFill="1" applyBorder="1" applyAlignment="1" applyProtection="1">
      <alignment horizontal="left" vertical="center"/>
    </xf>
    <xf numFmtId="0" fontId="48" fillId="6" borderId="0" xfId="0" applyFont="1" applyFill="1" applyAlignment="1" applyProtection="1">
      <alignment horizontal="left" vertical="center"/>
      <protection locked="0"/>
    </xf>
    <xf numFmtId="0" fontId="113" fillId="0" borderId="24"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7" fillId="6" borderId="0" xfId="0" applyFont="1" applyFill="1" applyBorder="1" applyAlignment="1" applyProtection="1">
      <alignment horizontal="left" vertical="center" wrapText="1"/>
      <protection locked="0"/>
    </xf>
    <xf numFmtId="0" fontId="47" fillId="18" borderId="33" xfId="0" applyFont="1" applyFill="1" applyBorder="1" applyAlignment="1" applyProtection="1">
      <alignment horizontal="left" vertical="center"/>
    </xf>
    <xf numFmtId="0" fontId="47" fillId="18" borderId="32" xfId="0" applyFont="1" applyFill="1" applyBorder="1" applyAlignment="1" applyProtection="1">
      <alignment horizontal="left" vertical="center" wrapText="1"/>
    </xf>
    <xf numFmtId="10" fontId="47" fillId="18" borderId="32" xfId="0" applyNumberFormat="1" applyFont="1" applyFill="1" applyBorder="1" applyAlignment="1" applyProtection="1">
      <alignment horizontal="left" vertical="center"/>
    </xf>
    <xf numFmtId="0" fontId="113" fillId="0" borderId="49" xfId="0" applyFont="1" applyFill="1" applyBorder="1" applyAlignment="1" applyProtection="1">
      <alignment horizontal="left" vertical="center" wrapText="1"/>
      <protection locked="0"/>
    </xf>
    <xf numFmtId="177" fontId="54" fillId="6" borderId="2" xfId="0" applyNumberFormat="1" applyFont="1" applyFill="1" applyBorder="1" applyAlignment="1" applyProtection="1">
      <alignment horizontal="left" vertical="center" wrapText="1"/>
    </xf>
    <xf numFmtId="177" fontId="53" fillId="6" borderId="1" xfId="0" applyNumberFormat="1" applyFont="1" applyFill="1" applyBorder="1" applyAlignment="1" applyProtection="1">
      <alignment horizontal="left" vertical="center" wrapText="1"/>
    </xf>
    <xf numFmtId="177" fontId="53" fillId="0" borderId="1" xfId="0" applyNumberFormat="1" applyFont="1" applyFill="1" applyBorder="1" applyAlignment="1" applyProtection="1">
      <alignment horizontal="left" vertical="center" wrapText="1"/>
      <protection locked="0"/>
    </xf>
    <xf numFmtId="0" fontId="54" fillId="0" borderId="1" xfId="0" applyFont="1" applyFill="1" applyBorder="1" applyAlignment="1" applyProtection="1">
      <alignment horizontal="left" vertical="center" wrapText="1"/>
      <protection locked="0"/>
    </xf>
    <xf numFmtId="177" fontId="54" fillId="6" borderId="1" xfId="0" applyNumberFormat="1" applyFont="1" applyFill="1" applyBorder="1" applyAlignment="1" applyProtection="1">
      <alignment horizontal="left" vertical="center" wrapText="1"/>
    </xf>
    <xf numFmtId="177" fontId="54" fillId="6" borderId="32" xfId="0" applyNumberFormat="1" applyFont="1" applyFill="1" applyBorder="1" applyAlignment="1" applyProtection="1">
      <alignment horizontal="left" vertical="center" wrapText="1"/>
    </xf>
    <xf numFmtId="10" fontId="53" fillId="6" borderId="32" xfId="0" applyNumberFormat="1" applyFont="1" applyFill="1" applyBorder="1" applyAlignment="1" applyProtection="1">
      <alignment horizontal="left" vertical="center" wrapText="1"/>
    </xf>
    <xf numFmtId="0" fontId="53" fillId="0" borderId="1" xfId="0" applyFont="1" applyFill="1" applyBorder="1" applyAlignment="1" applyProtection="1">
      <alignment horizontal="left" vertical="center" wrapText="1"/>
      <protection locked="0"/>
    </xf>
    <xf numFmtId="0" fontId="44" fillId="2" borderId="1" xfId="2" applyFont="1" applyFill="1" applyBorder="1" applyAlignment="1" applyProtection="1">
      <alignment horizontal="left" vertical="center" wrapText="1"/>
      <protection locked="0"/>
    </xf>
    <xf numFmtId="177" fontId="53" fillId="0" borderId="24" xfId="0" applyNumberFormat="1" applyFont="1" applyFill="1" applyBorder="1" applyAlignment="1" applyProtection="1">
      <alignment horizontal="left" vertical="center" wrapText="1"/>
      <protection locked="0"/>
    </xf>
    <xf numFmtId="9" fontId="44" fillId="6" borderId="0" xfId="0" applyNumberFormat="1" applyFont="1" applyFill="1" applyBorder="1" applyAlignment="1" applyProtection="1">
      <alignment horizontal="left" vertical="center"/>
    </xf>
    <xf numFmtId="10" fontId="53" fillId="6" borderId="1" xfId="0" applyNumberFormat="1" applyFont="1" applyFill="1" applyBorder="1" applyAlignment="1" applyProtection="1">
      <alignment horizontal="left" vertical="center" wrapText="1"/>
    </xf>
    <xf numFmtId="190" fontId="53" fillId="6" borderId="1" xfId="0" applyNumberFormat="1" applyFont="1" applyFill="1" applyBorder="1" applyAlignment="1" applyProtection="1">
      <alignment horizontal="left" vertical="center" wrapText="1"/>
    </xf>
    <xf numFmtId="10" fontId="52" fillId="6" borderId="5" xfId="0" applyNumberFormat="1" applyFont="1" applyFill="1" applyBorder="1" applyAlignment="1" applyProtection="1">
      <alignment horizontal="left" vertical="center" wrapText="1"/>
    </xf>
    <xf numFmtId="181" fontId="54" fillId="6" borderId="1" xfId="0" applyNumberFormat="1" applyFont="1" applyFill="1" applyBorder="1" applyAlignment="1" applyProtection="1">
      <alignment horizontal="left" vertical="center" wrapText="1"/>
    </xf>
    <xf numFmtId="0" fontId="52" fillId="6" borderId="32" xfId="0" applyFont="1" applyFill="1" applyBorder="1" applyAlignment="1" applyProtection="1">
      <alignment horizontal="left" vertical="center" wrapText="1"/>
    </xf>
    <xf numFmtId="0" fontId="53" fillId="6" borderId="32" xfId="0" applyFont="1" applyFill="1" applyBorder="1" applyAlignment="1" applyProtection="1">
      <alignment horizontal="left" vertical="center" wrapText="1"/>
    </xf>
    <xf numFmtId="0" fontId="53" fillId="6" borderId="5" xfId="0" applyFont="1" applyFill="1" applyBorder="1" applyAlignment="1" applyProtection="1">
      <alignment horizontal="left" vertical="center" wrapText="1"/>
    </xf>
    <xf numFmtId="190" fontId="53" fillId="0" borderId="1" xfId="0" applyNumberFormat="1" applyFont="1" applyFill="1" applyBorder="1" applyAlignment="1" applyProtection="1">
      <alignment horizontal="left" vertical="center" wrapText="1"/>
      <protection locked="0"/>
    </xf>
    <xf numFmtId="10" fontId="52" fillId="5" borderId="5" xfId="0" applyNumberFormat="1" applyFont="1" applyFill="1" applyBorder="1" applyAlignment="1" applyProtection="1">
      <alignment horizontal="left" vertical="center" wrapText="1"/>
      <protection locked="0"/>
    </xf>
    <xf numFmtId="0" fontId="125" fillId="6" borderId="1" xfId="0" applyFont="1" applyFill="1" applyBorder="1" applyAlignment="1" applyProtection="1">
      <alignment horizontal="left" vertical="center" wrapText="1"/>
    </xf>
    <xf numFmtId="0" fontId="104" fillId="6" borderId="1" xfId="0" applyFont="1" applyFill="1" applyBorder="1" applyAlignment="1" applyProtection="1">
      <alignment horizontal="left" vertical="center" wrapText="1"/>
    </xf>
    <xf numFmtId="0" fontId="104" fillId="6" borderId="24" xfId="0" applyFont="1" applyFill="1" applyBorder="1" applyAlignment="1" applyProtection="1">
      <alignment horizontal="left" vertical="center" wrapText="1"/>
    </xf>
    <xf numFmtId="0" fontId="104" fillId="6" borderId="13" xfId="0" applyFont="1" applyFill="1" applyBorder="1" applyAlignment="1" applyProtection="1">
      <alignment horizontal="left" vertical="center" wrapText="1"/>
    </xf>
    <xf numFmtId="0" fontId="104" fillId="6" borderId="61" xfId="0" applyFont="1" applyFill="1" applyBorder="1" applyAlignment="1" applyProtection="1">
      <alignment horizontal="left" vertical="center" wrapText="1"/>
    </xf>
    <xf numFmtId="0" fontId="125" fillId="6" borderId="5" xfId="0" applyFont="1" applyFill="1" applyBorder="1" applyAlignment="1" applyProtection="1">
      <alignment horizontal="left" vertical="center" wrapText="1"/>
    </xf>
    <xf numFmtId="0" fontId="104" fillId="6" borderId="5" xfId="0" applyFont="1" applyFill="1" applyBorder="1" applyAlignment="1" applyProtection="1">
      <alignment horizontal="left" vertical="center" wrapText="1"/>
    </xf>
    <xf numFmtId="0" fontId="104" fillId="6" borderId="48" xfId="0" applyFont="1" applyFill="1" applyBorder="1" applyAlignment="1" applyProtection="1">
      <alignment horizontal="left" vertical="center" wrapText="1"/>
    </xf>
    <xf numFmtId="0" fontId="125" fillId="6" borderId="33" xfId="0" applyFont="1" applyFill="1" applyBorder="1" applyAlignment="1" applyProtection="1">
      <alignment horizontal="left" vertical="center" wrapText="1"/>
    </xf>
    <xf numFmtId="0" fontId="104" fillId="6" borderId="33" xfId="0" applyFont="1" applyFill="1" applyBorder="1" applyAlignment="1" applyProtection="1">
      <alignment horizontal="left" vertical="center" wrapText="1"/>
    </xf>
    <xf numFmtId="0" fontId="104" fillId="6" borderId="68" xfId="0" applyFont="1" applyFill="1" applyBorder="1" applyAlignment="1" applyProtection="1">
      <alignment horizontal="left" vertical="center" wrapText="1"/>
    </xf>
    <xf numFmtId="0" fontId="46" fillId="6" borderId="24" xfId="0" applyFont="1" applyFill="1" applyBorder="1" applyAlignment="1" applyProtection="1">
      <alignment horizontal="left" vertical="center"/>
    </xf>
    <xf numFmtId="0" fontId="44" fillId="18" borderId="24" xfId="0" applyFont="1" applyFill="1" applyBorder="1" applyAlignment="1" applyProtection="1">
      <alignment horizontal="left" vertical="center"/>
    </xf>
    <xf numFmtId="0" fontId="44" fillId="6" borderId="24" xfId="0" applyFont="1" applyFill="1" applyBorder="1" applyAlignment="1" applyProtection="1">
      <alignment horizontal="left" vertical="center"/>
    </xf>
    <xf numFmtId="0" fontId="52" fillId="6" borderId="24" xfId="0" applyFont="1" applyFill="1" applyBorder="1" applyAlignment="1" applyProtection="1">
      <alignment horizontal="left" vertical="center"/>
    </xf>
    <xf numFmtId="0" fontId="44" fillId="6" borderId="49" xfId="0" applyFont="1" applyFill="1" applyBorder="1" applyAlignment="1" applyProtection="1">
      <alignment horizontal="left" vertical="center"/>
    </xf>
    <xf numFmtId="0" fontId="44" fillId="6" borderId="1" xfId="0" applyFont="1" applyFill="1" applyBorder="1" applyAlignment="1" applyProtection="1">
      <alignment horizontal="left" vertical="center" wrapText="1"/>
      <protection locked="0"/>
    </xf>
    <xf numFmtId="0" fontId="98" fillId="6" borderId="5" xfId="0" applyFont="1" applyFill="1" applyBorder="1" applyAlignment="1">
      <alignment horizontal="right" vertical="center"/>
    </xf>
    <xf numFmtId="0" fontId="98" fillId="6" borderId="1" xfId="0" applyFont="1" applyFill="1" applyBorder="1" applyAlignment="1">
      <alignment horizontal="right" vertical="center"/>
    </xf>
    <xf numFmtId="0" fontId="204" fillId="6" borderId="23" xfId="0" applyFont="1" applyFill="1" applyBorder="1" applyAlignment="1">
      <alignment horizontal="left" vertical="center"/>
    </xf>
    <xf numFmtId="0" fontId="98" fillId="6" borderId="23" xfId="0" applyFont="1" applyFill="1" applyBorder="1" applyAlignment="1">
      <alignment horizontal="left" vertical="center"/>
    </xf>
    <xf numFmtId="0" fontId="98" fillId="6" borderId="25" xfId="0" applyFont="1" applyFill="1" applyBorder="1" applyAlignment="1">
      <alignment horizontal="left" vertical="center"/>
    </xf>
    <xf numFmtId="0" fontId="98" fillId="6" borderId="5" xfId="0" applyFont="1" applyFill="1" applyBorder="1" applyAlignment="1" applyProtection="1">
      <alignment horizontal="left" vertical="center"/>
    </xf>
    <xf numFmtId="0" fontId="98" fillId="6" borderId="24" xfId="0" applyFont="1" applyFill="1" applyBorder="1" applyAlignment="1" applyProtection="1">
      <alignment horizontal="left" vertical="center"/>
    </xf>
    <xf numFmtId="0" fontId="124" fillId="6" borderId="1" xfId="0" applyFont="1" applyFill="1" applyBorder="1" applyAlignment="1">
      <alignment horizontal="left" vertical="center" wrapText="1"/>
    </xf>
    <xf numFmtId="0" fontId="124" fillId="5" borderId="1" xfId="0" applyFont="1" applyFill="1" applyBorder="1" applyAlignment="1" applyProtection="1">
      <alignment horizontal="left" vertical="center"/>
      <protection locked="0"/>
    </xf>
    <xf numFmtId="0" fontId="124" fillId="6" borderId="1" xfId="0" applyFont="1" applyFill="1" applyBorder="1" applyAlignment="1">
      <alignment horizontal="center" vertical="center"/>
    </xf>
    <xf numFmtId="0" fontId="124" fillId="6" borderId="1" xfId="0" applyFont="1" applyFill="1" applyBorder="1" applyAlignment="1">
      <alignment horizontal="left" vertical="center"/>
    </xf>
    <xf numFmtId="0" fontId="98" fillId="6" borderId="1" xfId="0" applyFont="1" applyFill="1" applyBorder="1" applyAlignment="1">
      <alignment horizontal="left" vertical="center"/>
    </xf>
    <xf numFmtId="49" fontId="47" fillId="6" borderId="0" xfId="0" applyNumberFormat="1" applyFont="1" applyFill="1" applyAlignment="1" applyProtection="1">
      <alignment horizontal="center" vertical="center" wrapText="1"/>
      <protection locked="0"/>
    </xf>
    <xf numFmtId="0" fontId="47" fillId="6" borderId="58" xfId="0" applyNumberFormat="1" applyFont="1" applyFill="1" applyBorder="1" applyAlignment="1" applyProtection="1">
      <alignment horizontal="left" vertical="center"/>
      <protection locked="0"/>
    </xf>
    <xf numFmtId="0" fontId="47" fillId="6" borderId="58"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left" vertical="center"/>
      <protection locked="0"/>
    </xf>
    <xf numFmtId="0" fontId="47" fillId="6" borderId="58" xfId="0" applyFont="1" applyFill="1" applyBorder="1" applyAlignment="1" applyProtection="1">
      <alignment horizontal="center" vertical="center" wrapText="1"/>
      <protection locked="0"/>
    </xf>
    <xf numFmtId="0" fontId="47" fillId="6" borderId="1" xfId="0" applyFont="1" applyFill="1" applyBorder="1" applyAlignment="1" applyProtection="1">
      <alignment horizontal="center" vertical="center" wrapText="1"/>
      <protection locked="0"/>
    </xf>
    <xf numFmtId="0" fontId="47" fillId="6" borderId="1" xfId="0" applyFont="1" applyFill="1" applyBorder="1" applyAlignment="1" applyProtection="1">
      <alignment vertical="center" wrapText="1"/>
      <protection locked="0"/>
    </xf>
    <xf numFmtId="0" fontId="52" fillId="6" borderId="151" xfId="0" applyFont="1" applyFill="1" applyBorder="1" applyAlignment="1" applyProtection="1">
      <alignment vertical="center" wrapText="1"/>
      <protection locked="0"/>
    </xf>
    <xf numFmtId="0" fontId="52" fillId="6" borderId="152" xfId="0" applyFont="1" applyFill="1" applyBorder="1" applyAlignment="1" applyProtection="1">
      <alignment vertical="center" wrapText="1"/>
      <protection locked="0"/>
    </xf>
    <xf numFmtId="0" fontId="52" fillId="6" borderId="151" xfId="0" applyFont="1" applyFill="1" applyBorder="1" applyAlignment="1" applyProtection="1">
      <alignment horizontal="center" vertical="center" wrapText="1"/>
      <protection locked="0"/>
    </xf>
    <xf numFmtId="0" fontId="52" fillId="0" borderId="151" xfId="0" applyFont="1" applyBorder="1" applyAlignment="1" applyProtection="1">
      <alignment vertical="center" wrapText="1"/>
      <protection locked="0"/>
    </xf>
    <xf numFmtId="49" fontId="47" fillId="6" borderId="5" xfId="0" applyNumberFormat="1" applyFont="1" applyFill="1" applyBorder="1" applyAlignment="1" applyProtection="1">
      <alignment horizontal="center" vertical="center" wrapText="1"/>
      <protection locked="0"/>
    </xf>
    <xf numFmtId="49" fontId="47" fillId="6" borderId="1" xfId="0" applyNumberFormat="1" applyFont="1" applyFill="1" applyBorder="1" applyAlignment="1" applyProtection="1">
      <alignment horizontal="center" vertical="center" wrapText="1"/>
      <protection locked="0"/>
    </xf>
    <xf numFmtId="49" fontId="47" fillId="0" borderId="58" xfId="0" applyNumberFormat="1" applyFont="1" applyBorder="1" applyAlignment="1" applyProtection="1">
      <alignment horizontal="center" vertical="center" wrapText="1"/>
      <protection locked="0"/>
    </xf>
    <xf numFmtId="49" fontId="47" fillId="0" borderId="0" xfId="0" applyNumberFormat="1" applyFont="1" applyAlignment="1" applyProtection="1">
      <alignment horizontal="center" vertical="center" wrapText="1"/>
      <protection locked="0"/>
    </xf>
    <xf numFmtId="0" fontId="47" fillId="16" borderId="15" xfId="0" applyNumberFormat="1" applyFont="1" applyFill="1" applyBorder="1" applyAlignment="1" applyProtection="1">
      <alignment vertical="center" wrapText="1"/>
    </xf>
    <xf numFmtId="0" fontId="47" fillId="16" borderId="78" xfId="0" applyNumberFormat="1" applyFont="1" applyFill="1" applyBorder="1" applyAlignment="1" applyProtection="1">
      <alignment vertical="center" wrapText="1"/>
    </xf>
    <xf numFmtId="0" fontId="47" fillId="6" borderId="5" xfId="0" applyFont="1" applyFill="1" applyBorder="1" applyAlignment="1" applyProtection="1">
      <alignment vertical="center" wrapText="1"/>
    </xf>
    <xf numFmtId="0" fontId="47" fillId="5" borderId="23" xfId="0" applyFont="1" applyFill="1" applyBorder="1" applyAlignment="1" applyProtection="1">
      <alignment vertical="center" wrapText="1"/>
      <protection locked="0"/>
    </xf>
    <xf numFmtId="0" fontId="47" fillId="5" borderId="24"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protection locked="0"/>
    </xf>
    <xf numFmtId="0" fontId="47" fillId="5" borderId="23" xfId="0" applyFont="1" applyFill="1" applyBorder="1" applyAlignment="1" applyProtection="1">
      <alignment vertical="center" wrapText="1" shrinkToFit="1"/>
      <protection locked="0"/>
    </xf>
    <xf numFmtId="0" fontId="47" fillId="6" borderId="18" xfId="0" applyFont="1" applyFill="1" applyBorder="1" applyAlignment="1" applyProtection="1">
      <alignment vertical="center" wrapText="1"/>
    </xf>
    <xf numFmtId="183" fontId="168" fillId="0" borderId="24" xfId="0" applyNumberFormat="1" applyFont="1" applyFill="1" applyBorder="1" applyAlignment="1" applyProtection="1">
      <alignment vertical="center" shrinkToFit="1"/>
      <protection locked="0"/>
    </xf>
    <xf numFmtId="0" fontId="47" fillId="6" borderId="16" xfId="0" applyFont="1" applyFill="1" applyBorder="1" applyAlignment="1" applyProtection="1">
      <alignment vertical="center" wrapText="1"/>
    </xf>
    <xf numFmtId="183" fontId="168" fillId="0" borderId="21" xfId="0" applyNumberFormat="1" applyFont="1" applyFill="1" applyBorder="1" applyAlignment="1" applyProtection="1">
      <alignment vertical="center" shrinkToFit="1"/>
      <protection locked="0"/>
    </xf>
    <xf numFmtId="0" fontId="168" fillId="0" borderId="24" xfId="0" applyFont="1" applyFill="1" applyBorder="1" applyAlignment="1" applyProtection="1">
      <alignment vertical="center" wrapText="1"/>
      <protection locked="0"/>
    </xf>
    <xf numFmtId="0" fontId="168" fillId="0" borderId="48" xfId="0" applyFont="1" applyFill="1" applyBorder="1" applyAlignment="1" applyProtection="1">
      <alignment vertical="center" wrapText="1"/>
      <protection locked="0"/>
    </xf>
    <xf numFmtId="0" fontId="47" fillId="6" borderId="89" xfId="0" applyFont="1" applyFill="1" applyBorder="1" applyAlignment="1" applyProtection="1">
      <alignment vertical="center" wrapText="1"/>
    </xf>
    <xf numFmtId="0" fontId="47" fillId="6" borderId="91" xfId="0" applyFont="1" applyFill="1" applyBorder="1" applyAlignment="1" applyProtection="1">
      <alignment vertical="center" wrapText="1"/>
    </xf>
    <xf numFmtId="0" fontId="168" fillId="0" borderId="79" xfId="0" applyFont="1" applyFill="1" applyBorder="1" applyAlignment="1" applyProtection="1">
      <alignment vertical="center" wrapText="1"/>
      <protection locked="0"/>
    </xf>
    <xf numFmtId="0" fontId="168" fillId="0" borderId="90" xfId="0" applyFont="1" applyFill="1" applyBorder="1" applyAlignment="1" applyProtection="1">
      <alignment vertical="center" wrapText="1"/>
      <protection locked="0"/>
    </xf>
    <xf numFmtId="0" fontId="47" fillId="6" borderId="27" xfId="0" applyFont="1" applyFill="1" applyBorder="1" applyAlignment="1" applyProtection="1">
      <alignment horizontal="left" vertical="center"/>
    </xf>
    <xf numFmtId="0" fontId="47" fillId="0" borderId="96" xfId="0" applyFont="1" applyBorder="1" applyAlignment="1" applyProtection="1">
      <alignment horizontal="left" vertical="center" wrapText="1"/>
      <protection locked="0"/>
    </xf>
    <xf numFmtId="0" fontId="44" fillId="0" borderId="0" xfId="0" applyFont="1" applyFill="1" applyProtection="1">
      <alignment vertical="center"/>
      <protection locked="0"/>
    </xf>
    <xf numFmtId="0" fontId="44" fillId="6" borderId="51" xfId="0" applyFont="1" applyFill="1" applyBorder="1" applyProtection="1">
      <alignment vertical="center"/>
    </xf>
    <xf numFmtId="0" fontId="44" fillId="6" borderId="20" xfId="0" applyFont="1" applyFill="1" applyBorder="1" applyProtection="1">
      <alignment vertical="center"/>
    </xf>
    <xf numFmtId="0" fontId="44" fillId="6" borderId="41" xfId="0" applyFont="1" applyFill="1" applyBorder="1" applyProtection="1">
      <alignment vertical="center"/>
    </xf>
    <xf numFmtId="0" fontId="44" fillId="6" borderId="14" xfId="0" applyFont="1" applyFill="1" applyBorder="1" applyProtection="1">
      <alignment vertical="center"/>
    </xf>
    <xf numFmtId="0" fontId="44" fillId="6" borderId="61" xfId="0" applyFont="1" applyFill="1" applyBorder="1" applyAlignment="1" applyProtection="1">
      <alignment horizontal="center" vertical="center"/>
    </xf>
    <xf numFmtId="0" fontId="44" fillId="6" borderId="38" xfId="0" applyFont="1" applyFill="1" applyBorder="1" applyProtection="1">
      <alignment vertical="center"/>
    </xf>
    <xf numFmtId="0" fontId="44" fillId="6" borderId="66" xfId="0" applyFont="1" applyFill="1" applyBorder="1" applyProtection="1">
      <alignment vertical="center"/>
    </xf>
    <xf numFmtId="0" fontId="44" fillId="0" borderId="49" xfId="0" applyFont="1" applyFill="1" applyBorder="1" applyAlignment="1" applyProtection="1">
      <alignment horizontal="center" vertical="center"/>
      <protection locked="0"/>
    </xf>
    <xf numFmtId="0" fontId="47" fillId="6" borderId="82" xfId="0" applyFont="1" applyFill="1" applyBorder="1" applyAlignment="1" applyProtection="1">
      <alignment horizontal="center" vertical="center"/>
    </xf>
    <xf numFmtId="0" fontId="44" fillId="12" borderId="0" xfId="0" applyFont="1" applyFill="1" applyProtection="1">
      <alignment vertical="center"/>
      <protection locked="0"/>
    </xf>
    <xf numFmtId="0" fontId="44" fillId="12" borderId="0" xfId="0" applyFont="1" applyFill="1" applyBorder="1" applyProtection="1">
      <alignment vertical="center"/>
      <protection locked="0"/>
    </xf>
    <xf numFmtId="0" fontId="44" fillId="12" borderId="0" xfId="0" applyFont="1" applyFill="1" applyAlignment="1" applyProtection="1">
      <alignment horizontal="center" vertical="center"/>
      <protection locked="0"/>
    </xf>
    <xf numFmtId="0" fontId="47" fillId="12" borderId="0" xfId="0" applyFont="1" applyFill="1" applyBorder="1" applyAlignment="1" applyProtection="1">
      <alignment horizontal="center" vertical="center" wrapText="1"/>
      <protection locked="0"/>
    </xf>
    <xf numFmtId="0" fontId="47" fillId="12" borderId="0" xfId="0" applyFont="1" applyFill="1" applyBorder="1" applyAlignment="1" applyProtection="1">
      <alignment vertical="center" wrapText="1"/>
      <protection locked="0"/>
    </xf>
    <xf numFmtId="0" fontId="47" fillId="12" borderId="0" xfId="0" applyFont="1" applyFill="1" applyAlignment="1" applyProtection="1">
      <alignment vertical="center" wrapText="1"/>
      <protection locked="0"/>
    </xf>
    <xf numFmtId="0" fontId="47" fillId="12" borderId="87" xfId="0" applyFont="1" applyFill="1" applyBorder="1" applyAlignment="1" applyProtection="1">
      <alignment vertical="center" wrapText="1"/>
      <protection locked="0"/>
    </xf>
    <xf numFmtId="49" fontId="168" fillId="12" borderId="4" xfId="0" applyNumberFormat="1" applyFont="1" applyFill="1" applyBorder="1" applyAlignment="1" applyProtection="1">
      <alignment horizontal="left" vertical="center"/>
      <protection locked="0"/>
    </xf>
    <xf numFmtId="0" fontId="47" fillId="12" borderId="60" xfId="0" applyFont="1" applyFill="1" applyBorder="1" applyAlignment="1" applyProtection="1">
      <alignment vertical="center" wrapText="1"/>
    </xf>
    <xf numFmtId="0" fontId="47" fillId="12" borderId="60" xfId="0" applyFont="1" applyFill="1" applyBorder="1" applyAlignment="1" applyProtection="1">
      <alignment horizontal="center" vertical="center" wrapText="1"/>
    </xf>
    <xf numFmtId="0" fontId="47" fillId="12" borderId="7" xfId="0" applyFont="1" applyFill="1" applyBorder="1" applyAlignment="1" applyProtection="1">
      <alignment vertical="center" wrapText="1"/>
    </xf>
    <xf numFmtId="0" fontId="47" fillId="12" borderId="0" xfId="0" applyFont="1" applyFill="1" applyBorder="1" applyAlignment="1" applyProtection="1">
      <alignment vertical="center" wrapText="1"/>
    </xf>
    <xf numFmtId="0" fontId="47" fillId="12" borderId="0" xfId="0" applyFont="1" applyFill="1" applyAlignment="1" applyProtection="1">
      <alignment vertical="center"/>
      <protection locked="0"/>
    </xf>
    <xf numFmtId="0" fontId="47" fillId="12" borderId="0" xfId="0" applyFont="1" applyFill="1" applyAlignment="1" applyProtection="1">
      <alignment horizontal="center" vertical="center"/>
      <protection locked="0"/>
    </xf>
    <xf numFmtId="0" fontId="44" fillId="12" borderId="0" xfId="0" applyFont="1" applyFill="1" applyAlignment="1" applyProtection="1">
      <alignment vertical="center"/>
      <protection locked="0"/>
    </xf>
    <xf numFmtId="0" fontId="44" fillId="12" borderId="0" xfId="0" applyFont="1" applyFill="1" applyBorder="1" applyAlignment="1" applyProtection="1">
      <alignment vertical="center"/>
      <protection locked="0"/>
    </xf>
    <xf numFmtId="179" fontId="47" fillId="12" borderId="0" xfId="0" applyNumberFormat="1" applyFont="1" applyFill="1" applyAlignment="1" applyProtection="1">
      <alignment vertical="center"/>
      <protection locked="0"/>
    </xf>
    <xf numFmtId="179" fontId="44" fillId="12" borderId="0" xfId="0" applyNumberFormat="1" applyFont="1" applyFill="1" applyAlignment="1" applyProtection="1">
      <alignment vertical="center"/>
      <protection locked="0"/>
    </xf>
    <xf numFmtId="0" fontId="44" fillId="12" borderId="67" xfId="0" applyFont="1" applyFill="1" applyBorder="1" applyAlignment="1" applyProtection="1">
      <alignment horizontal="center" vertical="center"/>
      <protection locked="0"/>
    </xf>
    <xf numFmtId="0" fontId="100" fillId="12" borderId="0" xfId="0" applyFont="1" applyFill="1" applyAlignment="1" applyProtection="1">
      <alignment horizontal="left" vertical="center"/>
      <protection locked="0"/>
    </xf>
    <xf numFmtId="179" fontId="44" fillId="12" borderId="0" xfId="0" applyNumberFormat="1" applyFont="1" applyFill="1" applyAlignment="1" applyProtection="1">
      <alignment horizontal="center" vertical="center"/>
      <protection locked="0"/>
    </xf>
    <xf numFmtId="0" fontId="100" fillId="12" borderId="0" xfId="0" applyFont="1" applyFill="1" applyAlignment="1" applyProtection="1">
      <alignment horizontal="center" vertical="center"/>
      <protection locked="0"/>
    </xf>
    <xf numFmtId="0" fontId="113" fillId="12" borderId="0" xfId="0" applyFont="1" applyFill="1" applyAlignment="1" applyProtection="1">
      <alignment vertical="center"/>
      <protection locked="0"/>
    </xf>
    <xf numFmtId="0" fontId="47" fillId="12" borderId="0" xfId="0" applyFont="1" applyFill="1" applyAlignment="1" applyProtection="1">
      <alignment vertical="center"/>
    </xf>
    <xf numFmtId="181" fontId="98" fillId="12" borderId="0" xfId="0" applyNumberFormat="1" applyFont="1" applyFill="1" applyAlignment="1" applyProtection="1">
      <alignment horizontal="center" vertical="center"/>
    </xf>
    <xf numFmtId="179" fontId="100" fillId="12" borderId="0" xfId="0" applyNumberFormat="1" applyFont="1" applyFill="1" applyAlignment="1" applyProtection="1">
      <alignment vertical="center"/>
      <protection locked="0"/>
    </xf>
    <xf numFmtId="0" fontId="44" fillId="12" borderId="0" xfId="0" applyFont="1" applyFill="1" applyAlignment="1" applyProtection="1">
      <alignment vertical="center"/>
    </xf>
    <xf numFmtId="0" fontId="160" fillId="12" borderId="0" xfId="12" applyFont="1" applyFill="1" applyBorder="1" applyAlignment="1" applyProtection="1">
      <alignment horizontal="left" vertical="center" wrapText="1"/>
      <protection locked="0"/>
    </xf>
    <xf numFmtId="0" fontId="159" fillId="12" borderId="0" xfId="12" applyFill="1" applyBorder="1" applyAlignment="1" applyProtection="1">
      <alignment horizontal="left"/>
      <protection locked="0"/>
    </xf>
    <xf numFmtId="0" fontId="159" fillId="12" borderId="0" xfId="12" applyFill="1" applyAlignment="1" applyProtection="1">
      <alignment horizontal="left"/>
      <protection locked="0"/>
    </xf>
    <xf numFmtId="0" fontId="177" fillId="17" borderId="154" xfId="0" applyFont="1" applyFill="1" applyBorder="1" applyAlignment="1" applyProtection="1">
      <alignment horizontal="right"/>
      <protection locked="0"/>
    </xf>
    <xf numFmtId="181" fontId="47" fillId="6" borderId="0" xfId="0" applyNumberFormat="1" applyFont="1" applyFill="1" applyProtection="1">
      <alignment vertical="center"/>
      <protection locked="0"/>
    </xf>
    <xf numFmtId="0" fontId="98" fillId="0" borderId="0" xfId="0" applyFont="1" applyFill="1" applyProtection="1">
      <alignment vertical="center"/>
      <protection locked="0"/>
    </xf>
    <xf numFmtId="0" fontId="63" fillId="6" borderId="0" xfId="0" applyFont="1" applyFill="1" applyAlignment="1" applyProtection="1">
      <alignment vertical="center"/>
      <protection locked="0"/>
    </xf>
    <xf numFmtId="49" fontId="62" fillId="6" borderId="0" xfId="0" applyNumberFormat="1" applyFont="1" applyFill="1" applyBorder="1" applyAlignment="1" applyProtection="1">
      <alignment horizontal="center"/>
      <protection locked="0"/>
    </xf>
    <xf numFmtId="49" fontId="62"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center"/>
      <protection locked="0"/>
    </xf>
    <xf numFmtId="49" fontId="54"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left" vertical="center"/>
      <protection locked="0"/>
    </xf>
    <xf numFmtId="0" fontId="53" fillId="6" borderId="0" xfId="0" applyFont="1" applyFill="1" applyBorder="1" applyAlignment="1" applyProtection="1">
      <alignment horizontal="left" vertical="center"/>
      <protection locked="0"/>
    </xf>
    <xf numFmtId="179" fontId="60" fillId="6" borderId="0" xfId="0" applyNumberFormat="1" applyFont="1" applyFill="1" applyBorder="1" applyAlignment="1" applyProtection="1">
      <alignment horizontal="center" vertical="center"/>
      <protection locked="0"/>
    </xf>
    <xf numFmtId="0" fontId="99" fillId="6" borderId="0" xfId="0" applyFont="1" applyFill="1" applyAlignment="1" applyProtection="1">
      <protection locked="0"/>
    </xf>
    <xf numFmtId="0" fontId="99" fillId="6" borderId="0" xfId="0" applyFont="1" applyFill="1" applyAlignment="1" applyProtection="1">
      <alignment horizontal="left"/>
      <protection locked="0"/>
    </xf>
    <xf numFmtId="0" fontId="52" fillId="6" borderId="0" xfId="0" applyFont="1" applyFill="1" applyAlignment="1" applyProtection="1">
      <alignment horizontal="left"/>
      <protection locked="0"/>
    </xf>
    <xf numFmtId="0" fontId="52" fillId="6" borderId="0" xfId="0" applyFont="1" applyFill="1" applyAlignment="1" applyProtection="1">
      <protection locked="0"/>
    </xf>
    <xf numFmtId="0" fontId="53" fillId="6" borderId="0" xfId="0" applyFont="1" applyFill="1" applyAlignment="1" applyProtection="1">
      <alignment horizontal="left" vertical="center"/>
      <protection locked="0"/>
    </xf>
    <xf numFmtId="0" fontId="139" fillId="6" borderId="0" xfId="0" applyFont="1" applyFill="1" applyAlignment="1" applyProtection="1">
      <alignment vertical="center"/>
      <protection locked="0"/>
    </xf>
    <xf numFmtId="177" fontId="54" fillId="7" borderId="0" xfId="0" applyNumberFormat="1" applyFont="1" applyFill="1" applyBorder="1" applyAlignment="1" applyProtection="1">
      <protection locked="0"/>
    </xf>
    <xf numFmtId="0" fontId="98" fillId="12" borderId="0" xfId="0" applyFont="1" applyFill="1">
      <alignment vertical="center"/>
    </xf>
    <xf numFmtId="0" fontId="204" fillId="12" borderId="0" xfId="0" applyFont="1" applyFill="1" applyBorder="1">
      <alignment vertical="center"/>
    </xf>
    <xf numFmtId="0" fontId="98" fillId="12" borderId="0" xfId="0" applyFont="1" applyFill="1" applyBorder="1">
      <alignment vertical="center"/>
    </xf>
    <xf numFmtId="0" fontId="98" fillId="12" borderId="47" xfId="0" applyFont="1" applyFill="1" applyBorder="1">
      <alignment vertical="center"/>
    </xf>
    <xf numFmtId="0" fontId="98" fillId="12" borderId="56" xfId="0" applyFont="1" applyFill="1" applyBorder="1" applyProtection="1">
      <alignment vertical="center"/>
    </xf>
    <xf numFmtId="0" fontId="57" fillId="12" borderId="18" xfId="1" applyFont="1" applyFill="1" applyBorder="1" applyAlignment="1" applyProtection="1">
      <alignment vertical="center"/>
    </xf>
    <xf numFmtId="181" fontId="57" fillId="12" borderId="0" xfId="0" applyNumberFormat="1" applyFont="1" applyFill="1" applyBorder="1" applyAlignment="1" applyProtection="1">
      <alignment vertical="center"/>
      <protection locked="0"/>
    </xf>
    <xf numFmtId="0" fontId="57"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horizontal="center" vertical="center" wrapText="1"/>
      <protection locked="0"/>
    </xf>
    <xf numFmtId="0" fontId="44" fillId="12" borderId="0" xfId="0" applyFont="1" applyFill="1" applyBorder="1" applyAlignment="1" applyProtection="1">
      <alignment horizontal="center" vertical="center"/>
      <protection locked="0"/>
    </xf>
    <xf numFmtId="181" fontId="67" fillId="12" borderId="0" xfId="0" applyNumberFormat="1" applyFont="1" applyFill="1" applyBorder="1" applyAlignment="1" applyProtection="1">
      <alignment horizontal="center" vertical="center" wrapText="1"/>
      <protection locked="0"/>
    </xf>
    <xf numFmtId="0" fontId="67" fillId="12" borderId="0" xfId="0" applyFont="1" applyFill="1" applyBorder="1" applyAlignment="1" applyProtection="1">
      <alignment horizontal="center" vertical="center"/>
      <protection locked="0"/>
    </xf>
    <xf numFmtId="181" fontId="49" fillId="12" borderId="0" xfId="0" applyNumberFormat="1" applyFont="1" applyFill="1" applyBorder="1" applyAlignment="1" applyProtection="1">
      <alignment horizontal="center" vertical="center" wrapText="1"/>
      <protection locked="0"/>
    </xf>
    <xf numFmtId="181" fontId="68" fillId="12" borderId="0" xfId="0" applyNumberFormat="1"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protection locked="0"/>
    </xf>
    <xf numFmtId="181" fontId="51" fillId="12" borderId="0" xfId="0" applyNumberFormat="1" applyFont="1" applyFill="1" applyBorder="1" applyAlignment="1" applyProtection="1">
      <alignment vertical="center" wrapText="1"/>
      <protection locked="0"/>
    </xf>
    <xf numFmtId="0" fontId="51" fillId="12" borderId="0" xfId="0" applyFont="1" applyFill="1" applyAlignment="1" applyProtection="1">
      <alignment horizontal="center" vertical="center"/>
      <protection locked="0"/>
    </xf>
    <xf numFmtId="181" fontId="51" fillId="12" borderId="0" xfId="0" applyNumberFormat="1" applyFont="1" applyFill="1" applyAlignment="1" applyProtection="1">
      <alignment horizontal="center" vertical="center"/>
      <protection locked="0"/>
    </xf>
    <xf numFmtId="181" fontId="68" fillId="12" borderId="0" xfId="0" applyNumberFormat="1" applyFont="1" applyFill="1" applyAlignment="1" applyProtection="1">
      <alignment horizontal="center" vertical="center"/>
      <protection locked="0"/>
    </xf>
    <xf numFmtId="0" fontId="68" fillId="12" borderId="0" xfId="0" applyFont="1" applyFill="1" applyAlignment="1" applyProtection="1">
      <alignment horizontal="center" vertical="center"/>
      <protection locked="0"/>
    </xf>
    <xf numFmtId="9" fontId="51" fillId="12" borderId="0" xfId="0" applyNumberFormat="1" applyFont="1" applyFill="1" applyAlignment="1" applyProtection="1">
      <alignment horizontal="center" vertical="center"/>
      <protection locked="0"/>
    </xf>
    <xf numFmtId="188" fontId="51" fillId="12" borderId="0" xfId="0" applyNumberFormat="1" applyFont="1" applyFill="1" applyAlignment="1" applyProtection="1">
      <alignment horizontal="center" vertical="center"/>
      <protection locked="0"/>
    </xf>
    <xf numFmtId="14" fontId="51" fillId="12" borderId="0" xfId="0" applyNumberFormat="1" applyFont="1" applyFill="1" applyAlignment="1" applyProtection="1">
      <alignment horizontal="center" vertical="center"/>
      <protection locked="0"/>
    </xf>
    <xf numFmtId="176" fontId="51" fillId="12" borderId="0" xfId="0" applyNumberFormat="1" applyFont="1" applyFill="1" applyAlignment="1" applyProtection="1">
      <alignment horizontal="center" vertical="center"/>
      <protection locked="0"/>
    </xf>
    <xf numFmtId="188" fontId="68" fillId="12" borderId="0" xfId="0" applyNumberFormat="1" applyFont="1" applyFill="1" applyAlignment="1" applyProtection="1">
      <alignment horizontal="center" vertical="center"/>
      <protection locked="0"/>
    </xf>
    <xf numFmtId="181" fontId="62" fillId="12" borderId="0" xfId="0" applyNumberFormat="1" applyFont="1" applyFill="1" applyBorder="1" applyAlignment="1" applyProtection="1">
      <alignment vertical="center"/>
      <protection locked="0"/>
    </xf>
    <xf numFmtId="0" fontId="62" fillId="12" borderId="0" xfId="0" applyFont="1" applyFill="1" applyBorder="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0" fontId="68" fillId="12" borderId="18" xfId="0" applyFont="1" applyFill="1" applyBorder="1" applyAlignment="1" applyProtection="1">
      <alignment horizontal="center" vertical="center"/>
      <protection locked="0"/>
    </xf>
    <xf numFmtId="0" fontId="51" fillId="12" borderId="18" xfId="0" applyFont="1" applyFill="1" applyBorder="1" applyAlignment="1" applyProtection="1">
      <protection locked="0"/>
    </xf>
    <xf numFmtId="9" fontId="44" fillId="12" borderId="0" xfId="0" applyNumberFormat="1" applyFont="1" applyFill="1" applyBorder="1" applyAlignment="1" applyProtection="1">
      <alignment horizontal="center" vertical="center" wrapText="1"/>
      <protection locked="0"/>
    </xf>
    <xf numFmtId="49" fontId="44" fillId="12" borderId="18" xfId="0" applyNumberFormat="1" applyFont="1" applyFill="1" applyBorder="1" applyAlignment="1" applyProtection="1">
      <alignment horizontal="center" vertical="center"/>
      <protection locked="0"/>
    </xf>
    <xf numFmtId="49" fontId="44" fillId="12" borderId="0" xfId="0" applyNumberFormat="1" applyFont="1" applyFill="1" applyAlignment="1" applyProtection="1">
      <alignment horizontal="center" vertical="center"/>
      <protection locked="0"/>
    </xf>
    <xf numFmtId="9" fontId="44" fillId="12" borderId="18" xfId="0" applyNumberFormat="1" applyFont="1" applyFill="1" applyBorder="1" applyAlignment="1" applyProtection="1">
      <alignment horizontal="center" vertical="center" wrapText="1"/>
      <protection locked="0"/>
    </xf>
    <xf numFmtId="0" fontId="98" fillId="12" borderId="18" xfId="0" applyFont="1" applyFill="1" applyBorder="1" applyAlignment="1" applyProtection="1">
      <alignment vertical="center"/>
      <protection locked="0"/>
    </xf>
    <xf numFmtId="0" fontId="44" fillId="12" borderId="18" xfId="0" applyFont="1" applyFill="1" applyBorder="1" applyAlignment="1" applyProtection="1">
      <alignment horizontal="center" vertical="center" wrapText="1"/>
      <protection locked="0"/>
    </xf>
    <xf numFmtId="0" fontId="49" fillId="12" borderId="18" xfId="0" applyFont="1" applyFill="1" applyBorder="1" applyAlignment="1" applyProtection="1">
      <alignment horizontal="center" vertical="center" wrapText="1"/>
      <protection locked="0"/>
    </xf>
    <xf numFmtId="9" fontId="49" fillId="12" borderId="0" xfId="0" applyNumberFormat="1" applyFont="1" applyFill="1" applyBorder="1" applyAlignment="1" applyProtection="1">
      <alignment horizontal="center" vertical="center" wrapText="1"/>
      <protection locked="0"/>
    </xf>
    <xf numFmtId="0" fontId="49" fillId="12" borderId="0" xfId="0" applyFont="1" applyFill="1" applyAlignment="1" applyProtection="1">
      <alignment horizontal="center" vertical="center"/>
      <protection locked="0"/>
    </xf>
    <xf numFmtId="0" fontId="49" fillId="12" borderId="18" xfId="0" applyFont="1" applyFill="1" applyBorder="1" applyAlignment="1" applyProtection="1">
      <alignment horizontal="center" vertical="center"/>
      <protection locked="0"/>
    </xf>
    <xf numFmtId="9" fontId="49" fillId="12" borderId="0" xfId="0" applyNumberFormat="1" applyFont="1" applyFill="1" applyBorder="1" applyAlignment="1" applyProtection="1">
      <alignment horizontal="center" vertical="center"/>
      <protection locked="0"/>
    </xf>
    <xf numFmtId="0" fontId="49" fillId="12" borderId="18" xfId="0" applyFont="1" applyFill="1" applyBorder="1" applyAlignment="1" applyProtection="1">
      <alignment vertical="center" wrapText="1"/>
      <protection locked="0"/>
    </xf>
    <xf numFmtId="0" fontId="44" fillId="12" borderId="18" xfId="0" applyFont="1" applyFill="1" applyBorder="1" applyAlignment="1" applyProtection="1">
      <alignment vertical="center" wrapText="1"/>
      <protection locked="0"/>
    </xf>
    <xf numFmtId="0" fontId="44" fillId="12" borderId="0" xfId="0" applyNumberFormat="1" applyFont="1" applyFill="1" applyBorder="1" applyAlignment="1" applyProtection="1">
      <alignment horizontal="center" vertical="center" wrapText="1"/>
      <protection locked="0"/>
    </xf>
    <xf numFmtId="0" fontId="68" fillId="12" borderId="0" xfId="0" applyNumberFormat="1" applyFont="1" applyFill="1" applyBorder="1" applyAlignment="1" applyProtection="1">
      <alignment horizontal="center" vertical="center" wrapText="1"/>
      <protection locked="0"/>
    </xf>
    <xf numFmtId="0" fontId="51" fillId="12" borderId="0" xfId="0" applyNumberFormat="1" applyFont="1" applyFill="1" applyBorder="1" applyAlignment="1" applyProtection="1">
      <alignment horizontal="center" vertical="center" wrapText="1"/>
      <protection locked="0"/>
    </xf>
    <xf numFmtId="0" fontId="49" fillId="12" borderId="0" xfId="0" applyNumberFormat="1"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68" fillId="12" borderId="58" xfId="0" applyFont="1" applyFill="1" applyBorder="1" applyAlignment="1" applyProtection="1">
      <alignment horizontal="center" vertical="center"/>
      <protection locked="0"/>
    </xf>
    <xf numFmtId="0" fontId="51" fillId="12" borderId="58" xfId="0" applyFont="1" applyFill="1" applyBorder="1" applyAlignment="1" applyProtection="1">
      <protection locked="0"/>
    </xf>
    <xf numFmtId="49" fontId="44" fillId="12" borderId="58" xfId="0" applyNumberFormat="1" applyFont="1" applyFill="1" applyBorder="1" applyAlignment="1" applyProtection="1">
      <alignment horizontal="center" vertical="center"/>
      <protection locked="0"/>
    </xf>
    <xf numFmtId="9" fontId="44" fillId="12" borderId="58" xfId="0" applyNumberFormat="1" applyFont="1" applyFill="1" applyBorder="1" applyAlignment="1" applyProtection="1">
      <alignment horizontal="center" vertical="center" wrapText="1"/>
      <protection locked="0"/>
    </xf>
    <xf numFmtId="0" fontId="98" fillId="12" borderId="58" xfId="0" applyFont="1" applyFill="1" applyBorder="1" applyAlignment="1" applyProtection="1">
      <alignment vertical="center"/>
      <protection locked="0"/>
    </xf>
    <xf numFmtId="0" fontId="44"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protection locked="0"/>
    </xf>
    <xf numFmtId="0" fontId="49" fillId="12" borderId="58" xfId="0" applyFont="1" applyFill="1" applyBorder="1" applyAlignment="1" applyProtection="1">
      <alignment vertical="center" wrapText="1"/>
      <protection locked="0"/>
    </xf>
    <xf numFmtId="0" fontId="44" fillId="12" borderId="58" xfId="0" applyFont="1" applyFill="1" applyBorder="1" applyAlignment="1" applyProtection="1">
      <alignment vertical="center" wrapText="1"/>
      <protection locked="0"/>
    </xf>
    <xf numFmtId="0" fontId="51" fillId="12" borderId="58" xfId="0" applyFont="1" applyFill="1" applyBorder="1" applyAlignment="1" applyProtection="1">
      <alignment horizontal="center" vertical="center" wrapText="1"/>
      <protection locked="0"/>
    </xf>
    <xf numFmtId="9" fontId="51" fillId="12" borderId="0" xfId="0" applyNumberFormat="1" applyFont="1" applyFill="1" applyBorder="1" applyAlignment="1" applyProtection="1">
      <alignment horizontal="center" vertical="center" wrapText="1"/>
      <protection locked="0"/>
    </xf>
    <xf numFmtId="0" fontId="51" fillId="12" borderId="0" xfId="0" applyFont="1" applyFill="1" applyBorder="1" applyAlignment="1" applyProtection="1">
      <protection locked="0"/>
    </xf>
    <xf numFmtId="0" fontId="44" fillId="0" borderId="74" xfId="0" applyNumberFormat="1" applyFont="1" applyFill="1" applyBorder="1" applyAlignment="1" applyProtection="1">
      <alignment horizontal="center" vertical="center" wrapText="1"/>
    </xf>
    <xf numFmtId="0" fontId="44" fillId="0" borderId="76" xfId="0" applyNumberFormat="1" applyFont="1" applyFill="1" applyBorder="1" applyAlignment="1" applyProtection="1">
      <alignment horizontal="center" vertical="center" wrapText="1"/>
    </xf>
    <xf numFmtId="0" fontId="44" fillId="12" borderId="35" xfId="0" applyFont="1" applyFill="1" applyBorder="1" applyAlignment="1" applyProtection="1">
      <alignment horizontal="center" vertical="center"/>
      <protection locked="0"/>
    </xf>
    <xf numFmtId="0" fontId="67"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0" fontId="49" fillId="12" borderId="35" xfId="0" applyFont="1" applyFill="1" applyBorder="1" applyAlignment="1" applyProtection="1">
      <alignment horizontal="center" vertical="center"/>
      <protection locked="0"/>
    </xf>
    <xf numFmtId="49" fontId="44" fillId="12" borderId="0" xfId="0" applyNumberFormat="1" applyFont="1" applyFill="1" applyBorder="1" applyAlignment="1" applyProtection="1">
      <alignment horizontal="center" vertical="center"/>
      <protection locked="0"/>
    </xf>
    <xf numFmtId="0" fontId="98" fillId="12" borderId="0" xfId="0" applyFont="1" applyFill="1" applyBorder="1" applyAlignment="1" applyProtection="1">
      <alignment vertical="center"/>
      <protection locked="0"/>
    </xf>
    <xf numFmtId="0" fontId="44" fillId="12" borderId="0" xfId="0"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wrapText="1"/>
      <protection locked="0"/>
    </xf>
    <xf numFmtId="0" fontId="44" fillId="12" borderId="0" xfId="0"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wrapText="1"/>
      <protection locked="0"/>
    </xf>
    <xf numFmtId="0" fontId="72" fillId="12" borderId="0" xfId="0" applyFont="1" applyFill="1" applyAlignment="1" applyProtection="1">
      <alignment horizontal="center" vertical="center"/>
      <protection locked="0"/>
    </xf>
    <xf numFmtId="0" fontId="53" fillId="12" borderId="0" xfId="0" applyFont="1" applyFill="1" applyAlignment="1" applyProtection="1">
      <protection locked="0"/>
    </xf>
    <xf numFmtId="0" fontId="49" fillId="12" borderId="0" xfId="0" applyFont="1" applyFill="1" applyBorder="1" applyAlignment="1" applyProtection="1">
      <alignment vertical="center" wrapText="1"/>
      <protection locked="0"/>
    </xf>
    <xf numFmtId="0" fontId="51" fillId="6" borderId="40" xfId="8" applyFont="1" applyFill="1" applyBorder="1" applyAlignment="1" applyProtection="1">
      <alignment horizontal="center" vertical="center" wrapText="1"/>
      <protection locked="0"/>
    </xf>
    <xf numFmtId="0" fontId="51" fillId="6" borderId="0" xfId="8" applyFont="1" applyFill="1" applyBorder="1" applyAlignment="1" applyProtection="1">
      <alignment vertical="center" wrapText="1"/>
      <protection locked="0"/>
    </xf>
    <xf numFmtId="10" fontId="53" fillId="6" borderId="61" xfId="8" applyNumberFormat="1" applyFont="1" applyFill="1" applyBorder="1" applyAlignment="1" applyProtection="1">
      <alignment horizontal="center" vertical="center" wrapText="1"/>
    </xf>
    <xf numFmtId="0" fontId="51" fillId="0" borderId="0" xfId="0" applyFont="1" applyAlignment="1" applyProtection="1">
      <alignment vertical="center" wrapText="1"/>
      <protection locked="0"/>
    </xf>
    <xf numFmtId="0" fontId="53" fillId="7" borderId="0" xfId="8" applyFont="1" applyFill="1" applyAlignment="1" applyProtection="1">
      <alignment horizontal="center" vertical="center" wrapText="1"/>
      <protection locked="0"/>
    </xf>
    <xf numFmtId="0" fontId="53" fillId="0" borderId="0" xfId="8" applyFont="1" applyAlignment="1" applyProtection="1">
      <alignment horizontal="center" vertical="center" wrapText="1"/>
      <protection locked="0"/>
    </xf>
    <xf numFmtId="10" fontId="53" fillId="0" borderId="0" xfId="0" applyNumberFormat="1" applyFont="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98" fillId="12" borderId="0" xfId="0" applyFont="1" applyFill="1" applyProtection="1">
      <alignment vertical="center"/>
      <protection locked="0"/>
    </xf>
    <xf numFmtId="0" fontId="124" fillId="12" borderId="0" xfId="0" applyFont="1" applyFill="1" applyProtection="1">
      <alignment vertical="center"/>
      <protection locked="0"/>
    </xf>
    <xf numFmtId="0" fontId="47" fillId="0" borderId="3" xfId="0" applyFont="1" applyFill="1" applyBorder="1" applyProtection="1">
      <alignment vertical="center"/>
      <protection locked="0"/>
    </xf>
    <xf numFmtId="0" fontId="47" fillId="0" borderId="24" xfId="0" applyFont="1" applyFill="1" applyBorder="1" applyProtection="1">
      <alignment vertical="center"/>
      <protection locked="0"/>
    </xf>
    <xf numFmtId="0" fontId="44" fillId="0" borderId="22" xfId="0" applyFont="1" applyFill="1" applyBorder="1" applyProtection="1">
      <alignment vertical="center"/>
      <protection locked="0"/>
    </xf>
    <xf numFmtId="0" fontId="44" fillId="0" borderId="61" xfId="0" applyFont="1" applyFill="1" applyBorder="1" applyProtection="1">
      <alignment vertical="center"/>
      <protection locked="0"/>
    </xf>
    <xf numFmtId="0" fontId="123" fillId="12" borderId="0" xfId="0" applyFont="1" applyFill="1" applyAlignment="1" applyProtection="1">
      <alignment vertical="center"/>
    </xf>
    <xf numFmtId="0" fontId="100" fillId="12" borderId="0" xfId="0" applyFont="1" applyFill="1" applyAlignment="1" applyProtection="1">
      <alignment vertical="center"/>
    </xf>
    <xf numFmtId="0" fontId="240" fillId="12" borderId="0" xfId="0" applyFont="1" applyFill="1" applyAlignment="1" applyProtection="1">
      <alignment horizontal="left" vertical="center"/>
    </xf>
    <xf numFmtId="0" fontId="100" fillId="12" borderId="0" xfId="0" applyFont="1" applyFill="1" applyAlignment="1" applyProtection="1">
      <alignment horizontal="left" vertical="center"/>
    </xf>
    <xf numFmtId="0" fontId="113" fillId="12" borderId="0" xfId="0" applyFont="1" applyFill="1" applyAlignment="1" applyProtection="1">
      <alignment vertical="center"/>
    </xf>
    <xf numFmtId="0" fontId="239" fillId="12" borderId="0" xfId="0" applyFont="1" applyFill="1" applyAlignment="1" applyProtection="1">
      <alignment vertical="center"/>
    </xf>
    <xf numFmtId="0" fontId="123" fillId="12" borderId="0" xfId="0" applyFont="1" applyFill="1" applyAlignment="1" applyProtection="1">
      <alignment horizontal="left" vertical="center"/>
    </xf>
    <xf numFmtId="0" fontId="45" fillId="12" borderId="0" xfId="1" applyFont="1" applyFill="1" applyBorder="1" applyAlignment="1" applyProtection="1">
      <alignment vertical="center"/>
    </xf>
    <xf numFmtId="0" fontId="45" fillId="6" borderId="0" xfId="1" applyFont="1" applyFill="1" applyBorder="1" applyAlignment="1" applyProtection="1">
      <alignment horizontal="center" vertical="center"/>
    </xf>
    <xf numFmtId="49" fontId="139" fillId="6" borderId="0" xfId="0" applyNumberFormat="1" applyFont="1" applyFill="1" applyBorder="1" applyAlignment="1" applyProtection="1">
      <alignment horizontal="left" vertical="center"/>
      <protection locked="0"/>
    </xf>
    <xf numFmtId="0" fontId="143" fillId="11" borderId="125" xfId="9" applyFont="1" applyFill="1" applyBorder="1" applyAlignment="1" applyProtection="1">
      <alignment horizontal="left" vertical="center" wrapText="1"/>
    </xf>
    <xf numFmtId="0" fontId="102" fillId="6" borderId="1" xfId="0" applyFont="1" applyFill="1" applyBorder="1" applyAlignment="1" applyProtection="1">
      <alignment horizontal="center" vertical="center"/>
    </xf>
    <xf numFmtId="0" fontId="102" fillId="2" borderId="1" xfId="0" applyFont="1" applyFill="1" applyBorder="1" applyAlignment="1" applyProtection="1">
      <alignment horizontal="center" vertical="center"/>
      <protection locked="0"/>
    </xf>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10" fontId="113" fillId="0" borderId="23" xfId="0" applyNumberFormat="1" applyFont="1" applyFill="1" applyBorder="1" applyAlignment="1" applyProtection="1">
      <alignment vertical="center"/>
      <protection locked="0"/>
    </xf>
    <xf numFmtId="0" fontId="44" fillId="5" borderId="11" xfId="0" applyFont="1" applyFill="1" applyBorder="1" applyAlignment="1" applyProtection="1">
      <alignment vertical="center" wrapText="1"/>
      <protection locked="0"/>
    </xf>
    <xf numFmtId="0" fontId="157"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29" fillId="6" borderId="1" xfId="2" applyFont="1" applyFill="1" applyBorder="1" applyAlignment="1">
      <alignment horizontal="center" wrapText="1"/>
    </xf>
    <xf numFmtId="194" fontId="157" fillId="6" borderId="1" xfId="2" applyNumberFormat="1" applyFont="1" applyFill="1" applyBorder="1" applyAlignment="1">
      <alignment horizontal="center" vertical="center" wrapText="1"/>
    </xf>
    <xf numFmtId="0" fontId="157" fillId="6" borderId="1" xfId="2" applyFont="1" applyFill="1" applyBorder="1" applyAlignment="1">
      <alignment horizontal="center" vertical="center" wrapText="1"/>
    </xf>
    <xf numFmtId="0" fontId="133" fillId="6" borderId="0" xfId="2" applyFont="1" applyFill="1" applyAlignment="1">
      <alignment vertical="center"/>
    </xf>
    <xf numFmtId="0" fontId="133" fillId="6" borderId="1" xfId="2" applyFont="1" applyFill="1" applyBorder="1" applyAlignment="1">
      <alignment horizontal="left" vertical="center" wrapText="1"/>
    </xf>
    <xf numFmtId="14" fontId="122" fillId="6" borderId="1" xfId="2" applyNumberFormat="1" applyFont="1" applyFill="1" applyBorder="1" applyAlignment="1">
      <alignment horizontal="center" wrapText="1"/>
    </xf>
    <xf numFmtId="0" fontId="122" fillId="6" borderId="1" xfId="2" applyFont="1" applyFill="1" applyBorder="1" applyAlignment="1">
      <alignment horizontal="center" wrapText="1"/>
    </xf>
    <xf numFmtId="179" fontId="241" fillId="6" borderId="1" xfId="2" applyNumberFormat="1" applyFont="1" applyFill="1" applyBorder="1" applyAlignment="1">
      <alignment horizontal="center"/>
    </xf>
    <xf numFmtId="0" fontId="95" fillId="0" borderId="0" xfId="0" applyFont="1" applyAlignment="1"/>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49" fontId="64" fillId="6" borderId="60" xfId="4" applyNumberFormat="1" applyFont="1" applyFill="1" applyBorder="1" applyAlignment="1" applyProtection="1"/>
    <xf numFmtId="0" fontId="63" fillId="6" borderId="0" xfId="4" applyFont="1" applyFill="1" applyAlignment="1" applyProtection="1">
      <alignment horizontal="center" vertical="center"/>
    </xf>
    <xf numFmtId="49" fontId="58" fillId="6" borderId="0" xfId="4" applyNumberFormat="1" applyFont="1" applyFill="1" applyBorder="1" applyAlignment="1" applyProtection="1">
      <alignment horizontal="center"/>
    </xf>
    <xf numFmtId="0" fontId="58" fillId="6" borderId="0" xfId="4" applyNumberFormat="1" applyFont="1" applyFill="1" applyBorder="1" applyAlignment="1" applyProtection="1">
      <alignment horizontal="center"/>
    </xf>
    <xf numFmtId="0" fontId="58" fillId="0" borderId="0" xfId="4" applyNumberFormat="1" applyFont="1" applyFill="1" applyBorder="1" applyAlignment="1" applyProtection="1">
      <alignment horizontal="center"/>
      <protection locked="0"/>
    </xf>
    <xf numFmtId="0" fontId="3" fillId="0" borderId="0" xfId="4" applyFont="1" applyAlignment="1" applyProtection="1">
      <alignment horizontal="left"/>
      <protection locked="0"/>
    </xf>
    <xf numFmtId="0" fontId="242" fillId="0" borderId="0" xfId="4" applyFont="1" applyAlignment="1" applyProtection="1">
      <alignment horizontal="left"/>
      <protection locked="0"/>
    </xf>
    <xf numFmtId="0" fontId="54" fillId="5" borderId="16" xfId="4" applyFont="1" applyFill="1" applyBorder="1" applyAlignment="1" applyProtection="1">
      <alignment vertical="center"/>
      <protection locked="0"/>
    </xf>
    <xf numFmtId="0" fontId="54" fillId="5" borderId="19" xfId="4" applyFont="1" applyFill="1" applyBorder="1" applyAlignment="1" applyProtection="1">
      <alignment vertical="center"/>
      <protection locked="0"/>
    </xf>
    <xf numFmtId="0" fontId="54" fillId="5" borderId="31" xfId="4" applyFont="1" applyFill="1" applyBorder="1" applyAlignment="1" applyProtection="1">
      <alignment vertical="center"/>
      <protection locked="0"/>
    </xf>
    <xf numFmtId="0" fontId="53" fillId="0" borderId="0" xfId="4" applyFont="1" applyAlignment="1" applyProtection="1">
      <alignment horizontal="left" vertical="center"/>
      <protection locked="0"/>
    </xf>
    <xf numFmtId="0" fontId="3" fillId="0" borderId="0" xfId="4" applyFont="1" applyAlignment="1">
      <alignment horizontal="left"/>
    </xf>
    <xf numFmtId="185" fontId="52" fillId="6" borderId="1" xfId="4" applyNumberFormat="1" applyFont="1" applyFill="1" applyBorder="1" applyAlignment="1" applyProtection="1">
      <alignment horizontal="right" vertical="center"/>
    </xf>
    <xf numFmtId="0" fontId="53" fillId="6" borderId="0" xfId="4" applyFont="1" applyFill="1" applyBorder="1" applyAlignment="1" applyProtection="1">
      <alignment vertical="center"/>
    </xf>
    <xf numFmtId="49" fontId="53" fillId="6" borderId="0" xfId="4" applyNumberFormat="1" applyFont="1" applyFill="1" applyBorder="1" applyAlignment="1" applyProtection="1"/>
    <xf numFmtId="49" fontId="54" fillId="6" borderId="0" xfId="4" applyNumberFormat="1" applyFont="1" applyFill="1" applyBorder="1" applyAlignment="1" applyProtection="1"/>
    <xf numFmtId="49" fontId="54" fillId="0" borderId="0" xfId="4" applyNumberFormat="1" applyFont="1" applyFill="1" applyBorder="1" applyAlignment="1" applyProtection="1">
      <protection locked="0"/>
    </xf>
    <xf numFmtId="0" fontId="19" fillId="0" borderId="0" xfId="4" applyFont="1" applyAlignment="1" applyProtection="1">
      <alignment horizontal="left"/>
      <protection locked="0"/>
    </xf>
    <xf numFmtId="0" fontId="53" fillId="0" borderId="0" xfId="4" applyFont="1" applyAlignment="1" applyProtection="1">
      <alignment horizontal="left"/>
      <protection locked="0"/>
    </xf>
    <xf numFmtId="0" fontId="54" fillId="0" borderId="1" xfId="4" applyFont="1" applyFill="1" applyBorder="1" applyAlignment="1" applyProtection="1">
      <alignment horizontal="left" vertical="center"/>
      <protection locked="0"/>
    </xf>
    <xf numFmtId="0" fontId="54" fillId="0" borderId="24" xfId="4" applyFont="1" applyFill="1" applyBorder="1" applyAlignment="1" applyProtection="1">
      <alignment horizontal="left" vertical="center"/>
      <protection locked="0"/>
    </xf>
    <xf numFmtId="0" fontId="54" fillId="6" borderId="24" xfId="4" applyFont="1" applyFill="1" applyBorder="1" applyAlignment="1" applyProtection="1">
      <alignment horizontal="left" vertical="center"/>
      <protection locked="0"/>
    </xf>
    <xf numFmtId="0" fontId="19" fillId="0" borderId="0" xfId="4" applyFont="1" applyAlignment="1">
      <alignment horizontal="left"/>
    </xf>
    <xf numFmtId="0" fontId="54" fillId="6" borderId="13" xfId="1" applyFont="1" applyFill="1" applyBorder="1" applyAlignment="1" applyProtection="1">
      <alignment vertical="center"/>
    </xf>
    <xf numFmtId="0" fontId="52" fillId="6" borderId="13" xfId="4" applyFont="1" applyFill="1" applyBorder="1" applyAlignment="1" applyProtection="1">
      <alignment horizontal="right" vertical="center"/>
    </xf>
    <xf numFmtId="177" fontId="99" fillId="0" borderId="1" xfId="1" applyNumberFormat="1" applyFont="1" applyBorder="1" applyAlignment="1" applyProtection="1">
      <alignment horizontal="left" vertical="center"/>
      <protection locked="0" hidden="1"/>
    </xf>
    <xf numFmtId="177" fontId="99" fillId="0" borderId="24" xfId="1" applyNumberFormat="1" applyFont="1" applyBorder="1" applyAlignment="1" applyProtection="1">
      <alignment horizontal="left" vertical="center"/>
      <protection locked="0" hidden="1"/>
    </xf>
    <xf numFmtId="177" fontId="53" fillId="6" borderId="24" xfId="4" applyNumberFormat="1" applyFont="1" applyFill="1" applyBorder="1" applyAlignment="1" applyProtection="1">
      <alignment horizontal="left" vertical="center"/>
      <protection locked="0"/>
    </xf>
    <xf numFmtId="0" fontId="19" fillId="6" borderId="1" xfId="4" applyFont="1" applyFill="1" applyBorder="1" applyAlignment="1" applyProtection="1">
      <alignment vertical="center"/>
    </xf>
    <xf numFmtId="0" fontId="53" fillId="0" borderId="1" xfId="4" applyFont="1" applyFill="1" applyBorder="1" applyAlignment="1" applyProtection="1">
      <alignment horizontal="left" vertical="center"/>
      <protection locked="0"/>
    </xf>
    <xf numFmtId="0" fontId="53" fillId="0" borderId="13" xfId="4" applyFont="1" applyFill="1" applyBorder="1" applyAlignment="1" applyProtection="1">
      <alignment horizontal="left" vertical="center"/>
      <protection locked="0"/>
    </xf>
    <xf numFmtId="0" fontId="53" fillId="0" borderId="61" xfId="4" applyFont="1" applyFill="1" applyBorder="1" applyAlignment="1" applyProtection="1">
      <alignment horizontal="left" vertical="center"/>
      <protection locked="0"/>
    </xf>
    <xf numFmtId="0" fontId="53" fillId="6" borderId="61" xfId="4" applyFont="1" applyFill="1" applyBorder="1" applyAlignment="1" applyProtection="1">
      <alignment horizontal="left" vertical="center"/>
      <protection locked="0"/>
    </xf>
    <xf numFmtId="0" fontId="80" fillId="6" borderId="0" xfId="1" applyFont="1" applyFill="1" applyBorder="1" applyAlignment="1" applyProtection="1">
      <alignment vertical="center"/>
    </xf>
    <xf numFmtId="0" fontId="47" fillId="0" borderId="32" xfId="4" applyFont="1" applyFill="1" applyBorder="1" applyAlignment="1" applyProtection="1">
      <alignment horizontal="left" vertical="center"/>
      <protection locked="0"/>
    </xf>
    <xf numFmtId="0" fontId="19" fillId="6" borderId="58" xfId="4" applyFont="1" applyFill="1" applyBorder="1" applyAlignment="1" applyProtection="1">
      <alignment vertical="center"/>
    </xf>
    <xf numFmtId="0" fontId="102" fillId="6" borderId="37" xfId="4" applyFont="1" applyFill="1" applyBorder="1" applyAlignment="1" applyProtection="1">
      <alignment vertical="center"/>
      <protection locked="0"/>
    </xf>
    <xf numFmtId="0" fontId="102" fillId="6" borderId="54" xfId="4" applyFont="1" applyFill="1" applyBorder="1" applyAlignment="1" applyProtection="1">
      <alignment vertical="center"/>
      <protection locked="0"/>
    </xf>
    <xf numFmtId="0" fontId="54" fillId="6" borderId="54" xfId="4" applyFont="1" applyFill="1" applyBorder="1" applyAlignment="1" applyProtection="1">
      <alignment vertical="center"/>
      <protection locked="0"/>
    </xf>
    <xf numFmtId="0" fontId="54" fillId="0" borderId="34" xfId="4" applyFont="1" applyFill="1" applyBorder="1" applyAlignment="1" applyProtection="1">
      <alignment horizontal="left" vertical="center"/>
      <protection locked="0"/>
    </xf>
    <xf numFmtId="0" fontId="54" fillId="6" borderId="64" xfId="4" applyFont="1" applyFill="1" applyBorder="1" applyAlignment="1">
      <alignment vertical="center"/>
    </xf>
    <xf numFmtId="0" fontId="54" fillId="6" borderId="65" xfId="4" applyFont="1" applyFill="1" applyBorder="1" applyAlignment="1">
      <alignment vertical="center"/>
    </xf>
    <xf numFmtId="0" fontId="54" fillId="0" borderId="0" xfId="4" applyFont="1" applyFill="1" applyBorder="1" applyAlignment="1" applyProtection="1">
      <alignment vertical="center"/>
      <protection locked="0"/>
    </xf>
    <xf numFmtId="0" fontId="53" fillId="6" borderId="5" xfId="4" applyFont="1" applyFill="1" applyBorder="1" applyAlignment="1" applyProtection="1">
      <alignment vertical="center"/>
      <protection locked="0"/>
    </xf>
    <xf numFmtId="0" fontId="53" fillId="6" borderId="1" xfId="4" applyFont="1" applyFill="1" applyBorder="1" applyAlignment="1" applyProtection="1">
      <alignment horizontal="left" vertical="center"/>
      <protection locked="0"/>
    </xf>
    <xf numFmtId="0" fontId="54" fillId="6" borderId="69" xfId="4" applyFont="1" applyFill="1" applyBorder="1" applyAlignment="1">
      <alignment horizontal="left" vertical="center"/>
    </xf>
    <xf numFmtId="0" fontId="54" fillId="6" borderId="60" xfId="4" applyFont="1" applyFill="1" applyBorder="1" applyAlignment="1">
      <alignment horizontal="left" vertical="center"/>
    </xf>
    <xf numFmtId="0" fontId="54" fillId="6" borderId="7" xfId="4" applyFont="1" applyFill="1" applyBorder="1" applyAlignment="1">
      <alignment horizontal="left" vertical="center"/>
    </xf>
    <xf numFmtId="185" fontId="54" fillId="6" borderId="4" xfId="4" applyNumberFormat="1" applyFont="1" applyFill="1" applyBorder="1" applyAlignment="1">
      <alignment horizontal="left" vertical="center"/>
    </xf>
    <xf numFmtId="10" fontId="54" fillId="6" borderId="60" xfId="4" applyNumberFormat="1" applyFont="1" applyFill="1" applyBorder="1" applyAlignment="1">
      <alignment horizontal="left" vertical="center"/>
    </xf>
    <xf numFmtId="185" fontId="54" fillId="6" borderId="71" xfId="4" applyNumberFormat="1" applyFont="1" applyFill="1" applyBorder="1" applyAlignment="1">
      <alignment horizontal="left" vertical="center"/>
    </xf>
    <xf numFmtId="185" fontId="54" fillId="0" borderId="0" xfId="4" applyNumberFormat="1" applyFont="1" applyFill="1" applyBorder="1" applyAlignment="1" applyProtection="1">
      <alignment horizontal="left" vertical="center"/>
      <protection locked="0"/>
    </xf>
    <xf numFmtId="0" fontId="53" fillId="0" borderId="5" xfId="4" applyFont="1" applyFill="1" applyBorder="1" applyAlignment="1" applyProtection="1">
      <alignment vertical="center"/>
      <protection locked="0"/>
    </xf>
    <xf numFmtId="0" fontId="99" fillId="0" borderId="1" xfId="4" applyFont="1" applyFill="1" applyBorder="1" applyAlignment="1" applyProtection="1">
      <alignment horizontal="left" vertical="center"/>
      <protection locked="0"/>
    </xf>
    <xf numFmtId="9" fontId="53" fillId="0" borderId="1" xfId="4" applyNumberFormat="1" applyFont="1" applyFill="1" applyBorder="1" applyAlignment="1" applyProtection="1">
      <alignment horizontal="left" vertical="center"/>
      <protection locked="0"/>
    </xf>
    <xf numFmtId="177" fontId="53" fillId="0" borderId="1" xfId="4" applyNumberFormat="1" applyFont="1" applyFill="1" applyBorder="1" applyAlignment="1" applyProtection="1">
      <alignment horizontal="left" vertical="center"/>
      <protection locked="0"/>
    </xf>
    <xf numFmtId="0" fontId="53" fillId="0" borderId="24" xfId="4" applyFont="1" applyFill="1" applyBorder="1" applyAlignment="1" applyProtection="1">
      <alignment horizontal="left" vertical="center"/>
      <protection locked="0"/>
    </xf>
    <xf numFmtId="0" fontId="54" fillId="6" borderId="23" xfId="4" applyFont="1" applyFill="1" applyBorder="1" applyAlignment="1">
      <alignment horizontal="left" vertical="center"/>
    </xf>
    <xf numFmtId="185" fontId="54" fillId="6" borderId="1" xfId="4" applyNumberFormat="1" applyFont="1" applyFill="1" applyBorder="1" applyAlignment="1">
      <alignment horizontal="left" vertical="center"/>
    </xf>
    <xf numFmtId="0" fontId="54" fillId="6" borderId="1" xfId="4"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Fill="1" applyBorder="1" applyAlignment="1" applyProtection="1">
      <alignment horizontal="left" vertical="center"/>
      <protection locked="0"/>
    </xf>
    <xf numFmtId="9" fontId="54" fillId="0" borderId="1" xfId="4" applyNumberFormat="1" applyFont="1" applyFill="1" applyBorder="1" applyAlignment="1" applyProtection="1">
      <alignment horizontal="left" vertical="center"/>
      <protection locked="0"/>
    </xf>
    <xf numFmtId="0" fontId="54" fillId="6" borderId="24" xfId="4" applyFont="1" applyFill="1" applyBorder="1" applyAlignment="1">
      <alignment vertical="center"/>
    </xf>
    <xf numFmtId="181" fontId="54" fillId="6" borderId="1" xfId="4" applyNumberFormat="1" applyFont="1" applyFill="1" applyBorder="1" applyAlignment="1">
      <alignment horizontal="left" vertical="center"/>
    </xf>
    <xf numFmtId="49" fontId="53" fillId="6" borderId="23" xfId="4" applyNumberFormat="1" applyFont="1" applyFill="1" applyBorder="1" applyAlignment="1">
      <alignment horizontal="left" vertical="center"/>
    </xf>
    <xf numFmtId="185" fontId="53" fillId="6" borderId="1" xfId="4" applyNumberFormat="1" applyFont="1" applyFill="1" applyBorder="1" applyAlignment="1">
      <alignment horizontal="left" vertical="center"/>
    </xf>
    <xf numFmtId="181" fontId="53" fillId="6" borderId="1" xfId="4" applyNumberFormat="1" applyFont="1" applyFill="1" applyBorder="1" applyAlignment="1">
      <alignment horizontal="left" vertical="center"/>
    </xf>
    <xf numFmtId="0" fontId="53"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3" fillId="0" borderId="1" xfId="4" applyNumberFormat="1" applyFont="1" applyFill="1" applyBorder="1" applyAlignment="1" applyProtection="1">
      <alignment horizontal="left" vertical="center"/>
      <protection locked="0"/>
    </xf>
    <xf numFmtId="181" fontId="53" fillId="6" borderId="3" xfId="4" applyNumberFormat="1" applyFont="1" applyFill="1" applyBorder="1" applyAlignment="1">
      <alignment horizontal="right" vertical="center"/>
    </xf>
    <xf numFmtId="0" fontId="54" fillId="6" borderId="5" xfId="4" applyFont="1" applyFill="1" applyBorder="1" applyAlignment="1" applyProtection="1">
      <alignment vertical="center"/>
      <protection locked="0"/>
    </xf>
    <xf numFmtId="0" fontId="102" fillId="6" borderId="1" xfId="4" applyFont="1" applyFill="1" applyBorder="1" applyAlignment="1" applyProtection="1">
      <alignment horizontal="left" vertical="center"/>
      <protection locked="0"/>
    </xf>
    <xf numFmtId="9" fontId="54" fillId="6" borderId="1" xfId="4" applyNumberFormat="1" applyFont="1" applyFill="1" applyBorder="1" applyAlignment="1" applyProtection="1">
      <alignment horizontal="left" vertical="center"/>
      <protection locked="0"/>
    </xf>
    <xf numFmtId="177" fontId="54" fillId="6" borderId="1" xfId="4" applyNumberFormat="1" applyFont="1" applyFill="1" applyBorder="1" applyAlignment="1" applyProtection="1">
      <alignment horizontal="left" vertical="center"/>
      <protection locked="0"/>
    </xf>
    <xf numFmtId="177" fontId="53" fillId="0" borderId="24" xfId="4" applyNumberFormat="1" applyFont="1" applyFill="1" applyBorder="1" applyAlignment="1" applyProtection="1">
      <alignment horizontal="left" vertical="center"/>
      <protection locked="0"/>
    </xf>
    <xf numFmtId="185" fontId="53" fillId="0" borderId="1" xfId="4" applyNumberFormat="1" applyFont="1" applyFill="1" applyBorder="1" applyAlignment="1" applyProtection="1">
      <alignment horizontal="left" vertical="center"/>
      <protection locked="0"/>
    </xf>
    <xf numFmtId="181" fontId="53" fillId="0" borderId="1" xfId="4" applyNumberFormat="1" applyFont="1" applyFill="1" applyBorder="1" applyAlignment="1" applyProtection="1">
      <alignment horizontal="left" vertical="center"/>
      <protection locked="0"/>
    </xf>
    <xf numFmtId="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181" fontId="54" fillId="0" borderId="32" xfId="4" applyNumberFormat="1" applyFont="1" applyFill="1" applyBorder="1" applyAlignment="1" applyProtection="1">
      <alignment horizontal="left" vertical="center"/>
      <protection locked="0"/>
    </xf>
    <xf numFmtId="0" fontId="54" fillId="6" borderId="49" xfId="4" applyFont="1" applyFill="1" applyBorder="1" applyAlignment="1">
      <alignment vertical="center"/>
    </xf>
    <xf numFmtId="185" fontId="54" fillId="6" borderId="60" xfId="4" applyNumberFormat="1" applyFont="1" applyFill="1" applyBorder="1" applyAlignment="1">
      <alignment horizontal="left" vertical="center"/>
    </xf>
    <xf numFmtId="181" fontId="54" fillId="0" borderId="60" xfId="4" applyNumberFormat="1" applyFont="1" applyFill="1" applyBorder="1" applyAlignment="1" applyProtection="1">
      <alignment horizontal="left" vertical="center"/>
      <protection locked="0"/>
    </xf>
    <xf numFmtId="0" fontId="54" fillId="6" borderId="56" xfId="4" applyFont="1" applyFill="1" applyBorder="1" applyAlignment="1">
      <alignment vertical="center"/>
    </xf>
    <xf numFmtId="0" fontId="54" fillId="6" borderId="63" xfId="4" applyFont="1" applyFill="1" applyBorder="1" applyAlignment="1">
      <alignment vertical="center"/>
    </xf>
    <xf numFmtId="177" fontId="53" fillId="5" borderId="1" xfId="4" applyNumberFormat="1" applyFont="1" applyFill="1" applyBorder="1" applyAlignment="1" applyProtection="1">
      <alignment horizontal="left" vertical="center"/>
      <protection locked="0"/>
    </xf>
    <xf numFmtId="0" fontId="102" fillId="6" borderId="24" xfId="4" applyFont="1" applyFill="1" applyBorder="1" applyAlignment="1" applyProtection="1">
      <alignment horizontal="left" vertical="center"/>
      <protection locked="0"/>
    </xf>
    <xf numFmtId="0" fontId="54" fillId="6" borderId="71" xfId="4" applyFont="1" applyFill="1" applyBorder="1" applyAlignment="1">
      <alignment horizontal="left" vertical="center"/>
    </xf>
    <xf numFmtId="0" fontId="99" fillId="0" borderId="1" xfId="4" applyFont="1" applyFill="1" applyBorder="1" applyAlignment="1" applyProtection="1">
      <alignment horizontal="left" vertical="center" wrapText="1"/>
      <protection locked="0"/>
    </xf>
    <xf numFmtId="0" fontId="53" fillId="0" borderId="0" xfId="4" applyFont="1" applyFill="1" applyAlignment="1" applyProtection="1">
      <alignment horizontal="left" vertical="center"/>
      <protection locked="0"/>
    </xf>
    <xf numFmtId="0" fontId="54" fillId="6" borderId="5" xfId="4" applyFont="1" applyFill="1" applyBorder="1" applyAlignment="1">
      <alignment horizontal="left" vertical="center"/>
    </xf>
    <xf numFmtId="0" fontId="54" fillId="6" borderId="158" xfId="4" applyFont="1" applyFill="1" applyBorder="1" applyAlignment="1">
      <alignment horizontal="left" vertical="center"/>
    </xf>
    <xf numFmtId="0" fontId="54" fillId="6" borderId="3" xfId="4" applyFont="1" applyFill="1" applyBorder="1" applyAlignment="1">
      <alignment horizontal="left" vertical="center"/>
    </xf>
    <xf numFmtId="0" fontId="99" fillId="0" borderId="24" xfId="4" applyFont="1" applyFill="1" applyBorder="1" applyAlignment="1" applyProtection="1">
      <alignment horizontal="left" vertical="center"/>
      <protection locked="0"/>
    </xf>
    <xf numFmtId="0" fontId="243" fillId="0" borderId="5" xfId="4" applyFont="1" applyFill="1" applyBorder="1" applyAlignment="1" applyProtection="1">
      <alignment horizontal="left" vertical="center"/>
      <protection locked="0"/>
    </xf>
    <xf numFmtId="0" fontId="243" fillId="0" borderId="158" xfId="4" applyFont="1" applyFill="1" applyBorder="1" applyAlignment="1" applyProtection="1">
      <alignment horizontal="left" vertical="center"/>
      <protection locked="0"/>
    </xf>
    <xf numFmtId="0" fontId="243" fillId="0" borderId="3" xfId="4" applyFont="1" applyFill="1" applyBorder="1" applyAlignment="1" applyProtection="1">
      <alignment horizontal="left" vertical="center"/>
      <protection locked="0"/>
    </xf>
    <xf numFmtId="0" fontId="53" fillId="0" borderId="0" xfId="4" applyFont="1" applyFill="1" applyBorder="1" applyAlignment="1" applyProtection="1">
      <alignment horizontal="left" vertical="center"/>
      <protection locked="0"/>
    </xf>
    <xf numFmtId="0" fontId="53" fillId="6" borderId="37" xfId="4" applyFont="1" applyFill="1" applyBorder="1" applyAlignment="1">
      <alignment horizontal="left" vertical="center"/>
    </xf>
    <xf numFmtId="0" fontId="53" fillId="6" borderId="1" xfId="4" applyFont="1" applyFill="1" applyBorder="1" applyAlignment="1">
      <alignment horizontal="left" vertical="center"/>
    </xf>
    <xf numFmtId="185" fontId="53" fillId="6" borderId="5" xfId="4" applyNumberFormat="1" applyFont="1" applyFill="1" applyBorder="1" applyAlignment="1">
      <alignment horizontal="left" vertical="center"/>
    </xf>
    <xf numFmtId="185" fontId="53" fillId="6" borderId="158" xfId="4" applyNumberFormat="1" applyFont="1" applyFill="1" applyBorder="1" applyAlignment="1">
      <alignment horizontal="left" vertical="center"/>
    </xf>
    <xf numFmtId="185" fontId="53" fillId="6" borderId="3" xfId="4" applyNumberFormat="1" applyFont="1" applyFill="1" applyBorder="1" applyAlignment="1">
      <alignment horizontal="left" vertical="center"/>
    </xf>
    <xf numFmtId="0" fontId="53" fillId="6" borderId="24" xfId="4" applyFont="1" applyFill="1" applyBorder="1" applyAlignment="1">
      <alignment horizontal="left" vertical="center"/>
    </xf>
    <xf numFmtId="0" fontId="53" fillId="0" borderId="0" xfId="4" applyFont="1" applyFill="1" applyBorder="1" applyAlignment="1" applyProtection="1">
      <alignment horizontal="right" vertical="center"/>
      <protection locked="0"/>
    </xf>
    <xf numFmtId="0" fontId="53" fillId="6" borderId="37" xfId="4" applyFont="1" applyFill="1" applyBorder="1" applyAlignment="1">
      <alignment horizontal="right" vertical="center"/>
    </xf>
    <xf numFmtId="0" fontId="53" fillId="6" borderId="1" xfId="4" applyFont="1" applyFill="1" applyBorder="1" applyAlignment="1">
      <alignment horizontal="right" vertical="center"/>
    </xf>
    <xf numFmtId="185" fontId="53" fillId="6" borderId="5" xfId="4" applyNumberFormat="1" applyFont="1" applyFill="1" applyBorder="1" applyAlignment="1">
      <alignment horizontal="right" vertical="center"/>
    </xf>
    <xf numFmtId="181" fontId="53" fillId="0" borderId="158" xfId="4" applyNumberFormat="1" applyFont="1" applyFill="1" applyBorder="1" applyAlignment="1" applyProtection="1">
      <alignment horizontal="right" vertical="center"/>
      <protection locked="0"/>
    </xf>
    <xf numFmtId="181" fontId="53" fillId="0" borderId="3" xfId="4" applyNumberFormat="1" applyFont="1" applyFill="1" applyBorder="1" applyAlignment="1" applyProtection="1">
      <alignment horizontal="right" vertical="center"/>
      <protection locked="0"/>
    </xf>
    <xf numFmtId="0" fontId="53" fillId="6" borderId="24" xfId="4" applyFont="1" applyFill="1" applyBorder="1" applyAlignment="1">
      <alignment horizontal="right" vertical="center"/>
    </xf>
    <xf numFmtId="0" fontId="54" fillId="6" borderId="23" xfId="4" applyFont="1" applyFill="1" applyBorder="1" applyAlignment="1" applyProtection="1">
      <alignment horizontal="left" vertical="center" wrapText="1"/>
      <protection locked="0"/>
    </xf>
    <xf numFmtId="0" fontId="54" fillId="6" borderId="5" xfId="4" applyFont="1" applyFill="1" applyBorder="1" applyAlignment="1" applyProtection="1">
      <alignment vertical="center" wrapText="1"/>
      <protection locked="0"/>
    </xf>
    <xf numFmtId="0" fontId="54" fillId="6" borderId="54" xfId="4" applyFont="1" applyFill="1" applyBorder="1" applyAlignment="1" applyProtection="1">
      <alignment vertical="center" wrapText="1"/>
      <protection locked="0"/>
    </xf>
    <xf numFmtId="0" fontId="54" fillId="6" borderId="3" xfId="4" applyFont="1" applyFill="1" applyBorder="1" applyAlignment="1" applyProtection="1">
      <alignment vertical="center" wrapText="1"/>
      <protection locked="0"/>
    </xf>
    <xf numFmtId="9" fontId="99" fillId="0" borderId="1" xfId="4" applyNumberFormat="1" applyFont="1" applyFill="1" applyBorder="1" applyAlignment="1" applyProtection="1">
      <alignment horizontal="left" vertical="center"/>
      <protection locked="0"/>
    </xf>
    <xf numFmtId="0" fontId="53" fillId="0" borderId="0" xfId="4" applyFont="1" applyAlignment="1" applyProtection="1">
      <alignment horizontal="right"/>
      <protection locked="0"/>
    </xf>
    <xf numFmtId="0" fontId="19" fillId="0" borderId="0" xfId="4" applyFont="1" applyAlignment="1">
      <alignment horizontal="right"/>
    </xf>
    <xf numFmtId="0" fontId="102" fillId="6" borderId="46" xfId="4" applyFont="1" applyFill="1" applyBorder="1" applyAlignment="1" applyProtection="1">
      <alignment vertical="center"/>
      <protection locked="0"/>
    </xf>
    <xf numFmtId="0" fontId="102" fillId="6" borderId="36" xfId="4" applyFont="1" applyFill="1" applyBorder="1" applyAlignment="1" applyProtection="1">
      <alignment vertical="center"/>
      <protection locked="0"/>
    </xf>
    <xf numFmtId="0" fontId="102" fillId="6" borderId="22" xfId="4" applyFont="1" applyFill="1" applyBorder="1" applyAlignment="1" applyProtection="1">
      <alignment vertical="center"/>
      <protection locked="0"/>
    </xf>
    <xf numFmtId="0" fontId="99" fillId="6" borderId="1" xfId="4" applyFont="1" applyFill="1" applyBorder="1" applyAlignment="1" applyProtection="1">
      <alignment horizontal="left" vertical="center"/>
      <protection locked="0"/>
    </xf>
    <xf numFmtId="9" fontId="99" fillId="6" borderId="1" xfId="4" applyNumberFormat="1" applyFont="1" applyFill="1" applyBorder="1" applyAlignment="1" applyProtection="1">
      <alignment horizontal="left" vertical="center"/>
      <protection locked="0"/>
    </xf>
    <xf numFmtId="0" fontId="54" fillId="0" borderId="0" xfId="4" applyFont="1" applyFill="1" applyAlignment="1" applyProtection="1">
      <alignment horizontal="left" vertical="center"/>
      <protection locked="0"/>
    </xf>
    <xf numFmtId="181" fontId="53"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2" fillId="6" borderId="4" xfId="4" applyFont="1" applyFill="1" applyBorder="1" applyAlignment="1" applyProtection="1">
      <alignment vertical="center"/>
      <protection locked="0"/>
    </xf>
    <xf numFmtId="0" fontId="102" fillId="6" borderId="60" xfId="4" applyFont="1" applyFill="1" applyBorder="1" applyAlignment="1" applyProtection="1">
      <alignment vertical="center"/>
      <protection locked="0"/>
    </xf>
    <xf numFmtId="0" fontId="102" fillId="6" borderId="7"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80" fillId="6" borderId="12" xfId="4" applyFont="1" applyFill="1" applyBorder="1" applyAlignment="1" applyProtection="1">
      <alignment horizontal="left" vertical="center" wrapText="1"/>
      <protection locked="0"/>
    </xf>
    <xf numFmtId="0" fontId="136"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6" fillId="0" borderId="74" xfId="4" applyFill="1" applyBorder="1" applyAlignment="1" applyProtection="1">
      <alignment horizontal="left" vertical="center"/>
      <protection locked="0"/>
    </xf>
    <xf numFmtId="9" fontId="53" fillId="0" borderId="32" xfId="4" applyNumberFormat="1" applyFont="1" applyFill="1" applyBorder="1" applyAlignment="1" applyProtection="1">
      <alignment horizontal="left" vertical="center"/>
      <protection locked="0"/>
    </xf>
    <xf numFmtId="181" fontId="99" fillId="0" borderId="32" xfId="4" applyNumberFormat="1" applyFont="1" applyFill="1" applyBorder="1" applyAlignment="1" applyProtection="1">
      <alignment horizontal="left" vertical="center"/>
      <protection locked="0"/>
    </xf>
    <xf numFmtId="0" fontId="135" fillId="0" borderId="76" xfId="4" applyFont="1" applyFill="1" applyBorder="1" applyAlignment="1" applyProtection="1">
      <alignment horizontal="left" vertical="center"/>
      <protection locked="0"/>
    </xf>
    <xf numFmtId="181" fontId="53" fillId="6" borderId="158" xfId="4" applyNumberFormat="1" applyFont="1" applyFill="1" applyBorder="1" applyAlignment="1">
      <alignment horizontal="right" vertical="center"/>
    </xf>
    <xf numFmtId="181" fontId="53" fillId="0" borderId="5" xfId="4" applyNumberFormat="1" applyFont="1" applyFill="1" applyBorder="1" applyAlignment="1" applyProtection="1">
      <alignment horizontal="right" vertical="center"/>
      <protection locked="0"/>
    </xf>
    <xf numFmtId="0" fontId="54" fillId="6" borderId="1" xfId="4" applyFont="1" applyFill="1" applyBorder="1" applyAlignment="1" applyProtection="1">
      <alignment horizontal="left" vertical="center"/>
      <protection locked="0"/>
    </xf>
    <xf numFmtId="0" fontId="53" fillId="6" borderId="158" xfId="4" applyFont="1" applyFill="1" applyBorder="1" applyAlignment="1">
      <alignment horizontal="left" vertical="center"/>
    </xf>
    <xf numFmtId="0" fontId="53" fillId="6" borderId="3" xfId="4" applyFont="1" applyFill="1" applyBorder="1" applyAlignment="1">
      <alignment horizontal="left" vertical="center"/>
    </xf>
    <xf numFmtId="177" fontId="53" fillId="6" borderId="1" xfId="4" applyNumberFormat="1" applyFont="1" applyFill="1" applyBorder="1" applyAlignment="1" applyProtection="1">
      <alignment horizontal="left" vertical="center"/>
      <protection locked="0"/>
    </xf>
    <xf numFmtId="10" fontId="53" fillId="0" borderId="5" xfId="4" applyNumberFormat="1" applyFont="1" applyFill="1" applyBorder="1" applyAlignment="1" applyProtection="1">
      <alignment horizontal="left" vertical="center"/>
      <protection locked="0"/>
    </xf>
    <xf numFmtId="10" fontId="53" fillId="0" borderId="158" xfId="4" applyNumberFormat="1" applyFont="1" applyFill="1" applyBorder="1" applyAlignment="1" applyProtection="1">
      <alignment horizontal="left" vertical="center"/>
      <protection locked="0"/>
    </xf>
    <xf numFmtId="10" fontId="53" fillId="0" borderId="3" xfId="4" applyNumberFormat="1" applyFont="1" applyFill="1" applyBorder="1" applyAlignment="1" applyProtection="1">
      <alignment horizontal="left" vertical="center"/>
      <protection locked="0"/>
    </xf>
    <xf numFmtId="0" fontId="53" fillId="6" borderId="13" xfId="4" applyFont="1" applyFill="1" applyBorder="1" applyAlignment="1" applyProtection="1">
      <alignment horizontal="left" vertical="center"/>
      <protection locked="0"/>
    </xf>
    <xf numFmtId="181" fontId="53" fillId="0" borderId="5" xfId="4" applyNumberFormat="1" applyFont="1" applyFill="1" applyBorder="1" applyAlignment="1" applyProtection="1">
      <alignment horizontal="left" vertical="center"/>
      <protection locked="0"/>
    </xf>
    <xf numFmtId="181" fontId="53" fillId="0" borderId="158" xfId="4" applyNumberFormat="1" applyFont="1" applyFill="1" applyBorder="1" applyAlignment="1" applyProtection="1">
      <alignment horizontal="left" vertical="center"/>
      <protection locked="0"/>
    </xf>
    <xf numFmtId="181" fontId="53" fillId="0" borderId="3" xfId="4" applyNumberFormat="1" applyFont="1" applyFill="1" applyBorder="1" applyAlignment="1" applyProtection="1">
      <alignment horizontal="left" vertical="center"/>
      <protection locked="0"/>
    </xf>
    <xf numFmtId="176" fontId="53" fillId="0" borderId="0" xfId="4" applyNumberFormat="1" applyFont="1" applyFill="1" applyBorder="1" applyAlignment="1" applyProtection="1">
      <alignment horizontal="left" vertical="center"/>
      <protection locked="0"/>
    </xf>
    <xf numFmtId="0" fontId="54" fillId="6" borderId="5" xfId="4" applyFont="1" applyFill="1" applyBorder="1" applyAlignment="1" applyProtection="1">
      <alignment horizontal="left" vertical="center"/>
      <protection locked="0"/>
    </xf>
    <xf numFmtId="0" fontId="53" fillId="6" borderId="32" xfId="4" applyFont="1" applyFill="1" applyBorder="1" applyAlignment="1">
      <alignment horizontal="left" vertical="center"/>
    </xf>
    <xf numFmtId="176" fontId="53" fillId="0" borderId="33" xfId="4" applyNumberFormat="1" applyFont="1" applyFill="1" applyBorder="1" applyAlignment="1" applyProtection="1">
      <alignment horizontal="left" vertical="center"/>
      <protection locked="0"/>
    </xf>
    <xf numFmtId="176" fontId="53" fillId="0" borderId="159" xfId="4" applyNumberFormat="1" applyFont="1" applyFill="1" applyBorder="1" applyAlignment="1" applyProtection="1">
      <alignment horizontal="left" vertical="center"/>
      <protection locked="0"/>
    </xf>
    <xf numFmtId="176" fontId="53" fillId="0" borderId="66" xfId="4" applyNumberFormat="1" applyFont="1" applyFill="1" applyBorder="1" applyAlignment="1" applyProtection="1">
      <alignment horizontal="left" vertical="center"/>
      <protection locked="0"/>
    </xf>
    <xf numFmtId="176" fontId="53" fillId="6" borderId="24" xfId="4" applyNumberFormat="1" applyFont="1" applyFill="1" applyBorder="1" applyAlignment="1">
      <alignment horizontal="left" vertical="center"/>
    </xf>
    <xf numFmtId="0" fontId="53" fillId="0" borderId="0" xfId="4" applyFont="1" applyFill="1" applyBorder="1" applyAlignment="1" applyProtection="1">
      <alignment horizontal="left"/>
      <protection locked="0"/>
    </xf>
    <xf numFmtId="0" fontId="53" fillId="6" borderId="23" xfId="4" applyFont="1" applyFill="1" applyBorder="1" applyAlignment="1">
      <alignment horizontal="left" vertical="center"/>
    </xf>
    <xf numFmtId="185" fontId="53" fillId="6" borderId="1" xfId="4" applyNumberFormat="1" applyFont="1" applyFill="1" applyBorder="1" applyAlignment="1">
      <alignment horizontal="left"/>
    </xf>
    <xf numFmtId="0" fontId="53" fillId="6" borderId="1" xfId="4" applyFont="1" applyFill="1" applyBorder="1" applyAlignment="1">
      <alignment horizontal="left"/>
    </xf>
    <xf numFmtId="0" fontId="53" fillId="6" borderId="24" xfId="4" applyFont="1" applyFill="1" applyBorder="1" applyAlignment="1">
      <alignment horizontal="left"/>
    </xf>
    <xf numFmtId="0" fontId="53" fillId="6" borderId="25" xfId="4" applyFont="1" applyFill="1" applyBorder="1" applyAlignment="1">
      <alignment horizontal="left" vertical="center"/>
    </xf>
    <xf numFmtId="185" fontId="53" fillId="6" borderId="32" xfId="4" applyNumberFormat="1" applyFont="1" applyFill="1" applyBorder="1" applyAlignment="1">
      <alignment horizontal="left" vertical="center"/>
    </xf>
    <xf numFmtId="0" fontId="53" fillId="6" borderId="32" xfId="4" applyFont="1" applyFill="1" applyBorder="1" applyAlignment="1">
      <alignment horizontal="left"/>
    </xf>
    <xf numFmtId="0" fontId="53" fillId="6" borderId="49" xfId="4" applyFont="1" applyFill="1" applyBorder="1" applyAlignment="1">
      <alignment horizontal="left" vertical="center"/>
    </xf>
    <xf numFmtId="0" fontId="19" fillId="0" borderId="0" xfId="4" applyFont="1" applyFill="1" applyAlignment="1" applyProtection="1">
      <alignment horizontal="left"/>
      <protection locked="0"/>
    </xf>
    <xf numFmtId="0" fontId="3" fillId="0" borderId="0" xfId="4" applyFont="1" applyFill="1" applyAlignment="1" applyProtection="1">
      <alignment horizontal="left"/>
      <protection locked="0"/>
    </xf>
    <xf numFmtId="0" fontId="242" fillId="0" borderId="0" xfId="4" applyFont="1" applyAlignment="1" applyProtection="1">
      <alignment horizontal="left" vertical="center"/>
      <protection locked="0"/>
    </xf>
    <xf numFmtId="0" fontId="242" fillId="0" borderId="0" xfId="4" applyFont="1" applyAlignment="1">
      <alignment horizontal="left"/>
    </xf>
    <xf numFmtId="0" fontId="80" fillId="6" borderId="74" xfId="4" applyFont="1" applyFill="1" applyBorder="1" applyAlignment="1" applyProtection="1">
      <alignment vertical="center"/>
      <protection locked="0"/>
    </xf>
    <xf numFmtId="0" fontId="143" fillId="11" borderId="125" xfId="9" applyFont="1" applyFill="1" applyBorder="1" applyAlignment="1" applyProtection="1">
      <alignment horizontal="left" vertical="center" wrapText="1"/>
    </xf>
    <xf numFmtId="0" fontId="99" fillId="6" borderId="11" xfId="0" applyFont="1" applyFill="1" applyBorder="1" applyAlignment="1" applyProtection="1">
      <alignment vertical="center"/>
    </xf>
    <xf numFmtId="0" fontId="99" fillId="6" borderId="14" xfId="0" applyFont="1" applyFill="1" applyBorder="1" applyAlignment="1" applyProtection="1">
      <alignment vertical="center"/>
    </xf>
    <xf numFmtId="0" fontId="99" fillId="6" borderId="41" xfId="0" applyFont="1" applyFill="1" applyBorder="1" applyAlignment="1" applyProtection="1">
      <alignment vertical="center"/>
    </xf>
    <xf numFmtId="0" fontId="0" fillId="0" borderId="0" xfId="0" applyNumberFormat="1">
      <alignment vertical="center"/>
    </xf>
    <xf numFmtId="0" fontId="99" fillId="6" borderId="1" xfId="0" applyFont="1" applyFill="1" applyBorder="1" applyAlignment="1" applyProtection="1">
      <alignment horizontal="left" vertical="center" wrapText="1"/>
    </xf>
    <xf numFmtId="0" fontId="139" fillId="6" borderId="15" xfId="0" applyFont="1" applyFill="1" applyBorder="1" applyAlignment="1" applyProtection="1">
      <alignment vertical="center" wrapText="1"/>
    </xf>
    <xf numFmtId="0" fontId="138" fillId="6" borderId="13" xfId="0" applyFont="1" applyFill="1" applyBorder="1" applyAlignment="1" applyProtection="1">
      <alignment vertical="center" wrapText="1"/>
    </xf>
    <xf numFmtId="0" fontId="108" fillId="6" borderId="16" xfId="0" applyNumberFormat="1" applyFont="1" applyFill="1" applyBorder="1" applyAlignment="1" applyProtection="1">
      <alignment horizontal="left" vertical="center"/>
      <protection locked="0"/>
    </xf>
    <xf numFmtId="0" fontId="0" fillId="6" borderId="19" xfId="0" applyNumberFormat="1" applyFill="1" applyBorder="1" applyAlignment="1" applyProtection="1">
      <alignment horizontal="left" vertical="center"/>
      <protection locked="0"/>
    </xf>
    <xf numFmtId="0" fontId="0" fillId="6" borderId="31" xfId="0" applyNumberFormat="1" applyFill="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0" fillId="6" borderId="18" xfId="0" applyNumberFormat="1" applyFill="1" applyBorder="1" applyAlignment="1" applyProtection="1">
      <alignment horizontal="left" vertical="center"/>
      <protection locked="0"/>
    </xf>
    <xf numFmtId="0" fontId="0" fillId="6" borderId="0" xfId="0" applyNumberFormat="1" applyFill="1" applyBorder="1" applyAlignment="1" applyProtection="1">
      <alignment horizontal="left" vertical="center"/>
      <protection locked="0"/>
    </xf>
    <xf numFmtId="0" fontId="0" fillId="6" borderId="56" xfId="0" applyNumberFormat="1" applyFill="1" applyBorder="1" applyAlignment="1" applyProtection="1">
      <alignment horizontal="left" vertical="center"/>
      <protection locked="0"/>
    </xf>
    <xf numFmtId="0" fontId="0" fillId="6" borderId="23" xfId="0" applyNumberFormat="1" applyFill="1" applyBorder="1" applyAlignment="1" applyProtection="1">
      <alignment horizontal="left" vertical="center"/>
    </xf>
    <xf numFmtId="14" fontId="0" fillId="0" borderId="1" xfId="0" applyNumberFormat="1" applyBorder="1" applyAlignment="1" applyProtection="1">
      <alignment horizontal="left" vertical="center"/>
      <protection locked="0"/>
    </xf>
    <xf numFmtId="0" fontId="0" fillId="6" borderId="1" xfId="0" applyNumberFormat="1" applyFill="1" applyBorder="1" applyAlignment="1" applyProtection="1">
      <alignment horizontal="left" vertical="center"/>
      <protection locked="0"/>
    </xf>
    <xf numFmtId="0" fontId="0" fillId="6" borderId="1" xfId="0" applyNumberFormat="1" applyFill="1" applyBorder="1" applyAlignment="1" applyProtection="1">
      <alignment horizontal="left" vertical="center"/>
    </xf>
    <xf numFmtId="0" fontId="0" fillId="0" borderId="23" xfId="0" applyNumberFormat="1" applyBorder="1" applyAlignment="1" applyProtection="1">
      <alignment horizontal="left" vertical="center"/>
      <protection locked="0"/>
    </xf>
    <xf numFmtId="195" fontId="0" fillId="6" borderId="1" xfId="0" applyNumberFormat="1" applyFill="1" applyBorder="1" applyAlignment="1" applyProtection="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NumberFormat="1" applyFill="1" applyBorder="1" applyAlignment="1" applyProtection="1">
      <alignment horizontal="left" vertical="center"/>
    </xf>
    <xf numFmtId="0" fontId="0" fillId="0" borderId="1" xfId="0" applyNumberFormat="1" applyFill="1" applyBorder="1" applyAlignment="1" applyProtection="1">
      <alignment horizontal="left" vertical="center"/>
      <protection locked="0"/>
    </xf>
    <xf numFmtId="0" fontId="0" fillId="0" borderId="1" xfId="0" applyNumberFormat="1" applyBorder="1" applyAlignment="1" applyProtection="1">
      <alignment horizontal="left" vertical="center"/>
      <protection locked="0"/>
    </xf>
    <xf numFmtId="195" fontId="0" fillId="6" borderId="24" xfId="0" applyNumberFormat="1" applyFill="1" applyBorder="1" applyAlignment="1" applyProtection="1">
      <alignment horizontal="left" vertical="center"/>
    </xf>
    <xf numFmtId="0" fontId="0" fillId="6" borderId="25" xfId="0" applyNumberFormat="1" applyFill="1" applyBorder="1" applyAlignment="1" applyProtection="1">
      <alignment horizontal="left" vertical="center"/>
    </xf>
    <xf numFmtId="0" fontId="0" fillId="6" borderId="32" xfId="0" applyNumberFormat="1" applyFill="1" applyBorder="1" applyAlignment="1" applyProtection="1">
      <alignment horizontal="left" vertical="center"/>
    </xf>
    <xf numFmtId="0" fontId="0" fillId="6" borderId="47" xfId="0" applyNumberFormat="1" applyFill="1" applyBorder="1" applyAlignment="1" applyProtection="1">
      <alignment horizontal="left" vertical="center"/>
      <protection locked="0"/>
    </xf>
    <xf numFmtId="0" fontId="0" fillId="6" borderId="43" xfId="0" applyNumberFormat="1" applyFill="1" applyBorder="1" applyAlignment="1" applyProtection="1">
      <alignment horizontal="left" vertical="center"/>
      <protection locked="0"/>
    </xf>
    <xf numFmtId="0" fontId="246" fillId="6" borderId="23" xfId="0" applyFont="1" applyFill="1" applyBorder="1" applyAlignment="1" applyProtection="1">
      <alignment horizontal="left" vertical="center"/>
    </xf>
    <xf numFmtId="0" fontId="246" fillId="6" borderId="1" xfId="0" applyFont="1" applyFill="1" applyBorder="1" applyAlignment="1" applyProtection="1">
      <alignment horizontal="left" vertical="center"/>
    </xf>
    <xf numFmtId="0" fontId="246" fillId="6" borderId="24" xfId="0" applyFont="1" applyFill="1" applyBorder="1" applyAlignment="1" applyProtection="1">
      <alignment horizontal="left" vertical="center"/>
    </xf>
    <xf numFmtId="0" fontId="246" fillId="0" borderId="1" xfId="0" applyFont="1" applyBorder="1" applyAlignment="1" applyProtection="1">
      <alignment horizontal="left" vertical="center"/>
      <protection locked="0"/>
    </xf>
    <xf numFmtId="9" fontId="246" fillId="0" borderId="1" xfId="0" applyNumberFormat="1" applyFont="1" applyBorder="1" applyAlignment="1" applyProtection="1">
      <alignment horizontal="left" vertical="center"/>
      <protection locked="0"/>
    </xf>
    <xf numFmtId="0" fontId="246" fillId="6" borderId="18" xfId="0" applyFont="1" applyFill="1" applyBorder="1" applyAlignment="1" applyProtection="1">
      <alignment horizontal="left" vertical="center"/>
    </xf>
    <xf numFmtId="0" fontId="246" fillId="6" borderId="0" xfId="0" applyFont="1" applyFill="1" applyBorder="1" applyAlignment="1" applyProtection="1">
      <alignment horizontal="left" vertical="center"/>
    </xf>
    <xf numFmtId="0" fontId="246" fillId="6" borderId="56" xfId="0" applyFont="1" applyFill="1" applyBorder="1" applyAlignment="1" applyProtection="1">
      <alignment horizontal="left" vertical="center"/>
    </xf>
    <xf numFmtId="0" fontId="246" fillId="6" borderId="18" xfId="0" applyFont="1" applyFill="1" applyBorder="1" applyAlignment="1" applyProtection="1">
      <alignment horizontal="left"/>
    </xf>
    <xf numFmtId="0" fontId="246" fillId="6" borderId="0" xfId="0" applyFont="1" applyFill="1" applyBorder="1" applyAlignment="1" applyProtection="1">
      <alignment horizontal="left"/>
    </xf>
    <xf numFmtId="0" fontId="246" fillId="6" borderId="56" xfId="0" applyFont="1" applyFill="1" applyBorder="1" applyAlignment="1" applyProtection="1">
      <alignment horizontal="left"/>
    </xf>
    <xf numFmtId="0" fontId="246" fillId="6" borderId="23" xfId="0" applyFont="1" applyFill="1" applyBorder="1" applyAlignment="1" applyProtection="1">
      <alignment horizontal="left"/>
    </xf>
    <xf numFmtId="0" fontId="246" fillId="20" borderId="1" xfId="0" applyFont="1" applyFill="1" applyBorder="1" applyAlignment="1" applyProtection="1">
      <alignment horizontal="left"/>
    </xf>
    <xf numFmtId="0" fontId="246" fillId="6" borderId="1" xfId="0" applyFont="1" applyFill="1" applyBorder="1" applyAlignment="1" applyProtection="1">
      <alignment horizontal="left"/>
    </xf>
    <xf numFmtId="0" fontId="246" fillId="6" borderId="5" xfId="0" applyFont="1" applyFill="1" applyBorder="1" applyAlignment="1" applyProtection="1">
      <alignment horizontal="left"/>
    </xf>
    <xf numFmtId="0" fontId="246" fillId="6" borderId="54" xfId="0" applyFont="1" applyFill="1" applyBorder="1" applyAlignment="1" applyProtection="1">
      <alignment horizontal="left"/>
    </xf>
    <xf numFmtId="0" fontId="246" fillId="6" borderId="48" xfId="0" applyFont="1" applyFill="1" applyBorder="1" applyAlignment="1" applyProtection="1">
      <alignment horizontal="left"/>
    </xf>
    <xf numFmtId="9" fontId="246" fillId="6" borderId="1" xfId="0" applyNumberFormat="1" applyFont="1" applyFill="1" applyBorder="1" applyAlignment="1" applyProtection="1">
      <alignment horizontal="left"/>
    </xf>
    <xf numFmtId="0" fontId="246" fillId="6" borderId="25" xfId="0" applyFont="1" applyFill="1" applyBorder="1" applyAlignment="1" applyProtection="1">
      <alignment horizontal="left"/>
    </xf>
    <xf numFmtId="0" fontId="246" fillId="20" borderId="32" xfId="0" applyFont="1" applyFill="1" applyBorder="1" applyAlignment="1" applyProtection="1">
      <alignment horizontal="left"/>
    </xf>
    <xf numFmtId="0" fontId="246" fillId="6" borderId="32" xfId="0" applyFont="1" applyFill="1" applyBorder="1" applyAlignment="1" applyProtection="1">
      <alignment horizontal="left"/>
    </xf>
    <xf numFmtId="0" fontId="246" fillId="6" borderId="47" xfId="0" applyFont="1" applyFill="1" applyBorder="1" applyAlignment="1" applyProtection="1">
      <alignment horizontal="left"/>
    </xf>
    <xf numFmtId="0" fontId="246" fillId="6" borderId="43" xfId="0" applyFont="1" applyFill="1" applyBorder="1" applyAlignment="1" applyProtection="1">
      <alignment horizontal="left"/>
    </xf>
    <xf numFmtId="0" fontId="246" fillId="0" borderId="0" xfId="0" applyNumberFormat="1" applyFont="1" applyAlignment="1" applyProtection="1">
      <alignment horizontal="left" vertical="center"/>
      <protection locked="0"/>
    </xf>
    <xf numFmtId="0" fontId="77" fillId="6" borderId="1" xfId="0"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35" xfId="0" applyFont="1" applyFill="1" applyBorder="1" applyAlignment="1" applyProtection="1">
      <alignment vertical="center" wrapText="1"/>
      <protection locked="0"/>
    </xf>
    <xf numFmtId="49" fontId="47" fillId="6" borderId="15" xfId="0" applyNumberFormat="1" applyFont="1" applyFill="1" applyBorder="1" applyAlignment="1" applyProtection="1">
      <alignment horizontal="center" vertical="center" wrapText="1"/>
      <protection locked="0"/>
    </xf>
    <xf numFmtId="177" fontId="47" fillId="6" borderId="15" xfId="0" applyNumberFormat="1" applyFont="1" applyFill="1" applyBorder="1" applyAlignment="1" applyProtection="1">
      <alignment horizontal="center" vertical="center" wrapText="1"/>
      <protection locked="0"/>
    </xf>
    <xf numFmtId="179" fontId="47" fillId="6" borderId="15" xfId="0" applyNumberFormat="1" applyFont="1" applyFill="1" applyBorder="1" applyAlignment="1" applyProtection="1">
      <alignment horizontal="center" vertical="center" wrapText="1"/>
      <protection locked="0"/>
    </xf>
    <xf numFmtId="0" fontId="77" fillId="6" borderId="1" xfId="0" applyNumberFormat="1" applyFont="1" applyFill="1" applyBorder="1" applyAlignment="1" applyProtection="1">
      <alignment horizontal="center" vertical="center" wrapText="1"/>
      <protection locked="0"/>
    </xf>
    <xf numFmtId="0" fontId="108" fillId="6" borderId="160" xfId="0" applyNumberFormat="1" applyFont="1" applyFill="1" applyBorder="1" applyAlignment="1" applyProtection="1">
      <alignment horizontal="left" vertical="center"/>
    </xf>
    <xf numFmtId="0" fontId="0" fillId="6" borderId="161" xfId="0" applyNumberFormat="1" applyFill="1" applyBorder="1" applyAlignment="1" applyProtection="1">
      <alignment horizontal="left" vertical="center"/>
    </xf>
    <xf numFmtId="0" fontId="0" fillId="6" borderId="162" xfId="0" applyNumberFormat="1" applyFill="1" applyBorder="1" applyAlignment="1" applyProtection="1">
      <alignment horizontal="left" vertical="center"/>
    </xf>
    <xf numFmtId="0" fontId="0" fillId="0" borderId="161" xfId="0" applyNumberFormat="1" applyBorder="1" applyAlignment="1" applyProtection="1">
      <alignment horizontal="left" vertical="center"/>
      <protection locked="0"/>
    </xf>
    <xf numFmtId="0" fontId="246" fillId="0" borderId="161" xfId="0" applyNumberFormat="1" applyFont="1" applyBorder="1" applyAlignment="1" applyProtection="1">
      <alignment horizontal="left" vertical="center"/>
      <protection locked="0"/>
    </xf>
    <xf numFmtId="0" fontId="0" fillId="6" borderId="40" xfId="0" applyNumberFormat="1" applyFill="1" applyBorder="1" applyAlignment="1" applyProtection="1">
      <alignment horizontal="left" vertical="center"/>
    </xf>
    <xf numFmtId="0" fontId="0" fillId="6" borderId="17" xfId="0" applyNumberFormat="1" applyFill="1" applyBorder="1" applyAlignment="1" applyProtection="1">
      <alignment horizontal="left" vertical="center"/>
    </xf>
    <xf numFmtId="0" fontId="0" fillId="6" borderId="62" xfId="0" applyNumberFormat="1" applyFill="1" applyBorder="1" applyAlignment="1" applyProtection="1">
      <alignment horizontal="left" vertical="center"/>
    </xf>
    <xf numFmtId="0" fontId="0" fillId="0" borderId="0" xfId="0" applyNumberFormat="1" applyAlignment="1" applyProtection="1">
      <alignment horizontal="left" vertical="center"/>
    </xf>
    <xf numFmtId="0" fontId="0" fillId="6" borderId="6" xfId="0" applyNumberFormat="1" applyFill="1" applyBorder="1" applyAlignment="1" applyProtection="1">
      <alignment horizontal="left" vertical="center"/>
    </xf>
    <xf numFmtId="0" fontId="0" fillId="6" borderId="9" xfId="0" applyNumberFormat="1" applyFill="1" applyBorder="1" applyAlignment="1" applyProtection="1">
      <alignment horizontal="left" vertical="center"/>
    </xf>
    <xf numFmtId="0" fontId="0" fillId="6" borderId="28" xfId="0" applyNumberFormat="1" applyFill="1" applyBorder="1" applyAlignment="1" applyProtection="1">
      <alignment horizontal="left" vertical="center"/>
    </xf>
    <xf numFmtId="0" fontId="0" fillId="6" borderId="10" xfId="0" applyNumberFormat="1" applyFill="1" applyBorder="1" applyAlignment="1" applyProtection="1">
      <alignment horizontal="left" vertical="center"/>
    </xf>
    <xf numFmtId="0" fontId="0" fillId="6" borderId="5" xfId="0" applyNumberFormat="1" applyFill="1" applyBorder="1" applyAlignment="1" applyProtection="1">
      <alignment horizontal="left" vertical="center"/>
    </xf>
    <xf numFmtId="0" fontId="95" fillId="6" borderId="23" xfId="0" applyNumberFormat="1" applyFont="1" applyFill="1" applyBorder="1" applyAlignment="1" applyProtection="1">
      <alignment horizontal="left" vertical="center"/>
    </xf>
    <xf numFmtId="0" fontId="95" fillId="6" borderId="14" xfId="0" applyNumberFormat="1" applyFont="1" applyFill="1" applyBorder="1" applyAlignment="1" applyProtection="1">
      <alignment horizontal="left" vertical="center"/>
    </xf>
    <xf numFmtId="0" fontId="0" fillId="6" borderId="58" xfId="0" applyNumberFormat="1" applyFill="1" applyBorder="1" applyAlignment="1" applyProtection="1">
      <alignment horizontal="left" vertical="center"/>
    </xf>
    <xf numFmtId="0" fontId="0" fillId="6" borderId="15" xfId="0" applyNumberFormat="1" applyFill="1" applyBorder="1" applyAlignment="1" applyProtection="1">
      <alignment horizontal="left" vertical="center"/>
    </xf>
    <xf numFmtId="0" fontId="0" fillId="6" borderId="53" xfId="0" applyNumberFormat="1" applyFill="1" applyBorder="1" applyAlignment="1" applyProtection="1">
      <alignment horizontal="left" vertical="center"/>
    </xf>
    <xf numFmtId="0" fontId="95" fillId="6" borderId="25" xfId="0" applyNumberFormat="1" applyFont="1" applyFill="1" applyBorder="1" applyAlignment="1" applyProtection="1">
      <alignment horizontal="left" vertical="center"/>
    </xf>
    <xf numFmtId="0" fontId="0" fillId="6" borderId="33" xfId="0" applyNumberFormat="1" applyFill="1" applyBorder="1" applyAlignment="1" applyProtection="1">
      <alignment horizontal="left" vertical="center"/>
    </xf>
    <xf numFmtId="0" fontId="0" fillId="6" borderId="49" xfId="0" applyNumberFormat="1" applyFill="1" applyBorder="1" applyAlignment="1" applyProtection="1">
      <alignment horizontal="left" vertical="center"/>
    </xf>
    <xf numFmtId="0" fontId="107" fillId="6" borderId="6" xfId="0" applyNumberFormat="1" applyFont="1" applyFill="1" applyBorder="1" applyAlignment="1" applyProtection="1">
      <alignment horizontal="left" vertical="center" wrapText="1"/>
    </xf>
    <xf numFmtId="0" fontId="107" fillId="6" borderId="9" xfId="0" applyNumberFormat="1" applyFont="1" applyFill="1" applyBorder="1" applyAlignment="1" applyProtection="1">
      <alignment horizontal="left" vertical="center" wrapText="1"/>
    </xf>
    <xf numFmtId="0" fontId="107" fillId="6" borderId="10" xfId="0" applyNumberFormat="1" applyFont="1" applyFill="1" applyBorder="1" applyAlignment="1" applyProtection="1">
      <alignment horizontal="left" vertical="center" wrapText="1"/>
    </xf>
    <xf numFmtId="0" fontId="107" fillId="6" borderId="23" xfId="0" applyNumberFormat="1" applyFont="1" applyFill="1" applyBorder="1" applyAlignment="1" applyProtection="1">
      <alignment horizontal="left" vertical="center" wrapText="1"/>
    </xf>
    <xf numFmtId="0" fontId="107" fillId="6" borderId="1" xfId="0" applyNumberFormat="1" applyFont="1" applyFill="1" applyBorder="1" applyAlignment="1" applyProtection="1">
      <alignment horizontal="left" vertical="center" wrapText="1"/>
    </xf>
    <xf numFmtId="0" fontId="107" fillId="6" borderId="24" xfId="0" applyNumberFormat="1" applyFont="1" applyFill="1" applyBorder="1" applyAlignment="1" applyProtection="1">
      <alignment horizontal="left" vertical="center" wrapText="1"/>
    </xf>
    <xf numFmtId="0" fontId="107" fillId="6" borderId="11" xfId="0" applyNumberFormat="1" applyFont="1" applyFill="1" applyBorder="1" applyAlignment="1" applyProtection="1">
      <alignment horizontal="left" vertical="center" wrapText="1"/>
    </xf>
    <xf numFmtId="0" fontId="107" fillId="6" borderId="13" xfId="0" applyNumberFormat="1" applyFont="1" applyFill="1" applyBorder="1" applyAlignment="1" applyProtection="1">
      <alignment horizontal="left" vertical="center" wrapText="1"/>
    </xf>
    <xf numFmtId="0" fontId="107" fillId="6" borderId="61" xfId="0" applyNumberFormat="1" applyFont="1" applyFill="1" applyBorder="1" applyAlignment="1" applyProtection="1">
      <alignment horizontal="left" vertical="center" wrapText="1"/>
    </xf>
    <xf numFmtId="0" fontId="220" fillId="6" borderId="60" xfId="0" applyNumberFormat="1" applyFont="1" applyFill="1" applyBorder="1" applyAlignment="1" applyProtection="1">
      <alignment horizontal="left" vertical="center"/>
    </xf>
    <xf numFmtId="0" fontId="220" fillId="6" borderId="0" xfId="0" applyNumberFormat="1" applyFont="1" applyFill="1" applyBorder="1" applyAlignment="1" applyProtection="1">
      <alignment horizontal="left" vertical="center"/>
    </xf>
    <xf numFmtId="0" fontId="248" fillId="0" borderId="0" xfId="0" applyNumberFormat="1" applyFont="1" applyAlignment="1" applyProtection="1">
      <alignment horizontal="left" vertical="center"/>
    </xf>
    <xf numFmtId="0" fontId="107" fillId="6" borderId="46" xfId="0" applyNumberFormat="1" applyFont="1" applyFill="1" applyBorder="1" applyAlignment="1" applyProtection="1">
      <alignment horizontal="left" vertical="center" wrapText="1"/>
    </xf>
    <xf numFmtId="0" fontId="107" fillId="6" borderId="22" xfId="0" applyNumberFormat="1" applyFont="1" applyFill="1" applyBorder="1" applyAlignment="1" applyProtection="1">
      <alignment horizontal="left" vertical="center" wrapText="1"/>
    </xf>
    <xf numFmtId="0" fontId="107" fillId="6" borderId="0" xfId="0" applyNumberFormat="1" applyFont="1" applyFill="1" applyBorder="1" applyAlignment="1" applyProtection="1">
      <alignment horizontal="left" vertical="center" wrapText="1"/>
    </xf>
    <xf numFmtId="0" fontId="107" fillId="6" borderId="28" xfId="0" applyNumberFormat="1" applyFont="1" applyFill="1" applyBorder="1" applyAlignment="1" applyProtection="1">
      <alignment horizontal="left" vertical="center"/>
    </xf>
    <xf numFmtId="0" fontId="107" fillId="6" borderId="30" xfId="0" applyNumberFormat="1" applyFont="1" applyFill="1" applyBorder="1" applyAlignment="1" applyProtection="1">
      <alignment horizontal="left" vertical="center"/>
    </xf>
    <xf numFmtId="0" fontId="107" fillId="6" borderId="10" xfId="0" applyNumberFormat="1" applyFont="1" applyFill="1" applyBorder="1" applyAlignment="1" applyProtection="1">
      <alignment horizontal="left" vertical="center"/>
    </xf>
    <xf numFmtId="0" fontId="107" fillId="6" borderId="0" xfId="0" applyNumberFormat="1" applyFont="1" applyFill="1" applyBorder="1" applyAlignment="1" applyProtection="1">
      <alignment horizontal="left" vertical="center"/>
    </xf>
    <xf numFmtId="0" fontId="107" fillId="6" borderId="5" xfId="0" applyNumberFormat="1" applyFont="1" applyFill="1" applyBorder="1" applyAlignment="1" applyProtection="1">
      <alignment horizontal="left" vertical="center"/>
    </xf>
    <xf numFmtId="0" fontId="107" fillId="6" borderId="3" xfId="0" applyNumberFormat="1" applyFont="1" applyFill="1" applyBorder="1" applyAlignment="1" applyProtection="1">
      <alignment horizontal="left" vertical="center"/>
    </xf>
    <xf numFmtId="0" fontId="107" fillId="6" borderId="24" xfId="0" applyNumberFormat="1" applyFont="1" applyFill="1" applyBorder="1" applyAlignment="1" applyProtection="1">
      <alignment horizontal="left" vertical="center"/>
    </xf>
    <xf numFmtId="0" fontId="107" fillId="6" borderId="33" xfId="0" applyNumberFormat="1" applyFont="1" applyFill="1" applyBorder="1" applyAlignment="1" applyProtection="1">
      <alignment horizontal="left" vertical="center"/>
    </xf>
    <xf numFmtId="0" fontId="107" fillId="6" borderId="66" xfId="0" applyNumberFormat="1" applyFont="1" applyFill="1" applyBorder="1" applyAlignment="1" applyProtection="1">
      <alignment horizontal="left" vertical="center"/>
    </xf>
    <xf numFmtId="0" fontId="107" fillId="6" borderId="49" xfId="0" applyNumberFormat="1" applyFont="1" applyFill="1" applyBorder="1" applyAlignment="1" applyProtection="1">
      <alignment horizontal="left" vertical="center"/>
    </xf>
    <xf numFmtId="0" fontId="107" fillId="6" borderId="26" xfId="0" applyNumberFormat="1" applyFont="1" applyFill="1" applyBorder="1" applyAlignment="1" applyProtection="1">
      <alignment horizontal="left" vertical="center"/>
    </xf>
    <xf numFmtId="0" fontId="107" fillId="6" borderId="84" xfId="0" applyNumberFormat="1" applyFont="1" applyFill="1" applyBorder="1" applyAlignment="1" applyProtection="1">
      <alignment horizontal="left" vertical="center"/>
    </xf>
    <xf numFmtId="0" fontId="107" fillId="6" borderId="34" xfId="0" applyNumberFormat="1" applyFont="1" applyFill="1" applyBorder="1" applyAlignment="1" applyProtection="1">
      <alignment horizontal="left" vertical="center"/>
    </xf>
    <xf numFmtId="0" fontId="107" fillId="6" borderId="70" xfId="0" applyNumberFormat="1" applyFont="1" applyFill="1" applyBorder="1" applyAlignment="1" applyProtection="1">
      <alignment horizontal="left" vertical="center"/>
    </xf>
    <xf numFmtId="0" fontId="107" fillId="6" borderId="67" xfId="0" applyNumberFormat="1" applyFont="1" applyFill="1" applyBorder="1" applyAlignment="1" applyProtection="1">
      <alignment horizontal="left" vertical="center"/>
    </xf>
    <xf numFmtId="0" fontId="107" fillId="6" borderId="1" xfId="0" applyNumberFormat="1" applyFont="1" applyFill="1" applyBorder="1" applyAlignment="1" applyProtection="1">
      <alignment horizontal="left" vertical="center"/>
    </xf>
    <xf numFmtId="0" fontId="107" fillId="0" borderId="0" xfId="0" applyNumberFormat="1" applyFont="1" applyBorder="1" applyAlignment="1" applyProtection="1">
      <alignment horizontal="left" vertical="center"/>
    </xf>
    <xf numFmtId="0" fontId="107" fillId="6" borderId="4"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wrapText="1"/>
    </xf>
    <xf numFmtId="0" fontId="107" fillId="6" borderId="7" xfId="0" applyNumberFormat="1" applyFont="1" applyFill="1" applyBorder="1" applyAlignment="1" applyProtection="1">
      <alignment horizontal="left" vertical="center" wrapText="1"/>
    </xf>
    <xf numFmtId="0" fontId="107" fillId="6" borderId="3"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xf>
    <xf numFmtId="0" fontId="107" fillId="6" borderId="0" xfId="0" applyNumberFormat="1" applyFont="1" applyFill="1" applyAlignment="1" applyProtection="1">
      <alignment horizontal="left" vertical="center"/>
    </xf>
    <xf numFmtId="0" fontId="112" fillId="6" borderId="60" xfId="0" applyNumberFormat="1" applyFont="1" applyFill="1" applyBorder="1" applyAlignment="1" applyProtection="1">
      <alignment horizontal="left" vertical="center"/>
    </xf>
    <xf numFmtId="176" fontId="249" fillId="0" borderId="0" xfId="3" applyNumberFormat="1" applyFont="1" applyBorder="1" applyAlignment="1" applyProtection="1">
      <alignment horizontal="left" vertical="center"/>
    </xf>
    <xf numFmtId="176" fontId="250" fillId="6" borderId="6"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wrapText="1"/>
    </xf>
    <xf numFmtId="176" fontId="250" fillId="6" borderId="17" xfId="3" applyNumberFormat="1" applyFont="1" applyFill="1" applyBorder="1" applyAlignment="1" applyProtection="1">
      <alignment horizontal="left" vertical="center"/>
    </xf>
    <xf numFmtId="176" fontId="250" fillId="6" borderId="62"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xf>
    <xf numFmtId="176" fontId="251" fillId="6" borderId="1" xfId="3" applyNumberFormat="1" applyFont="1" applyFill="1" applyBorder="1" applyAlignment="1" applyProtection="1">
      <alignment horizontal="left" vertical="center"/>
    </xf>
    <xf numFmtId="176" fontId="251" fillId="6" borderId="24"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wrapText="1"/>
    </xf>
    <xf numFmtId="176" fontId="250" fillId="6" borderId="25" xfId="3" applyNumberFormat="1" applyFont="1" applyFill="1" applyBorder="1" applyAlignment="1" applyProtection="1">
      <alignment horizontal="left" vertical="center" wrapText="1"/>
    </xf>
    <xf numFmtId="176" fontId="251" fillId="6" borderId="32" xfId="3" applyNumberFormat="1" applyFont="1" applyFill="1" applyBorder="1" applyAlignment="1" applyProtection="1">
      <alignment horizontal="left" vertical="center"/>
    </xf>
    <xf numFmtId="176" fontId="251" fillId="6" borderId="49" xfId="3" applyNumberFormat="1" applyFont="1" applyFill="1" applyBorder="1" applyAlignment="1" applyProtection="1">
      <alignment horizontal="left" vertical="center"/>
    </xf>
    <xf numFmtId="176" fontId="248" fillId="0" borderId="0" xfId="0" applyNumberFormat="1" applyFont="1" applyAlignment="1" applyProtection="1">
      <alignment horizontal="left" vertical="center"/>
    </xf>
    <xf numFmtId="176" fontId="246" fillId="0" borderId="0" xfId="0" applyNumberFormat="1" applyFont="1" applyAlignment="1" applyProtection="1">
      <alignment horizontal="left" vertical="center"/>
    </xf>
    <xf numFmtId="176" fontId="246" fillId="6" borderId="1" xfId="0" applyNumberFormat="1" applyFont="1" applyFill="1" applyBorder="1" applyAlignment="1" applyProtection="1">
      <alignment horizontal="left" vertical="center"/>
    </xf>
    <xf numFmtId="0" fontId="102" fillId="0" borderId="119" xfId="9" applyNumberFormat="1" applyFont="1" applyBorder="1" applyAlignment="1" applyProtection="1">
      <alignment horizontal="left" vertical="center"/>
    </xf>
    <xf numFmtId="0" fontId="102" fillId="6" borderId="120" xfId="9" applyNumberFormat="1" applyFont="1" applyFill="1" applyBorder="1" applyAlignment="1" applyProtection="1">
      <alignment horizontal="left" vertical="center"/>
    </xf>
    <xf numFmtId="0" fontId="102" fillId="6" borderId="119" xfId="9" applyNumberFormat="1" applyFont="1" applyFill="1" applyBorder="1" applyAlignment="1" applyProtection="1">
      <alignment horizontal="left" vertical="center"/>
    </xf>
    <xf numFmtId="0" fontId="97" fillId="6" borderId="119" xfId="10" applyNumberFormat="1" applyFont="1" applyFill="1" applyBorder="1" applyAlignment="1" applyProtection="1">
      <alignment horizontal="left" vertical="center"/>
    </xf>
    <xf numFmtId="0" fontId="22" fillId="6" borderId="119" xfId="10" applyNumberFormat="1" applyFont="1" applyFill="1" applyBorder="1" applyAlignment="1" applyProtection="1">
      <alignment horizontal="left" vertical="center"/>
    </xf>
    <xf numFmtId="0" fontId="102" fillId="17" borderId="119" xfId="9" applyNumberFormat="1" applyFont="1" applyFill="1" applyBorder="1" applyAlignment="1" applyProtection="1">
      <alignment horizontal="left" vertical="center"/>
    </xf>
    <xf numFmtId="0" fontId="252" fillId="15" borderId="0" xfId="9" applyNumberFormat="1" applyFont="1" applyFill="1" applyAlignment="1" applyProtection="1">
      <alignment horizontal="left" vertical="center"/>
    </xf>
    <xf numFmtId="0" fontId="243" fillId="15" borderId="121" xfId="9" applyNumberFormat="1" applyFont="1" applyFill="1" applyBorder="1" applyAlignment="1" applyProtection="1">
      <alignment horizontal="left" vertical="center"/>
    </xf>
    <xf numFmtId="0" fontId="243" fillId="15" borderId="0" xfId="9" applyNumberFormat="1" applyFont="1" applyFill="1" applyBorder="1" applyAlignment="1" applyProtection="1">
      <alignment horizontal="left" vertical="center"/>
    </xf>
    <xf numFmtId="0" fontId="243" fillId="17" borderId="0" xfId="9" applyNumberFormat="1" applyFont="1" applyFill="1" applyAlignment="1" applyProtection="1">
      <alignment horizontal="left" vertical="center"/>
    </xf>
    <xf numFmtId="10" fontId="243" fillId="15" borderId="121" xfId="9" applyNumberFormat="1" applyFont="1" applyFill="1" applyBorder="1" applyAlignment="1" applyProtection="1">
      <alignment horizontal="left" vertical="center"/>
    </xf>
    <xf numFmtId="10" fontId="243" fillId="15" borderId="0" xfId="9" applyNumberFormat="1" applyFont="1" applyFill="1" applyAlignment="1" applyProtection="1">
      <alignment horizontal="left" vertical="center"/>
    </xf>
    <xf numFmtId="0" fontId="168" fillId="15" borderId="0" xfId="9" applyNumberFormat="1" applyFont="1" applyFill="1" applyAlignment="1" applyProtection="1">
      <alignment horizontal="left" vertical="center"/>
    </xf>
    <xf numFmtId="0" fontId="168" fillId="15" borderId="163" xfId="9" applyNumberFormat="1" applyFont="1" applyFill="1" applyBorder="1" applyAlignment="1" applyProtection="1">
      <alignment horizontal="left" vertical="center"/>
    </xf>
    <xf numFmtId="10" fontId="168" fillId="15" borderId="0" xfId="9" applyNumberFormat="1" applyFont="1" applyFill="1" applyAlignment="1" applyProtection="1">
      <alignment horizontal="left" vertical="center"/>
    </xf>
    <xf numFmtId="10" fontId="168" fillId="15" borderId="163" xfId="9" applyNumberFormat="1" applyFont="1" applyFill="1" applyBorder="1" applyAlignment="1" applyProtection="1">
      <alignment horizontal="left" vertical="center"/>
    </xf>
    <xf numFmtId="10" fontId="168" fillId="15" borderId="164" xfId="9" applyNumberFormat="1" applyFont="1" applyFill="1" applyBorder="1" applyAlignment="1" applyProtection="1">
      <alignment horizontal="left" vertical="center"/>
    </xf>
    <xf numFmtId="10" fontId="168" fillId="15" borderId="165" xfId="9" applyNumberFormat="1" applyFont="1" applyFill="1" applyBorder="1" applyAlignment="1" applyProtection="1">
      <alignment horizontal="left" vertical="center"/>
    </xf>
    <xf numFmtId="0" fontId="243" fillId="15" borderId="0" xfId="9" applyNumberFormat="1" applyFont="1" applyFill="1" applyAlignment="1" applyProtection="1">
      <alignment horizontal="left" vertical="center"/>
    </xf>
    <xf numFmtId="0" fontId="102" fillId="0" borderId="0" xfId="9" applyNumberFormat="1" applyFont="1" applyFill="1" applyAlignment="1" applyProtection="1">
      <alignment horizontal="left" vertical="center"/>
    </xf>
    <xf numFmtId="0" fontId="102" fillId="0" borderId="121" xfId="9" applyNumberFormat="1" applyFont="1" applyFill="1" applyBorder="1" applyAlignment="1" applyProtection="1">
      <alignment horizontal="left" vertical="center"/>
    </xf>
    <xf numFmtId="0" fontId="102" fillId="0" borderId="0" xfId="9" applyNumberFormat="1" applyFont="1" applyFill="1" applyBorder="1" applyAlignment="1" applyProtection="1">
      <alignment horizontal="left" vertical="center"/>
    </xf>
    <xf numFmtId="0" fontId="102" fillId="17" borderId="0" xfId="9" applyNumberFormat="1" applyFont="1" applyFill="1" applyAlignment="1" applyProtection="1">
      <alignment horizontal="left" vertical="center"/>
    </xf>
    <xf numFmtId="10" fontId="102" fillId="0" borderId="121" xfId="9" applyNumberFormat="1" applyFont="1" applyFill="1" applyBorder="1" applyAlignment="1" applyProtection="1">
      <alignment horizontal="left" vertical="center"/>
    </xf>
    <xf numFmtId="10" fontId="102" fillId="0" borderId="0" xfId="9" applyNumberFormat="1" applyFont="1" applyFill="1" applyAlignment="1" applyProtection="1">
      <alignment horizontal="left" vertical="center"/>
    </xf>
    <xf numFmtId="0" fontId="99" fillId="0" borderId="0" xfId="9" applyNumberFormat="1" applyFont="1" applyAlignment="1" applyProtection="1">
      <alignment horizontal="left" vertical="center"/>
    </xf>
    <xf numFmtId="0" fontId="99" fillId="0" borderId="163" xfId="9" applyNumberFormat="1" applyFont="1" applyBorder="1" applyAlignment="1" applyProtection="1">
      <alignment horizontal="left" vertical="center"/>
    </xf>
    <xf numFmtId="0" fontId="99" fillId="0" borderId="164" xfId="9" applyNumberFormat="1" applyFont="1" applyBorder="1" applyAlignment="1" applyProtection="1">
      <alignment horizontal="left" vertical="center"/>
    </xf>
    <xf numFmtId="0" fontId="99" fillId="0" borderId="165" xfId="9" applyNumberFormat="1" applyFont="1" applyBorder="1" applyAlignment="1" applyProtection="1">
      <alignment horizontal="left" vertical="center"/>
    </xf>
    <xf numFmtId="10" fontId="99" fillId="0" borderId="0" xfId="9" applyNumberFormat="1" applyFont="1" applyAlignment="1" applyProtection="1">
      <alignment horizontal="left" vertical="center"/>
    </xf>
    <xf numFmtId="10" fontId="99" fillId="0" borderId="163" xfId="9" applyNumberFormat="1" applyFont="1" applyBorder="1" applyAlignment="1" applyProtection="1">
      <alignment horizontal="left" vertical="center"/>
    </xf>
    <xf numFmtId="10" fontId="99" fillId="0" borderId="164" xfId="9" applyNumberFormat="1" applyFont="1" applyBorder="1" applyAlignment="1" applyProtection="1">
      <alignment horizontal="left" vertical="center"/>
    </xf>
    <xf numFmtId="10" fontId="99" fillId="0" borderId="165" xfId="9" applyNumberFormat="1" applyFont="1" applyBorder="1" applyAlignment="1" applyProtection="1">
      <alignment horizontal="left" vertical="center"/>
    </xf>
    <xf numFmtId="0" fontId="53" fillId="6" borderId="1" xfId="9" applyNumberFormat="1" applyFont="1" applyFill="1" applyBorder="1" applyAlignment="1" applyProtection="1">
      <alignment horizontal="left" vertical="center" wrapText="1"/>
    </xf>
    <xf numFmtId="0" fontId="143" fillId="11" borderId="125" xfId="9" applyNumberFormat="1" applyFont="1" applyFill="1" applyBorder="1" applyAlignment="1" applyProtection="1">
      <alignment horizontal="left" vertical="center" wrapText="1"/>
    </xf>
    <xf numFmtId="0" fontId="143" fillId="12" borderId="126" xfId="9" applyNumberFormat="1" applyFont="1" applyFill="1" applyBorder="1" applyAlignment="1" applyProtection="1">
      <alignment horizontal="left" vertical="center" wrapText="1"/>
    </xf>
    <xf numFmtId="0" fontId="143" fillId="12" borderId="126" xfId="16" applyNumberFormat="1" applyFont="1" applyFill="1" applyBorder="1" applyAlignment="1" applyProtection="1">
      <alignment horizontal="left" vertical="center" wrapText="1"/>
    </xf>
    <xf numFmtId="0" fontId="143" fillId="12" borderId="130" xfId="16" applyNumberFormat="1" applyFont="1" applyFill="1" applyBorder="1" applyAlignment="1" applyProtection="1">
      <alignment horizontal="left" vertical="center" wrapText="1"/>
    </xf>
    <xf numFmtId="0" fontId="99" fillId="17" borderId="0" xfId="9" applyNumberFormat="1" applyFont="1" applyFill="1" applyAlignment="1" applyProtection="1">
      <alignment horizontal="left" vertical="center"/>
    </xf>
    <xf numFmtId="10" fontId="99" fillId="0" borderId="121" xfId="9" applyNumberFormat="1" applyFont="1" applyBorder="1" applyAlignment="1" applyProtection="1">
      <alignment horizontal="left" vertical="center"/>
    </xf>
    <xf numFmtId="0" fontId="99" fillId="0" borderId="0" xfId="9" applyNumberFormat="1" applyFont="1" applyFill="1" applyAlignment="1" applyProtection="1">
      <alignment horizontal="left" vertical="center"/>
    </xf>
    <xf numFmtId="10" fontId="99" fillId="0" borderId="0" xfId="9" applyNumberFormat="1" applyFont="1" applyFill="1" applyAlignment="1" applyProtection="1">
      <alignment horizontal="left" vertical="center"/>
    </xf>
    <xf numFmtId="0" fontId="144" fillId="13" borderId="0" xfId="9" applyNumberFormat="1" applyFont="1" applyFill="1" applyAlignment="1" applyProtection="1">
      <alignment horizontal="left" vertical="center"/>
    </xf>
    <xf numFmtId="0" fontId="54" fillId="21" borderId="1" xfId="9" applyNumberFormat="1" applyFont="1" applyFill="1" applyBorder="1" applyAlignment="1" applyProtection="1">
      <alignment horizontal="left" vertical="center" wrapText="1"/>
    </xf>
    <xf numFmtId="0" fontId="253" fillId="21" borderId="125" xfId="9" applyNumberFormat="1" applyFont="1" applyFill="1" applyBorder="1" applyAlignment="1" applyProtection="1">
      <alignment horizontal="left" vertical="center" wrapText="1"/>
    </xf>
    <xf numFmtId="0" fontId="253" fillId="21" borderId="126" xfId="9" applyNumberFormat="1" applyFont="1" applyFill="1" applyBorder="1" applyAlignment="1" applyProtection="1">
      <alignment horizontal="left" vertical="center" wrapText="1"/>
    </xf>
    <xf numFmtId="0" fontId="253" fillId="21" borderId="126" xfId="16" applyNumberFormat="1" applyFont="1" applyFill="1" applyBorder="1" applyAlignment="1" applyProtection="1">
      <alignment horizontal="left" vertical="center" wrapText="1"/>
    </xf>
    <xf numFmtId="0" fontId="253" fillId="21" borderId="135" xfId="16" applyNumberFormat="1" applyFont="1" applyFill="1" applyBorder="1" applyAlignment="1" applyProtection="1">
      <alignment horizontal="left" vertical="center" wrapText="1"/>
    </xf>
    <xf numFmtId="0" fontId="253" fillId="21" borderId="130" xfId="16" applyNumberFormat="1" applyFont="1" applyFill="1" applyBorder="1" applyAlignment="1" applyProtection="1">
      <alignment horizontal="left" vertical="center" wrapText="1"/>
    </xf>
    <xf numFmtId="0" fontId="102" fillId="21" borderId="0" xfId="9" applyNumberFormat="1" applyFont="1" applyFill="1" applyAlignment="1" applyProtection="1">
      <alignment horizontal="left" vertical="center"/>
    </xf>
    <xf numFmtId="10" fontId="102" fillId="21" borderId="121" xfId="9" applyNumberFormat="1" applyFont="1" applyFill="1" applyBorder="1" applyAlignment="1" applyProtection="1">
      <alignment horizontal="left" vertical="center"/>
    </xf>
    <xf numFmtId="10" fontId="102" fillId="21" borderId="0" xfId="9" applyNumberFormat="1" applyFont="1" applyFill="1" applyAlignment="1" applyProtection="1">
      <alignment horizontal="left" vertical="center"/>
    </xf>
    <xf numFmtId="0" fontId="144" fillId="21" borderId="0" xfId="9" applyNumberFormat="1" applyFont="1" applyFill="1" applyAlignment="1" applyProtection="1">
      <alignment horizontal="left" vertical="center"/>
    </xf>
    <xf numFmtId="0" fontId="143" fillId="12" borderId="135" xfId="16" applyNumberFormat="1" applyFont="1" applyFill="1" applyBorder="1" applyAlignment="1" applyProtection="1">
      <alignment horizontal="left" vertical="center" wrapText="1"/>
    </xf>
    <xf numFmtId="0" fontId="53" fillId="18" borderId="166" xfId="9" applyNumberFormat="1" applyFont="1" applyFill="1" applyBorder="1" applyAlignment="1" applyProtection="1">
      <alignment horizontal="left" vertical="center" wrapText="1"/>
    </xf>
    <xf numFmtId="0" fontId="143" fillId="18" borderId="167" xfId="9" applyNumberFormat="1" applyFont="1" applyFill="1" applyBorder="1" applyAlignment="1" applyProtection="1">
      <alignment horizontal="left" vertical="center" wrapText="1"/>
    </xf>
    <xf numFmtId="0" fontId="143" fillId="18" borderId="168" xfId="9" applyNumberFormat="1" applyFont="1" applyFill="1" applyBorder="1" applyAlignment="1" applyProtection="1">
      <alignment horizontal="left" vertical="center" wrapText="1"/>
    </xf>
    <xf numFmtId="0" fontId="143" fillId="18" borderId="168" xfId="16" applyNumberFormat="1" applyFont="1" applyFill="1" applyBorder="1" applyAlignment="1" applyProtection="1">
      <alignment horizontal="left" vertical="center" wrapText="1"/>
    </xf>
    <xf numFmtId="0" fontId="143" fillId="18" borderId="169" xfId="16" applyNumberFormat="1" applyFont="1" applyFill="1" applyBorder="1" applyAlignment="1" applyProtection="1">
      <alignment horizontal="left" vertical="center" wrapText="1"/>
    </xf>
    <xf numFmtId="0" fontId="143" fillId="18" borderId="170" xfId="16" applyNumberFormat="1" applyFont="1" applyFill="1" applyBorder="1" applyAlignment="1" applyProtection="1">
      <alignment horizontal="left" vertical="center" wrapText="1"/>
    </xf>
    <xf numFmtId="0" fontId="99" fillId="17" borderId="171" xfId="9" applyNumberFormat="1" applyFont="1" applyFill="1" applyBorder="1" applyAlignment="1" applyProtection="1">
      <alignment horizontal="left" vertical="center"/>
    </xf>
    <xf numFmtId="10" fontId="99" fillId="18" borderId="172" xfId="9" applyNumberFormat="1" applyFont="1" applyFill="1" applyBorder="1" applyAlignment="1" applyProtection="1">
      <alignment horizontal="left" vertical="center"/>
    </xf>
    <xf numFmtId="10" fontId="99" fillId="18" borderId="171" xfId="9" applyNumberFormat="1" applyFont="1" applyFill="1" applyBorder="1" applyAlignment="1" applyProtection="1">
      <alignment horizontal="left" vertical="center"/>
    </xf>
    <xf numFmtId="0" fontId="99" fillId="18" borderId="171" xfId="9" applyNumberFormat="1" applyFont="1" applyFill="1" applyBorder="1" applyAlignment="1" applyProtection="1">
      <alignment horizontal="left" vertical="center"/>
    </xf>
    <xf numFmtId="0" fontId="144" fillId="18" borderId="171" xfId="9" applyNumberFormat="1" applyFont="1" applyFill="1" applyBorder="1" applyAlignment="1" applyProtection="1">
      <alignment horizontal="left" vertical="center"/>
    </xf>
    <xf numFmtId="0" fontId="95" fillId="0" borderId="0" xfId="0" applyNumberFormat="1" applyFont="1">
      <alignment vertical="center"/>
    </xf>
    <xf numFmtId="0" fontId="102" fillId="0" borderId="0" xfId="9" applyNumberFormat="1" applyFont="1" applyAlignment="1" applyProtection="1">
      <alignment horizontal="left" vertical="center"/>
    </xf>
    <xf numFmtId="0" fontId="141" fillId="0" borderId="0" xfId="9" applyNumberFormat="1" applyFont="1" applyAlignment="1" applyProtection="1">
      <alignment vertical="center"/>
    </xf>
    <xf numFmtId="0" fontId="102" fillId="0" borderId="0" xfId="9" applyNumberFormat="1" applyFont="1" applyAlignment="1" applyProtection="1">
      <alignment vertical="center"/>
    </xf>
    <xf numFmtId="10" fontId="99" fillId="0" borderId="163" xfId="9" applyNumberFormat="1" applyFont="1" applyFill="1" applyBorder="1" applyAlignment="1" applyProtection="1">
      <alignment horizontal="left" vertical="center"/>
    </xf>
    <xf numFmtId="10" fontId="99" fillId="0" borderId="165" xfId="9" applyNumberFormat="1" applyFont="1" applyFill="1" applyBorder="1" applyAlignment="1" applyProtection="1">
      <alignment horizontal="left" vertical="center"/>
    </xf>
    <xf numFmtId="10" fontId="99" fillId="0" borderId="164" xfId="9" applyNumberFormat="1" applyFont="1" applyFill="1" applyBorder="1" applyAlignment="1" applyProtection="1">
      <alignment horizontal="left" vertical="center"/>
    </xf>
    <xf numFmtId="10" fontId="102" fillId="21" borderId="163" xfId="9" applyNumberFormat="1" applyFont="1" applyFill="1" applyBorder="1" applyAlignment="1" applyProtection="1">
      <alignment horizontal="left" vertical="center"/>
    </xf>
    <xf numFmtId="10" fontId="102" fillId="21" borderId="164" xfId="9" applyNumberFormat="1" applyFont="1" applyFill="1" applyBorder="1" applyAlignment="1" applyProtection="1">
      <alignment horizontal="left" vertical="center"/>
    </xf>
    <xf numFmtId="10" fontId="102" fillId="21" borderId="165" xfId="9" applyNumberFormat="1" applyFont="1" applyFill="1" applyBorder="1" applyAlignment="1" applyProtection="1">
      <alignment horizontal="left" vertical="center"/>
    </xf>
    <xf numFmtId="10" fontId="99" fillId="18" borderId="173" xfId="9" applyNumberFormat="1" applyFont="1" applyFill="1" applyBorder="1" applyAlignment="1" applyProtection="1">
      <alignment horizontal="left" vertical="center"/>
    </xf>
    <xf numFmtId="10" fontId="99" fillId="18" borderId="174" xfId="9" applyNumberFormat="1" applyFont="1" applyFill="1" applyBorder="1" applyAlignment="1" applyProtection="1">
      <alignment horizontal="left" vertical="center"/>
    </xf>
    <xf numFmtId="10" fontId="99" fillId="18" borderId="175" xfId="9" applyNumberFormat="1" applyFont="1" applyFill="1" applyBorder="1" applyAlignment="1" applyProtection="1">
      <alignment horizontal="left" vertical="center"/>
    </xf>
    <xf numFmtId="14" fontId="0" fillId="6" borderId="0" xfId="0" applyNumberFormat="1" applyFill="1" applyAlignment="1">
      <alignment horizontal="left" vertical="center"/>
    </xf>
    <xf numFmtId="0" fontId="246" fillId="6" borderId="18" xfId="0" applyNumberFormat="1" applyFont="1" applyFill="1" applyBorder="1" applyAlignment="1" applyProtection="1">
      <alignment horizontal="left" vertical="center"/>
    </xf>
    <xf numFmtId="0" fontId="246" fillId="6" borderId="40" xfId="0" applyNumberFormat="1" applyFont="1" applyFill="1" applyBorder="1" applyAlignment="1" applyProtection="1">
      <alignment horizontal="left" vertical="center"/>
    </xf>
    <xf numFmtId="0" fontId="246" fillId="6" borderId="17" xfId="0" applyNumberFormat="1" applyFont="1" applyFill="1" applyBorder="1" applyAlignment="1" applyProtection="1">
      <alignment horizontal="left" vertical="center"/>
    </xf>
    <xf numFmtId="0" fontId="246" fillId="6" borderId="62" xfId="0" applyNumberFormat="1" applyFont="1" applyFill="1" applyBorder="1" applyAlignment="1" applyProtection="1">
      <alignment horizontal="left" vertical="center"/>
    </xf>
    <xf numFmtId="0" fontId="246" fillId="6" borderId="0" xfId="0" applyNumberFormat="1" applyFont="1" applyFill="1" applyAlignment="1" applyProtection="1">
      <alignment horizontal="left" vertical="center"/>
    </xf>
    <xf numFmtId="0" fontId="255" fillId="6" borderId="47" xfId="0" applyNumberFormat="1" applyFont="1" applyFill="1" applyBorder="1" applyAlignment="1" applyProtection="1">
      <alignment vertical="center"/>
    </xf>
    <xf numFmtId="0" fontId="255" fillId="6" borderId="43" xfId="0" applyNumberFormat="1" applyFont="1" applyFill="1" applyBorder="1" applyAlignment="1" applyProtection="1">
      <alignment horizontal="right" vertical="center"/>
    </xf>
    <xf numFmtId="0" fontId="255" fillId="6" borderId="9" xfId="0" applyNumberFormat="1" applyFont="1" applyFill="1" applyBorder="1" applyAlignment="1" applyProtection="1">
      <alignment horizontal="left" vertical="center" wrapText="1"/>
    </xf>
    <xf numFmtId="0" fontId="256" fillId="6" borderId="19" xfId="0" applyNumberFormat="1" applyFont="1" applyFill="1" applyBorder="1" applyAlignment="1" applyProtection="1">
      <alignment horizontal="left" vertical="center"/>
    </xf>
    <xf numFmtId="0" fontId="254" fillId="6" borderId="28" xfId="0" applyNumberFormat="1" applyFont="1" applyFill="1" applyBorder="1" applyAlignment="1" applyProtection="1">
      <alignment horizontal="left" vertical="center"/>
    </xf>
    <xf numFmtId="0" fontId="256" fillId="6" borderId="18" xfId="0" applyNumberFormat="1" applyFont="1" applyFill="1" applyBorder="1" applyAlignment="1" applyProtection="1">
      <alignment horizontal="left" vertical="center"/>
    </xf>
    <xf numFmtId="0" fontId="255" fillId="6" borderId="1" xfId="0" applyNumberFormat="1" applyFont="1" applyFill="1" applyBorder="1" applyAlignment="1" applyProtection="1">
      <alignment horizontal="left" vertical="center" wrapText="1"/>
    </xf>
    <xf numFmtId="0" fontId="255" fillId="6" borderId="2" xfId="0" applyNumberFormat="1" applyFont="1" applyFill="1" applyBorder="1" applyAlignment="1" applyProtection="1">
      <alignment horizontal="left" vertical="center" wrapText="1"/>
    </xf>
    <xf numFmtId="0" fontId="256" fillId="6" borderId="0" xfId="0" applyNumberFormat="1" applyFont="1" applyFill="1" applyAlignment="1" applyProtection="1">
      <alignment horizontal="left" vertical="center"/>
    </xf>
    <xf numFmtId="0" fontId="254" fillId="6" borderId="32" xfId="0" applyNumberFormat="1" applyFont="1" applyFill="1" applyBorder="1" applyAlignment="1" applyProtection="1">
      <alignment horizontal="left" vertical="center"/>
    </xf>
    <xf numFmtId="0" fontId="254" fillId="6" borderId="33" xfId="0" applyNumberFormat="1" applyFont="1" applyFill="1" applyBorder="1" applyAlignment="1" applyProtection="1">
      <alignment horizontal="left" vertical="center"/>
    </xf>
    <xf numFmtId="0" fontId="255" fillId="6" borderId="40" xfId="0" applyNumberFormat="1" applyFont="1" applyFill="1" applyBorder="1" applyAlignment="1" applyProtection="1">
      <alignment horizontal="left" vertical="center" wrapText="1"/>
    </xf>
    <xf numFmtId="0" fontId="255" fillId="6" borderId="74" xfId="0" applyNumberFormat="1" applyFont="1" applyFill="1" applyBorder="1" applyAlignment="1" applyProtection="1">
      <alignment horizontal="left" vertical="center" wrapText="1"/>
    </xf>
    <xf numFmtId="0" fontId="255" fillId="6" borderId="32" xfId="0" applyNumberFormat="1" applyFont="1" applyFill="1" applyBorder="1" applyAlignment="1" applyProtection="1">
      <alignment horizontal="left" vertical="center" wrapText="1"/>
    </xf>
    <xf numFmtId="0" fontId="255" fillId="6" borderId="14" xfId="0" applyNumberFormat="1" applyFont="1" applyFill="1" applyBorder="1" applyAlignment="1" applyProtection="1">
      <alignment horizontal="left" vertical="center" wrapText="1"/>
    </xf>
    <xf numFmtId="0" fontId="255" fillId="6" borderId="1" xfId="18" applyNumberFormat="1" applyFont="1" applyFill="1" applyBorder="1" applyAlignment="1" applyProtection="1">
      <alignment horizontal="left" vertical="center" wrapText="1"/>
    </xf>
    <xf numFmtId="0" fontId="255" fillId="6" borderId="15" xfId="0" applyNumberFormat="1" applyFont="1" applyFill="1" applyBorder="1" applyAlignment="1" applyProtection="1">
      <alignment horizontal="left" vertical="center" wrapText="1"/>
    </xf>
    <xf numFmtId="0" fontId="255" fillId="6" borderId="13" xfId="0" applyNumberFormat="1" applyFont="1" applyFill="1" applyBorder="1" applyAlignment="1" applyProtection="1">
      <alignment horizontal="left" vertical="center" wrapText="1"/>
    </xf>
    <xf numFmtId="0" fontId="255" fillId="6" borderId="10" xfId="0" applyNumberFormat="1" applyFont="1" applyFill="1" applyBorder="1" applyAlignment="1" applyProtection="1">
      <alignment horizontal="left" vertical="center" wrapText="1"/>
    </xf>
    <xf numFmtId="0" fontId="255" fillId="6" borderId="24" xfId="0" applyNumberFormat="1" applyFont="1" applyFill="1" applyBorder="1" applyAlignment="1" applyProtection="1">
      <alignment horizontal="left" vertical="center" wrapText="1"/>
    </xf>
    <xf numFmtId="0" fontId="255" fillId="6" borderId="12" xfId="0" applyNumberFormat="1" applyFont="1" applyFill="1" applyBorder="1" applyAlignment="1" applyProtection="1">
      <alignment horizontal="left" vertical="center" wrapText="1"/>
    </xf>
    <xf numFmtId="0" fontId="255" fillId="6" borderId="49" xfId="0" applyNumberFormat="1" applyFont="1" applyFill="1" applyBorder="1" applyAlignment="1" applyProtection="1">
      <alignment horizontal="left" vertical="center" wrapText="1"/>
    </xf>
    <xf numFmtId="0" fontId="255" fillId="6" borderId="61" xfId="0" applyNumberFormat="1" applyFont="1" applyFill="1" applyBorder="1" applyAlignment="1" applyProtection="1">
      <alignment horizontal="left" vertical="center" wrapText="1"/>
    </xf>
    <xf numFmtId="0" fontId="255" fillId="6" borderId="6" xfId="0" applyNumberFormat="1" applyFont="1" applyFill="1" applyBorder="1" applyAlignment="1" applyProtection="1">
      <alignment horizontal="left" vertical="center" wrapText="1"/>
    </xf>
    <xf numFmtId="0" fontId="255" fillId="6" borderId="23" xfId="0" applyNumberFormat="1" applyFont="1" applyFill="1" applyBorder="1" applyAlignment="1" applyProtection="1">
      <alignment horizontal="left" vertical="center" wrapText="1"/>
    </xf>
    <xf numFmtId="0" fontId="255" fillId="6" borderId="25" xfId="0" applyNumberFormat="1" applyFont="1" applyFill="1" applyBorder="1" applyAlignment="1" applyProtection="1">
      <alignment horizontal="left" vertical="center" wrapText="1"/>
    </xf>
    <xf numFmtId="0" fontId="0" fillId="6" borderId="0" xfId="0" applyFill="1" applyAlignment="1">
      <alignment horizontal="left" vertical="center"/>
    </xf>
    <xf numFmtId="0" fontId="0" fillId="0" borderId="0" xfId="0" applyAlignment="1">
      <alignment horizontal="left" vertical="center"/>
    </xf>
    <xf numFmtId="0" fontId="121" fillId="6" borderId="0" xfId="0" applyFont="1" applyFill="1" applyAlignment="1" applyProtection="1">
      <alignment horizontal="left" vertical="center"/>
    </xf>
    <xf numFmtId="0" fontId="111" fillId="6" borderId="29" xfId="0" applyFont="1" applyFill="1" applyBorder="1" applyAlignment="1" applyProtection="1">
      <alignment horizontal="left" vertical="center"/>
    </xf>
    <xf numFmtId="0" fontId="111" fillId="6" borderId="40" xfId="0" applyFont="1" applyFill="1" applyBorder="1" applyAlignment="1" applyProtection="1">
      <alignment horizontal="left" vertical="center" wrapText="1"/>
    </xf>
    <xf numFmtId="0" fontId="111" fillId="6" borderId="13" xfId="0" applyFont="1" applyFill="1" applyBorder="1" applyAlignment="1" applyProtection="1">
      <alignment horizontal="left" vertical="center"/>
    </xf>
    <xf numFmtId="0" fontId="110" fillId="6" borderId="6" xfId="0" applyFont="1" applyFill="1" applyBorder="1" applyAlignment="1" applyProtection="1">
      <alignment horizontal="left" vertical="center" wrapText="1"/>
    </xf>
    <xf numFmtId="0" fontId="258" fillId="6" borderId="9" xfId="0" applyFont="1" applyFill="1" applyBorder="1" applyAlignment="1" applyProtection="1">
      <alignment horizontal="left" vertical="center" wrapText="1"/>
    </xf>
    <xf numFmtId="10" fontId="259" fillId="6" borderId="9" xfId="0" applyNumberFormat="1" applyFont="1" applyFill="1" applyBorder="1" applyAlignment="1">
      <alignment horizontal="left" vertical="center" wrapText="1"/>
    </xf>
    <xf numFmtId="10" fontId="259" fillId="6" borderId="10" xfId="0" applyNumberFormat="1" applyFont="1" applyFill="1" applyBorder="1" applyAlignment="1">
      <alignment horizontal="left" vertical="center" wrapText="1"/>
    </xf>
    <xf numFmtId="0" fontId="110" fillId="6" borderId="23" xfId="0" applyFont="1" applyFill="1" applyBorder="1" applyAlignment="1" applyProtection="1">
      <alignment horizontal="left" vertical="center" wrapText="1"/>
    </xf>
    <xf numFmtId="0" fontId="258" fillId="6" borderId="1" xfId="0" applyFont="1" applyFill="1" applyBorder="1" applyAlignment="1" applyProtection="1">
      <alignment horizontal="left" vertical="center" wrapText="1"/>
    </xf>
    <xf numFmtId="10" fontId="259" fillId="6" borderId="1" xfId="0" applyNumberFormat="1" applyFont="1" applyFill="1" applyBorder="1" applyAlignment="1">
      <alignment horizontal="left" vertical="center" wrapText="1"/>
    </xf>
    <xf numFmtId="10" fontId="259" fillId="6" borderId="24" xfId="0" applyNumberFormat="1" applyFont="1" applyFill="1" applyBorder="1" applyAlignment="1">
      <alignment horizontal="left" vertical="center" wrapText="1"/>
    </xf>
    <xf numFmtId="0" fontId="110" fillId="6" borderId="11" xfId="0" applyFont="1" applyFill="1" applyBorder="1" applyAlignment="1" applyProtection="1">
      <alignment horizontal="left" vertical="center" wrapText="1"/>
    </xf>
    <xf numFmtId="0" fontId="258" fillId="6" borderId="13" xfId="0" applyFont="1" applyFill="1" applyBorder="1" applyAlignment="1" applyProtection="1">
      <alignment horizontal="left" vertical="center" wrapText="1"/>
    </xf>
    <xf numFmtId="10" fontId="259"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59" fillId="6" borderId="61" xfId="0" applyNumberFormat="1" applyFont="1" applyFill="1" applyBorder="1" applyAlignment="1">
      <alignment horizontal="left" vertical="center" wrapText="1"/>
    </xf>
    <xf numFmtId="0" fontId="260" fillId="6" borderId="1" xfId="0" applyFont="1" applyFill="1" applyBorder="1" applyAlignment="1">
      <alignment horizontal="left" vertical="center" wrapText="1"/>
    </xf>
    <xf numFmtId="0" fontId="260" fillId="6" borderId="13" xfId="0" applyFont="1" applyFill="1" applyBorder="1" applyAlignment="1">
      <alignment horizontal="left" vertical="center" wrapText="1"/>
    </xf>
    <xf numFmtId="0" fontId="258" fillId="6" borderId="6" xfId="0" applyFont="1" applyFill="1" applyBorder="1" applyAlignment="1" applyProtection="1">
      <alignment horizontal="left" vertical="center" wrapText="1"/>
    </xf>
    <xf numFmtId="0" fontId="258" fillId="6" borderId="23" xfId="0" applyFont="1" applyFill="1" applyBorder="1" applyAlignment="1" applyProtection="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8" fillId="6" borderId="11" xfId="0" applyFont="1" applyFill="1" applyBorder="1" applyAlignment="1" applyProtection="1">
      <alignment horizontal="left" vertical="center" wrapText="1"/>
    </xf>
    <xf numFmtId="10" fontId="99"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99" fillId="6" borderId="1" xfId="0" applyNumberFormat="1" applyFont="1" applyFill="1" applyBorder="1" applyAlignment="1">
      <alignment horizontal="left" vertical="center" wrapText="1"/>
    </xf>
    <xf numFmtId="10" fontId="99" fillId="6" borderId="24" xfId="0" applyNumberFormat="1" applyFont="1" applyFill="1" applyBorder="1" applyAlignment="1">
      <alignment horizontal="left" vertical="center" wrapText="1"/>
    </xf>
    <xf numFmtId="10" fontId="99" fillId="6" borderId="61" xfId="0" applyNumberFormat="1" applyFont="1" applyFill="1" applyBorder="1" applyAlignment="1">
      <alignment horizontal="left" vertical="center" wrapText="1"/>
    </xf>
    <xf numFmtId="192" fontId="258" fillId="6" borderId="1" xfId="18" applyFont="1" applyFill="1" applyBorder="1" applyAlignment="1" applyProtection="1">
      <alignment horizontal="left" vertical="center" wrapText="1"/>
    </xf>
    <xf numFmtId="0" fontId="258" fillId="6" borderId="25" xfId="0" applyFont="1" applyFill="1" applyBorder="1" applyAlignment="1" applyProtection="1">
      <alignment horizontal="left" vertical="center" wrapText="1"/>
    </xf>
    <xf numFmtId="0" fontId="258" fillId="6" borderId="32" xfId="0" applyFont="1" applyFill="1" applyBorder="1" applyAlignment="1" applyProtection="1">
      <alignment horizontal="left" vertical="center" wrapText="1"/>
    </xf>
    <xf numFmtId="10" fontId="259" fillId="6" borderId="32" xfId="0" applyNumberFormat="1" applyFont="1" applyFill="1" applyBorder="1" applyAlignment="1">
      <alignment horizontal="left" vertical="center" wrapText="1"/>
    </xf>
    <xf numFmtId="10" fontId="259" fillId="6" borderId="49" xfId="0" applyNumberFormat="1" applyFont="1" applyFill="1" applyBorder="1" applyAlignment="1">
      <alignment horizontal="left" vertical="center" wrapText="1"/>
    </xf>
    <xf numFmtId="0" fontId="0" fillId="6" borderId="0" xfId="0" applyFill="1" applyAlignment="1" applyProtection="1">
      <alignment horizontal="left" vertical="center"/>
    </xf>
    <xf numFmtId="0" fontId="0" fillId="0" borderId="0" xfId="0" applyNumberFormat="1" applyAlignment="1">
      <alignment horizontal="left" vertical="center"/>
    </xf>
    <xf numFmtId="0" fontId="263" fillId="0" borderId="0" xfId="0" applyNumberFormat="1" applyFont="1" applyFill="1" applyAlignment="1">
      <alignment horizontal="left" vertical="center"/>
    </xf>
    <xf numFmtId="0" fontId="0" fillId="0" borderId="0" xfId="0" applyNumberFormat="1" applyFill="1" applyAlignment="1">
      <alignment horizontal="left" vertical="center"/>
    </xf>
    <xf numFmtId="0" fontId="95" fillId="0" borderId="0" xfId="0" applyNumberFormat="1" applyFont="1" applyFill="1" applyAlignment="1">
      <alignment horizontal="right" vertical="center"/>
    </xf>
    <xf numFmtId="0" fontId="264" fillId="0" borderId="1" xfId="0" applyNumberFormat="1" applyFont="1" applyFill="1" applyBorder="1" applyAlignment="1">
      <alignment horizontal="left" vertical="center"/>
    </xf>
    <xf numFmtId="0" fontId="264" fillId="0" borderId="1" xfId="0" applyNumberFormat="1" applyFont="1" applyFill="1" applyBorder="1" applyAlignment="1">
      <alignment horizontal="left" vertical="center" wrapText="1"/>
    </xf>
    <xf numFmtId="0" fontId="265" fillId="0" borderId="1" xfId="0" applyNumberFormat="1" applyFont="1" applyFill="1" applyBorder="1" applyAlignment="1">
      <alignment horizontal="left" vertical="center"/>
    </xf>
    <xf numFmtId="0" fontId="266" fillId="0" borderId="1" xfId="0" applyNumberFormat="1" applyFont="1" applyFill="1" applyBorder="1" applyAlignment="1">
      <alignment horizontal="left" vertical="center" wrapText="1"/>
    </xf>
    <xf numFmtId="49" fontId="98" fillId="6" borderId="14" xfId="0" applyNumberFormat="1" applyFont="1" applyFill="1" applyBorder="1" applyAlignment="1" applyProtection="1">
      <alignment vertical="center" wrapText="1"/>
    </xf>
    <xf numFmtId="49" fontId="53" fillId="6" borderId="14" xfId="0" applyNumberFormat="1" applyFont="1" applyFill="1" applyBorder="1" applyAlignment="1" applyProtection="1">
      <alignment vertical="center" wrapText="1"/>
    </xf>
    <xf numFmtId="0" fontId="98" fillId="6" borderId="0" xfId="0" applyNumberFormat="1" applyFont="1" applyFill="1" applyBorder="1" applyAlignment="1" applyProtection="1">
      <alignment horizontal="center" vertical="center"/>
    </xf>
    <xf numFmtId="0" fontId="98" fillId="6" borderId="0" xfId="0" applyNumberFormat="1" applyFont="1" applyFill="1" applyBorder="1" applyProtection="1">
      <alignment vertical="center"/>
    </xf>
    <xf numFmtId="10" fontId="53" fillId="6" borderId="0" xfId="0" applyNumberFormat="1" applyFont="1" applyFill="1" applyBorder="1" applyAlignment="1" applyProtection="1">
      <alignment vertical="center" wrapText="1"/>
    </xf>
    <xf numFmtId="49" fontId="53" fillId="6" borderId="12" xfId="0" applyNumberFormat="1" applyFont="1" applyFill="1" applyBorder="1" applyAlignment="1" applyProtection="1">
      <alignment vertical="center" wrapText="1"/>
    </xf>
    <xf numFmtId="49" fontId="80" fillId="6" borderId="26" xfId="0" applyNumberFormat="1" applyFont="1" applyFill="1" applyBorder="1" applyAlignment="1" applyProtection="1">
      <alignment horizontal="center" vertical="center" wrapText="1"/>
    </xf>
    <xf numFmtId="0" fontId="54" fillId="6" borderId="84" xfId="0" applyNumberFormat="1" applyFont="1" applyFill="1" applyBorder="1" applyAlignment="1" applyProtection="1">
      <alignment horizontal="left" vertical="center" wrapText="1"/>
    </xf>
    <xf numFmtId="0" fontId="53" fillId="0" borderId="34" xfId="0" applyNumberFormat="1" applyFont="1" applyFill="1" applyBorder="1" applyAlignment="1" applyProtection="1">
      <alignment horizontal="left" vertical="center" wrapText="1"/>
      <protection locked="0"/>
    </xf>
    <xf numFmtId="0" fontId="53" fillId="6" borderId="34" xfId="0" applyNumberFormat="1" applyFont="1" applyFill="1" applyBorder="1" applyAlignment="1" applyProtection="1">
      <alignment horizontal="left" vertical="center" wrapText="1"/>
    </xf>
    <xf numFmtId="0" fontId="19" fillId="6" borderId="3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wrapText="1"/>
      <protection locked="0"/>
    </xf>
    <xf numFmtId="0" fontId="53" fillId="6" borderId="65"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protection locked="0"/>
    </xf>
    <xf numFmtId="0" fontId="48" fillId="6" borderId="4" xfId="0" applyNumberFormat="1" applyFont="1" applyFill="1" applyBorder="1" applyAlignment="1" applyProtection="1">
      <alignment horizontal="left" vertical="center"/>
    </xf>
    <xf numFmtId="0" fontId="51" fillId="6" borderId="0" xfId="0" applyNumberFormat="1" applyFont="1" applyFill="1" applyAlignment="1" applyProtection="1">
      <alignment horizontal="left" vertical="center" wrapText="1"/>
    </xf>
    <xf numFmtId="0" fontId="53" fillId="6" borderId="0" xfId="0" applyNumberFormat="1" applyFont="1" applyFill="1" applyBorder="1" applyAlignment="1" applyProtection="1">
      <alignment horizontal="left" vertical="center" wrapText="1"/>
    </xf>
    <xf numFmtId="0" fontId="113" fillId="6" borderId="60" xfId="0" applyNumberFormat="1" applyFont="1" applyFill="1" applyBorder="1" applyAlignment="1" applyProtection="1">
      <alignment horizontal="left" vertical="center"/>
    </xf>
    <xf numFmtId="0" fontId="113" fillId="6" borderId="71" xfId="0" applyNumberFormat="1" applyFont="1" applyFill="1" applyBorder="1" applyAlignment="1" applyProtection="1">
      <alignment horizontal="left" vertical="center"/>
    </xf>
    <xf numFmtId="0" fontId="53" fillId="0" borderId="13" xfId="0" applyNumberFormat="1" applyFont="1" applyFill="1" applyBorder="1" applyAlignment="1" applyProtection="1">
      <alignment horizontal="left" vertical="center" wrapText="1"/>
      <protection locked="0"/>
    </xf>
    <xf numFmtId="0" fontId="53" fillId="0" borderId="61" xfId="0" applyNumberFormat="1" applyFont="1" applyFill="1" applyBorder="1" applyAlignment="1" applyProtection="1">
      <alignment horizontal="left" vertical="center" wrapText="1"/>
      <protection locked="0"/>
    </xf>
    <xf numFmtId="0" fontId="99" fillId="6" borderId="15" xfId="0" applyFont="1" applyFill="1" applyBorder="1" applyAlignment="1" applyProtection="1">
      <alignment horizontal="left" vertical="center" wrapText="1"/>
    </xf>
    <xf numFmtId="0" fontId="80" fillId="6" borderId="9" xfId="0" applyNumberFormat="1" applyFont="1" applyFill="1" applyBorder="1" applyAlignment="1" applyProtection="1">
      <alignment horizontal="left" vertical="center" wrapText="1"/>
    </xf>
    <xf numFmtId="0" fontId="19" fillId="6" borderId="9" xfId="0" applyNumberFormat="1" applyFont="1" applyFill="1" applyBorder="1" applyAlignment="1" applyProtection="1">
      <alignment horizontal="left" vertical="center" wrapText="1"/>
      <protection locked="0"/>
    </xf>
    <xf numFmtId="0" fontId="19" fillId="6" borderId="1" xfId="0" applyNumberFormat="1" applyFont="1" applyFill="1" applyBorder="1" applyAlignment="1" applyProtection="1">
      <alignment horizontal="left" vertical="center"/>
    </xf>
    <xf numFmtId="0" fontId="19" fillId="6" borderId="1" xfId="0" applyNumberFormat="1" applyFont="1" applyFill="1" applyBorder="1" applyAlignment="1" applyProtection="1">
      <alignment horizontal="left" vertical="center" wrapText="1"/>
    </xf>
    <xf numFmtId="0" fontId="54" fillId="6" borderId="2" xfId="0" applyFont="1" applyFill="1" applyBorder="1" applyAlignment="1" applyProtection="1">
      <alignment horizontal="center" vertical="center" wrapText="1"/>
    </xf>
    <xf numFmtId="0" fontId="53" fillId="5" borderId="2" xfId="0" applyFont="1" applyFill="1" applyBorder="1" applyAlignment="1" applyProtection="1">
      <alignment horizontal="center" vertical="center" wrapText="1"/>
      <protection locked="0"/>
    </xf>
    <xf numFmtId="0" fontId="53" fillId="5" borderId="4" xfId="0" applyFont="1" applyFill="1" applyBorder="1" applyAlignment="1" applyProtection="1">
      <alignment horizontal="center" vertical="center" wrapText="1"/>
      <protection locked="0"/>
    </xf>
    <xf numFmtId="0" fontId="53" fillId="6" borderId="1"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wrapText="1"/>
      <protection locked="0"/>
    </xf>
    <xf numFmtId="49" fontId="80" fillId="6" borderId="6"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left" vertical="center" wrapText="1"/>
      <protection locked="0"/>
    </xf>
    <xf numFmtId="0" fontId="53" fillId="6" borderId="10" xfId="0" applyNumberFormat="1" applyFont="1" applyFill="1" applyBorder="1" applyAlignment="1" applyProtection="1">
      <alignment horizontal="left" vertical="center" wrapText="1"/>
      <protection locked="0"/>
    </xf>
    <xf numFmtId="49" fontId="98" fillId="6" borderId="23" xfId="0" applyNumberFormat="1" applyFont="1" applyFill="1" applyBorder="1" applyAlignment="1" applyProtection="1">
      <alignment vertical="center" wrapText="1"/>
    </xf>
    <xf numFmtId="0" fontId="53" fillId="6" borderId="24" xfId="0" applyNumberFormat="1" applyFont="1" applyFill="1" applyBorder="1" applyAlignment="1" applyProtection="1">
      <alignment horizontal="left" vertical="center" wrapText="1"/>
      <protection locked="0"/>
    </xf>
    <xf numFmtId="49" fontId="98" fillId="6" borderId="25" xfId="0" applyNumberFormat="1" applyFont="1" applyFill="1" applyBorder="1" applyAlignment="1" applyProtection="1">
      <alignment vertical="center" wrapText="1"/>
    </xf>
    <xf numFmtId="0" fontId="99" fillId="6" borderId="32" xfId="0" applyFont="1" applyFill="1" applyBorder="1" applyAlignment="1" applyProtection="1">
      <alignment horizontal="left" vertical="center" wrapText="1"/>
    </xf>
    <xf numFmtId="0" fontId="53" fillId="6" borderId="32" xfId="0" applyNumberFormat="1" applyFont="1" applyFill="1" applyBorder="1" applyAlignment="1" applyProtection="1">
      <alignment horizontal="left" vertical="center" wrapText="1"/>
      <protection locked="0"/>
    </xf>
    <xf numFmtId="0" fontId="53" fillId="0" borderId="32" xfId="0" applyNumberFormat="1" applyFont="1" applyFill="1" applyBorder="1" applyAlignment="1" applyProtection="1">
      <alignment horizontal="left" vertical="center" wrapText="1"/>
      <protection locked="0"/>
    </xf>
    <xf numFmtId="0" fontId="19" fillId="6" borderId="32" xfId="0" applyNumberFormat="1" applyFont="1" applyFill="1" applyBorder="1" applyAlignment="1" applyProtection="1">
      <alignment horizontal="left" vertical="center" wrapText="1"/>
      <protection locked="0"/>
    </xf>
    <xf numFmtId="0" fontId="53" fillId="6" borderId="49" xfId="0" applyNumberFormat="1" applyFont="1" applyFill="1" applyBorder="1" applyAlignment="1" applyProtection="1">
      <alignment horizontal="left" vertical="center" wrapText="1"/>
      <protection locked="0"/>
    </xf>
    <xf numFmtId="0" fontId="53" fillId="6" borderId="28" xfId="0" applyFont="1" applyFill="1" applyBorder="1" applyAlignment="1" applyProtection="1">
      <alignment vertical="center" wrapText="1"/>
    </xf>
    <xf numFmtId="0" fontId="53" fillId="6" borderId="30" xfId="0" applyFont="1" applyFill="1" applyBorder="1" applyAlignment="1" applyProtection="1">
      <alignment vertical="center" wrapText="1"/>
    </xf>
    <xf numFmtId="0" fontId="53" fillId="5" borderId="84" xfId="8" applyFont="1" applyFill="1" applyBorder="1" applyAlignment="1" applyProtection="1">
      <alignment horizontal="center" vertical="center" wrapText="1"/>
      <protection locked="0"/>
    </xf>
    <xf numFmtId="10" fontId="53" fillId="6" borderId="64"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77" fillId="6" borderId="5" xfId="0" applyFont="1" applyFill="1" applyBorder="1" applyAlignment="1" applyProtection="1">
      <alignment vertical="center"/>
    </xf>
    <xf numFmtId="0" fontId="19" fillId="6" borderId="20" xfId="0" applyFont="1" applyFill="1" applyBorder="1" applyAlignment="1" applyProtection="1">
      <alignment vertical="center"/>
    </xf>
    <xf numFmtId="0" fontId="53" fillId="6" borderId="24"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xf>
    <xf numFmtId="0" fontId="53" fillId="7" borderId="0" xfId="0" applyNumberFormat="1" applyFont="1" applyFill="1" applyAlignment="1" applyProtection="1">
      <alignment horizontal="left" vertical="center" wrapText="1"/>
    </xf>
    <xf numFmtId="0" fontId="53" fillId="6" borderId="6" xfId="0" applyFont="1" applyFill="1" applyBorder="1" applyAlignment="1" applyProtection="1">
      <alignment horizontal="left" vertical="center" wrapText="1"/>
    </xf>
    <xf numFmtId="0" fontId="53" fillId="6" borderId="9" xfId="0" applyFont="1" applyFill="1" applyBorder="1" applyAlignment="1" applyProtection="1">
      <alignment horizontal="left" vertical="center" wrapText="1"/>
    </xf>
    <xf numFmtId="0" fontId="53" fillId="6" borderId="23" xfId="0" applyFont="1" applyFill="1" applyBorder="1" applyAlignment="1" applyProtection="1">
      <alignment horizontal="left" vertical="center" wrapText="1"/>
    </xf>
    <xf numFmtId="9" fontId="53" fillId="6" borderId="25" xfId="0" applyNumberFormat="1" applyFont="1" applyFill="1" applyBorder="1" applyAlignment="1" applyProtection="1">
      <alignment horizontal="left" vertical="center" wrapText="1"/>
    </xf>
    <xf numFmtId="10" fontId="19" fillId="7" borderId="10" xfId="0" applyNumberFormat="1" applyFont="1" applyFill="1" applyBorder="1" applyAlignment="1" applyProtection="1">
      <alignment horizontal="left" vertical="center" wrapText="1"/>
      <protection locked="0"/>
    </xf>
    <xf numFmtId="10" fontId="53" fillId="7" borderId="49" xfId="0" applyNumberFormat="1" applyFont="1" applyFill="1" applyBorder="1" applyAlignment="1" applyProtection="1">
      <alignment horizontal="left" vertical="center" wrapText="1"/>
      <protection locked="0"/>
    </xf>
    <xf numFmtId="0" fontId="53" fillId="7" borderId="0" xfId="0" applyNumberFormat="1" applyFont="1" applyFill="1" applyAlignment="1" applyProtection="1">
      <alignment horizontal="left" vertical="center" wrapText="1"/>
      <protection locked="0"/>
    </xf>
    <xf numFmtId="0" fontId="53" fillId="6" borderId="32"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protection locked="0"/>
    </xf>
    <xf numFmtId="0" fontId="53" fillId="6" borderId="23" xfId="0" applyNumberFormat="1" applyFont="1" applyFill="1" applyBorder="1" applyAlignment="1" applyProtection="1">
      <alignment horizontal="left" vertical="center"/>
    </xf>
    <xf numFmtId="0" fontId="58" fillId="6" borderId="1" xfId="8" applyNumberFormat="1" applyFont="1" applyFill="1" applyBorder="1" applyAlignment="1" applyProtection="1">
      <alignment horizontal="left" vertical="center" wrapText="1"/>
    </xf>
    <xf numFmtId="0" fontId="99" fillId="6" borderId="1" xfId="8" applyNumberFormat="1" applyFont="1" applyFill="1" applyBorder="1" applyAlignment="1" applyProtection="1">
      <alignment horizontal="left" vertical="center"/>
    </xf>
    <xf numFmtId="0" fontId="113" fillId="0" borderId="1" xfId="8" applyNumberFormat="1" applyFont="1" applyFill="1" applyBorder="1" applyAlignment="1" applyProtection="1">
      <alignment horizontal="left" vertical="center"/>
      <protection locked="0"/>
    </xf>
    <xf numFmtId="0" fontId="113" fillId="6" borderId="1" xfId="8" applyNumberFormat="1" applyFont="1" applyFill="1" applyBorder="1" applyAlignment="1" applyProtection="1">
      <alignment horizontal="left" vertical="center"/>
    </xf>
    <xf numFmtId="0" fontId="113" fillId="6" borderId="1" xfId="8" applyNumberFormat="1" applyFont="1" applyFill="1" applyBorder="1" applyAlignment="1" applyProtection="1">
      <alignment horizontal="left" vertical="center" wrapText="1"/>
    </xf>
    <xf numFmtId="0" fontId="99" fillId="6" borderId="1" xfId="0" applyNumberFormat="1" applyFont="1" applyFill="1" applyBorder="1" applyAlignment="1" applyProtection="1">
      <alignment horizontal="left" vertical="center" wrapText="1"/>
    </xf>
    <xf numFmtId="9" fontId="99" fillId="6" borderId="1" xfId="17" applyFont="1" applyFill="1" applyBorder="1" applyAlignment="1" applyProtection="1">
      <alignment horizontal="left" vertical="center" wrapText="1"/>
    </xf>
    <xf numFmtId="9" fontId="99" fillId="6" borderId="32" xfId="17" applyFont="1" applyFill="1" applyBorder="1" applyAlignment="1" applyProtection="1">
      <alignment horizontal="left" vertical="center" wrapText="1"/>
    </xf>
    <xf numFmtId="0" fontId="122" fillId="6" borderId="23" xfId="0" applyNumberFormat="1" applyFont="1" applyFill="1" applyBorder="1" applyAlignment="1" applyProtection="1">
      <alignment horizontal="left" vertical="center" wrapText="1"/>
    </xf>
    <xf numFmtId="0" fontId="99" fillId="6" borderId="0" xfId="0" applyNumberFormat="1"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protection locked="0"/>
    </xf>
    <xf numFmtId="10" fontId="99" fillId="6" borderId="0" xfId="0" applyNumberFormat="1" applyFont="1" applyFill="1" applyBorder="1" applyAlignment="1" applyProtection="1">
      <alignment horizontal="center" vertical="center" wrapText="1"/>
    </xf>
    <xf numFmtId="10" fontId="98" fillId="0" borderId="0" xfId="0" applyNumberFormat="1" applyFont="1" applyBorder="1" applyAlignment="1" applyProtection="1">
      <alignment horizontal="center" vertical="center"/>
      <protection locked="0"/>
    </xf>
    <xf numFmtId="10" fontId="98" fillId="6" borderId="0" xfId="0" applyNumberFormat="1" applyFont="1" applyFill="1" applyBorder="1" applyAlignment="1" applyProtection="1">
      <alignment horizontal="center" vertical="center"/>
    </xf>
    <xf numFmtId="9" fontId="99" fillId="6" borderId="0" xfId="17" applyFont="1" applyFill="1" applyBorder="1" applyAlignment="1" applyProtection="1">
      <alignment horizontal="left" vertical="center" wrapText="1"/>
    </xf>
    <xf numFmtId="10" fontId="51" fillId="6" borderId="0" xfId="0" applyNumberFormat="1" applyFont="1" applyFill="1" applyBorder="1" applyAlignment="1" applyProtection="1">
      <alignment horizontal="center" vertical="center" wrapText="1"/>
    </xf>
    <xf numFmtId="0" fontId="109" fillId="6" borderId="51" xfId="0" applyNumberFormat="1" applyFont="1" applyFill="1" applyBorder="1" applyAlignment="1" applyProtection="1">
      <alignment horizontal="left" vertical="center"/>
    </xf>
    <xf numFmtId="0" fontId="204" fillId="6" borderId="19" xfId="0" applyNumberFormat="1" applyFont="1" applyFill="1" applyBorder="1" applyAlignment="1" applyProtection="1">
      <alignment horizontal="left" vertical="center" wrapText="1"/>
    </xf>
    <xf numFmtId="0" fontId="99" fillId="6" borderId="23" xfId="0" applyNumberFormat="1" applyFont="1" applyFill="1" applyBorder="1" applyAlignment="1" applyProtection="1">
      <alignment horizontal="left" vertical="center" wrapText="1"/>
    </xf>
    <xf numFmtId="0" fontId="99" fillId="6" borderId="25" xfId="0" applyNumberFormat="1" applyFont="1" applyFill="1" applyBorder="1" applyAlignment="1" applyProtection="1">
      <alignment horizontal="left" vertical="center" wrapText="1"/>
    </xf>
    <xf numFmtId="0" fontId="113" fillId="6" borderId="58" xfId="0" applyNumberFormat="1" applyFont="1" applyFill="1" applyBorder="1" applyAlignment="1" applyProtection="1">
      <alignment horizontal="left" vertical="center" wrapText="1"/>
    </xf>
    <xf numFmtId="0" fontId="53" fillId="6" borderId="61" xfId="0" applyNumberFormat="1" applyFont="1" applyFill="1" applyBorder="1" applyAlignment="1" applyProtection="1">
      <alignment horizontal="left" vertical="center" wrapText="1"/>
    </xf>
    <xf numFmtId="0" fontId="53" fillId="6" borderId="53" xfId="0" applyNumberFormat="1" applyFont="1" applyFill="1" applyBorder="1" applyAlignment="1" applyProtection="1">
      <alignment horizontal="left" vertical="center" wrapText="1"/>
    </xf>
    <xf numFmtId="0" fontId="53" fillId="6" borderId="76" xfId="0" applyNumberFormat="1" applyFont="1" applyFill="1" applyBorder="1" applyAlignment="1" applyProtection="1">
      <alignment horizontal="left" vertical="center" wrapText="1"/>
    </xf>
    <xf numFmtId="0" fontId="168" fillId="0" borderId="1" xfId="0" applyNumberFormat="1" applyFont="1" applyFill="1" applyBorder="1" applyAlignment="1" applyProtection="1">
      <alignment horizontal="left" vertical="center" wrapText="1"/>
      <protection locked="0"/>
    </xf>
    <xf numFmtId="0" fontId="168" fillId="0" borderId="13" xfId="0" applyNumberFormat="1" applyFont="1" applyFill="1" applyBorder="1" applyAlignment="1" applyProtection="1">
      <alignment horizontal="left" vertical="center" wrapText="1"/>
      <protection locked="0"/>
    </xf>
    <xf numFmtId="49" fontId="99" fillId="6" borderId="0" xfId="0" applyNumberFormat="1" applyFont="1" applyFill="1" applyBorder="1" applyAlignment="1" applyProtection="1">
      <alignment horizontal="center" vertical="center" wrapText="1"/>
    </xf>
    <xf numFmtId="0" fontId="113" fillId="6" borderId="1" xfId="0" applyNumberFormat="1" applyFont="1" applyFill="1" applyBorder="1" applyAlignment="1" applyProtection="1">
      <alignment horizontal="left" vertical="center" wrapText="1"/>
    </xf>
    <xf numFmtId="0" fontId="44" fillId="6" borderId="1" xfId="0" applyNumberFormat="1" applyFont="1" applyFill="1" applyBorder="1" applyAlignment="1" applyProtection="1">
      <alignment horizontal="left" vertical="center" wrapText="1"/>
    </xf>
    <xf numFmtId="0" fontId="102" fillId="6" borderId="0" xfId="0" applyNumberFormat="1" applyFont="1" applyFill="1" applyAlignment="1" applyProtection="1">
      <alignment horizontal="left" vertical="center"/>
    </xf>
    <xf numFmtId="0" fontId="99" fillId="6" borderId="5" xfId="0" applyNumberFormat="1" applyFont="1" applyFill="1" applyBorder="1" applyAlignment="1" applyProtection="1">
      <alignment horizontal="left" vertical="center"/>
    </xf>
    <xf numFmtId="0" fontId="99" fillId="6" borderId="54" xfId="0" applyNumberFormat="1" applyFont="1" applyFill="1" applyBorder="1" applyAlignment="1" applyProtection="1">
      <alignment horizontal="left" vertical="center"/>
    </xf>
    <xf numFmtId="0" fontId="99" fillId="6" borderId="3" xfId="0" applyNumberFormat="1" applyFont="1" applyFill="1" applyBorder="1" applyAlignment="1" applyProtection="1">
      <alignment horizontal="left" vertical="center"/>
    </xf>
    <xf numFmtId="0" fontId="99" fillId="6" borderId="0" xfId="0" applyNumberFormat="1" applyFont="1" applyFill="1" applyBorder="1" applyAlignment="1" applyProtection="1">
      <alignment horizontal="left" vertical="center"/>
    </xf>
    <xf numFmtId="0" fontId="99" fillId="6" borderId="1" xfId="0" applyNumberFormat="1" applyFont="1" applyFill="1" applyBorder="1" applyAlignment="1" applyProtection="1">
      <alignment horizontal="left" vertical="center"/>
    </xf>
    <xf numFmtId="0" fontId="113" fillId="6" borderId="1"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0" borderId="0" xfId="0" applyNumberFormat="1" applyFont="1" applyAlignment="1" applyProtection="1">
      <alignment horizontal="left" vertical="center" wrapText="1"/>
      <protection locked="0"/>
    </xf>
    <xf numFmtId="0" fontId="53" fillId="6" borderId="15" xfId="0" applyNumberFormat="1" applyFont="1" applyFill="1" applyBorder="1" applyAlignment="1" applyProtection="1">
      <alignment horizontal="left" vertical="center" wrapText="1"/>
    </xf>
    <xf numFmtId="0" fontId="53" fillId="6" borderId="17" xfId="0" applyNumberFormat="1" applyFont="1" applyFill="1" applyBorder="1" applyAlignment="1" applyProtection="1">
      <alignment horizontal="left" vertical="center" wrapText="1"/>
    </xf>
    <xf numFmtId="0" fontId="113" fillId="6" borderId="19" xfId="0" applyNumberFormat="1" applyFont="1" applyFill="1" applyBorder="1" applyAlignment="1" applyProtection="1">
      <alignment horizontal="left" vertical="center" wrapText="1"/>
    </xf>
    <xf numFmtId="0" fontId="170" fillId="6"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53" fillId="6" borderId="16" xfId="0" applyNumberFormat="1" applyFont="1" applyFill="1" applyBorder="1" applyAlignment="1" applyProtection="1">
      <alignment horizontal="left" vertical="center" wrapText="1"/>
    </xf>
    <xf numFmtId="0" fontId="53" fillId="6" borderId="9"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wrapText="1"/>
    </xf>
    <xf numFmtId="0" fontId="53" fillId="6" borderId="17" xfId="3" applyNumberFormat="1" applyFont="1" applyFill="1" applyBorder="1" applyAlignment="1" applyProtection="1">
      <alignment horizontal="left" vertical="center"/>
    </xf>
    <xf numFmtId="0" fontId="53" fillId="6" borderId="62" xfId="3" applyNumberFormat="1" applyFont="1" applyFill="1" applyBorder="1" applyAlignment="1" applyProtection="1">
      <alignment horizontal="left" vertical="center"/>
    </xf>
    <xf numFmtId="0" fontId="53" fillId="6" borderId="23" xfId="0" applyNumberFormat="1" applyFont="1" applyFill="1" applyBorder="1" applyAlignment="1" applyProtection="1">
      <alignment horizontal="left" vertical="center" wrapText="1"/>
    </xf>
    <xf numFmtId="0" fontId="113" fillId="6" borderId="24" xfId="0" applyNumberFormat="1" applyFont="1" applyFill="1" applyBorder="1" applyAlignment="1" applyProtection="1">
      <alignment horizontal="left" vertical="center" wrapText="1"/>
    </xf>
    <xf numFmtId="0" fontId="53" fillId="6" borderId="25" xfId="0" applyNumberFormat="1" applyFont="1" applyFill="1" applyBorder="1" applyAlignment="1" applyProtection="1">
      <alignment horizontal="left" vertical="center" wrapText="1"/>
    </xf>
    <xf numFmtId="0" fontId="113" fillId="6" borderId="32" xfId="0" applyNumberFormat="1" applyFont="1" applyFill="1" applyBorder="1" applyAlignment="1" applyProtection="1">
      <alignment horizontal="left" vertical="center" wrapText="1"/>
    </xf>
    <xf numFmtId="0" fontId="113" fillId="6" borderId="49" xfId="0" applyNumberFormat="1" applyFont="1" applyFill="1" applyBorder="1" applyAlignment="1" applyProtection="1">
      <alignment horizontal="left" vertical="center" wrapText="1"/>
    </xf>
    <xf numFmtId="0" fontId="19" fillId="0" borderId="0" xfId="0" applyNumberFormat="1" applyFont="1" applyAlignment="1" applyProtection="1">
      <alignment horizontal="left" vertical="center" wrapText="1"/>
    </xf>
    <xf numFmtId="179" fontId="113" fillId="6" borderId="15" xfId="0" applyNumberFormat="1" applyFont="1" applyFill="1" applyBorder="1" applyAlignment="1" applyProtection="1">
      <alignment horizontal="left" vertical="center" wrapText="1"/>
    </xf>
    <xf numFmtId="177" fontId="77" fillId="0" borderId="1" xfId="1" applyNumberFormat="1" applyFont="1" applyFill="1" applyBorder="1" applyAlignment="1" applyProtection="1">
      <alignment vertical="center"/>
      <protection locked="0" hidden="1"/>
    </xf>
    <xf numFmtId="177" fontId="128" fillId="0" borderId="1" xfId="1" applyNumberFormat="1" applyFont="1" applyFill="1" applyBorder="1" applyAlignment="1" applyProtection="1">
      <alignment vertical="center"/>
      <protection locked="0"/>
    </xf>
    <xf numFmtId="0" fontId="58" fillId="0" borderId="1" xfId="8" applyFont="1" applyFill="1" applyBorder="1" applyAlignment="1" applyProtection="1">
      <alignment horizontal="center" vertical="center" wrapText="1"/>
    </xf>
    <xf numFmtId="0" fontId="19" fillId="5" borderId="1" xfId="0" applyNumberFormat="1" applyFont="1" applyFill="1" applyBorder="1" applyAlignment="1" applyProtection="1">
      <alignment vertical="center" wrapText="1"/>
      <protection locked="0"/>
    </xf>
    <xf numFmtId="10" fontId="98" fillId="6" borderId="1" xfId="17" applyNumberFormat="1" applyFont="1" applyFill="1" applyBorder="1" applyAlignment="1" applyProtection="1">
      <alignment horizontal="left" vertical="center"/>
    </xf>
    <xf numFmtId="0" fontId="53" fillId="5" borderId="1" xfId="0" applyNumberFormat="1" applyFont="1" applyFill="1" applyBorder="1" applyAlignment="1" applyProtection="1">
      <alignment horizontal="left" vertical="center" wrapText="1"/>
      <protection locked="0"/>
    </xf>
    <xf numFmtId="0" fontId="47" fillId="5" borderId="13" xfId="0" applyFont="1" applyFill="1" applyBorder="1" applyAlignment="1" applyProtection="1">
      <alignment horizontal="left" vertical="center" wrapText="1"/>
      <protection locked="0"/>
    </xf>
    <xf numFmtId="186" fontId="57" fillId="6" borderId="1" xfId="1" applyNumberFormat="1" applyFont="1" applyFill="1" applyBorder="1" applyAlignment="1" applyProtection="1">
      <alignment horizontal="right" vertical="center"/>
    </xf>
    <xf numFmtId="186" fontId="52" fillId="6" borderId="1" xfId="0" applyNumberFormat="1" applyFont="1" applyFill="1" applyBorder="1" applyAlignment="1" applyProtection="1">
      <alignment horizontal="right" vertical="center"/>
    </xf>
    <xf numFmtId="0" fontId="62" fillId="5" borderId="118" xfId="0" applyFont="1" applyFill="1" applyBorder="1" applyAlignment="1" applyProtection="1">
      <alignment vertical="center"/>
      <protection locked="0"/>
    </xf>
    <xf numFmtId="186" fontId="57" fillId="6" borderId="2" xfId="0" applyNumberFormat="1" applyFont="1" applyFill="1" applyBorder="1" applyAlignment="1" applyProtection="1">
      <alignment horizontal="right" vertical="center"/>
    </xf>
    <xf numFmtId="179" fontId="44" fillId="0" borderId="23" xfId="0" applyNumberFormat="1" applyFont="1" applyBorder="1" applyAlignment="1" applyProtection="1">
      <alignment horizontal="center" vertical="center"/>
      <protection locked="0"/>
    </xf>
    <xf numFmtId="179" fontId="47" fillId="0" borderId="23" xfId="0" applyNumberFormat="1" applyFont="1" applyBorder="1" applyAlignment="1" applyProtection="1">
      <alignment horizontal="center" vertical="center"/>
      <protection locked="0"/>
    </xf>
    <xf numFmtId="179" fontId="44" fillId="0" borderId="23" xfId="0" applyNumberFormat="1" applyFont="1" applyBorder="1" applyAlignment="1" applyProtection="1">
      <alignment vertical="center"/>
      <protection locked="0"/>
    </xf>
    <xf numFmtId="0" fontId="138" fillId="7" borderId="0" xfId="0" applyFont="1" applyFill="1" applyAlignment="1" applyProtection="1">
      <protection locked="0"/>
    </xf>
    <xf numFmtId="0" fontId="77" fillId="6" borderId="0" xfId="0" applyFont="1" applyFill="1" applyAlignment="1" applyProtection="1">
      <protection locked="0"/>
    </xf>
    <xf numFmtId="0" fontId="62" fillId="5" borderId="88" xfId="0" applyFont="1" applyFill="1" applyBorder="1" applyAlignment="1" applyProtection="1">
      <alignment vertical="center"/>
      <protection locked="0"/>
    </xf>
    <xf numFmtId="176" fontId="44" fillId="0" borderId="23" xfId="0" applyNumberFormat="1" applyFont="1" applyFill="1" applyBorder="1" applyAlignment="1" applyProtection="1">
      <alignment horizontal="center" vertical="center" wrapText="1"/>
      <protection locked="0"/>
    </xf>
    <xf numFmtId="176" fontId="44" fillId="0" borderId="3" xfId="0" applyNumberFormat="1" applyFont="1" applyFill="1" applyBorder="1" applyAlignment="1" applyProtection="1">
      <alignment horizontal="center" vertical="center" wrapText="1"/>
      <protection locked="0"/>
    </xf>
    <xf numFmtId="0" fontId="143" fillId="11" borderId="125" xfId="9" applyFont="1" applyFill="1" applyBorder="1" applyAlignment="1" applyProtection="1">
      <alignment horizontal="left" vertical="center" wrapText="1"/>
    </xf>
    <xf numFmtId="0" fontId="108" fillId="6" borderId="16" xfId="0" applyNumberFormat="1" applyFont="1" applyFill="1" applyBorder="1" applyAlignment="1" applyProtection="1">
      <alignment horizontal="left" vertical="center"/>
    </xf>
    <xf numFmtId="0" fontId="0" fillId="6" borderId="0" xfId="0" applyNumberFormat="1" applyFill="1" applyAlignment="1" applyProtection="1">
      <alignment horizontal="left" vertical="center"/>
    </xf>
    <xf numFmtId="0" fontId="246" fillId="6" borderId="1" xfId="0" applyNumberFormat="1" applyFont="1" applyFill="1" applyBorder="1" applyAlignment="1" applyProtection="1">
      <alignment horizontal="left" vertical="center"/>
    </xf>
    <xf numFmtId="0" fontId="95" fillId="6" borderId="1" xfId="0" applyNumberFormat="1" applyFont="1" applyFill="1" applyBorder="1" applyAlignment="1" applyProtection="1">
      <alignment horizontal="left" vertical="center"/>
    </xf>
    <xf numFmtId="0" fontId="160" fillId="12" borderId="1" xfId="12" applyFont="1" applyFill="1" applyBorder="1" applyAlignment="1" applyProtection="1">
      <alignment horizontal="left" vertical="center" wrapText="1"/>
      <protection locked="0"/>
    </xf>
    <xf numFmtId="9" fontId="159" fillId="12" borderId="1" xfId="12" applyNumberFormat="1" applyFill="1" applyBorder="1" applyAlignment="1" applyProtection="1">
      <alignment horizontal="left"/>
      <protection locked="0"/>
    </xf>
    <xf numFmtId="0" fontId="53" fillId="5" borderId="0" xfId="4" applyFont="1" applyFill="1" applyBorder="1" applyAlignment="1" applyProtection="1">
      <alignment vertical="center"/>
      <protection locked="0"/>
    </xf>
    <xf numFmtId="176" fontId="53" fillId="0" borderId="0" xfId="4" applyNumberFormat="1" applyFont="1" applyFill="1" applyBorder="1" applyAlignment="1" applyProtection="1">
      <protection locked="0"/>
    </xf>
    <xf numFmtId="0" fontId="159" fillId="6" borderId="1" xfId="12" applyFill="1" applyBorder="1" applyAlignment="1" applyProtection="1">
      <alignment horizontal="left"/>
    </xf>
    <xf numFmtId="0" fontId="53" fillId="5" borderId="65" xfId="0" applyFont="1" applyFill="1" applyBorder="1" applyAlignment="1" applyProtection="1">
      <alignment vertical="center" wrapText="1"/>
      <protection locked="0"/>
    </xf>
    <xf numFmtId="10" fontId="53" fillId="7" borderId="0" xfId="0" applyNumberFormat="1" applyFont="1" applyFill="1" applyAlignment="1" applyProtection="1">
      <alignment horizontal="left" vertical="center" wrapText="1"/>
      <protection locked="0"/>
    </xf>
    <xf numFmtId="0" fontId="268" fillId="0" borderId="0" xfId="9" applyNumberFormat="1" applyFont="1" applyAlignment="1" applyProtection="1">
      <alignment vertical="center"/>
    </xf>
    <xf numFmtId="10" fontId="99" fillId="0" borderId="0" xfId="9" applyNumberFormat="1" applyFont="1" applyFill="1" applyBorder="1" applyAlignment="1" applyProtection="1">
      <alignment horizontal="left" vertical="center"/>
    </xf>
    <xf numFmtId="0" fontId="107" fillId="0" borderId="1" xfId="0" applyFont="1" applyBorder="1" applyAlignment="1">
      <alignment horizontal="center" vertical="center" wrapText="1"/>
    </xf>
    <xf numFmtId="0" fontId="107" fillId="0" borderId="0" xfId="0" applyFont="1"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139" fillId="9" borderId="1" xfId="0" applyFont="1" applyFill="1" applyBorder="1" applyAlignment="1" applyProtection="1">
      <alignment horizontal="center" vertical="center"/>
    </xf>
    <xf numFmtId="177" fontId="139" fillId="9" borderId="1" xfId="1" applyNumberFormat="1" applyFont="1" applyFill="1" applyBorder="1" applyAlignment="1" applyProtection="1">
      <alignment horizontal="center"/>
    </xf>
    <xf numFmtId="10" fontId="139" fillId="9" borderId="1" xfId="0" applyNumberFormat="1" applyFont="1" applyFill="1" applyBorder="1" applyAlignment="1" applyProtection="1">
      <alignment horizontal="center" vertical="center"/>
    </xf>
    <xf numFmtId="0" fontId="107" fillId="0" borderId="0" xfId="0" applyFont="1" applyAlignment="1"/>
    <xf numFmtId="14" fontId="269" fillId="22" borderId="0" xfId="0" applyNumberFormat="1" applyFont="1" applyFill="1" applyAlignment="1"/>
    <xf numFmtId="0" fontId="269" fillId="0" borderId="0" xfId="0" applyFont="1" applyAlignment="1"/>
    <xf numFmtId="14" fontId="269" fillId="0" borderId="0" xfId="0" applyNumberFormat="1" applyFont="1" applyAlignment="1"/>
    <xf numFmtId="14" fontId="269" fillId="23" borderId="0" xfId="0" applyNumberFormat="1" applyFont="1" applyFill="1" applyAlignment="1"/>
    <xf numFmtId="14" fontId="269" fillId="7" borderId="0" xfId="0" applyNumberFormat="1" applyFont="1" applyFill="1" applyAlignment="1"/>
    <xf numFmtId="14" fontId="107" fillId="0" borderId="0" xfId="0" applyNumberFormat="1" applyFont="1" applyAlignment="1"/>
    <xf numFmtId="0" fontId="107" fillId="15" borderId="0" xfId="0" applyFont="1" applyFill="1" applyAlignment="1"/>
    <xf numFmtId="49" fontId="222" fillId="0" borderId="10" xfId="0" applyNumberFormat="1" applyFont="1" applyFill="1" applyBorder="1" applyAlignment="1" applyProtection="1">
      <alignment vertical="center" wrapText="1"/>
      <protection locked="0"/>
    </xf>
    <xf numFmtId="0" fontId="222" fillId="0" borderId="24" xfId="0" applyFont="1" applyBorder="1" applyAlignment="1" applyProtection="1">
      <alignment vertical="center" wrapText="1"/>
      <protection locked="0"/>
    </xf>
    <xf numFmtId="49" fontId="222" fillId="0" borderId="24" xfId="0" applyNumberFormat="1" applyFont="1" applyFill="1" applyBorder="1" applyAlignment="1" applyProtection="1">
      <alignment vertical="center" wrapText="1"/>
      <protection locked="0"/>
    </xf>
    <xf numFmtId="0" fontId="128" fillId="0" borderId="44" xfId="0" applyNumberFormat="1" applyFont="1" applyFill="1" applyBorder="1" applyAlignment="1" applyProtection="1">
      <alignment horizontal="center" vertical="center" wrapText="1"/>
      <protection locked="0"/>
    </xf>
    <xf numFmtId="0" fontId="94" fillId="0" borderId="44" xfId="0" applyNumberFormat="1" applyFont="1" applyFill="1" applyBorder="1" applyAlignment="1" applyProtection="1">
      <alignment horizontal="center" vertical="center" wrapText="1"/>
      <protection locked="0"/>
    </xf>
    <xf numFmtId="49" fontId="68" fillId="12" borderId="0" xfId="0" applyNumberFormat="1" applyFont="1" applyFill="1" applyBorder="1" applyAlignment="1" applyProtection="1">
      <alignment horizontal="center" vertical="center" wrapText="1"/>
      <protection locked="0"/>
    </xf>
    <xf numFmtId="49" fontId="44" fillId="12" borderId="0" xfId="0" applyNumberFormat="1" applyFont="1" applyFill="1" applyBorder="1" applyAlignment="1" applyProtection="1">
      <alignment horizontal="center" vertical="center" wrapText="1"/>
      <protection locked="0"/>
    </xf>
    <xf numFmtId="49" fontId="49" fillId="12" borderId="0" xfId="0" applyNumberFormat="1" applyFont="1" applyFill="1" applyBorder="1" applyAlignment="1" applyProtection="1">
      <alignment horizontal="center" vertical="center" wrapText="1"/>
      <protection locked="0"/>
    </xf>
    <xf numFmtId="49" fontId="51" fillId="12" borderId="0" xfId="0" applyNumberFormat="1" applyFont="1" applyFill="1" applyBorder="1" applyAlignment="1" applyProtection="1">
      <alignment vertical="center" wrapText="1"/>
      <protection locked="0"/>
    </xf>
    <xf numFmtId="49" fontId="44" fillId="12" borderId="1" xfId="0" applyNumberFormat="1" applyFont="1" applyFill="1" applyBorder="1" applyAlignment="1" applyProtection="1">
      <alignment vertical="center" wrapText="1"/>
      <protection locked="0"/>
    </xf>
    <xf numFmtId="0" fontId="51" fillId="12" borderId="1" xfId="0" applyFont="1" applyFill="1" applyBorder="1" applyAlignment="1" applyProtection="1">
      <alignment horizontal="center" vertical="center"/>
      <protection locked="0"/>
    </xf>
    <xf numFmtId="49" fontId="68" fillId="12" borderId="1" xfId="0" applyNumberFormat="1" applyFont="1" applyFill="1" applyBorder="1" applyAlignment="1" applyProtection="1">
      <alignment horizontal="center" vertical="center" wrapText="1"/>
      <protection locked="0"/>
    </xf>
    <xf numFmtId="181" fontId="51" fillId="0" borderId="1" xfId="0" applyNumberFormat="1" applyFont="1" applyFill="1" applyBorder="1" applyAlignment="1" applyProtection="1">
      <alignment horizontal="center" vertical="center"/>
      <protection locked="0"/>
    </xf>
    <xf numFmtId="0" fontId="100" fillId="12" borderId="1" xfId="0" applyFont="1" applyFill="1" applyBorder="1" applyAlignment="1" applyProtection="1">
      <alignment horizontal="center" vertical="center"/>
      <protection locked="0"/>
    </xf>
    <xf numFmtId="196" fontId="100" fillId="15" borderId="0" xfId="0" applyNumberFormat="1" applyFont="1" applyFill="1" applyBorder="1" applyAlignment="1" applyProtection="1">
      <alignment vertical="center" wrapText="1"/>
      <protection locked="0"/>
    </xf>
    <xf numFmtId="181" fontId="100" fillId="15" borderId="0" xfId="0" applyNumberFormat="1" applyFont="1" applyFill="1" applyBorder="1" applyAlignment="1" applyProtection="1">
      <alignment vertical="center" wrapText="1"/>
      <protection locked="0"/>
    </xf>
    <xf numFmtId="0" fontId="128" fillId="0" borderId="41" xfId="0" applyNumberFormat="1" applyFont="1" applyFill="1" applyBorder="1" applyAlignment="1" applyProtection="1">
      <alignment horizontal="center" vertical="center" wrapText="1"/>
      <protection locked="0"/>
    </xf>
    <xf numFmtId="0" fontId="94" fillId="0" borderId="9" xfId="0" applyNumberFormat="1" applyFont="1" applyFill="1" applyBorder="1" applyAlignment="1" applyProtection="1">
      <alignment horizontal="center" vertical="center" wrapText="1"/>
      <protection locked="0"/>
    </xf>
    <xf numFmtId="0" fontId="128" fillId="0" borderId="37" xfId="0" applyNumberFormat="1" applyFont="1" applyFill="1" applyBorder="1" applyAlignment="1" applyProtection="1">
      <alignment horizontal="center" vertical="center" wrapText="1"/>
      <protection locked="0"/>
    </xf>
    <xf numFmtId="9" fontId="51" fillId="0" borderId="37" xfId="0" applyNumberFormat="1" applyFont="1" applyFill="1" applyBorder="1" applyAlignment="1" applyProtection="1">
      <alignment horizontal="center" vertical="center" wrapText="1"/>
      <protection locked="0"/>
    </xf>
    <xf numFmtId="0" fontId="246" fillId="0" borderId="0" xfId="19" applyFont="1"/>
    <xf numFmtId="0" fontId="274" fillId="0" borderId="0" xfId="19" applyFont="1"/>
    <xf numFmtId="14" fontId="274" fillId="0" borderId="0" xfId="19" applyNumberFormat="1" applyFont="1"/>
    <xf numFmtId="14" fontId="246" fillId="0" borderId="0" xfId="19" applyNumberFormat="1" applyFont="1"/>
    <xf numFmtId="0" fontId="246" fillId="5" borderId="0" xfId="19" applyFont="1" applyFill="1"/>
    <xf numFmtId="0" fontId="274" fillId="5" borderId="0" xfId="19" applyFont="1" applyFill="1"/>
    <xf numFmtId="14" fontId="274" fillId="5" borderId="0" xfId="19" applyNumberFormat="1" applyFont="1" applyFill="1"/>
    <xf numFmtId="14" fontId="246" fillId="5" borderId="0" xfId="19" applyNumberFormat="1" applyFont="1" applyFill="1"/>
    <xf numFmtId="181" fontId="113" fillId="0" borderId="10" xfId="0" applyNumberFormat="1" applyFont="1" applyFill="1" applyBorder="1" applyAlignment="1" applyProtection="1">
      <alignment horizontal="center" vertical="center"/>
      <protection locked="0"/>
    </xf>
    <xf numFmtId="181" fontId="113" fillId="0" borderId="24" xfId="0" applyNumberFormat="1" applyFont="1" applyFill="1" applyBorder="1" applyAlignment="1" applyProtection="1">
      <alignment horizontal="center" vertical="center"/>
      <protection locked="0"/>
    </xf>
    <xf numFmtId="0" fontId="275" fillId="7" borderId="1" xfId="0" applyFont="1" applyFill="1" applyBorder="1" applyAlignment="1">
      <alignment horizontal="center" vertical="center" wrapText="1" readingOrder="1"/>
    </xf>
    <xf numFmtId="9" fontId="275" fillId="7" borderId="1" xfId="0" applyNumberFormat="1" applyFont="1" applyFill="1" applyBorder="1" applyAlignment="1">
      <alignment horizontal="center" vertical="center" wrapText="1" readingOrder="1"/>
    </xf>
    <xf numFmtId="0" fontId="275" fillId="7" borderId="1" xfId="0" applyFont="1" applyFill="1" applyBorder="1" applyAlignment="1">
      <alignment horizontal="center" vertical="center" wrapText="1"/>
    </xf>
    <xf numFmtId="0" fontId="276" fillId="7" borderId="1" xfId="0" applyFont="1" applyFill="1" applyBorder="1" applyAlignment="1">
      <alignment horizontal="center" vertical="center"/>
    </xf>
    <xf numFmtId="0" fontId="277" fillId="7" borderId="1" xfId="0" applyFont="1" applyFill="1" applyBorder="1" applyAlignment="1">
      <alignment horizontal="center" vertical="center" wrapText="1" readingOrder="1"/>
    </xf>
    <xf numFmtId="9" fontId="277" fillId="7" borderId="1" xfId="0" applyNumberFormat="1" applyFont="1" applyFill="1" applyBorder="1" applyAlignment="1">
      <alignment horizontal="center" vertical="center" wrapText="1" readingOrder="1"/>
    </xf>
    <xf numFmtId="0" fontId="277" fillId="7" borderId="1" xfId="0" applyFont="1" applyFill="1" applyBorder="1" applyAlignment="1">
      <alignment horizontal="center" vertical="center" wrapText="1"/>
    </xf>
    <xf numFmtId="0" fontId="100" fillId="5" borderId="1" xfId="0" applyFont="1" applyFill="1" applyBorder="1" applyAlignment="1" applyProtection="1">
      <alignment horizontal="center" vertical="center"/>
    </xf>
    <xf numFmtId="0" fontId="100" fillId="5" borderId="24" xfId="0" applyFont="1" applyFill="1" applyBorder="1" applyAlignment="1" applyProtection="1">
      <alignment horizontal="center" vertical="center"/>
    </xf>
    <xf numFmtId="0" fontId="109" fillId="5" borderId="5" xfId="0" applyFont="1" applyFill="1" applyBorder="1" applyAlignment="1" applyProtection="1">
      <alignment horizontal="right" vertical="center"/>
    </xf>
    <xf numFmtId="181" fontId="113" fillId="0" borderId="8" xfId="0" applyNumberFormat="1" applyFont="1" applyFill="1" applyBorder="1" applyAlignment="1" applyProtection="1">
      <alignment horizontal="center" vertical="center"/>
      <protection locked="0"/>
    </xf>
    <xf numFmtId="9" fontId="113" fillId="0" borderId="5" xfId="0" applyNumberFormat="1" applyFont="1" applyFill="1" applyBorder="1" applyAlignment="1" applyProtection="1">
      <alignment horizontal="center" vertical="center"/>
      <protection locked="0"/>
    </xf>
    <xf numFmtId="0" fontId="278" fillId="0" borderId="0" xfId="0" applyFont="1">
      <alignment vertical="center"/>
    </xf>
    <xf numFmtId="17" fontId="0" fillId="0" borderId="0" xfId="0" applyNumberFormat="1">
      <alignment vertical="center"/>
    </xf>
    <xf numFmtId="0" fontId="0" fillId="0" borderId="1" xfId="0" applyBorder="1" applyAlignment="1">
      <alignment horizontal="center" vertical="center"/>
    </xf>
    <xf numFmtId="0" fontId="280" fillId="0" borderId="37" xfId="0" applyNumberFormat="1" applyFont="1" applyFill="1" applyBorder="1" applyAlignment="1" applyProtection="1">
      <alignment horizontal="center" vertical="center" wrapText="1"/>
      <protection locked="0"/>
    </xf>
    <xf numFmtId="14" fontId="0" fillId="0" borderId="0" xfId="0" applyNumberFormat="1">
      <alignment vertical="center"/>
    </xf>
    <xf numFmtId="14" fontId="0" fillId="5" borderId="0" xfId="0" applyNumberFormat="1" applyFill="1">
      <alignment vertical="center"/>
    </xf>
    <xf numFmtId="0" fontId="0" fillId="5" borderId="0" xfId="0" applyFill="1">
      <alignment vertical="center"/>
    </xf>
    <xf numFmtId="183" fontId="44" fillId="24" borderId="70" xfId="0" applyNumberFormat="1" applyFont="1" applyFill="1" applyBorder="1" applyAlignment="1" applyProtection="1">
      <alignment horizontal="center" vertical="center" wrapText="1"/>
      <protection locked="0"/>
    </xf>
    <xf numFmtId="0" fontId="44" fillId="24" borderId="34" xfId="0" applyNumberFormat="1" applyFont="1" applyFill="1" applyBorder="1" applyAlignment="1" applyProtection="1">
      <alignment horizontal="center" vertical="center" wrapText="1"/>
    </xf>
    <xf numFmtId="0" fontId="44" fillId="24" borderId="67" xfId="0" applyNumberFormat="1" applyFont="1" applyFill="1" applyBorder="1" applyAlignment="1" applyProtection="1">
      <alignment horizontal="center" vertical="center" wrapText="1"/>
    </xf>
    <xf numFmtId="0" fontId="280" fillId="24" borderId="3" xfId="0" applyNumberFormat="1" applyFont="1" applyFill="1" applyBorder="1" applyAlignment="1" applyProtection="1">
      <alignment horizontal="center" vertical="center" wrapText="1"/>
      <protection locked="0"/>
    </xf>
    <xf numFmtId="0" fontId="44" fillId="24" borderId="5" xfId="0" applyNumberFormat="1" applyFont="1" applyFill="1" applyBorder="1" applyAlignment="1" applyProtection="1">
      <alignment horizontal="center" vertical="center" wrapText="1"/>
    </xf>
    <xf numFmtId="0" fontId="44" fillId="24" borderId="24" xfId="0" applyNumberFormat="1" applyFont="1" applyFill="1" applyBorder="1" applyAlignment="1" applyProtection="1">
      <alignment horizontal="center" vertical="center" wrapText="1"/>
    </xf>
    <xf numFmtId="0" fontId="51" fillId="24" borderId="24" xfId="0" applyNumberFormat="1" applyFont="1" applyFill="1" applyBorder="1" applyAlignment="1" applyProtection="1">
      <alignment horizontal="center" vertical="center" wrapText="1"/>
    </xf>
    <xf numFmtId="0" fontId="107" fillId="24" borderId="0" xfId="0" applyFont="1" applyFill="1" applyAlignment="1"/>
    <xf numFmtId="14" fontId="269" fillId="24" borderId="0" xfId="0" applyNumberFormat="1" applyFont="1" applyFill="1" applyAlignment="1"/>
    <xf numFmtId="14" fontId="107" fillId="24" borderId="0" xfId="0" applyNumberFormat="1" applyFont="1" applyFill="1" applyAlignment="1"/>
    <xf numFmtId="0" fontId="253" fillId="21" borderId="126" xfId="16" applyFont="1" applyFill="1" applyBorder="1" applyAlignment="1" applyProtection="1">
      <alignment horizontal="left" vertical="center" wrapText="1"/>
      <protection locked="0"/>
    </xf>
    <xf numFmtId="0" fontId="143" fillId="12" borderId="126" xfId="16" applyFont="1" applyFill="1" applyBorder="1" applyAlignment="1" applyProtection="1">
      <alignment horizontal="left" vertical="center" wrapText="1"/>
      <protection locked="0"/>
    </xf>
    <xf numFmtId="1" fontId="50" fillId="6" borderId="52" xfId="0" applyNumberFormat="1" applyFont="1" applyFill="1" applyBorder="1" applyAlignment="1" applyProtection="1">
      <alignment vertical="center" wrapText="1"/>
    </xf>
    <xf numFmtId="0" fontId="0" fillId="0" borderId="1" xfId="0" applyBorder="1" applyAlignment="1">
      <alignment horizontal="center" vertical="center"/>
    </xf>
    <xf numFmtId="0" fontId="0" fillId="0" borderId="1" xfId="0" applyBorder="1" applyAlignment="1">
      <alignment horizontal="center" vertical="center"/>
    </xf>
    <xf numFmtId="179" fontId="44" fillId="6" borderId="34" xfId="0" applyNumberFormat="1" applyFont="1" applyFill="1" applyBorder="1" applyAlignment="1" applyProtection="1">
      <alignment horizontal="center" vertical="center" wrapText="1"/>
    </xf>
    <xf numFmtId="0" fontId="128" fillId="24" borderId="3" xfId="0" applyNumberFormat="1" applyFont="1" applyFill="1" applyBorder="1" applyAlignment="1" applyProtection="1">
      <alignment horizontal="center" vertical="center" wrapText="1"/>
      <protection locked="0"/>
    </xf>
    <xf numFmtId="0" fontId="186" fillId="0" borderId="0" xfId="5" applyFont="1" applyAlignment="1" applyProtection="1">
      <alignment horizontal="left" vertical="top" wrapText="1"/>
    </xf>
    <xf numFmtId="0" fontId="45" fillId="0" borderId="13" xfId="7" applyFont="1" applyFill="1" applyBorder="1" applyAlignment="1" applyProtection="1">
      <alignment horizontal="left" vertical="center" wrapText="1"/>
    </xf>
    <xf numFmtId="0" fontId="45" fillId="0" borderId="15" xfId="7" applyFont="1" applyFill="1" applyBorder="1" applyAlignment="1" applyProtection="1">
      <alignment horizontal="left" vertical="center" wrapText="1"/>
    </xf>
    <xf numFmtId="0" fontId="45" fillId="0" borderId="77" xfId="7" applyFont="1" applyFill="1" applyBorder="1" applyAlignment="1" applyProtection="1">
      <alignment horizontal="left" vertical="center" wrapText="1"/>
    </xf>
    <xf numFmtId="0" fontId="196" fillId="0" borderId="87" xfId="7" applyFont="1" applyBorder="1" applyAlignment="1" applyProtection="1">
      <alignment horizontal="center" vertical="center"/>
    </xf>
    <xf numFmtId="0" fontId="130" fillId="0" borderId="0" xfId="7" applyFont="1" applyAlignment="1" applyProtection="1">
      <alignment horizontal="left" vertical="center" wrapText="1"/>
    </xf>
    <xf numFmtId="0" fontId="196" fillId="0" borderId="0" xfId="7" applyFont="1" applyAlignment="1" applyProtection="1">
      <alignment horizontal="center" vertical="center"/>
    </xf>
    <xf numFmtId="0" fontId="45" fillId="0" borderId="2" xfId="7" applyFont="1" applyFill="1" applyBorder="1" applyAlignment="1" applyProtection="1">
      <alignment horizontal="left" vertical="center" wrapText="1"/>
    </xf>
    <xf numFmtId="0" fontId="45" fillId="0" borderId="13" xfId="7" applyFont="1" applyFill="1" applyBorder="1" applyAlignment="1" applyProtection="1">
      <alignment vertical="center" wrapText="1"/>
    </xf>
    <xf numFmtId="0" fontId="45" fillId="0" borderId="15" xfId="7" applyFont="1" applyFill="1" applyBorder="1" applyAlignment="1" applyProtection="1">
      <alignment vertical="center" wrapText="1"/>
    </xf>
    <xf numFmtId="0" fontId="45" fillId="0" borderId="2" xfId="7" applyFont="1" applyFill="1" applyBorder="1" applyAlignment="1" applyProtection="1">
      <alignment vertical="center" wrapText="1"/>
    </xf>
    <xf numFmtId="0" fontId="205" fillId="0" borderId="0" xfId="0" applyFont="1" applyFill="1" applyBorder="1" applyAlignment="1" applyProtection="1">
      <alignment horizontal="center" vertical="center"/>
    </xf>
    <xf numFmtId="0" fontId="61" fillId="0" borderId="44" xfId="0"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45" fillId="0" borderId="1" xfId="0" applyFont="1" applyFill="1" applyBorder="1" applyAlignment="1" applyProtection="1">
      <alignment horizontal="center" vertical="center" wrapText="1"/>
    </xf>
    <xf numFmtId="0" fontId="61" fillId="0" borderId="5" xfId="0" applyFont="1" applyFill="1" applyBorder="1" applyAlignment="1" applyProtection="1">
      <alignment horizontal="center" vertical="center" wrapText="1"/>
    </xf>
    <xf numFmtId="0" fontId="61" fillId="0" borderId="54" xfId="0" applyFont="1" applyFill="1" applyBorder="1" applyAlignment="1" applyProtection="1">
      <alignment horizontal="center" vertical="center" wrapText="1"/>
    </xf>
    <xf numFmtId="0" fontId="61" fillId="0" borderId="3" xfId="0" applyFont="1" applyFill="1" applyBorder="1" applyAlignment="1" applyProtection="1">
      <alignment horizontal="center" vertical="center" wrapText="1"/>
    </xf>
    <xf numFmtId="0" fontId="61" fillId="0" borderId="78" xfId="0" applyFont="1" applyFill="1" applyBorder="1" applyAlignment="1" applyProtection="1">
      <alignment horizontal="center" vertical="center" wrapText="1"/>
    </xf>
    <xf numFmtId="0" fontId="47" fillId="0" borderId="0" xfId="0" applyFont="1" applyFill="1" applyBorder="1" applyAlignment="1" applyProtection="1">
      <alignment horizontal="left" vertical="center"/>
    </xf>
    <xf numFmtId="0" fontId="196" fillId="0" borderId="0" xfId="0" applyFont="1" applyBorder="1" applyAlignment="1" applyProtection="1">
      <alignment horizontal="left" vertical="center"/>
    </xf>
    <xf numFmtId="0" fontId="196" fillId="0" borderId="0" xfId="0" applyFont="1" applyBorder="1" applyAlignment="1" applyProtection="1">
      <alignment horizontal="justify" vertical="center" wrapText="1"/>
    </xf>
    <xf numFmtId="0" fontId="61" fillId="0" borderId="0" xfId="0" applyFont="1" applyBorder="1" applyAlignment="1" applyProtection="1">
      <alignment horizontal="left" vertical="center" wrapText="1"/>
    </xf>
    <xf numFmtId="0" fontId="125" fillId="0" borderId="0" xfId="0" applyFont="1" applyBorder="1" applyAlignment="1" applyProtection="1">
      <alignment horizontal="left" vertical="center" wrapText="1"/>
    </xf>
    <xf numFmtId="0" fontId="124" fillId="0" borderId="0" xfId="0" applyFont="1" applyBorder="1" applyAlignment="1" applyProtection="1">
      <alignment horizontal="left" vertical="center" wrapText="1"/>
    </xf>
    <xf numFmtId="192" fontId="200" fillId="0" borderId="0" xfId="0" applyNumberFormat="1" applyFont="1" applyAlignment="1" applyProtection="1">
      <alignment horizontal="right" vertical="center"/>
      <protection locked="0"/>
    </xf>
    <xf numFmtId="0" fontId="213" fillId="0" borderId="0" xfId="0" applyFont="1" applyBorder="1" applyAlignment="1" applyProtection="1">
      <alignment horizontal="left" vertical="center" wrapText="1"/>
      <protection locked="0"/>
    </xf>
    <xf numFmtId="0" fontId="98" fillId="0" borderId="0" xfId="0" applyFont="1" applyAlignment="1" applyProtection="1">
      <alignment vertical="center" wrapText="1"/>
    </xf>
    <xf numFmtId="0" fontId="166" fillId="0" borderId="0" xfId="0" applyFont="1" applyAlignment="1" applyProtection="1">
      <alignment vertical="center" wrapText="1"/>
      <protection locked="0"/>
    </xf>
    <xf numFmtId="0" fontId="217" fillId="0" borderId="5" xfId="0" applyFont="1" applyBorder="1" applyAlignment="1" applyProtection="1">
      <alignment horizontal="left" vertical="center"/>
    </xf>
    <xf numFmtId="0" fontId="95" fillId="0" borderId="3" xfId="0" applyFont="1" applyBorder="1" applyAlignment="1" applyProtection="1">
      <alignment horizontal="left" vertical="center"/>
    </xf>
    <xf numFmtId="0" fontId="95" fillId="0" borderId="5" xfId="0" applyFont="1" applyBorder="1" applyAlignment="1" applyProtection="1">
      <alignment horizontal="left" vertical="center"/>
    </xf>
    <xf numFmtId="0" fontId="95" fillId="0" borderId="1" xfId="0" applyFont="1" applyBorder="1" applyAlignment="1" applyProtection="1">
      <alignment horizontal="left" vertical="center"/>
    </xf>
    <xf numFmtId="0" fontId="95" fillId="9" borderId="1" xfId="0" applyFont="1" applyFill="1" applyBorder="1" applyAlignment="1" applyProtection="1">
      <alignment horizontal="left" vertical="center"/>
    </xf>
    <xf numFmtId="0" fontId="95" fillId="5" borderId="13" xfId="0" applyFont="1" applyFill="1" applyBorder="1" applyAlignment="1" applyProtection="1">
      <alignment horizontal="left" vertical="center"/>
    </xf>
    <xf numFmtId="0" fontId="95" fillId="5" borderId="15" xfId="0" applyFont="1" applyFill="1" applyBorder="1" applyAlignment="1" applyProtection="1">
      <alignment horizontal="left" vertical="center"/>
    </xf>
    <xf numFmtId="0" fontId="95" fillId="5" borderId="2" xfId="0" applyFont="1" applyFill="1" applyBorder="1" applyAlignment="1" applyProtection="1">
      <alignment horizontal="left" vertical="center"/>
    </xf>
    <xf numFmtId="0" fontId="117" fillId="5" borderId="1" xfId="5" applyFont="1" applyFill="1" applyBorder="1" applyAlignment="1">
      <alignment horizontal="left" vertical="center"/>
    </xf>
    <xf numFmtId="0" fontId="118" fillId="0" borderId="1" xfId="5" applyFont="1" applyBorder="1" applyAlignment="1">
      <alignment horizontal="left" vertical="center"/>
    </xf>
    <xf numFmtId="0" fontId="118" fillId="0" borderId="156" xfId="5" applyFont="1" applyBorder="1" applyAlignment="1">
      <alignment horizontal="left" vertical="center"/>
    </xf>
    <xf numFmtId="0" fontId="95" fillId="6" borderId="0" xfId="0" applyFont="1" applyFill="1" applyBorder="1" applyAlignment="1" applyProtection="1">
      <alignment horizontal="center" vertical="center" wrapText="1"/>
    </xf>
    <xf numFmtId="0" fontId="246" fillId="6" borderId="60" xfId="0" applyNumberFormat="1" applyFont="1" applyFill="1" applyBorder="1" applyAlignment="1" applyProtection="1">
      <alignment horizontal="left" vertical="center"/>
    </xf>
    <xf numFmtId="0" fontId="47" fillId="6" borderId="34" xfId="0" applyFont="1" applyFill="1" applyBorder="1" applyAlignment="1" applyProtection="1">
      <alignment horizontal="left" vertical="center" wrapText="1"/>
    </xf>
    <xf numFmtId="0" fontId="47" fillId="6" borderId="64" xfId="0" applyFont="1" applyFill="1" applyBorder="1" applyAlignment="1" applyProtection="1">
      <alignment horizontal="left" vertical="center" wrapText="1"/>
    </xf>
    <xf numFmtId="0" fontId="47" fillId="6" borderId="65" xfId="0" applyFont="1" applyFill="1" applyBorder="1" applyAlignment="1" applyProtection="1">
      <alignment horizontal="left" vertical="center" wrapText="1"/>
    </xf>
    <xf numFmtId="0" fontId="47" fillId="16" borderId="13" xfId="0" applyFont="1" applyFill="1" applyBorder="1" applyAlignment="1" applyProtection="1">
      <alignment horizontal="center" vertical="center" wrapText="1"/>
    </xf>
    <xf numFmtId="0" fontId="47" fillId="16" borderId="103"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47" fillId="6" borderId="6" xfId="0" applyFont="1" applyFill="1" applyBorder="1" applyAlignment="1" applyProtection="1">
      <alignment vertical="center"/>
    </xf>
    <xf numFmtId="0" fontId="47" fillId="6" borderId="10" xfId="0" applyFont="1" applyFill="1" applyBorder="1" applyAlignment="1" applyProtection="1">
      <alignment vertical="center"/>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49" fontId="168" fillId="0" borderId="4" xfId="0" applyNumberFormat="1" applyFont="1" applyFill="1" applyBorder="1" applyAlignment="1" applyProtection="1">
      <alignment horizontal="left" vertical="center"/>
      <protection locked="0"/>
    </xf>
    <xf numFmtId="49" fontId="168" fillId="0" borderId="54" xfId="0" applyNumberFormat="1" applyFont="1" applyFill="1" applyBorder="1" applyAlignment="1" applyProtection="1">
      <alignment horizontal="left" vertical="center"/>
      <protection locked="0"/>
    </xf>
    <xf numFmtId="49" fontId="168" fillId="0" borderId="3" xfId="0" applyNumberFormat="1" applyFont="1" applyFill="1" applyBorder="1" applyAlignment="1" applyProtection="1">
      <alignment horizontal="left" vertical="center"/>
      <protection locked="0"/>
    </xf>
    <xf numFmtId="0" fontId="168" fillId="0" borderId="5" xfId="0" applyNumberFormat="1" applyFont="1" applyBorder="1" applyAlignment="1" applyProtection="1">
      <alignment horizontal="left" vertical="center"/>
      <protection locked="0"/>
    </xf>
    <xf numFmtId="0" fontId="168" fillId="0" borderId="54" xfId="0" applyNumberFormat="1" applyFont="1" applyBorder="1" applyAlignment="1" applyProtection="1">
      <alignment horizontal="left" vertical="center"/>
      <protection locked="0"/>
    </xf>
    <xf numFmtId="0" fontId="168" fillId="0" borderId="3" xfId="0" applyNumberFormat="1" applyFont="1" applyBorder="1" applyAlignment="1" applyProtection="1">
      <alignment horizontal="left" vertical="center"/>
      <protection locked="0"/>
    </xf>
    <xf numFmtId="49" fontId="168" fillId="7" borderId="5" xfId="0" applyNumberFormat="1" applyFont="1" applyFill="1" applyBorder="1" applyAlignment="1" applyProtection="1">
      <alignment horizontal="left" vertical="center"/>
      <protection locked="0"/>
    </xf>
    <xf numFmtId="49" fontId="168" fillId="7" borderId="54" xfId="0" applyNumberFormat="1" applyFont="1" applyFill="1" applyBorder="1" applyAlignment="1" applyProtection="1">
      <alignment horizontal="left" vertical="center"/>
      <protection locked="0"/>
    </xf>
    <xf numFmtId="49" fontId="168" fillId="7" borderId="3" xfId="0" applyNumberFormat="1" applyFont="1" applyFill="1" applyBorder="1" applyAlignment="1" applyProtection="1">
      <alignment horizontal="left" vertical="center"/>
      <protection locked="0"/>
    </xf>
    <xf numFmtId="49" fontId="168" fillId="7" borderId="85" xfId="0" applyNumberFormat="1" applyFont="1" applyFill="1" applyBorder="1" applyAlignment="1" applyProtection="1">
      <alignment horizontal="left" vertical="center"/>
      <protection locked="0"/>
    </xf>
    <xf numFmtId="49" fontId="168" fillId="7" borderId="88" xfId="0" applyNumberFormat="1" applyFont="1" applyFill="1" applyBorder="1" applyAlignment="1" applyProtection="1">
      <alignment horizontal="left" vertical="center"/>
      <protection locked="0"/>
    </xf>
    <xf numFmtId="49" fontId="168" fillId="7" borderId="118"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47" fillId="6" borderId="15" xfId="0" applyFont="1" applyFill="1" applyBorder="1" applyAlignment="1" applyProtection="1">
      <alignment horizontal="left" vertical="center"/>
    </xf>
    <xf numFmtId="0" fontId="47" fillId="6" borderId="2" xfId="0" applyFont="1" applyFill="1" applyBorder="1" applyAlignment="1" applyProtection="1">
      <alignment horizontal="left" vertical="center"/>
    </xf>
    <xf numFmtId="0" fontId="47" fillId="0" borderId="5"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7" fillId="6" borderId="22" xfId="0" applyFont="1" applyFill="1" applyBorder="1" applyAlignment="1" applyProtection="1">
      <alignment horizontal="left" vertical="center"/>
    </xf>
    <xf numFmtId="0" fontId="47" fillId="6" borderId="35" xfId="0" applyFont="1" applyFill="1" applyBorder="1" applyAlignment="1" applyProtection="1">
      <alignment horizontal="left" vertical="center"/>
    </xf>
    <xf numFmtId="0" fontId="47" fillId="6" borderId="1" xfId="0" applyNumberFormat="1" applyFont="1" applyFill="1" applyBorder="1" applyAlignment="1" applyProtection="1">
      <alignment horizontal="center" vertical="center" wrapText="1"/>
    </xf>
    <xf numFmtId="0" fontId="0" fillId="0" borderId="1" xfId="0" applyBorder="1" applyAlignment="1">
      <alignment horizontal="center" vertical="center"/>
    </xf>
    <xf numFmtId="0" fontId="0" fillId="0" borderId="0" xfId="0" applyAlignment="1">
      <alignment horizontal="center" vertical="center"/>
    </xf>
    <xf numFmtId="0" fontId="44" fillId="6" borderId="6" xfId="0" applyFont="1" applyFill="1" applyBorder="1" applyAlignment="1" applyProtection="1">
      <alignment horizontal="center" vertical="center"/>
    </xf>
    <xf numFmtId="0" fontId="44" fillId="6" borderId="9" xfId="0" applyFont="1" applyFill="1" applyBorder="1" applyAlignment="1" applyProtection="1">
      <alignment horizontal="center" vertical="center"/>
    </xf>
    <xf numFmtId="0" fontId="44" fillId="6" borderId="10" xfId="0" applyFont="1" applyFill="1" applyBorder="1" applyAlignment="1" applyProtection="1">
      <alignment horizontal="center" vertical="center"/>
    </xf>
    <xf numFmtId="0" fontId="46" fillId="6" borderId="40" xfId="0" applyFont="1" applyFill="1" applyBorder="1" applyAlignment="1" applyProtection="1">
      <alignment horizontal="center" vertical="center"/>
    </xf>
    <xf numFmtId="0" fontId="46" fillId="6" borderId="17" xfId="0" applyFont="1" applyFill="1" applyBorder="1" applyAlignment="1" applyProtection="1">
      <alignment horizontal="center" vertical="center"/>
    </xf>
    <xf numFmtId="0" fontId="46" fillId="6" borderId="62" xfId="0" applyFont="1" applyFill="1" applyBorder="1" applyAlignment="1" applyProtection="1">
      <alignment horizontal="center" vertical="center"/>
    </xf>
    <xf numFmtId="0" fontId="44" fillId="6" borderId="51" xfId="0" applyFont="1" applyFill="1" applyBorder="1" applyAlignment="1" applyProtection="1">
      <alignment horizontal="center" vertical="center"/>
    </xf>
    <xf numFmtId="0" fontId="44" fillId="6" borderId="20" xfId="0" applyFont="1" applyFill="1" applyBorder="1" applyAlignment="1" applyProtection="1">
      <alignment horizontal="center" vertical="center"/>
    </xf>
    <xf numFmtId="0" fontId="44"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13"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0" fontId="69" fillId="6" borderId="105" xfId="0" applyFont="1" applyFill="1" applyBorder="1" applyAlignment="1" applyProtection="1">
      <alignment vertical="center"/>
    </xf>
    <xf numFmtId="0" fontId="69" fillId="6" borderId="101" xfId="0" applyFont="1" applyFill="1" applyBorder="1" applyAlignment="1" applyProtection="1">
      <alignment vertical="center"/>
    </xf>
    <xf numFmtId="0" fontId="46" fillId="5" borderId="37"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center" vertical="center" wrapText="1"/>
    </xf>
    <xf numFmtId="0" fontId="102" fillId="6" borderId="1" xfId="0" applyFont="1" applyFill="1" applyBorder="1" applyAlignment="1" applyProtection="1">
      <alignment horizontal="left" vertical="center" wrapText="1"/>
    </xf>
    <xf numFmtId="0" fontId="126" fillId="6" borderId="1" xfId="0" applyFont="1" applyFill="1" applyBorder="1" applyAlignment="1" applyProtection="1">
      <alignment horizontal="center" vertical="center" wrapText="1"/>
      <protection locked="0"/>
    </xf>
    <xf numFmtId="191" fontId="126" fillId="6" borderId="1" xfId="0" applyNumberFormat="1" applyFont="1" applyFill="1" applyBorder="1" applyAlignment="1" applyProtection="1">
      <alignment horizontal="center" vertical="center" wrapText="1"/>
    </xf>
    <xf numFmtId="0" fontId="126" fillId="6" borderId="1" xfId="0" applyFont="1" applyFill="1" applyBorder="1" applyAlignment="1" applyProtection="1">
      <alignment horizontal="center" vertical="center" wrapText="1"/>
    </xf>
    <xf numFmtId="0" fontId="46" fillId="6" borderId="3" xfId="0" applyFont="1" applyFill="1" applyBorder="1" applyAlignment="1" applyProtection="1">
      <alignment horizontal="left" vertical="center"/>
    </xf>
    <xf numFmtId="0" fontId="46" fillId="6" borderId="1"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7" fillId="6" borderId="54" xfId="0" applyFont="1" applyFill="1" applyBorder="1" applyAlignment="1" applyProtection="1">
      <alignment horizontal="left" vertical="center"/>
    </xf>
    <xf numFmtId="0" fontId="164" fillId="6" borderId="1" xfId="0" applyFont="1" applyFill="1" applyBorder="1" applyAlignment="1">
      <alignment horizontal="left" vertical="center" wrapText="1"/>
    </xf>
    <xf numFmtId="0" fontId="47" fillId="6" borderId="3" xfId="0" applyFont="1" applyFill="1" applyBorder="1" applyAlignment="1" applyProtection="1">
      <alignment horizontal="left" vertical="center"/>
    </xf>
    <xf numFmtId="10" fontId="77" fillId="6" borderId="1" xfId="0" applyNumberFormat="1"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wrapText="1"/>
    </xf>
    <xf numFmtId="0" fontId="44" fillId="6" borderId="1" xfId="0" applyFont="1" applyFill="1" applyBorder="1" applyAlignment="1" applyProtection="1">
      <alignment horizontal="left" vertical="center" wrapText="1"/>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4" fillId="5" borderId="13" xfId="0" applyFont="1" applyFill="1" applyBorder="1" applyAlignment="1" applyProtection="1">
      <alignment horizontal="left" vertical="center" wrapText="1"/>
      <protection locked="0"/>
    </xf>
    <xf numFmtId="0" fontId="44" fillId="5" borderId="2" xfId="0" applyFont="1" applyFill="1" applyBorder="1" applyAlignment="1" applyProtection="1">
      <alignment horizontal="left" vertical="center" wrapText="1"/>
      <protection locked="0"/>
    </xf>
    <xf numFmtId="0" fontId="44" fillId="6" borderId="5" xfId="0" applyFont="1" applyFill="1" applyBorder="1" applyAlignment="1" applyProtection="1">
      <alignment horizontal="left" vertical="center" wrapText="1"/>
    </xf>
    <xf numFmtId="0" fontId="44" fillId="6" borderId="3"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wrapText="1"/>
    </xf>
    <xf numFmtId="0" fontId="47" fillId="6" borderId="36" xfId="0" applyFont="1" applyFill="1" applyBorder="1" applyAlignment="1" applyProtection="1">
      <alignment horizontal="left" vertical="center"/>
    </xf>
    <xf numFmtId="0" fontId="44" fillId="5" borderId="5" xfId="0" applyFont="1" applyFill="1" applyBorder="1" applyAlignment="1" applyProtection="1">
      <alignment horizontal="left" vertical="center" wrapText="1"/>
      <protection locked="0"/>
    </xf>
    <xf numFmtId="0" fontId="44" fillId="5" borderId="3" xfId="0" applyFont="1" applyFill="1" applyBorder="1" applyAlignment="1" applyProtection="1">
      <alignment horizontal="left" vertical="center" wrapText="1"/>
      <protection locked="0"/>
    </xf>
    <xf numFmtId="0" fontId="46" fillId="6" borderId="1" xfId="0" applyFont="1" applyFill="1" applyBorder="1" applyAlignment="1" applyProtection="1">
      <alignment horizontal="left" vertical="center" wrapText="1"/>
    </xf>
    <xf numFmtId="0" fontId="99" fillId="6" borderId="1" xfId="0" applyFont="1" applyFill="1" applyBorder="1" applyAlignment="1" applyProtection="1">
      <alignment horizontal="left" vertical="center" wrapText="1"/>
    </xf>
    <xf numFmtId="0" fontId="46" fillId="6" borderId="21" xfId="0" applyFont="1" applyFill="1" applyBorder="1" applyAlignment="1" applyProtection="1">
      <alignment horizontal="center" vertical="center"/>
    </xf>
    <xf numFmtId="0" fontId="99" fillId="6" borderId="13" xfId="0" applyFont="1" applyFill="1" applyBorder="1" applyAlignment="1" applyProtection="1">
      <alignment horizontal="left" vertical="center" wrapText="1"/>
    </xf>
    <xf numFmtId="0" fontId="99" fillId="6" borderId="2" xfId="0" applyFont="1" applyFill="1" applyBorder="1" applyAlignment="1" applyProtection="1">
      <alignment horizontal="left" vertical="center" wrapText="1"/>
    </xf>
    <xf numFmtId="0" fontId="47" fillId="6" borderId="25" xfId="0" applyFont="1" applyFill="1" applyBorder="1" applyAlignment="1" applyProtection="1">
      <alignment horizontal="left" vertical="center" wrapText="1"/>
    </xf>
    <xf numFmtId="0" fontId="47" fillId="6" borderId="32" xfId="0" applyFont="1" applyFill="1" applyBorder="1" applyAlignment="1" applyProtection="1">
      <alignment horizontal="left" vertical="center" wrapText="1"/>
    </xf>
    <xf numFmtId="0" fontId="47" fillId="6" borderId="61" xfId="0" applyFont="1" applyFill="1" applyBorder="1" applyAlignment="1" applyProtection="1">
      <alignment horizontal="left" vertical="center"/>
    </xf>
    <xf numFmtId="0" fontId="47" fillId="6" borderId="53" xfId="0" applyFont="1" applyFill="1" applyBorder="1" applyAlignment="1" applyProtection="1">
      <alignment horizontal="left" vertical="center"/>
    </xf>
    <xf numFmtId="0" fontId="47" fillId="6" borderId="8" xfId="0" applyFont="1" applyFill="1" applyBorder="1" applyAlignment="1" applyProtection="1">
      <alignment horizontal="left" vertical="center"/>
    </xf>
    <xf numFmtId="0" fontId="104" fillId="6" borderId="106" xfId="0" applyFont="1" applyFill="1" applyBorder="1" applyProtection="1">
      <alignment vertical="center"/>
    </xf>
    <xf numFmtId="0" fontId="104" fillId="6" borderId="107" xfId="0" applyFont="1" applyFill="1" applyBorder="1" applyProtection="1">
      <alignment vertical="center"/>
    </xf>
    <xf numFmtId="0" fontId="125" fillId="6" borderId="23" xfId="0" applyFont="1" applyFill="1" applyBorder="1" applyAlignment="1" applyProtection="1">
      <alignment horizontal="left" vertical="center"/>
    </xf>
    <xf numFmtId="0" fontId="46" fillId="6" borderId="23" xfId="0" applyFont="1" applyFill="1" applyBorder="1" applyAlignment="1" applyProtection="1">
      <alignment horizontal="left" vertical="center"/>
    </xf>
    <xf numFmtId="0" fontId="46" fillId="6" borderId="23" xfId="0" applyFont="1" applyFill="1" applyBorder="1" applyAlignment="1" applyProtection="1">
      <alignment horizontal="left" vertical="center" wrapText="1"/>
    </xf>
    <xf numFmtId="0" fontId="46" fillId="6" borderId="25" xfId="0" applyFont="1" applyFill="1" applyBorder="1" applyAlignment="1" applyProtection="1">
      <alignment horizontal="left" vertical="center" wrapText="1"/>
    </xf>
    <xf numFmtId="0" fontId="46" fillId="6" borderId="32" xfId="0"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10" fontId="47" fillId="6" borderId="48" xfId="0" applyNumberFormat="1" applyFont="1" applyFill="1" applyBorder="1" applyAlignment="1" applyProtection="1">
      <alignment horizontal="left" vertical="center" wrapText="1"/>
    </xf>
    <xf numFmtId="0" fontId="54" fillId="6" borderId="6" xfId="0" applyFont="1" applyFill="1" applyBorder="1" applyAlignment="1" applyProtection="1">
      <alignment horizontal="left" vertical="center" wrapText="1"/>
    </xf>
    <xf numFmtId="0" fontId="54" fillId="6" borderId="9" xfId="0" applyFont="1" applyFill="1" applyBorder="1" applyAlignment="1" applyProtection="1">
      <alignment horizontal="left" vertical="center" wrapText="1"/>
    </xf>
    <xf numFmtId="0" fontId="125" fillId="6" borderId="25" xfId="0" applyFont="1" applyFill="1" applyBorder="1" applyAlignment="1" applyProtection="1">
      <alignment horizontal="left" vertical="center"/>
    </xf>
    <xf numFmtId="0" fontId="47" fillId="6" borderId="19"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3" xfId="0" applyFont="1" applyFill="1" applyBorder="1" applyAlignment="1" applyProtection="1">
      <alignment horizontal="left" vertical="center" wrapText="1"/>
    </xf>
    <xf numFmtId="0" fontId="47" fillId="6" borderId="48" xfId="0" applyFont="1" applyFill="1" applyBorder="1" applyAlignment="1" applyProtection="1">
      <alignment horizontal="left" vertical="center" wrapText="1"/>
    </xf>
    <xf numFmtId="0" fontId="54" fillId="6" borderId="18" xfId="0" applyFont="1" applyFill="1" applyBorder="1" applyAlignment="1" applyProtection="1">
      <alignment horizontal="center" vertical="center" wrapText="1"/>
    </xf>
    <xf numFmtId="0" fontId="54" fillId="6" borderId="0" xfId="0" applyFont="1" applyFill="1" applyBorder="1" applyAlignment="1" applyProtection="1">
      <alignment horizontal="center" vertical="center" wrapText="1"/>
    </xf>
    <xf numFmtId="0" fontId="44"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44" fillId="0" borderId="1" xfId="0" applyFont="1" applyBorder="1" applyAlignment="1" applyProtection="1">
      <alignment horizontal="center" vertical="center"/>
      <protection locked="0"/>
    </xf>
    <xf numFmtId="0" fontId="46" fillId="6" borderId="40" xfId="0" applyFont="1" applyFill="1" applyBorder="1" applyAlignment="1" applyProtection="1">
      <alignment horizontal="center" vertical="center" wrapText="1"/>
    </xf>
    <xf numFmtId="0" fontId="46" fillId="6" borderId="14" xfId="0" applyFont="1" applyFill="1" applyBorder="1" applyAlignment="1" applyProtection="1">
      <alignment horizontal="center" vertical="center" wrapText="1"/>
    </xf>
    <xf numFmtId="0" fontId="46" fillId="6" borderId="12" xfId="0" applyFont="1" applyFill="1" applyBorder="1" applyAlignment="1" applyProtection="1">
      <alignment horizontal="center" vertical="center" wrapText="1"/>
    </xf>
    <xf numFmtId="0" fontId="47" fillId="6" borderId="11"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100" fillId="6" borderId="63" xfId="0" applyFont="1" applyFill="1" applyBorder="1" applyAlignment="1" applyProtection="1">
      <alignment horizontal="center" vertical="center"/>
    </xf>
    <xf numFmtId="0" fontId="100" fillId="6" borderId="64" xfId="0" applyFont="1" applyFill="1" applyBorder="1" applyAlignment="1" applyProtection="1">
      <alignment horizontal="center" vertical="center"/>
    </xf>
    <xf numFmtId="0" fontId="100" fillId="6" borderId="65" xfId="0" applyFont="1" applyFill="1" applyBorder="1" applyAlignment="1" applyProtection="1">
      <alignment horizontal="center" vertical="center"/>
    </xf>
    <xf numFmtId="0" fontId="44" fillId="6" borderId="1" xfId="0" applyFont="1" applyFill="1" applyBorder="1" applyAlignment="1" applyProtection="1">
      <alignment horizontal="center" vertical="center" wrapText="1"/>
    </xf>
    <xf numFmtId="0" fontId="47" fillId="6" borderId="69" xfId="0" applyFont="1" applyFill="1" applyBorder="1" applyAlignment="1" applyProtection="1">
      <alignment horizontal="center" vertical="center"/>
    </xf>
    <xf numFmtId="0" fontId="47" fillId="6" borderId="60" xfId="0" applyFont="1" applyFill="1" applyBorder="1" applyAlignment="1" applyProtection="1">
      <alignment horizontal="center" vertical="center"/>
    </xf>
    <xf numFmtId="0" fontId="44" fillId="0" borderId="13"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0" fontId="44" fillId="0" borderId="15" xfId="0" applyFont="1" applyBorder="1" applyAlignment="1" applyProtection="1">
      <alignment horizontal="center" vertical="center"/>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52" fillId="6" borderId="51" xfId="0" applyFont="1" applyFill="1" applyBorder="1" applyAlignment="1" applyProtection="1">
      <alignment horizontal="center" vertical="center" wrapText="1"/>
    </xf>
    <xf numFmtId="0" fontId="52" fillId="6" borderId="20" xfId="0" applyFont="1" applyFill="1" applyBorder="1" applyAlignment="1" applyProtection="1">
      <alignment horizontal="center" vertical="center" wrapText="1"/>
    </xf>
    <xf numFmtId="0" fontId="52" fillId="6" borderId="21" xfId="0" applyFont="1" applyFill="1" applyBorder="1" applyAlignment="1" applyProtection="1">
      <alignment horizontal="center" vertical="center" wrapText="1"/>
    </xf>
    <xf numFmtId="0" fontId="52" fillId="6" borderId="46" xfId="0" applyFont="1" applyFill="1" applyBorder="1" applyAlignment="1" applyProtection="1">
      <alignment horizontal="left" vertical="center" wrapText="1"/>
    </xf>
    <xf numFmtId="0" fontId="52" fillId="6" borderId="36" xfId="0" applyFont="1" applyFill="1" applyBorder="1" applyAlignment="1" applyProtection="1">
      <alignment horizontal="left" vertical="center" wrapText="1"/>
    </xf>
    <xf numFmtId="0" fontId="52" fillId="6" borderId="22" xfId="0" applyFont="1" applyFill="1" applyBorder="1" applyAlignment="1" applyProtection="1">
      <alignment horizontal="left" vertical="center" wrapText="1"/>
    </xf>
    <xf numFmtId="0" fontId="46" fillId="6" borderId="40" xfId="0" applyFont="1" applyFill="1" applyBorder="1" applyAlignment="1" applyProtection="1">
      <alignment horizontal="left" vertical="center" wrapText="1"/>
    </xf>
    <xf numFmtId="0" fontId="46" fillId="6" borderId="41" xfId="0" applyFont="1" applyFill="1" applyBorder="1" applyAlignment="1" applyProtection="1">
      <alignment horizontal="left" vertical="center" wrapText="1"/>
    </xf>
    <xf numFmtId="0" fontId="52" fillId="6" borderId="47" xfId="0" applyFont="1" applyFill="1" applyBorder="1" applyAlignment="1" applyProtection="1">
      <alignment horizontal="center" vertical="center"/>
    </xf>
    <xf numFmtId="0" fontId="47" fillId="6" borderId="23" xfId="0" applyFont="1" applyFill="1" applyBorder="1" applyAlignment="1" applyProtection="1">
      <alignment horizontal="left" vertical="center" wrapText="1"/>
    </xf>
    <xf numFmtId="10" fontId="113" fillId="6" borderId="5" xfId="0" applyNumberFormat="1" applyFont="1" applyFill="1" applyBorder="1" applyAlignment="1" applyProtection="1">
      <alignment horizontal="left" vertical="center" wrapText="1"/>
    </xf>
    <xf numFmtId="10" fontId="113" fillId="6" borderId="54" xfId="0" applyNumberFormat="1" applyFont="1" applyFill="1" applyBorder="1" applyAlignment="1" applyProtection="1">
      <alignment horizontal="left" vertical="center" wrapText="1"/>
    </xf>
    <xf numFmtId="10" fontId="113" fillId="6" borderId="48" xfId="0" applyNumberFormat="1" applyFont="1" applyFill="1" applyBorder="1" applyAlignment="1" applyProtection="1">
      <alignment horizontal="left" vertical="center" wrapText="1"/>
    </xf>
    <xf numFmtId="0" fontId="129" fillId="6" borderId="58" xfId="0" applyFont="1" applyFill="1" applyBorder="1" applyAlignment="1" applyProtection="1">
      <alignment horizontal="left" vertical="center" wrapText="1"/>
    </xf>
    <xf numFmtId="0" fontId="129" fillId="6" borderId="0" xfId="0" applyFont="1" applyFill="1" applyAlignment="1" applyProtection="1">
      <alignment horizontal="left" vertical="center" wrapText="1"/>
    </xf>
    <xf numFmtId="0" fontId="53" fillId="6" borderId="61" xfId="0" applyFont="1" applyFill="1" applyBorder="1" applyAlignment="1" applyProtection="1">
      <alignment horizontal="left" vertical="center"/>
    </xf>
    <xf numFmtId="0" fontId="53" fillId="6" borderId="53" xfId="0" applyFont="1" applyFill="1" applyBorder="1" applyAlignment="1" applyProtection="1">
      <alignment horizontal="left" vertical="center"/>
    </xf>
    <xf numFmtId="0" fontId="53" fillId="6" borderId="8" xfId="0" applyFont="1" applyFill="1" applyBorder="1" applyAlignment="1" applyProtection="1">
      <alignment horizontal="left" vertical="center"/>
    </xf>
    <xf numFmtId="0" fontId="113" fillId="6" borderId="34" xfId="0" applyFont="1" applyFill="1" applyBorder="1" applyAlignment="1" applyProtection="1">
      <alignment horizontal="left" vertical="center" wrapText="1"/>
    </xf>
    <xf numFmtId="0" fontId="113" fillId="6" borderId="65" xfId="0" applyFont="1" applyFill="1" applyBorder="1" applyAlignment="1" applyProtection="1">
      <alignment horizontal="left" vertical="center" wrapText="1"/>
    </xf>
    <xf numFmtId="0" fontId="47" fillId="6" borderId="13" xfId="0" applyFont="1" applyFill="1" applyBorder="1" applyAlignment="1" applyProtection="1">
      <alignment vertical="top" wrapText="1"/>
    </xf>
    <xf numFmtId="0" fontId="47" fillId="6" borderId="15" xfId="0" applyFont="1" applyFill="1" applyBorder="1" applyAlignment="1" applyProtection="1">
      <alignment vertical="top" wrapText="1"/>
    </xf>
    <xf numFmtId="0" fontId="47" fillId="6" borderId="2" xfId="0" applyFont="1" applyFill="1" applyBorder="1" applyAlignment="1" applyProtection="1">
      <alignment vertical="top" wrapText="1"/>
    </xf>
    <xf numFmtId="0" fontId="51" fillId="6" borderId="13" xfId="0"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2" xfId="0" applyFont="1" applyFill="1" applyBorder="1" applyAlignment="1" applyProtection="1">
      <alignment horizontal="center" vertical="center"/>
    </xf>
    <xf numFmtId="0" fontId="44" fillId="6" borderId="5"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51" fillId="6" borderId="46" xfId="0" applyFont="1" applyFill="1" applyBorder="1" applyAlignment="1" applyProtection="1">
      <alignment horizontal="center" vertical="center"/>
    </xf>
    <xf numFmtId="0" fontId="51" fillId="6" borderId="22" xfId="0" applyFont="1" applyFill="1" applyBorder="1" applyAlignment="1" applyProtection="1">
      <alignment horizontal="center" vertical="center"/>
    </xf>
    <xf numFmtId="0" fontId="51" fillId="6" borderId="58" xfId="0" applyFont="1" applyFill="1" applyBorder="1" applyAlignment="1" applyProtection="1">
      <alignment horizontal="center" vertical="center"/>
    </xf>
    <xf numFmtId="0" fontId="51" fillId="6" borderId="35" xfId="0" applyFont="1" applyFill="1" applyBorder="1" applyAlignment="1" applyProtection="1">
      <alignment horizontal="center" vertical="center"/>
    </xf>
    <xf numFmtId="0" fontId="98" fillId="0" borderId="3" xfId="0" applyFont="1" applyFill="1" applyBorder="1" applyAlignment="1" applyProtection="1">
      <alignment horizontal="center" vertical="center" wrapText="1"/>
      <protection locked="0"/>
    </xf>
    <xf numFmtId="0" fontId="98" fillId="0" borderId="5" xfId="0" applyFont="1" applyFill="1" applyBorder="1" applyAlignment="1" applyProtection="1">
      <alignment horizontal="center" vertical="center" wrapText="1"/>
      <protection locked="0"/>
    </xf>
    <xf numFmtId="0" fontId="114" fillId="0" borderId="23" xfId="0" applyFont="1" applyFill="1" applyBorder="1" applyAlignment="1" applyProtection="1">
      <alignment horizontal="center" vertical="center" wrapText="1"/>
      <protection locked="0"/>
    </xf>
    <xf numFmtId="0" fontId="98" fillId="0" borderId="24" xfId="0" applyFont="1" applyFill="1" applyBorder="1" applyAlignment="1" applyProtection="1">
      <alignment horizontal="center" vertical="center" wrapText="1"/>
      <protection locked="0"/>
    </xf>
    <xf numFmtId="0" fontId="166" fillId="0" borderId="11" xfId="0" applyFont="1" applyFill="1" applyBorder="1" applyAlignment="1" applyProtection="1">
      <alignment horizontal="center" vertical="center" wrapText="1"/>
      <protection locked="0"/>
    </xf>
    <xf numFmtId="0" fontId="166" fillId="0" borderId="61" xfId="0" applyFont="1" applyFill="1" applyBorder="1" applyAlignment="1" applyProtection="1">
      <alignment horizontal="center" vertical="center" wrapText="1"/>
      <protection locked="0"/>
    </xf>
    <xf numFmtId="0" fontId="98" fillId="0" borderId="23" xfId="0" applyFont="1" applyFill="1" applyBorder="1" applyAlignment="1" applyProtection="1">
      <alignment horizontal="center" vertical="center" wrapText="1"/>
      <protection locked="0"/>
    </xf>
    <xf numFmtId="0" fontId="94" fillId="0" borderId="11" xfId="0" applyFont="1" applyFill="1" applyBorder="1" applyAlignment="1" applyProtection="1">
      <alignment horizontal="center" vertical="center" wrapText="1"/>
      <protection locked="0"/>
    </xf>
    <xf numFmtId="0" fontId="51" fillId="0" borderId="61" xfId="0" applyFont="1" applyFill="1" applyBorder="1" applyAlignment="1" applyProtection="1">
      <alignment horizontal="center" vertical="center" wrapText="1"/>
      <protection locked="0"/>
    </xf>
    <xf numFmtId="0" fontId="94" fillId="0" borderId="22" xfId="0" applyFont="1" applyFill="1" applyBorder="1" applyAlignment="1" applyProtection="1">
      <alignment horizontal="center" vertical="center" wrapText="1"/>
      <protection locked="0"/>
    </xf>
    <xf numFmtId="0" fontId="51" fillId="0" borderId="46" xfId="0" applyFont="1" applyFill="1" applyBorder="1" applyAlignment="1" applyProtection="1">
      <alignment horizontal="center" vertical="center" wrapText="1"/>
      <protection locked="0"/>
    </xf>
    <xf numFmtId="0" fontId="51" fillId="6" borderId="1" xfId="0" applyFont="1" applyFill="1" applyBorder="1" applyAlignment="1" applyProtection="1">
      <alignment horizontal="center" vertical="center" wrapText="1"/>
    </xf>
    <xf numFmtId="0" fontId="51" fillId="6" borderId="6" xfId="0" applyFont="1" applyFill="1" applyBorder="1" applyAlignment="1" applyProtection="1">
      <alignment horizontal="center" vertical="center" wrapText="1"/>
    </xf>
    <xf numFmtId="0" fontId="51" fillId="6" borderId="10" xfId="0" applyFont="1" applyFill="1" applyBorder="1" applyAlignment="1" applyProtection="1">
      <alignment horizontal="center" vertical="center" wrapText="1"/>
    </xf>
    <xf numFmtId="0" fontId="51" fillId="6" borderId="30" xfId="0" applyFont="1" applyFill="1" applyBorder="1" applyAlignment="1" applyProtection="1">
      <alignment horizontal="center" vertical="center" wrapText="1"/>
    </xf>
    <xf numFmtId="0" fontId="51" fillId="6" borderId="28"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wrapText="1"/>
    </xf>
    <xf numFmtId="0" fontId="51" fillId="6" borderId="22" xfId="0" applyFont="1" applyFill="1" applyBorder="1" applyAlignment="1" applyProtection="1">
      <alignment horizontal="center" vertical="center" wrapText="1"/>
    </xf>
    <xf numFmtId="0" fontId="51" fillId="6" borderId="58" xfId="0" applyFont="1" applyFill="1" applyBorder="1" applyAlignment="1" applyProtection="1">
      <alignment horizontal="center" vertical="center" wrapText="1"/>
    </xf>
    <xf numFmtId="0" fontId="51" fillId="6" borderId="35" xfId="0" applyFont="1" applyFill="1" applyBorder="1" applyAlignment="1" applyProtection="1">
      <alignment horizontal="center" vertical="center" wrapText="1"/>
    </xf>
    <xf numFmtId="0" fontId="51" fillId="6" borderId="4" xfId="0" applyFont="1" applyFill="1" applyBorder="1" applyAlignment="1" applyProtection="1">
      <alignment horizontal="center" vertical="center" wrapText="1"/>
    </xf>
    <xf numFmtId="0" fontId="51" fillId="6" borderId="7" xfId="0" applyFont="1" applyFill="1" applyBorder="1" applyAlignment="1" applyProtection="1">
      <alignment horizontal="center" vertical="center" wrapText="1"/>
    </xf>
    <xf numFmtId="0" fontId="51" fillId="6" borderId="4" xfId="0" applyFont="1" applyFill="1" applyBorder="1" applyAlignment="1" applyProtection="1">
      <alignment horizontal="center" vertical="center"/>
    </xf>
    <xf numFmtId="0" fontId="51" fillId="6" borderId="7"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44" fillId="6" borderId="54" xfId="0" applyFont="1" applyFill="1" applyBorder="1" applyAlignment="1" applyProtection="1">
      <alignment horizontal="center" vertical="center"/>
    </xf>
    <xf numFmtId="0" fontId="51" fillId="6" borderId="13"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wrapText="1"/>
    </xf>
    <xf numFmtId="0" fontId="51" fillId="6" borderId="13" xfId="0" applyFont="1" applyFill="1" applyBorder="1" applyAlignment="1" applyProtection="1">
      <alignment horizontal="center" vertical="center" textRotation="255" wrapText="1"/>
    </xf>
    <xf numFmtId="0" fontId="51" fillId="6" borderId="15" xfId="0" applyFont="1" applyFill="1" applyBorder="1" applyAlignment="1" applyProtection="1">
      <alignment horizontal="center" vertical="center" textRotation="255" wrapText="1"/>
    </xf>
    <xf numFmtId="185" fontId="51" fillId="6" borderId="1" xfId="0" applyNumberFormat="1" applyFont="1" applyFill="1" applyBorder="1" applyAlignment="1" applyProtection="1">
      <alignment horizontal="center" vertical="center"/>
    </xf>
    <xf numFmtId="0" fontId="51" fillId="6" borderId="5" xfId="0" applyFont="1" applyFill="1" applyBorder="1" applyAlignment="1" applyProtection="1">
      <alignment horizontal="center" vertical="center" wrapText="1"/>
    </xf>
    <xf numFmtId="0" fontId="51" fillId="6" borderId="3" xfId="0" applyFont="1" applyFill="1" applyBorder="1" applyAlignment="1" applyProtection="1">
      <alignment horizontal="center" vertical="center" wrapText="1"/>
    </xf>
    <xf numFmtId="185" fontId="50" fillId="18" borderId="1"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wrapText="1"/>
    </xf>
    <xf numFmtId="0" fontId="51" fillId="6" borderId="23" xfId="0" applyFont="1" applyFill="1" applyBorder="1" applyAlignment="1" applyProtection="1">
      <alignment horizontal="center" vertical="center" wrapText="1"/>
    </xf>
    <xf numFmtId="0" fontId="136" fillId="0" borderId="0" xfId="9" applyNumberFormat="1" applyFont="1" applyAlignment="1" applyProtection="1">
      <alignment horizontal="left" vertical="center"/>
    </xf>
    <xf numFmtId="0" fontId="102" fillId="0" borderId="0" xfId="9" applyNumberFormat="1" applyFont="1" applyAlignment="1" applyProtection="1">
      <alignment horizontal="left" vertical="center"/>
    </xf>
    <xf numFmtId="0" fontId="136" fillId="0" borderId="0" xfId="9" applyFont="1" applyAlignment="1">
      <alignment horizontal="left" vertical="center"/>
    </xf>
    <xf numFmtId="0" fontId="102" fillId="0" borderId="0" xfId="9" applyFont="1" applyAlignment="1">
      <alignment horizontal="left" vertical="center"/>
    </xf>
    <xf numFmtId="0" fontId="143" fillId="11" borderId="131"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0" fontId="143" fillId="11" borderId="127" xfId="9" applyFont="1" applyFill="1" applyBorder="1" applyAlignment="1" applyProtection="1">
      <alignment horizontal="left" vertical="center" wrapText="1"/>
    </xf>
    <xf numFmtId="0" fontId="141" fillId="0" borderId="0" xfId="9" applyFont="1" applyAlignment="1">
      <alignment horizontal="left" vertical="center"/>
    </xf>
    <xf numFmtId="0" fontId="143" fillId="11" borderId="122" xfId="9" applyFont="1" applyFill="1" applyBorder="1" applyAlignment="1" applyProtection="1">
      <alignment horizontal="left" vertical="center" wrapText="1"/>
    </xf>
    <xf numFmtId="0" fontId="99" fillId="11" borderId="131" xfId="9" applyFont="1" applyFill="1" applyBorder="1" applyAlignment="1" applyProtection="1">
      <alignment horizontal="left" vertical="center" wrapText="1"/>
    </xf>
    <xf numFmtId="0" fontId="99" fillId="11" borderId="125" xfId="9" applyFont="1" applyFill="1" applyBorder="1" applyAlignment="1" applyProtection="1">
      <alignment horizontal="left" vertical="center" wrapText="1"/>
    </xf>
    <xf numFmtId="0" fontId="99" fillId="11" borderId="127" xfId="9" applyFont="1" applyFill="1" applyBorder="1" applyAlignment="1" applyProtection="1">
      <alignment horizontal="left" vertical="center" wrapText="1"/>
    </xf>
    <xf numFmtId="0" fontId="143" fillId="11" borderId="153" xfId="9" applyFont="1" applyFill="1" applyBorder="1" applyAlignment="1" applyProtection="1">
      <alignment horizontal="left" vertical="center" wrapText="1"/>
    </xf>
    <xf numFmtId="0" fontId="272" fillId="0" borderId="0" xfId="19" applyNumberFormat="1"/>
    <xf numFmtId="14" fontId="272" fillId="0" borderId="0" xfId="19" applyNumberFormat="1"/>
    <xf numFmtId="0" fontId="54" fillId="19" borderId="69" xfId="4" applyFont="1" applyFill="1" applyBorder="1" applyAlignment="1" applyProtection="1">
      <alignment vertical="center"/>
      <protection locked="0"/>
    </xf>
    <xf numFmtId="0" fontId="54" fillId="19" borderId="7" xfId="4" applyFont="1" applyFill="1" applyBorder="1" applyAlignment="1" applyProtection="1">
      <alignment vertical="center"/>
      <protection locked="0"/>
    </xf>
    <xf numFmtId="0" fontId="54" fillId="6" borderId="37" xfId="4" applyFont="1" applyFill="1" applyBorder="1" applyAlignment="1" applyProtection="1">
      <alignment horizontal="left" vertical="center"/>
      <protection locked="0"/>
    </xf>
    <xf numFmtId="0" fontId="54" fillId="6" borderId="3" xfId="4" applyFont="1" applyFill="1" applyBorder="1" applyAlignment="1" applyProtection="1">
      <alignment horizontal="left" vertical="center"/>
      <protection locked="0"/>
    </xf>
    <xf numFmtId="0" fontId="102" fillId="6" borderId="63" xfId="4" applyFont="1" applyFill="1" applyBorder="1" applyAlignment="1">
      <alignment horizontal="left" vertical="center"/>
    </xf>
    <xf numFmtId="0" fontId="102" fillId="6" borderId="64" xfId="4" applyFont="1" applyFill="1" applyBorder="1" applyAlignment="1">
      <alignment horizontal="left" vertical="center"/>
    </xf>
    <xf numFmtId="0" fontId="102" fillId="6" borderId="70" xfId="4" applyFont="1" applyFill="1" applyBorder="1" applyAlignment="1">
      <alignment horizontal="left" vertical="center"/>
    </xf>
    <xf numFmtId="0" fontId="54" fillId="6" borderId="23" xfId="4" applyFont="1" applyFill="1" applyBorder="1" applyAlignment="1" applyProtection="1">
      <alignment horizontal="left" vertical="center" wrapText="1"/>
      <protection locked="0"/>
    </xf>
    <xf numFmtId="0" fontId="54" fillId="6" borderId="13" xfId="4" applyFont="1" applyFill="1" applyBorder="1" applyAlignment="1" applyProtection="1">
      <alignment horizontal="left" vertical="center" wrapText="1"/>
      <protection locked="0"/>
    </xf>
    <xf numFmtId="0" fontId="54" fillId="6" borderId="15" xfId="4" applyFont="1" applyFill="1" applyBorder="1" applyAlignment="1" applyProtection="1">
      <alignment horizontal="left" vertical="center" wrapText="1"/>
      <protection locked="0"/>
    </xf>
    <xf numFmtId="0" fontId="54" fillId="6" borderId="2" xfId="4" applyFont="1" applyFill="1" applyBorder="1" applyAlignment="1" applyProtection="1">
      <alignment horizontal="left" vertical="center" wrapText="1"/>
      <protection locked="0"/>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53" fillId="6" borderId="5" xfId="4" applyFont="1" applyFill="1" applyBorder="1" applyAlignment="1">
      <alignment horizontal="left" vertical="center"/>
    </xf>
    <xf numFmtId="0" fontId="53" fillId="6" borderId="3" xfId="4" applyFont="1" applyFill="1" applyBorder="1" applyAlignment="1">
      <alignment horizontal="left" vertical="center"/>
    </xf>
    <xf numFmtId="0" fontId="54" fillId="6" borderId="33" xfId="4" applyFont="1" applyFill="1" applyBorder="1" applyAlignment="1">
      <alignment horizontal="left" vertical="center"/>
    </xf>
    <xf numFmtId="0" fontId="54" fillId="6" borderId="66" xfId="4" applyFont="1" applyFill="1" applyBorder="1" applyAlignment="1">
      <alignment horizontal="left" vertical="center"/>
    </xf>
    <xf numFmtId="0" fontId="102" fillId="6" borderId="11" xfId="4" applyFont="1" applyFill="1" applyBorder="1" applyAlignment="1" applyProtection="1">
      <alignment horizontal="left" vertical="center"/>
      <protection locked="0"/>
    </xf>
    <xf numFmtId="0" fontId="102" fillId="6" borderId="41" xfId="4" applyFont="1" applyFill="1" applyBorder="1" applyAlignment="1" applyProtection="1">
      <alignment horizontal="left" vertical="center"/>
      <protection locked="0"/>
    </xf>
    <xf numFmtId="0" fontId="204" fillId="6" borderId="5" xfId="0" applyFont="1" applyFill="1" applyBorder="1" applyAlignment="1">
      <alignment horizontal="center" vertical="center"/>
    </xf>
    <xf numFmtId="0" fontId="204" fillId="6" borderId="3" xfId="0" applyFont="1" applyFill="1" applyBorder="1" applyAlignment="1">
      <alignment horizontal="center" vertical="center"/>
    </xf>
    <xf numFmtId="0" fontId="114" fillId="0" borderId="22" xfId="0" applyFont="1" applyFill="1" applyBorder="1" applyAlignment="1" applyProtection="1">
      <alignment horizontal="center" vertical="center" wrapText="1"/>
      <protection locked="0"/>
    </xf>
    <xf numFmtId="0" fontId="98" fillId="0" borderId="46" xfId="0" applyFont="1" applyFill="1" applyBorder="1" applyAlignment="1" applyProtection="1">
      <alignment horizontal="center" vertical="center" wrapText="1"/>
      <protection locked="0"/>
    </xf>
    <xf numFmtId="0" fontId="98" fillId="0" borderId="11" xfId="0" applyFont="1" applyFill="1" applyBorder="1" applyAlignment="1" applyProtection="1">
      <alignment horizontal="center" vertical="center" wrapText="1"/>
      <protection locked="0"/>
    </xf>
    <xf numFmtId="0" fontId="98" fillId="0" borderId="61" xfId="0" applyFont="1" applyFill="1" applyBorder="1" applyAlignment="1" applyProtection="1">
      <alignment horizontal="center" vertical="center" wrapText="1"/>
      <protection locked="0"/>
    </xf>
    <xf numFmtId="0" fontId="114" fillId="0" borderId="11" xfId="0" applyFont="1" applyFill="1" applyBorder="1" applyAlignment="1" applyProtection="1">
      <alignment horizontal="center" vertical="center" wrapText="1"/>
      <protection locked="0"/>
    </xf>
    <xf numFmtId="0" fontId="98" fillId="0" borderId="22" xfId="0" applyFont="1" applyFill="1" applyBorder="1" applyAlignment="1" applyProtection="1">
      <alignment horizontal="center" vertical="center" wrapText="1"/>
      <protection locked="0"/>
    </xf>
    <xf numFmtId="0" fontId="50" fillId="18" borderId="1" xfId="0" applyNumberFormat="1" applyFont="1" applyFill="1" applyBorder="1" applyAlignment="1" applyProtection="1">
      <alignment horizontal="center" vertical="center"/>
    </xf>
    <xf numFmtId="0" fontId="51" fillId="6" borderId="1" xfId="0" applyNumberFormat="1" applyFont="1" applyFill="1" applyBorder="1" applyAlignment="1" applyProtection="1">
      <alignment horizontal="center" vertical="center"/>
    </xf>
    <xf numFmtId="0" fontId="51" fillId="6" borderId="11" xfId="0" applyFont="1" applyFill="1" applyBorder="1" applyAlignment="1" applyProtection="1">
      <alignment horizontal="center" vertical="center" textRotation="255" wrapText="1"/>
    </xf>
    <xf numFmtId="0" fontId="51" fillId="6" borderId="14" xfId="0" applyFont="1" applyFill="1" applyBorder="1" applyAlignment="1" applyProtection="1">
      <alignment horizontal="center" vertical="center" textRotation="255" wrapText="1"/>
    </xf>
    <xf numFmtId="0" fontId="51" fillId="6" borderId="41" xfId="0" applyFont="1" applyFill="1" applyBorder="1" applyAlignment="1" applyProtection="1">
      <alignment horizontal="center" vertical="center" textRotation="255" wrapText="1"/>
    </xf>
    <xf numFmtId="0" fontId="51" fillId="6" borderId="2" xfId="0" applyFont="1" applyFill="1" applyBorder="1" applyAlignment="1" applyProtection="1">
      <alignment horizontal="center" vertical="center" textRotation="255" wrapText="1"/>
    </xf>
    <xf numFmtId="0" fontId="51" fillId="6" borderId="11" xfId="0" applyFont="1" applyFill="1" applyBorder="1" applyAlignment="1" applyProtection="1">
      <alignment horizontal="center" vertical="center" wrapText="1"/>
    </xf>
    <xf numFmtId="0" fontId="51" fillId="6" borderId="14" xfId="0" applyFont="1" applyFill="1" applyBorder="1" applyAlignment="1" applyProtection="1">
      <alignment horizontal="center" vertical="center" wrapText="1"/>
    </xf>
    <xf numFmtId="0" fontId="246" fillId="0" borderId="0" xfId="19" applyFont="1"/>
    <xf numFmtId="14" fontId="274" fillId="0" borderId="0" xfId="19" applyNumberFormat="1" applyFont="1"/>
    <xf numFmtId="0" fontId="274" fillId="0" borderId="0" xfId="19" applyFont="1"/>
    <xf numFmtId="14" fontId="246" fillId="0" borderId="0" xfId="19" applyNumberFormat="1" applyFont="1"/>
    <xf numFmtId="0" fontId="246" fillId="5" borderId="0" xfId="19" applyFont="1" applyFill="1"/>
    <xf numFmtId="14" fontId="246" fillId="5" borderId="0" xfId="19" applyNumberFormat="1" applyFont="1" applyFill="1"/>
    <xf numFmtId="0" fontId="274" fillId="5" borderId="0" xfId="19" applyFont="1" applyFill="1"/>
    <xf numFmtId="14" fontId="274" fillId="5" borderId="0" xfId="19" applyNumberFormat="1" applyFont="1" applyFill="1"/>
    <xf numFmtId="0" fontId="166" fillId="0" borderId="3" xfId="0" applyFont="1" applyFill="1" applyBorder="1" applyAlignment="1" applyProtection="1">
      <alignment horizontal="center" vertical="center" wrapText="1"/>
      <protection locked="0"/>
    </xf>
    <xf numFmtId="0" fontId="166" fillId="0" borderId="5" xfId="0" applyFont="1" applyFill="1" applyBorder="1" applyAlignment="1" applyProtection="1">
      <alignment horizontal="center" vertical="center" wrapText="1"/>
      <protection locked="0"/>
    </xf>
    <xf numFmtId="0" fontId="166" fillId="0" borderId="23" xfId="0" applyFont="1" applyFill="1" applyBorder="1" applyAlignment="1" applyProtection="1">
      <alignment horizontal="center" vertical="center" wrapText="1"/>
      <protection locked="0"/>
    </xf>
    <xf numFmtId="0" fontId="166" fillId="0" borderId="24" xfId="0" applyFont="1" applyFill="1" applyBorder="1" applyAlignment="1" applyProtection="1">
      <alignment horizontal="center" vertical="center" wrapText="1"/>
      <protection locked="0"/>
    </xf>
    <xf numFmtId="0" fontId="166" fillId="0" borderId="22" xfId="0" applyFont="1" applyFill="1" applyBorder="1" applyAlignment="1" applyProtection="1">
      <alignment horizontal="center" vertical="center" wrapText="1"/>
      <protection locked="0"/>
    </xf>
    <xf numFmtId="0" fontId="166" fillId="0" borderId="46" xfId="0" applyFont="1" applyFill="1" applyBorder="1" applyAlignment="1" applyProtection="1">
      <alignment horizontal="center" vertical="center" wrapText="1"/>
      <protection locked="0"/>
    </xf>
    <xf numFmtId="0" fontId="51" fillId="6" borderId="17" xfId="0" applyFont="1" applyFill="1" applyBorder="1" applyAlignment="1" applyProtection="1">
      <alignment horizontal="center" vertical="center"/>
    </xf>
    <xf numFmtId="0" fontId="51" fillId="6" borderId="29" xfId="0" applyFont="1" applyFill="1" applyBorder="1" applyAlignment="1" applyProtection="1">
      <alignment horizontal="center" vertical="center"/>
    </xf>
    <xf numFmtId="0" fontId="51" fillId="6" borderId="39" xfId="0" applyFont="1" applyFill="1" applyBorder="1" applyAlignment="1" applyProtection="1">
      <alignment horizontal="center" vertical="center"/>
    </xf>
    <xf numFmtId="0" fontId="51" fillId="6" borderId="62" xfId="0" applyFont="1" applyFill="1" applyBorder="1" applyAlignment="1" applyProtection="1">
      <alignment horizontal="center" vertical="center"/>
    </xf>
    <xf numFmtId="0" fontId="51" fillId="6" borderId="53" xfId="0" applyFont="1" applyFill="1" applyBorder="1" applyAlignment="1" applyProtection="1">
      <alignment horizontal="center" vertical="center"/>
    </xf>
    <xf numFmtId="0" fontId="51" fillId="6" borderId="8" xfId="0" applyFont="1" applyFill="1" applyBorder="1" applyAlignment="1" applyProtection="1">
      <alignment horizontal="center" vertical="center"/>
    </xf>
    <xf numFmtId="0" fontId="51" fillId="6" borderId="16" xfId="0" applyFont="1" applyFill="1" applyBorder="1" applyAlignment="1" applyProtection="1">
      <alignment horizontal="center" vertical="center" wrapText="1"/>
    </xf>
    <xf numFmtId="0" fontId="51" fillId="6" borderId="39" xfId="0" applyFont="1" applyFill="1" applyBorder="1" applyAlignment="1" applyProtection="1">
      <alignment horizontal="center" vertical="center" wrapText="1"/>
    </xf>
    <xf numFmtId="0" fontId="51" fillId="6" borderId="18" xfId="0" applyFont="1" applyFill="1" applyBorder="1" applyAlignment="1" applyProtection="1">
      <alignment horizontal="center" vertical="center" wrapText="1"/>
    </xf>
    <xf numFmtId="0" fontId="51" fillId="6" borderId="69" xfId="0" applyFont="1" applyFill="1" applyBorder="1" applyAlignment="1" applyProtection="1">
      <alignment horizontal="center" vertical="center" wrapText="1"/>
    </xf>
    <xf numFmtId="0" fontId="51" fillId="6" borderId="9" xfId="0" applyFont="1" applyFill="1" applyBorder="1" applyAlignment="1" applyProtection="1">
      <alignment horizontal="center" vertical="center"/>
    </xf>
    <xf numFmtId="0" fontId="44" fillId="6" borderId="37" xfId="0" applyFont="1" applyFill="1" applyBorder="1" applyAlignment="1" applyProtection="1">
      <alignment horizontal="center" vertical="center"/>
    </xf>
    <xf numFmtId="0" fontId="51" fillId="6" borderId="38" xfId="0" applyFont="1" applyFill="1" applyBorder="1" applyAlignment="1" applyProtection="1">
      <alignment horizontal="center" vertical="center" wrapText="1"/>
    </xf>
    <xf numFmtId="0" fontId="51" fillId="6" borderId="66" xfId="0" applyFont="1" applyFill="1" applyBorder="1" applyAlignment="1" applyProtection="1">
      <alignment horizontal="center" vertical="center" wrapText="1"/>
    </xf>
    <xf numFmtId="0" fontId="50" fillId="6" borderId="32"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xf>
    <xf numFmtId="0" fontId="51" fillId="0" borderId="11" xfId="0" applyFont="1" applyFill="1" applyBorder="1" applyAlignment="1" applyProtection="1">
      <alignment horizontal="center" vertical="center" wrapText="1"/>
      <protection locked="0"/>
    </xf>
    <xf numFmtId="0" fontId="51" fillId="0" borderId="22"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75" xfId="0" applyFont="1" applyFill="1" applyBorder="1" applyAlignment="1" applyProtection="1">
      <alignment horizontal="center" vertical="center"/>
      <protection locked="0"/>
    </xf>
    <xf numFmtId="0" fontId="47" fillId="6" borderId="47" xfId="0" applyFont="1" applyFill="1" applyBorder="1" applyAlignment="1" applyProtection="1">
      <alignment horizontal="center" vertical="center"/>
      <protection locked="0"/>
    </xf>
    <xf numFmtId="0" fontId="47" fillId="6" borderId="73" xfId="0" applyFont="1" applyFill="1" applyBorder="1" applyAlignment="1" applyProtection="1">
      <alignment horizontal="center" vertical="center"/>
      <protection locked="0"/>
    </xf>
    <xf numFmtId="0" fontId="99" fillId="6" borderId="13" xfId="0" applyNumberFormat="1" applyFont="1" applyFill="1" applyBorder="1" applyAlignment="1" applyProtection="1">
      <alignment horizontal="left" vertical="center"/>
    </xf>
    <xf numFmtId="0" fontId="99" fillId="6" borderId="15" xfId="0" applyNumberFormat="1" applyFont="1" applyFill="1" applyBorder="1" applyAlignment="1" applyProtection="1">
      <alignment horizontal="left" vertical="center"/>
    </xf>
    <xf numFmtId="0" fontId="99" fillId="6" borderId="2"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6" borderId="54"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center" vertical="center" wrapText="1"/>
      <protection locked="0"/>
    </xf>
    <xf numFmtId="0" fontId="57" fillId="6" borderId="5" xfId="0" applyFont="1" applyFill="1" applyBorder="1" applyAlignment="1" applyProtection="1">
      <alignment horizontal="center" vertical="center" wrapText="1"/>
    </xf>
    <xf numFmtId="0" fontId="57" fillId="6" borderId="54"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7" fillId="6" borderId="22" xfId="0" applyFont="1" applyFill="1" applyBorder="1" applyAlignment="1" applyProtection="1">
      <alignment horizontal="center" vertical="center" wrapText="1"/>
    </xf>
    <xf numFmtId="49" fontId="80" fillId="6" borderId="14" xfId="0" applyNumberFormat="1" applyFont="1" applyFill="1" applyBorder="1" applyAlignment="1" applyProtection="1">
      <alignment horizontal="center" vertical="center" wrapText="1"/>
    </xf>
    <xf numFmtId="49" fontId="54" fillId="6" borderId="12" xfId="0" applyNumberFormat="1" applyFont="1" applyFill="1" applyBorder="1" applyAlignment="1" applyProtection="1">
      <alignment horizontal="center" vertical="center" wrapText="1"/>
    </xf>
    <xf numFmtId="0" fontId="102" fillId="6" borderId="0" xfId="0" applyNumberFormat="1" applyFont="1" applyFill="1" applyAlignment="1" applyProtection="1">
      <alignment horizontal="left" vertical="center"/>
    </xf>
    <xf numFmtId="0" fontId="99" fillId="6" borderId="1" xfId="0" applyNumberFormat="1" applyFont="1" applyFill="1" applyBorder="1" applyAlignment="1" applyProtection="1">
      <alignment horizontal="left" vertical="center"/>
    </xf>
    <xf numFmtId="0" fontId="139" fillId="6" borderId="13" xfId="0" applyFont="1" applyFill="1" applyBorder="1" applyAlignment="1" applyProtection="1">
      <alignment vertical="center" wrapText="1"/>
    </xf>
    <xf numFmtId="0" fontId="139" fillId="6" borderId="15" xfId="0" applyFont="1" applyFill="1" applyBorder="1" applyAlignment="1" applyProtection="1">
      <alignment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107" fillId="6" borderId="17" xfId="0" applyNumberFormat="1" applyFont="1" applyFill="1" applyBorder="1" applyAlignment="1" applyProtection="1">
      <alignment horizontal="left" vertical="center"/>
    </xf>
    <xf numFmtId="0" fontId="107" fillId="6" borderId="15" xfId="0" applyNumberFormat="1" applyFont="1" applyFill="1" applyBorder="1" applyAlignment="1" applyProtection="1">
      <alignment horizontal="left" vertical="center"/>
    </xf>
    <xf numFmtId="0" fontId="107" fillId="6" borderId="74" xfId="0" applyNumberFormat="1" applyFont="1" applyFill="1" applyBorder="1" applyAlignment="1" applyProtection="1">
      <alignment horizontal="left" vertical="center"/>
    </xf>
    <xf numFmtId="0" fontId="107" fillId="6" borderId="40" xfId="0" applyNumberFormat="1" applyFont="1" applyFill="1" applyBorder="1" applyAlignment="1" applyProtection="1">
      <alignment horizontal="left" vertical="center"/>
    </xf>
    <xf numFmtId="0" fontId="107" fillId="6" borderId="14" xfId="0" applyNumberFormat="1" applyFont="1" applyFill="1" applyBorder="1" applyAlignment="1" applyProtection="1">
      <alignment horizontal="left" vertical="center"/>
    </xf>
    <xf numFmtId="0" fontId="107" fillId="6" borderId="12" xfId="0" applyNumberFormat="1" applyFont="1" applyFill="1" applyBorder="1" applyAlignment="1" applyProtection="1">
      <alignment horizontal="left" vertical="center"/>
    </xf>
    <xf numFmtId="0" fontId="107" fillId="6" borderId="13" xfId="0" applyNumberFormat="1" applyFont="1" applyFill="1" applyBorder="1" applyAlignment="1" applyProtection="1">
      <alignment horizontal="left" vertical="center"/>
    </xf>
    <xf numFmtId="0" fontId="107" fillId="6" borderId="6" xfId="0" applyNumberFormat="1" applyFont="1" applyFill="1" applyBorder="1" applyAlignment="1" applyProtection="1">
      <alignment horizontal="left" vertical="center"/>
    </xf>
    <xf numFmtId="0" fontId="107" fillId="6" borderId="23" xfId="0" applyNumberFormat="1" applyFont="1" applyFill="1" applyBorder="1" applyAlignment="1" applyProtection="1">
      <alignment horizontal="left" vertical="center"/>
    </xf>
    <xf numFmtId="0" fontId="107" fillId="6" borderId="25" xfId="0" applyNumberFormat="1" applyFont="1" applyFill="1" applyBorder="1" applyAlignment="1" applyProtection="1">
      <alignment horizontal="left" vertical="center"/>
    </xf>
    <xf numFmtId="0" fontId="107" fillId="6" borderId="2" xfId="0" applyNumberFormat="1" applyFont="1" applyFill="1" applyBorder="1" applyAlignment="1" applyProtection="1">
      <alignment horizontal="left" vertical="center"/>
    </xf>
    <xf numFmtId="0" fontId="107" fillId="6" borderId="1" xfId="0" applyNumberFormat="1" applyFont="1" applyFill="1" applyBorder="1" applyAlignment="1" applyProtection="1">
      <alignment horizontal="left" vertical="center"/>
    </xf>
    <xf numFmtId="0" fontId="254" fillId="6" borderId="6" xfId="0" applyNumberFormat="1" applyFont="1" applyFill="1" applyBorder="1" applyAlignment="1" applyProtection="1">
      <alignment horizontal="left" vertical="center" wrapText="1"/>
    </xf>
    <xf numFmtId="0" fontId="254" fillId="6" borderId="25" xfId="0" applyNumberFormat="1" applyFont="1" applyFill="1" applyBorder="1" applyAlignment="1" applyProtection="1">
      <alignment horizontal="left" vertical="center" wrapText="1"/>
    </xf>
    <xf numFmtId="0" fontId="254" fillId="6" borderId="0" xfId="0" applyNumberFormat="1" applyFont="1" applyFill="1" applyAlignment="1" applyProtection="1">
      <alignment horizontal="center" vertical="center"/>
    </xf>
    <xf numFmtId="0" fontId="254" fillId="6" borderId="56" xfId="0" applyNumberFormat="1" applyFont="1" applyFill="1" applyBorder="1" applyAlignment="1" applyProtection="1">
      <alignment horizontal="center" vertical="center"/>
    </xf>
    <xf numFmtId="0" fontId="121" fillId="6" borderId="0" xfId="0" applyFont="1" applyFill="1" applyAlignment="1" applyProtection="1">
      <alignment horizontal="left" vertical="center"/>
    </xf>
    <xf numFmtId="0" fontId="263" fillId="0" borderId="0" xfId="0" applyNumberFormat="1" applyFont="1" applyFill="1" applyAlignment="1">
      <alignment horizontal="center" vertical="center"/>
    </xf>
    <xf numFmtId="0" fontId="263" fillId="0" borderId="35" xfId="0" applyNumberFormat="1" applyFont="1" applyFill="1" applyBorder="1" applyAlignment="1">
      <alignment horizontal="center" vertical="center"/>
    </xf>
    <xf numFmtId="0" fontId="53" fillId="25" borderId="24" xfId="1" applyNumberFormat="1" applyFont="1" applyFill="1" applyBorder="1" applyAlignment="1" applyProtection="1">
      <alignment horizontal="center" vertical="center"/>
      <protection locked="0"/>
    </xf>
  </cellXfs>
  <cellStyles count="28">
    <cellStyle name="百分比" xfId="17" builtinId="5"/>
    <cellStyle name="百分比 2" xfId="14"/>
    <cellStyle name="常规" xfId="0" builtinId="0"/>
    <cellStyle name="常规 10" xfId="19"/>
    <cellStyle name="常规 11" xfId="18"/>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 name="超链接" xfId="20" builtinId="8" hidden="1"/>
    <cellStyle name="超链接" xfId="22" builtinId="8" hidden="1"/>
    <cellStyle name="超链接" xfId="24" builtinId="8" hidden="1"/>
    <cellStyle name="超链接" xfId="26" builtinId="8" hidden="1"/>
    <cellStyle name="已访问的超链接" xfId="21" builtinId="9" hidden="1"/>
    <cellStyle name="已访问的超链接" xfId="23" builtinId="9" hidden="1"/>
    <cellStyle name="已访问的超链接" xfId="25" builtinId="9" hidden="1"/>
    <cellStyle name="已访问的超链接" xfId="27" builtinId="9" hidden="1"/>
  </cellStyles>
  <dxfs count="232">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3.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image" Target="../media/image7.png"/><Relationship Id="rId4" Type="http://schemas.openxmlformats.org/officeDocument/2006/relationships/image" Target="../media/image6.png"/></Relationships>
</file>

<file path=xl/drawings/_rels/drawing2.xml.rels><?xml version="1.0" encoding="UTF-8" standalone="yes"?>
<Relationships xmlns="http://schemas.openxmlformats.org/package/2006/relationships"><Relationship Id="rId1"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image" Target="../media/image14.png"/><Relationship Id="rId5" Type="http://schemas.openxmlformats.org/officeDocument/2006/relationships/image" Target="../media/image13.png"/><Relationship Id="rId4" Type="http://schemas.openxmlformats.org/officeDocument/2006/relationships/image" Target="../media/image12.png"/></Relationships>
</file>

<file path=xl/drawings/_rels/drawing4.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6.png"/><Relationship Id="rId1" Type="http://schemas.openxmlformats.org/officeDocument/2006/relationships/image" Target="../media/image15.png"/><Relationship Id="rId5" Type="http://schemas.openxmlformats.org/officeDocument/2006/relationships/image" Target="../media/image19.png"/><Relationship Id="rId4" Type="http://schemas.openxmlformats.org/officeDocument/2006/relationships/image" Target="../media/image18.png"/></Relationships>
</file>

<file path=xl/drawings/_rels/drawing5.xml.rels><?xml version="1.0" encoding="UTF-8" standalone="yes"?>
<Relationships xmlns="http://schemas.openxmlformats.org/package/2006/relationships"><Relationship Id="rId8" Type="http://schemas.openxmlformats.org/officeDocument/2006/relationships/image" Target="../media/image27.png"/><Relationship Id="rId3" Type="http://schemas.openxmlformats.org/officeDocument/2006/relationships/image" Target="../media/image22.png"/><Relationship Id="rId7" Type="http://schemas.openxmlformats.org/officeDocument/2006/relationships/image" Target="../media/image26.png"/><Relationship Id="rId2" Type="http://schemas.openxmlformats.org/officeDocument/2006/relationships/image" Target="../media/image21.png"/><Relationship Id="rId1" Type="http://schemas.openxmlformats.org/officeDocument/2006/relationships/image" Target="../media/image20.png"/><Relationship Id="rId6" Type="http://schemas.openxmlformats.org/officeDocument/2006/relationships/image" Target="../media/image25.png"/><Relationship Id="rId5" Type="http://schemas.openxmlformats.org/officeDocument/2006/relationships/image" Target="../media/image24.png"/><Relationship Id="rId4" Type="http://schemas.openxmlformats.org/officeDocument/2006/relationships/image" Target="../media/image23.png"/><Relationship Id="rId9" Type="http://schemas.openxmlformats.org/officeDocument/2006/relationships/image" Target="../media/image28.png"/></Relationships>
</file>

<file path=xl/drawings/_rels/drawing6.xml.rels><?xml version="1.0" encoding="UTF-8" standalone="yes"?>
<Relationships xmlns="http://schemas.openxmlformats.org/package/2006/relationships"><Relationship Id="rId3" Type="http://schemas.openxmlformats.org/officeDocument/2006/relationships/image" Target="../media/image31.png"/><Relationship Id="rId2" Type="http://schemas.openxmlformats.org/officeDocument/2006/relationships/image" Target="../media/image30.png"/><Relationship Id="rId1" Type="http://schemas.openxmlformats.org/officeDocument/2006/relationships/image" Target="../media/image29.png"/><Relationship Id="rId4" Type="http://schemas.openxmlformats.org/officeDocument/2006/relationships/image" Target="../media/image32.png"/></Relationships>
</file>

<file path=xl/drawings/_rels/drawing7.xml.rels><?xml version="1.0" encoding="UTF-8" standalone="yes"?>
<Relationships xmlns="http://schemas.openxmlformats.org/package/2006/relationships"><Relationship Id="rId8" Type="http://schemas.openxmlformats.org/officeDocument/2006/relationships/image" Target="../media/image40.png"/><Relationship Id="rId3" Type="http://schemas.openxmlformats.org/officeDocument/2006/relationships/image" Target="../media/image35.png"/><Relationship Id="rId7" Type="http://schemas.openxmlformats.org/officeDocument/2006/relationships/image" Target="../media/image39.png"/><Relationship Id="rId2" Type="http://schemas.openxmlformats.org/officeDocument/2006/relationships/image" Target="../media/image34.png"/><Relationship Id="rId1" Type="http://schemas.openxmlformats.org/officeDocument/2006/relationships/image" Target="../media/image33.png"/><Relationship Id="rId6" Type="http://schemas.openxmlformats.org/officeDocument/2006/relationships/image" Target="../media/image38.png"/><Relationship Id="rId5" Type="http://schemas.openxmlformats.org/officeDocument/2006/relationships/image" Target="../media/image37.png"/><Relationship Id="rId4" Type="http://schemas.openxmlformats.org/officeDocument/2006/relationships/image" Target="../media/image36.png"/><Relationship Id="rId9" Type="http://schemas.openxmlformats.org/officeDocument/2006/relationships/image" Target="../media/image4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809625</xdr:colOff>
      <xdr:row>30</xdr:row>
      <xdr:rowOff>171450</xdr:rowOff>
    </xdr:from>
    <xdr:to>
      <xdr:col>13</xdr:col>
      <xdr:colOff>627848</xdr:colOff>
      <xdr:row>36</xdr:row>
      <xdr:rowOff>152267</xdr:rowOff>
    </xdr:to>
    <xdr:pic>
      <xdr:nvPicPr>
        <xdr:cNvPr id="4" name="图片 3">
          <a:extLst>
            <a:ext uri="{FF2B5EF4-FFF2-40B4-BE49-F238E27FC236}">
              <a16:creationId xmlns="" xmlns:a16="http://schemas.microsoft.com/office/drawing/2014/main" id="{A912C53D-5084-49AE-9149-8D4E8457DDB1}"/>
            </a:ext>
          </a:extLst>
        </xdr:cNvPr>
        <xdr:cNvPicPr>
          <a:picLocks noChangeAspect="1"/>
        </xdr:cNvPicPr>
      </xdr:nvPicPr>
      <xdr:blipFill>
        <a:blip xmlns:r="http://schemas.openxmlformats.org/officeDocument/2006/relationships" r:embed="rId1"/>
        <a:stretch>
          <a:fillRect/>
        </a:stretch>
      </xdr:blipFill>
      <xdr:spPr>
        <a:xfrm>
          <a:off x="6334125" y="7086600"/>
          <a:ext cx="6419048" cy="1066667"/>
        </a:xfrm>
        <a:prstGeom prst="rect">
          <a:avLst/>
        </a:prstGeom>
      </xdr:spPr>
    </xdr:pic>
    <xdr:clientData/>
  </xdr:twoCellAnchor>
  <xdr:twoCellAnchor editAs="oneCell">
    <xdr:from>
      <xdr:col>7</xdr:col>
      <xdr:colOff>457200</xdr:colOff>
      <xdr:row>37</xdr:row>
      <xdr:rowOff>38100</xdr:rowOff>
    </xdr:from>
    <xdr:to>
      <xdr:col>13</xdr:col>
      <xdr:colOff>561240</xdr:colOff>
      <xdr:row>39</xdr:row>
      <xdr:rowOff>133293</xdr:rowOff>
    </xdr:to>
    <xdr:pic>
      <xdr:nvPicPr>
        <xdr:cNvPr id="5" name="图片 4">
          <a:extLst>
            <a:ext uri="{FF2B5EF4-FFF2-40B4-BE49-F238E27FC236}">
              <a16:creationId xmlns="" xmlns:a16="http://schemas.microsoft.com/office/drawing/2014/main" id="{8B7EFF8E-03E4-4FB3-8C4A-029CF7CB3E88}"/>
            </a:ext>
          </a:extLst>
        </xdr:cNvPr>
        <xdr:cNvPicPr>
          <a:picLocks noChangeAspect="1"/>
        </xdr:cNvPicPr>
      </xdr:nvPicPr>
      <xdr:blipFill>
        <a:blip xmlns:r="http://schemas.openxmlformats.org/officeDocument/2006/relationships" r:embed="rId2"/>
        <a:stretch>
          <a:fillRect/>
        </a:stretch>
      </xdr:blipFill>
      <xdr:spPr>
        <a:xfrm>
          <a:off x="7067550" y="6943725"/>
          <a:ext cx="5876190" cy="457143"/>
        </a:xfrm>
        <a:prstGeom prst="rect">
          <a:avLst/>
        </a:prstGeom>
      </xdr:spPr>
    </xdr:pic>
    <xdr:clientData/>
  </xdr:twoCellAnchor>
  <xdr:twoCellAnchor editAs="oneCell">
    <xdr:from>
      <xdr:col>7</xdr:col>
      <xdr:colOff>142875</xdr:colOff>
      <xdr:row>40</xdr:row>
      <xdr:rowOff>104775</xdr:rowOff>
    </xdr:from>
    <xdr:to>
      <xdr:col>14</xdr:col>
      <xdr:colOff>65859</xdr:colOff>
      <xdr:row>47</xdr:row>
      <xdr:rowOff>47474</xdr:rowOff>
    </xdr:to>
    <xdr:pic>
      <xdr:nvPicPr>
        <xdr:cNvPr id="6" name="图片 5">
          <a:extLst>
            <a:ext uri="{FF2B5EF4-FFF2-40B4-BE49-F238E27FC236}">
              <a16:creationId xmlns="" xmlns:a16="http://schemas.microsoft.com/office/drawing/2014/main" id="{C5179F96-8F14-4A4E-B14D-F33E36CC69BC}"/>
            </a:ext>
          </a:extLst>
        </xdr:cNvPr>
        <xdr:cNvPicPr>
          <a:picLocks noChangeAspect="1"/>
        </xdr:cNvPicPr>
      </xdr:nvPicPr>
      <xdr:blipFill>
        <a:blip xmlns:r="http://schemas.openxmlformats.org/officeDocument/2006/relationships" r:embed="rId3"/>
        <a:stretch>
          <a:fillRect/>
        </a:stretch>
      </xdr:blipFill>
      <xdr:spPr>
        <a:xfrm>
          <a:off x="6496050" y="8829675"/>
          <a:ext cx="6523809" cy="1209524"/>
        </a:xfrm>
        <a:prstGeom prst="rect">
          <a:avLst/>
        </a:prstGeom>
      </xdr:spPr>
    </xdr:pic>
    <xdr:clientData/>
  </xdr:twoCellAnchor>
  <xdr:twoCellAnchor editAs="oneCell">
    <xdr:from>
      <xdr:col>0</xdr:col>
      <xdr:colOff>0</xdr:colOff>
      <xdr:row>7</xdr:row>
      <xdr:rowOff>38100</xdr:rowOff>
    </xdr:from>
    <xdr:to>
      <xdr:col>7</xdr:col>
      <xdr:colOff>465840</xdr:colOff>
      <xdr:row>36</xdr:row>
      <xdr:rowOff>46968</xdr:rowOff>
    </xdr:to>
    <xdr:pic>
      <xdr:nvPicPr>
        <xdr:cNvPr id="7" name="图片 6">
          <a:extLst>
            <a:ext uri="{FF2B5EF4-FFF2-40B4-BE49-F238E27FC236}">
              <a16:creationId xmlns="" xmlns:a16="http://schemas.microsoft.com/office/drawing/2014/main" id="{6F68EE15-F3A5-4432-B831-7E156F6DCF85}"/>
            </a:ext>
          </a:extLst>
        </xdr:cNvPr>
        <xdr:cNvPicPr>
          <a:picLocks noChangeAspect="1"/>
        </xdr:cNvPicPr>
      </xdr:nvPicPr>
      <xdr:blipFill>
        <a:blip xmlns:r="http://schemas.openxmlformats.org/officeDocument/2006/relationships" r:embed="rId4"/>
        <a:stretch>
          <a:fillRect/>
        </a:stretch>
      </xdr:blipFill>
      <xdr:spPr>
        <a:xfrm>
          <a:off x="0" y="1514475"/>
          <a:ext cx="7076190" cy="5257143"/>
        </a:xfrm>
        <a:prstGeom prst="rect">
          <a:avLst/>
        </a:prstGeom>
      </xdr:spPr>
    </xdr:pic>
    <xdr:clientData/>
  </xdr:twoCellAnchor>
  <xdr:twoCellAnchor editAs="oneCell">
    <xdr:from>
      <xdr:col>0</xdr:col>
      <xdr:colOff>0</xdr:colOff>
      <xdr:row>6</xdr:row>
      <xdr:rowOff>124558</xdr:rowOff>
    </xdr:from>
    <xdr:to>
      <xdr:col>6</xdr:col>
      <xdr:colOff>229260</xdr:colOff>
      <xdr:row>30</xdr:row>
      <xdr:rowOff>161202</xdr:rowOff>
    </xdr:to>
    <xdr:pic>
      <xdr:nvPicPr>
        <xdr:cNvPr id="2" name="图片 1"/>
        <xdr:cNvPicPr>
          <a:picLocks noChangeAspect="1"/>
        </xdr:cNvPicPr>
      </xdr:nvPicPr>
      <xdr:blipFill>
        <a:blip xmlns:r="http://schemas.openxmlformats.org/officeDocument/2006/relationships" r:embed="rId5"/>
        <a:stretch>
          <a:fillRect/>
        </a:stretch>
      </xdr:blipFill>
      <xdr:spPr>
        <a:xfrm>
          <a:off x="0" y="1428750"/>
          <a:ext cx="6010202" cy="443279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581025</xdr:colOff>
      <xdr:row>0</xdr:row>
      <xdr:rowOff>57150</xdr:rowOff>
    </xdr:from>
    <xdr:to>
      <xdr:col>15</xdr:col>
      <xdr:colOff>475455</xdr:colOff>
      <xdr:row>24</xdr:row>
      <xdr:rowOff>85150</xdr:rowOff>
    </xdr:to>
    <xdr:pic>
      <xdr:nvPicPr>
        <xdr:cNvPr id="2" name="图片 1"/>
        <xdr:cNvPicPr>
          <a:picLocks noChangeAspect="1"/>
        </xdr:cNvPicPr>
      </xdr:nvPicPr>
      <xdr:blipFill>
        <a:blip xmlns:r="http://schemas.openxmlformats.org/officeDocument/2006/relationships" r:embed="rId1"/>
        <a:stretch>
          <a:fillRect/>
        </a:stretch>
      </xdr:blipFill>
      <xdr:spPr>
        <a:xfrm>
          <a:off x="9582150" y="57150"/>
          <a:ext cx="6361905" cy="460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17</xdr:row>
      <xdr:rowOff>168275</xdr:rowOff>
    </xdr:from>
    <xdr:to>
      <xdr:col>2</xdr:col>
      <xdr:colOff>4297713</xdr:colOff>
      <xdr:row>26</xdr:row>
      <xdr:rowOff>155575</xdr:rowOff>
    </xdr:to>
    <xdr:pic>
      <xdr:nvPicPr>
        <xdr:cNvPr id="2" name="图片 1">
          <a:extLst>
            <a:ext uri="{FF2B5EF4-FFF2-40B4-BE49-F238E27FC236}">
              <a16:creationId xmlns="" xmlns:a16="http://schemas.microsoft.com/office/drawing/2014/main" id="{00000000-0008-0000-1900-000002000000}"/>
            </a:ext>
          </a:extLst>
        </xdr:cNvPr>
        <xdr:cNvPicPr>
          <a:picLocks noChangeAspect="1"/>
        </xdr:cNvPicPr>
      </xdr:nvPicPr>
      <xdr:blipFill>
        <a:blip xmlns:r="http://schemas.openxmlformats.org/officeDocument/2006/relationships" r:embed="rId1" cstate="print"/>
        <a:stretch>
          <a:fillRect/>
        </a:stretch>
      </xdr:blipFill>
      <xdr:spPr>
        <a:xfrm>
          <a:off x="0" y="2254250"/>
          <a:ext cx="9260238" cy="1616075"/>
        </a:xfrm>
        <a:prstGeom prst="rect">
          <a:avLst/>
        </a:prstGeom>
      </xdr:spPr>
    </xdr:pic>
    <xdr:clientData/>
  </xdr:twoCellAnchor>
  <xdr:twoCellAnchor editAs="oneCell">
    <xdr:from>
      <xdr:col>0</xdr:col>
      <xdr:colOff>9525</xdr:colOff>
      <xdr:row>41</xdr:row>
      <xdr:rowOff>19049</xdr:rowOff>
    </xdr:from>
    <xdr:to>
      <xdr:col>2</xdr:col>
      <xdr:colOff>2790825</xdr:colOff>
      <xdr:row>64</xdr:row>
      <xdr:rowOff>99251</xdr:rowOff>
    </xdr:to>
    <xdr:pic>
      <xdr:nvPicPr>
        <xdr:cNvPr id="3" name="图片 2">
          <a:extLst>
            <a:ext uri="{FF2B5EF4-FFF2-40B4-BE49-F238E27FC236}">
              <a16:creationId xmlns="" xmlns:a16="http://schemas.microsoft.com/office/drawing/2014/main" id="{00000000-0008-0000-1900-000003000000}"/>
            </a:ext>
          </a:extLst>
        </xdr:cNvPr>
        <xdr:cNvPicPr>
          <a:picLocks noChangeAspect="1"/>
        </xdr:cNvPicPr>
      </xdr:nvPicPr>
      <xdr:blipFill>
        <a:blip xmlns:r="http://schemas.openxmlformats.org/officeDocument/2006/relationships" r:embed="rId2"/>
        <a:stretch>
          <a:fillRect/>
        </a:stretch>
      </xdr:blipFill>
      <xdr:spPr>
        <a:xfrm>
          <a:off x="9525" y="6677024"/>
          <a:ext cx="7743825" cy="4242627"/>
        </a:xfrm>
        <a:prstGeom prst="rect">
          <a:avLst/>
        </a:prstGeom>
      </xdr:spPr>
    </xdr:pic>
    <xdr:clientData/>
  </xdr:twoCellAnchor>
  <xdr:twoCellAnchor editAs="oneCell">
    <xdr:from>
      <xdr:col>14</xdr:col>
      <xdr:colOff>790575</xdr:colOff>
      <xdr:row>30</xdr:row>
      <xdr:rowOff>171450</xdr:rowOff>
    </xdr:from>
    <xdr:to>
      <xdr:col>25</xdr:col>
      <xdr:colOff>170689</xdr:colOff>
      <xdr:row>42</xdr:row>
      <xdr:rowOff>37824</xdr:rowOff>
    </xdr:to>
    <xdr:pic>
      <xdr:nvPicPr>
        <xdr:cNvPr id="4" name="图片 3">
          <a:extLst>
            <a:ext uri="{FF2B5EF4-FFF2-40B4-BE49-F238E27FC236}">
              <a16:creationId xmlns="" xmlns:a16="http://schemas.microsoft.com/office/drawing/2014/main" id="{59FE631F-DF2F-4DE8-A065-092DF42B60EE}"/>
            </a:ext>
          </a:extLst>
        </xdr:cNvPr>
        <xdr:cNvPicPr>
          <a:picLocks noChangeAspect="1"/>
        </xdr:cNvPicPr>
      </xdr:nvPicPr>
      <xdr:blipFill>
        <a:blip xmlns:r="http://schemas.openxmlformats.org/officeDocument/2006/relationships" r:embed="rId3"/>
        <a:stretch>
          <a:fillRect/>
        </a:stretch>
      </xdr:blipFill>
      <xdr:spPr>
        <a:xfrm>
          <a:off x="16716375" y="4667250"/>
          <a:ext cx="6085714" cy="2209524"/>
        </a:xfrm>
        <a:prstGeom prst="rect">
          <a:avLst/>
        </a:prstGeom>
      </xdr:spPr>
    </xdr:pic>
    <xdr:clientData/>
  </xdr:twoCellAnchor>
  <xdr:twoCellAnchor editAs="oneCell">
    <xdr:from>
      <xdr:col>1</xdr:col>
      <xdr:colOff>0</xdr:colOff>
      <xdr:row>60</xdr:row>
      <xdr:rowOff>0</xdr:rowOff>
    </xdr:from>
    <xdr:to>
      <xdr:col>2</xdr:col>
      <xdr:colOff>5323654</xdr:colOff>
      <xdr:row>84</xdr:row>
      <xdr:rowOff>180409</xdr:rowOff>
    </xdr:to>
    <xdr:pic>
      <xdr:nvPicPr>
        <xdr:cNvPr id="5" name="图片 4">
          <a:extLst>
            <a:ext uri="{FF2B5EF4-FFF2-40B4-BE49-F238E27FC236}">
              <a16:creationId xmlns="" xmlns:a16="http://schemas.microsoft.com/office/drawing/2014/main" id="{FFD80454-5728-4CD6-A08D-B539E31569FF}"/>
            </a:ext>
          </a:extLst>
        </xdr:cNvPr>
        <xdr:cNvPicPr>
          <a:picLocks noChangeAspect="1"/>
        </xdr:cNvPicPr>
      </xdr:nvPicPr>
      <xdr:blipFill>
        <a:blip xmlns:r="http://schemas.openxmlformats.org/officeDocument/2006/relationships" r:embed="rId4"/>
        <a:stretch>
          <a:fillRect/>
        </a:stretch>
      </xdr:blipFill>
      <xdr:spPr>
        <a:xfrm>
          <a:off x="295275" y="10029825"/>
          <a:ext cx="6571429" cy="4523809"/>
        </a:xfrm>
        <a:prstGeom prst="rect">
          <a:avLst/>
        </a:prstGeom>
      </xdr:spPr>
    </xdr:pic>
    <xdr:clientData/>
  </xdr:twoCellAnchor>
  <xdr:twoCellAnchor editAs="oneCell">
    <xdr:from>
      <xdr:col>14</xdr:col>
      <xdr:colOff>809625</xdr:colOff>
      <xdr:row>21</xdr:row>
      <xdr:rowOff>28575</xdr:rowOff>
    </xdr:from>
    <xdr:to>
      <xdr:col>30</xdr:col>
      <xdr:colOff>208263</xdr:colOff>
      <xdr:row>34</xdr:row>
      <xdr:rowOff>47312</xdr:rowOff>
    </xdr:to>
    <xdr:pic>
      <xdr:nvPicPr>
        <xdr:cNvPr id="6" name="图片 5">
          <a:extLst>
            <a:ext uri="{FF2B5EF4-FFF2-40B4-BE49-F238E27FC236}">
              <a16:creationId xmlns="" xmlns:a16="http://schemas.microsoft.com/office/drawing/2014/main" id="{FB45AD01-4FD8-4DB5-893B-4737776DC096}"/>
            </a:ext>
          </a:extLst>
        </xdr:cNvPr>
        <xdr:cNvPicPr>
          <a:picLocks noChangeAspect="1"/>
        </xdr:cNvPicPr>
      </xdr:nvPicPr>
      <xdr:blipFill>
        <a:blip xmlns:r="http://schemas.openxmlformats.org/officeDocument/2006/relationships" r:embed="rId5"/>
        <a:stretch>
          <a:fillRect/>
        </a:stretch>
      </xdr:blipFill>
      <xdr:spPr>
        <a:xfrm>
          <a:off x="9572625" y="3000375"/>
          <a:ext cx="10295238" cy="2504762"/>
        </a:xfrm>
        <a:prstGeom prst="rect">
          <a:avLst/>
        </a:prstGeom>
      </xdr:spPr>
    </xdr:pic>
    <xdr:clientData/>
  </xdr:twoCellAnchor>
  <xdr:twoCellAnchor editAs="oneCell">
    <xdr:from>
      <xdr:col>2</xdr:col>
      <xdr:colOff>952500</xdr:colOff>
      <xdr:row>18</xdr:row>
      <xdr:rowOff>6350</xdr:rowOff>
    </xdr:from>
    <xdr:to>
      <xdr:col>2</xdr:col>
      <xdr:colOff>2885833</xdr:colOff>
      <xdr:row>25</xdr:row>
      <xdr:rowOff>168096</xdr:rowOff>
    </xdr:to>
    <xdr:pic>
      <xdr:nvPicPr>
        <xdr:cNvPr id="7" name="图片 6">
          <a:extLst>
            <a:ext uri="{FF2B5EF4-FFF2-40B4-BE49-F238E27FC236}">
              <a16:creationId xmlns="" xmlns:a16="http://schemas.microsoft.com/office/drawing/2014/main" id="{DF609D53-A2D9-4B60-99D8-E9C5D8ADB6C1}"/>
            </a:ext>
          </a:extLst>
        </xdr:cNvPr>
        <xdr:cNvPicPr>
          <a:picLocks noChangeAspect="1"/>
        </xdr:cNvPicPr>
      </xdr:nvPicPr>
      <xdr:blipFill>
        <a:blip xmlns:r="http://schemas.openxmlformats.org/officeDocument/2006/relationships" r:embed="rId6"/>
        <a:stretch>
          <a:fillRect/>
        </a:stretch>
      </xdr:blipFill>
      <xdr:spPr>
        <a:xfrm>
          <a:off x="5905500" y="2273300"/>
          <a:ext cx="1933333" cy="142857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5</xdr:col>
      <xdr:colOff>542333</xdr:colOff>
      <xdr:row>11</xdr:row>
      <xdr:rowOff>94854</xdr:rowOff>
    </xdr:to>
    <xdr:pic>
      <xdr:nvPicPr>
        <xdr:cNvPr id="2" name="图片 1">
          <a:extLst>
            <a:ext uri="{FF2B5EF4-FFF2-40B4-BE49-F238E27FC236}">
              <a16:creationId xmlns="" xmlns:a16="http://schemas.microsoft.com/office/drawing/2014/main" id="{5F44B0A1-74EE-433A-A4E4-1A2ED051C7BD}"/>
            </a:ext>
          </a:extLst>
        </xdr:cNvPr>
        <xdr:cNvPicPr>
          <a:picLocks noChangeAspect="1"/>
        </xdr:cNvPicPr>
      </xdr:nvPicPr>
      <xdr:blipFill>
        <a:blip xmlns:r="http://schemas.openxmlformats.org/officeDocument/2006/relationships" r:embed="rId1"/>
        <a:stretch>
          <a:fillRect/>
        </a:stretch>
      </xdr:blipFill>
      <xdr:spPr>
        <a:xfrm>
          <a:off x="0" y="0"/>
          <a:ext cx="4733333" cy="3171429"/>
        </a:xfrm>
        <a:prstGeom prst="rect">
          <a:avLst/>
        </a:prstGeom>
      </xdr:spPr>
    </xdr:pic>
    <xdr:clientData/>
  </xdr:twoCellAnchor>
  <xdr:twoCellAnchor>
    <xdr:from>
      <xdr:col>0</xdr:col>
      <xdr:colOff>619125</xdr:colOff>
      <xdr:row>12</xdr:row>
      <xdr:rowOff>123825</xdr:rowOff>
    </xdr:from>
    <xdr:to>
      <xdr:col>6</xdr:col>
      <xdr:colOff>828675</xdr:colOff>
      <xdr:row>32</xdr:row>
      <xdr:rowOff>38100</xdr:rowOff>
    </xdr:to>
    <xdr:pic>
      <xdr:nvPicPr>
        <xdr:cNvPr id="3" name="图片 1">
          <a:extLst>
            <a:ext uri="{FF2B5EF4-FFF2-40B4-BE49-F238E27FC236}">
              <a16:creationId xmlns="" xmlns:a16="http://schemas.microsoft.com/office/drawing/2014/main" id="{5BDDC797-F68B-4A89-BC22-F837643A0AF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9125" y="3562350"/>
          <a:ext cx="5238750" cy="3533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104775</xdr:colOff>
      <xdr:row>11</xdr:row>
      <xdr:rowOff>171450</xdr:rowOff>
    </xdr:from>
    <xdr:to>
      <xdr:col>16</xdr:col>
      <xdr:colOff>237165</xdr:colOff>
      <xdr:row>36</xdr:row>
      <xdr:rowOff>47075</xdr:rowOff>
    </xdr:to>
    <xdr:pic>
      <xdr:nvPicPr>
        <xdr:cNvPr id="4" name="图片 3">
          <a:extLst>
            <a:ext uri="{FF2B5EF4-FFF2-40B4-BE49-F238E27FC236}">
              <a16:creationId xmlns="" xmlns:a16="http://schemas.microsoft.com/office/drawing/2014/main" id="{EFCA043F-40CA-477D-AA8B-EDDA58DD1233}"/>
            </a:ext>
          </a:extLst>
        </xdr:cNvPr>
        <xdr:cNvPicPr>
          <a:picLocks noChangeAspect="1"/>
        </xdr:cNvPicPr>
      </xdr:nvPicPr>
      <xdr:blipFill>
        <a:blip xmlns:r="http://schemas.openxmlformats.org/officeDocument/2006/relationships" r:embed="rId3"/>
        <a:stretch>
          <a:fillRect/>
        </a:stretch>
      </xdr:blipFill>
      <xdr:spPr>
        <a:xfrm>
          <a:off x="5972175" y="3429000"/>
          <a:ext cx="7676190" cy="4400000"/>
        </a:xfrm>
        <a:prstGeom prst="rect">
          <a:avLst/>
        </a:prstGeom>
      </xdr:spPr>
    </xdr:pic>
    <xdr:clientData/>
  </xdr:twoCellAnchor>
  <xdr:twoCellAnchor editAs="oneCell">
    <xdr:from>
      <xdr:col>0</xdr:col>
      <xdr:colOff>161925</xdr:colOff>
      <xdr:row>38</xdr:row>
      <xdr:rowOff>66675</xdr:rowOff>
    </xdr:from>
    <xdr:to>
      <xdr:col>11</xdr:col>
      <xdr:colOff>9160</xdr:colOff>
      <xdr:row>59</xdr:row>
      <xdr:rowOff>113756</xdr:rowOff>
    </xdr:to>
    <xdr:pic>
      <xdr:nvPicPr>
        <xdr:cNvPr id="5" name="图片 4">
          <a:extLst>
            <a:ext uri="{FF2B5EF4-FFF2-40B4-BE49-F238E27FC236}">
              <a16:creationId xmlns="" xmlns:a16="http://schemas.microsoft.com/office/drawing/2014/main" id="{3CC00370-C7FD-479E-AB40-41657024A62F}"/>
            </a:ext>
          </a:extLst>
        </xdr:cNvPr>
        <xdr:cNvPicPr>
          <a:picLocks noChangeAspect="1"/>
        </xdr:cNvPicPr>
      </xdr:nvPicPr>
      <xdr:blipFill>
        <a:blip xmlns:r="http://schemas.openxmlformats.org/officeDocument/2006/relationships" r:embed="rId4"/>
        <a:stretch>
          <a:fillRect/>
        </a:stretch>
      </xdr:blipFill>
      <xdr:spPr>
        <a:xfrm>
          <a:off x="161925" y="8210550"/>
          <a:ext cx="9067435" cy="3847556"/>
        </a:xfrm>
        <a:prstGeom prst="rect">
          <a:avLst/>
        </a:prstGeom>
      </xdr:spPr>
    </xdr:pic>
    <xdr:clientData/>
  </xdr:twoCellAnchor>
  <xdr:twoCellAnchor editAs="oneCell">
    <xdr:from>
      <xdr:col>0</xdr:col>
      <xdr:colOff>85726</xdr:colOff>
      <xdr:row>60</xdr:row>
      <xdr:rowOff>111060</xdr:rowOff>
    </xdr:from>
    <xdr:to>
      <xdr:col>11</xdr:col>
      <xdr:colOff>28576</xdr:colOff>
      <xdr:row>86</xdr:row>
      <xdr:rowOff>94651</xdr:rowOff>
    </xdr:to>
    <xdr:pic>
      <xdr:nvPicPr>
        <xdr:cNvPr id="6" name="图片 5">
          <a:extLst>
            <a:ext uri="{FF2B5EF4-FFF2-40B4-BE49-F238E27FC236}">
              <a16:creationId xmlns="" xmlns:a16="http://schemas.microsoft.com/office/drawing/2014/main" id="{7D627A56-F7E9-4694-9B45-96797E961F14}"/>
            </a:ext>
          </a:extLst>
        </xdr:cNvPr>
        <xdr:cNvPicPr>
          <a:picLocks noChangeAspect="1"/>
        </xdr:cNvPicPr>
      </xdr:nvPicPr>
      <xdr:blipFill>
        <a:blip xmlns:r="http://schemas.openxmlformats.org/officeDocument/2006/relationships" r:embed="rId5"/>
        <a:stretch>
          <a:fillRect/>
        </a:stretch>
      </xdr:blipFill>
      <xdr:spPr>
        <a:xfrm>
          <a:off x="85726" y="12236385"/>
          <a:ext cx="9163050" cy="468894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13</xdr:row>
      <xdr:rowOff>133562</xdr:rowOff>
    </xdr:from>
    <xdr:to>
      <xdr:col>13</xdr:col>
      <xdr:colOff>554747</xdr:colOff>
      <xdr:row>23</xdr:row>
      <xdr:rowOff>133350</xdr:rowOff>
    </xdr:to>
    <xdr:pic>
      <xdr:nvPicPr>
        <xdr:cNvPr id="2" name="图片 1">
          <a:extLst>
            <a:ext uri="{FF2B5EF4-FFF2-40B4-BE49-F238E27FC236}">
              <a16:creationId xmlns="" xmlns:a16="http://schemas.microsoft.com/office/drawing/2014/main" id="{843926C2-8C45-4412-AE56-C4BEF25F0751}"/>
            </a:ext>
          </a:extLst>
        </xdr:cNvPr>
        <xdr:cNvPicPr>
          <a:picLocks noChangeAspect="1"/>
        </xdr:cNvPicPr>
      </xdr:nvPicPr>
      <xdr:blipFill>
        <a:blip xmlns:r="http://schemas.openxmlformats.org/officeDocument/2006/relationships" r:embed="rId1"/>
        <a:stretch>
          <a:fillRect/>
        </a:stretch>
      </xdr:blipFill>
      <xdr:spPr>
        <a:xfrm>
          <a:off x="0" y="2486237"/>
          <a:ext cx="9470147" cy="1809538"/>
        </a:xfrm>
        <a:prstGeom prst="rect">
          <a:avLst/>
        </a:prstGeom>
      </xdr:spPr>
    </xdr:pic>
    <xdr:clientData/>
  </xdr:twoCellAnchor>
  <xdr:twoCellAnchor editAs="oneCell">
    <xdr:from>
      <xdr:col>0</xdr:col>
      <xdr:colOff>0</xdr:colOff>
      <xdr:row>0</xdr:row>
      <xdr:rowOff>0</xdr:rowOff>
    </xdr:from>
    <xdr:to>
      <xdr:col>13</xdr:col>
      <xdr:colOff>512745</xdr:colOff>
      <xdr:row>13</xdr:row>
      <xdr:rowOff>88291</xdr:rowOff>
    </xdr:to>
    <xdr:pic>
      <xdr:nvPicPr>
        <xdr:cNvPr id="3" name="图片 2">
          <a:extLst>
            <a:ext uri="{FF2B5EF4-FFF2-40B4-BE49-F238E27FC236}">
              <a16:creationId xmlns="" xmlns:a16="http://schemas.microsoft.com/office/drawing/2014/main" id="{4D40B7DC-AA7D-4F01-BE4D-B6D9BA947395}"/>
            </a:ext>
          </a:extLst>
        </xdr:cNvPr>
        <xdr:cNvPicPr>
          <a:picLocks noChangeAspect="1"/>
        </xdr:cNvPicPr>
      </xdr:nvPicPr>
      <xdr:blipFill>
        <a:blip xmlns:r="http://schemas.openxmlformats.org/officeDocument/2006/relationships" r:embed="rId2"/>
        <a:stretch>
          <a:fillRect/>
        </a:stretch>
      </xdr:blipFill>
      <xdr:spPr>
        <a:xfrm>
          <a:off x="0" y="0"/>
          <a:ext cx="9428145" cy="2440966"/>
        </a:xfrm>
        <a:prstGeom prst="rect">
          <a:avLst/>
        </a:prstGeom>
      </xdr:spPr>
    </xdr:pic>
    <xdr:clientData/>
  </xdr:twoCellAnchor>
  <xdr:twoCellAnchor editAs="oneCell">
    <xdr:from>
      <xdr:col>0</xdr:col>
      <xdr:colOff>0</xdr:colOff>
      <xdr:row>23</xdr:row>
      <xdr:rowOff>169074</xdr:rowOff>
    </xdr:from>
    <xdr:to>
      <xdr:col>13</xdr:col>
      <xdr:colOff>581025</xdr:colOff>
      <xdr:row>41</xdr:row>
      <xdr:rowOff>10806</xdr:rowOff>
    </xdr:to>
    <xdr:pic>
      <xdr:nvPicPr>
        <xdr:cNvPr id="4" name="图片 3">
          <a:extLst>
            <a:ext uri="{FF2B5EF4-FFF2-40B4-BE49-F238E27FC236}">
              <a16:creationId xmlns="" xmlns:a16="http://schemas.microsoft.com/office/drawing/2014/main" id="{D5095304-B974-4DF9-A126-EEE84008AD9B}"/>
            </a:ext>
          </a:extLst>
        </xdr:cNvPr>
        <xdr:cNvPicPr>
          <a:picLocks noChangeAspect="1"/>
        </xdr:cNvPicPr>
      </xdr:nvPicPr>
      <xdr:blipFill>
        <a:blip xmlns:r="http://schemas.openxmlformats.org/officeDocument/2006/relationships" r:embed="rId3"/>
        <a:stretch>
          <a:fillRect/>
        </a:stretch>
      </xdr:blipFill>
      <xdr:spPr>
        <a:xfrm>
          <a:off x="0" y="4331499"/>
          <a:ext cx="9496425" cy="3099282"/>
        </a:xfrm>
        <a:prstGeom prst="rect">
          <a:avLst/>
        </a:prstGeom>
      </xdr:spPr>
    </xdr:pic>
    <xdr:clientData/>
  </xdr:twoCellAnchor>
  <xdr:twoCellAnchor editAs="oneCell">
    <xdr:from>
      <xdr:col>0</xdr:col>
      <xdr:colOff>0</xdr:colOff>
      <xdr:row>40</xdr:row>
      <xdr:rowOff>121282</xdr:rowOff>
    </xdr:from>
    <xdr:to>
      <xdr:col>14</xdr:col>
      <xdr:colOff>63608</xdr:colOff>
      <xdr:row>47</xdr:row>
      <xdr:rowOff>104774</xdr:rowOff>
    </xdr:to>
    <xdr:pic>
      <xdr:nvPicPr>
        <xdr:cNvPr id="5" name="图片 4">
          <a:extLst>
            <a:ext uri="{FF2B5EF4-FFF2-40B4-BE49-F238E27FC236}">
              <a16:creationId xmlns="" xmlns:a16="http://schemas.microsoft.com/office/drawing/2014/main" id="{5309A0AF-61F2-4F0B-8F9D-D9BD9076F423}"/>
            </a:ext>
          </a:extLst>
        </xdr:cNvPr>
        <xdr:cNvPicPr>
          <a:picLocks noChangeAspect="1"/>
        </xdr:cNvPicPr>
      </xdr:nvPicPr>
      <xdr:blipFill>
        <a:blip xmlns:r="http://schemas.openxmlformats.org/officeDocument/2006/relationships" r:embed="rId4"/>
        <a:stretch>
          <a:fillRect/>
        </a:stretch>
      </xdr:blipFill>
      <xdr:spPr>
        <a:xfrm>
          <a:off x="0" y="7360282"/>
          <a:ext cx="9664808" cy="1250317"/>
        </a:xfrm>
        <a:prstGeom prst="rect">
          <a:avLst/>
        </a:prstGeom>
      </xdr:spPr>
    </xdr:pic>
    <xdr:clientData/>
  </xdr:twoCellAnchor>
  <xdr:twoCellAnchor editAs="oneCell">
    <xdr:from>
      <xdr:col>0</xdr:col>
      <xdr:colOff>0</xdr:colOff>
      <xdr:row>47</xdr:row>
      <xdr:rowOff>167341</xdr:rowOff>
    </xdr:from>
    <xdr:to>
      <xdr:col>14</xdr:col>
      <xdr:colOff>47625</xdr:colOff>
      <xdr:row>65</xdr:row>
      <xdr:rowOff>66151</xdr:rowOff>
    </xdr:to>
    <xdr:pic>
      <xdr:nvPicPr>
        <xdr:cNvPr id="6" name="图片 5">
          <a:extLst>
            <a:ext uri="{FF2B5EF4-FFF2-40B4-BE49-F238E27FC236}">
              <a16:creationId xmlns="" xmlns:a16="http://schemas.microsoft.com/office/drawing/2014/main" id="{C37454B1-8007-41FF-9CE0-24C4FF78495E}"/>
            </a:ext>
          </a:extLst>
        </xdr:cNvPr>
        <xdr:cNvPicPr>
          <a:picLocks noChangeAspect="1"/>
        </xdr:cNvPicPr>
      </xdr:nvPicPr>
      <xdr:blipFill>
        <a:blip xmlns:r="http://schemas.openxmlformats.org/officeDocument/2006/relationships" r:embed="rId5"/>
        <a:stretch>
          <a:fillRect/>
        </a:stretch>
      </xdr:blipFill>
      <xdr:spPr>
        <a:xfrm>
          <a:off x="0" y="8673166"/>
          <a:ext cx="9648825" cy="3156360"/>
        </a:xfrm>
        <a:prstGeom prst="rect">
          <a:avLst/>
        </a:prstGeom>
      </xdr:spPr>
    </xdr:pic>
    <xdr:clientData/>
  </xdr:twoCellAnchor>
  <xdr:twoCellAnchor editAs="oneCell">
    <xdr:from>
      <xdr:col>0</xdr:col>
      <xdr:colOff>0</xdr:colOff>
      <xdr:row>65</xdr:row>
      <xdr:rowOff>1116</xdr:rowOff>
    </xdr:from>
    <xdr:to>
      <xdr:col>14</xdr:col>
      <xdr:colOff>198419</xdr:colOff>
      <xdr:row>74</xdr:row>
      <xdr:rowOff>152108</xdr:rowOff>
    </xdr:to>
    <xdr:pic>
      <xdr:nvPicPr>
        <xdr:cNvPr id="7" name="图片 6">
          <a:extLst>
            <a:ext uri="{FF2B5EF4-FFF2-40B4-BE49-F238E27FC236}">
              <a16:creationId xmlns="" xmlns:a16="http://schemas.microsoft.com/office/drawing/2014/main" id="{7109BCBB-5375-490E-857F-46C8739CE565}"/>
            </a:ext>
          </a:extLst>
        </xdr:cNvPr>
        <xdr:cNvPicPr>
          <a:picLocks noChangeAspect="1"/>
        </xdr:cNvPicPr>
      </xdr:nvPicPr>
      <xdr:blipFill>
        <a:blip xmlns:r="http://schemas.openxmlformats.org/officeDocument/2006/relationships" r:embed="rId6"/>
        <a:stretch>
          <a:fillRect/>
        </a:stretch>
      </xdr:blipFill>
      <xdr:spPr>
        <a:xfrm>
          <a:off x="0" y="11764491"/>
          <a:ext cx="9799619" cy="1779767"/>
        </a:xfrm>
        <a:prstGeom prst="rect">
          <a:avLst/>
        </a:prstGeom>
      </xdr:spPr>
    </xdr:pic>
    <xdr:clientData/>
  </xdr:twoCellAnchor>
  <xdr:twoCellAnchor editAs="oneCell">
    <xdr:from>
      <xdr:col>0</xdr:col>
      <xdr:colOff>0</xdr:colOff>
      <xdr:row>74</xdr:row>
      <xdr:rowOff>127273</xdr:rowOff>
    </xdr:from>
    <xdr:to>
      <xdr:col>14</xdr:col>
      <xdr:colOff>114300</xdr:colOff>
      <xdr:row>92</xdr:row>
      <xdr:rowOff>18534</xdr:rowOff>
    </xdr:to>
    <xdr:pic>
      <xdr:nvPicPr>
        <xdr:cNvPr id="8" name="图片 7">
          <a:extLst>
            <a:ext uri="{FF2B5EF4-FFF2-40B4-BE49-F238E27FC236}">
              <a16:creationId xmlns="" xmlns:a16="http://schemas.microsoft.com/office/drawing/2014/main" id="{28C7AA7D-8FC4-41E5-86BF-13376E993FA6}"/>
            </a:ext>
          </a:extLst>
        </xdr:cNvPr>
        <xdr:cNvPicPr>
          <a:picLocks noChangeAspect="1"/>
        </xdr:cNvPicPr>
      </xdr:nvPicPr>
      <xdr:blipFill>
        <a:blip xmlns:r="http://schemas.openxmlformats.org/officeDocument/2006/relationships" r:embed="rId7"/>
        <a:stretch>
          <a:fillRect/>
        </a:stretch>
      </xdr:blipFill>
      <xdr:spPr>
        <a:xfrm>
          <a:off x="0" y="13519423"/>
          <a:ext cx="9715500" cy="3148811"/>
        </a:xfrm>
        <a:prstGeom prst="rect">
          <a:avLst/>
        </a:prstGeom>
      </xdr:spPr>
    </xdr:pic>
    <xdr:clientData/>
  </xdr:twoCellAnchor>
  <xdr:twoCellAnchor editAs="oneCell">
    <xdr:from>
      <xdr:col>0</xdr:col>
      <xdr:colOff>0</xdr:colOff>
      <xdr:row>92</xdr:row>
      <xdr:rowOff>66689</xdr:rowOff>
    </xdr:from>
    <xdr:to>
      <xdr:col>14</xdr:col>
      <xdr:colOff>588945</xdr:colOff>
      <xdr:row>103</xdr:row>
      <xdr:rowOff>18744</xdr:rowOff>
    </xdr:to>
    <xdr:pic>
      <xdr:nvPicPr>
        <xdr:cNvPr id="9" name="图片 8">
          <a:extLst>
            <a:ext uri="{FF2B5EF4-FFF2-40B4-BE49-F238E27FC236}">
              <a16:creationId xmlns="" xmlns:a16="http://schemas.microsoft.com/office/drawing/2014/main" id="{5FCC7A5A-3D7E-4936-9219-C78E9B061392}"/>
            </a:ext>
          </a:extLst>
        </xdr:cNvPr>
        <xdr:cNvPicPr>
          <a:picLocks noChangeAspect="1"/>
        </xdr:cNvPicPr>
      </xdr:nvPicPr>
      <xdr:blipFill>
        <a:blip xmlns:r="http://schemas.openxmlformats.org/officeDocument/2006/relationships" r:embed="rId8"/>
        <a:stretch>
          <a:fillRect/>
        </a:stretch>
      </xdr:blipFill>
      <xdr:spPr>
        <a:xfrm>
          <a:off x="0" y="16716389"/>
          <a:ext cx="10190145" cy="1942780"/>
        </a:xfrm>
        <a:prstGeom prst="rect">
          <a:avLst/>
        </a:prstGeom>
      </xdr:spPr>
    </xdr:pic>
    <xdr:clientData/>
  </xdr:twoCellAnchor>
  <xdr:twoCellAnchor editAs="oneCell">
    <xdr:from>
      <xdr:col>0</xdr:col>
      <xdr:colOff>0</xdr:colOff>
      <xdr:row>103</xdr:row>
      <xdr:rowOff>111890</xdr:rowOff>
    </xdr:from>
    <xdr:to>
      <xdr:col>15</xdr:col>
      <xdr:colOff>388930</xdr:colOff>
      <xdr:row>122</xdr:row>
      <xdr:rowOff>170927</xdr:rowOff>
    </xdr:to>
    <xdr:pic>
      <xdr:nvPicPr>
        <xdr:cNvPr id="10" name="图片 9">
          <a:extLst>
            <a:ext uri="{FF2B5EF4-FFF2-40B4-BE49-F238E27FC236}">
              <a16:creationId xmlns="" xmlns:a16="http://schemas.microsoft.com/office/drawing/2014/main" id="{8A4D8C55-0799-424D-854C-31A68EC131BA}"/>
            </a:ext>
          </a:extLst>
        </xdr:cNvPr>
        <xdr:cNvPicPr>
          <a:picLocks noChangeAspect="1"/>
        </xdr:cNvPicPr>
      </xdr:nvPicPr>
      <xdr:blipFill>
        <a:blip xmlns:r="http://schemas.openxmlformats.org/officeDocument/2006/relationships" r:embed="rId9"/>
        <a:stretch>
          <a:fillRect/>
        </a:stretch>
      </xdr:blipFill>
      <xdr:spPr>
        <a:xfrm>
          <a:off x="0" y="18752315"/>
          <a:ext cx="10675930" cy="349756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57150</xdr:colOff>
      <xdr:row>16</xdr:row>
      <xdr:rowOff>95250</xdr:rowOff>
    </xdr:from>
    <xdr:to>
      <xdr:col>13</xdr:col>
      <xdr:colOff>103655</xdr:colOff>
      <xdr:row>30</xdr:row>
      <xdr:rowOff>142552</xdr:rowOff>
    </xdr:to>
    <xdr:pic>
      <xdr:nvPicPr>
        <xdr:cNvPr id="2" name="图片 1">
          <a:extLst>
            <a:ext uri="{FF2B5EF4-FFF2-40B4-BE49-F238E27FC236}">
              <a16:creationId xmlns="" xmlns:a16="http://schemas.microsoft.com/office/drawing/2014/main" id="{CE7A4AC9-2923-47A3-B869-DEBCA20760F8}"/>
            </a:ext>
          </a:extLst>
        </xdr:cNvPr>
        <xdr:cNvPicPr>
          <a:picLocks noChangeAspect="1"/>
        </xdr:cNvPicPr>
      </xdr:nvPicPr>
      <xdr:blipFill>
        <a:blip xmlns:r="http://schemas.openxmlformats.org/officeDocument/2006/relationships" r:embed="rId1"/>
        <a:stretch>
          <a:fillRect/>
        </a:stretch>
      </xdr:blipFill>
      <xdr:spPr>
        <a:xfrm>
          <a:off x="57150" y="2990850"/>
          <a:ext cx="8961905" cy="2580952"/>
        </a:xfrm>
        <a:prstGeom prst="rect">
          <a:avLst/>
        </a:prstGeom>
      </xdr:spPr>
    </xdr:pic>
    <xdr:clientData/>
  </xdr:twoCellAnchor>
  <xdr:twoCellAnchor editAs="oneCell">
    <xdr:from>
      <xdr:col>0</xdr:col>
      <xdr:colOff>0</xdr:colOff>
      <xdr:row>2</xdr:row>
      <xdr:rowOff>0</xdr:rowOff>
    </xdr:from>
    <xdr:to>
      <xdr:col>13</xdr:col>
      <xdr:colOff>294124</xdr:colOff>
      <xdr:row>16</xdr:row>
      <xdr:rowOff>104445</xdr:rowOff>
    </xdr:to>
    <xdr:pic>
      <xdr:nvPicPr>
        <xdr:cNvPr id="3" name="图片 2">
          <a:extLst>
            <a:ext uri="{FF2B5EF4-FFF2-40B4-BE49-F238E27FC236}">
              <a16:creationId xmlns="" xmlns:a16="http://schemas.microsoft.com/office/drawing/2014/main" id="{2B3938DB-20C0-4E70-A10C-B4273D724CA5}"/>
            </a:ext>
          </a:extLst>
        </xdr:cNvPr>
        <xdr:cNvPicPr>
          <a:picLocks noChangeAspect="1"/>
        </xdr:cNvPicPr>
      </xdr:nvPicPr>
      <xdr:blipFill>
        <a:blip xmlns:r="http://schemas.openxmlformats.org/officeDocument/2006/relationships" r:embed="rId2"/>
        <a:stretch>
          <a:fillRect/>
        </a:stretch>
      </xdr:blipFill>
      <xdr:spPr>
        <a:xfrm>
          <a:off x="0" y="361950"/>
          <a:ext cx="9209524" cy="2638095"/>
        </a:xfrm>
        <a:prstGeom prst="rect">
          <a:avLst/>
        </a:prstGeom>
      </xdr:spPr>
    </xdr:pic>
    <xdr:clientData/>
  </xdr:twoCellAnchor>
  <xdr:twoCellAnchor editAs="oneCell">
    <xdr:from>
      <xdr:col>0</xdr:col>
      <xdr:colOff>0</xdr:colOff>
      <xdr:row>32</xdr:row>
      <xdr:rowOff>0</xdr:rowOff>
    </xdr:from>
    <xdr:to>
      <xdr:col>3</xdr:col>
      <xdr:colOff>333076</xdr:colOff>
      <xdr:row>47</xdr:row>
      <xdr:rowOff>152042</xdr:rowOff>
    </xdr:to>
    <xdr:pic>
      <xdr:nvPicPr>
        <xdr:cNvPr id="4" name="图片 3">
          <a:extLst>
            <a:ext uri="{FF2B5EF4-FFF2-40B4-BE49-F238E27FC236}">
              <a16:creationId xmlns="" xmlns:a16="http://schemas.microsoft.com/office/drawing/2014/main" id="{E03985B9-2676-4513-A020-D050E4CEB62E}"/>
            </a:ext>
          </a:extLst>
        </xdr:cNvPr>
        <xdr:cNvPicPr>
          <a:picLocks noChangeAspect="1"/>
        </xdr:cNvPicPr>
      </xdr:nvPicPr>
      <xdr:blipFill>
        <a:blip xmlns:r="http://schemas.openxmlformats.org/officeDocument/2006/relationships" r:embed="rId3"/>
        <a:stretch>
          <a:fillRect/>
        </a:stretch>
      </xdr:blipFill>
      <xdr:spPr>
        <a:xfrm>
          <a:off x="0" y="5791200"/>
          <a:ext cx="2390476" cy="2866667"/>
        </a:xfrm>
        <a:prstGeom prst="rect">
          <a:avLst/>
        </a:prstGeom>
      </xdr:spPr>
    </xdr:pic>
    <xdr:clientData/>
  </xdr:twoCellAnchor>
  <xdr:twoCellAnchor editAs="oneCell">
    <xdr:from>
      <xdr:col>3</xdr:col>
      <xdr:colOff>304800</xdr:colOff>
      <xdr:row>43</xdr:row>
      <xdr:rowOff>123825</xdr:rowOff>
    </xdr:from>
    <xdr:to>
      <xdr:col>5</xdr:col>
      <xdr:colOff>542724</xdr:colOff>
      <xdr:row>47</xdr:row>
      <xdr:rowOff>76115</xdr:rowOff>
    </xdr:to>
    <xdr:pic>
      <xdr:nvPicPr>
        <xdr:cNvPr id="5" name="图片 4">
          <a:extLst>
            <a:ext uri="{FF2B5EF4-FFF2-40B4-BE49-F238E27FC236}">
              <a16:creationId xmlns="" xmlns:a16="http://schemas.microsoft.com/office/drawing/2014/main" id="{5F3EE2B0-8470-43E8-84C5-D1604277649D}"/>
            </a:ext>
          </a:extLst>
        </xdr:cNvPr>
        <xdr:cNvPicPr>
          <a:picLocks noChangeAspect="1"/>
        </xdr:cNvPicPr>
      </xdr:nvPicPr>
      <xdr:blipFill>
        <a:blip xmlns:r="http://schemas.openxmlformats.org/officeDocument/2006/relationships" r:embed="rId4"/>
        <a:stretch>
          <a:fillRect/>
        </a:stretch>
      </xdr:blipFill>
      <xdr:spPr>
        <a:xfrm>
          <a:off x="2362200" y="7905750"/>
          <a:ext cx="1609524" cy="67619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14</xdr:col>
      <xdr:colOff>171451</xdr:colOff>
      <xdr:row>17</xdr:row>
      <xdr:rowOff>9990</xdr:rowOff>
    </xdr:to>
    <xdr:pic>
      <xdr:nvPicPr>
        <xdr:cNvPr id="3" name="图片 2">
          <a:extLst>
            <a:ext uri="{FF2B5EF4-FFF2-40B4-BE49-F238E27FC236}">
              <a16:creationId xmlns="" xmlns:a16="http://schemas.microsoft.com/office/drawing/2014/main" id="{97C7C8B6-0F82-4318-8E5F-623109812541}"/>
            </a:ext>
          </a:extLst>
        </xdr:cNvPr>
        <xdr:cNvPicPr>
          <a:picLocks noChangeAspect="1"/>
        </xdr:cNvPicPr>
      </xdr:nvPicPr>
      <xdr:blipFill>
        <a:blip xmlns:r="http://schemas.openxmlformats.org/officeDocument/2006/relationships" r:embed="rId1"/>
        <a:stretch>
          <a:fillRect/>
        </a:stretch>
      </xdr:blipFill>
      <xdr:spPr>
        <a:xfrm>
          <a:off x="1" y="0"/>
          <a:ext cx="9772650" cy="3086565"/>
        </a:xfrm>
        <a:prstGeom prst="rect">
          <a:avLst/>
        </a:prstGeom>
      </xdr:spPr>
    </xdr:pic>
    <xdr:clientData/>
  </xdr:twoCellAnchor>
  <xdr:twoCellAnchor editAs="oneCell">
    <xdr:from>
      <xdr:col>0</xdr:col>
      <xdr:colOff>0</xdr:colOff>
      <xdr:row>17</xdr:row>
      <xdr:rowOff>0</xdr:rowOff>
    </xdr:from>
    <xdr:to>
      <xdr:col>15</xdr:col>
      <xdr:colOff>208238</xdr:colOff>
      <xdr:row>47</xdr:row>
      <xdr:rowOff>37417</xdr:rowOff>
    </xdr:to>
    <xdr:pic>
      <xdr:nvPicPr>
        <xdr:cNvPr id="4" name="图片 3">
          <a:extLst>
            <a:ext uri="{FF2B5EF4-FFF2-40B4-BE49-F238E27FC236}">
              <a16:creationId xmlns="" xmlns:a16="http://schemas.microsoft.com/office/drawing/2014/main" id="{66232CBC-0A78-41BC-920B-F7C173CFF573}"/>
            </a:ext>
          </a:extLst>
        </xdr:cNvPr>
        <xdr:cNvPicPr>
          <a:picLocks noChangeAspect="1"/>
        </xdr:cNvPicPr>
      </xdr:nvPicPr>
      <xdr:blipFill>
        <a:blip xmlns:r="http://schemas.openxmlformats.org/officeDocument/2006/relationships" r:embed="rId2"/>
        <a:stretch>
          <a:fillRect/>
        </a:stretch>
      </xdr:blipFill>
      <xdr:spPr>
        <a:xfrm>
          <a:off x="0" y="3076575"/>
          <a:ext cx="10495238" cy="5466667"/>
        </a:xfrm>
        <a:prstGeom prst="rect">
          <a:avLst/>
        </a:prstGeom>
      </xdr:spPr>
    </xdr:pic>
    <xdr:clientData/>
  </xdr:twoCellAnchor>
  <xdr:twoCellAnchor editAs="oneCell">
    <xdr:from>
      <xdr:col>0</xdr:col>
      <xdr:colOff>9525</xdr:colOff>
      <xdr:row>47</xdr:row>
      <xdr:rowOff>38100</xdr:rowOff>
    </xdr:from>
    <xdr:to>
      <xdr:col>15</xdr:col>
      <xdr:colOff>170144</xdr:colOff>
      <xdr:row>52</xdr:row>
      <xdr:rowOff>133225</xdr:rowOff>
    </xdr:to>
    <xdr:pic>
      <xdr:nvPicPr>
        <xdr:cNvPr id="5" name="图片 4">
          <a:extLst>
            <a:ext uri="{FF2B5EF4-FFF2-40B4-BE49-F238E27FC236}">
              <a16:creationId xmlns="" xmlns:a16="http://schemas.microsoft.com/office/drawing/2014/main" id="{E921B741-EE8A-407B-BCD5-285FCA443E35}"/>
            </a:ext>
          </a:extLst>
        </xdr:cNvPr>
        <xdr:cNvPicPr>
          <a:picLocks noChangeAspect="1"/>
        </xdr:cNvPicPr>
      </xdr:nvPicPr>
      <xdr:blipFill>
        <a:blip xmlns:r="http://schemas.openxmlformats.org/officeDocument/2006/relationships" r:embed="rId3"/>
        <a:stretch>
          <a:fillRect/>
        </a:stretch>
      </xdr:blipFill>
      <xdr:spPr>
        <a:xfrm>
          <a:off x="9525" y="8543925"/>
          <a:ext cx="10447619" cy="1000000"/>
        </a:xfrm>
        <a:prstGeom prst="rect">
          <a:avLst/>
        </a:prstGeom>
      </xdr:spPr>
    </xdr:pic>
    <xdr:clientData/>
  </xdr:twoCellAnchor>
  <xdr:twoCellAnchor editAs="oneCell">
    <xdr:from>
      <xdr:col>0</xdr:col>
      <xdr:colOff>0</xdr:colOff>
      <xdr:row>53</xdr:row>
      <xdr:rowOff>0</xdr:rowOff>
    </xdr:from>
    <xdr:to>
      <xdr:col>15</xdr:col>
      <xdr:colOff>141571</xdr:colOff>
      <xdr:row>83</xdr:row>
      <xdr:rowOff>65988</xdr:rowOff>
    </xdr:to>
    <xdr:pic>
      <xdr:nvPicPr>
        <xdr:cNvPr id="6" name="图片 5">
          <a:extLst>
            <a:ext uri="{FF2B5EF4-FFF2-40B4-BE49-F238E27FC236}">
              <a16:creationId xmlns="" xmlns:a16="http://schemas.microsoft.com/office/drawing/2014/main" id="{AE5DEB9A-D750-419C-A3DC-A98495A106A1}"/>
            </a:ext>
          </a:extLst>
        </xdr:cNvPr>
        <xdr:cNvPicPr>
          <a:picLocks noChangeAspect="1"/>
        </xdr:cNvPicPr>
      </xdr:nvPicPr>
      <xdr:blipFill>
        <a:blip xmlns:r="http://schemas.openxmlformats.org/officeDocument/2006/relationships" r:embed="rId4"/>
        <a:stretch>
          <a:fillRect/>
        </a:stretch>
      </xdr:blipFill>
      <xdr:spPr>
        <a:xfrm>
          <a:off x="0" y="9591675"/>
          <a:ext cx="10428571" cy="5495238"/>
        </a:xfrm>
        <a:prstGeom prst="rect">
          <a:avLst/>
        </a:prstGeom>
      </xdr:spPr>
    </xdr:pic>
    <xdr:clientData/>
  </xdr:twoCellAnchor>
  <xdr:twoCellAnchor editAs="oneCell">
    <xdr:from>
      <xdr:col>0</xdr:col>
      <xdr:colOff>0</xdr:colOff>
      <xdr:row>83</xdr:row>
      <xdr:rowOff>0</xdr:rowOff>
    </xdr:from>
    <xdr:to>
      <xdr:col>15</xdr:col>
      <xdr:colOff>179667</xdr:colOff>
      <xdr:row>88</xdr:row>
      <xdr:rowOff>57030</xdr:rowOff>
    </xdr:to>
    <xdr:pic>
      <xdr:nvPicPr>
        <xdr:cNvPr id="7" name="图片 6">
          <a:extLst>
            <a:ext uri="{FF2B5EF4-FFF2-40B4-BE49-F238E27FC236}">
              <a16:creationId xmlns="" xmlns:a16="http://schemas.microsoft.com/office/drawing/2014/main" id="{9240B6B7-D094-41F4-A46D-84B5A059F77F}"/>
            </a:ext>
          </a:extLst>
        </xdr:cNvPr>
        <xdr:cNvPicPr>
          <a:picLocks noChangeAspect="1"/>
        </xdr:cNvPicPr>
      </xdr:nvPicPr>
      <xdr:blipFill>
        <a:blip xmlns:r="http://schemas.openxmlformats.org/officeDocument/2006/relationships" r:embed="rId5"/>
        <a:stretch>
          <a:fillRect/>
        </a:stretch>
      </xdr:blipFill>
      <xdr:spPr>
        <a:xfrm>
          <a:off x="0" y="15020925"/>
          <a:ext cx="10466667" cy="961905"/>
        </a:xfrm>
        <a:prstGeom prst="rect">
          <a:avLst/>
        </a:prstGeom>
      </xdr:spPr>
    </xdr:pic>
    <xdr:clientData/>
  </xdr:twoCellAnchor>
  <xdr:twoCellAnchor editAs="oneCell">
    <xdr:from>
      <xdr:col>0</xdr:col>
      <xdr:colOff>0</xdr:colOff>
      <xdr:row>89</xdr:row>
      <xdr:rowOff>0</xdr:rowOff>
    </xdr:from>
    <xdr:to>
      <xdr:col>15</xdr:col>
      <xdr:colOff>246333</xdr:colOff>
      <xdr:row>118</xdr:row>
      <xdr:rowOff>180296</xdr:rowOff>
    </xdr:to>
    <xdr:pic>
      <xdr:nvPicPr>
        <xdr:cNvPr id="8" name="图片 7">
          <a:extLst>
            <a:ext uri="{FF2B5EF4-FFF2-40B4-BE49-F238E27FC236}">
              <a16:creationId xmlns="" xmlns:a16="http://schemas.microsoft.com/office/drawing/2014/main" id="{280B80DE-F394-43E3-98B7-BC730AAED323}"/>
            </a:ext>
          </a:extLst>
        </xdr:cNvPr>
        <xdr:cNvPicPr>
          <a:picLocks noChangeAspect="1"/>
        </xdr:cNvPicPr>
      </xdr:nvPicPr>
      <xdr:blipFill>
        <a:blip xmlns:r="http://schemas.openxmlformats.org/officeDocument/2006/relationships" r:embed="rId6"/>
        <a:stretch>
          <a:fillRect/>
        </a:stretch>
      </xdr:blipFill>
      <xdr:spPr>
        <a:xfrm>
          <a:off x="0" y="16106775"/>
          <a:ext cx="10533333" cy="5428571"/>
        </a:xfrm>
        <a:prstGeom prst="rect">
          <a:avLst/>
        </a:prstGeom>
      </xdr:spPr>
    </xdr:pic>
    <xdr:clientData/>
  </xdr:twoCellAnchor>
  <xdr:twoCellAnchor editAs="oneCell">
    <xdr:from>
      <xdr:col>0</xdr:col>
      <xdr:colOff>0</xdr:colOff>
      <xdr:row>119</xdr:row>
      <xdr:rowOff>0</xdr:rowOff>
    </xdr:from>
    <xdr:to>
      <xdr:col>15</xdr:col>
      <xdr:colOff>122524</xdr:colOff>
      <xdr:row>124</xdr:row>
      <xdr:rowOff>142744</xdr:rowOff>
    </xdr:to>
    <xdr:pic>
      <xdr:nvPicPr>
        <xdr:cNvPr id="9" name="图片 8">
          <a:extLst>
            <a:ext uri="{FF2B5EF4-FFF2-40B4-BE49-F238E27FC236}">
              <a16:creationId xmlns="" xmlns:a16="http://schemas.microsoft.com/office/drawing/2014/main" id="{4BE2C9DD-0C66-41A0-AE73-5C93039A5C45}"/>
            </a:ext>
          </a:extLst>
        </xdr:cNvPr>
        <xdr:cNvPicPr>
          <a:picLocks noChangeAspect="1"/>
        </xdr:cNvPicPr>
      </xdr:nvPicPr>
      <xdr:blipFill>
        <a:blip xmlns:r="http://schemas.openxmlformats.org/officeDocument/2006/relationships" r:embed="rId7"/>
        <a:stretch>
          <a:fillRect/>
        </a:stretch>
      </xdr:blipFill>
      <xdr:spPr>
        <a:xfrm>
          <a:off x="0" y="21536025"/>
          <a:ext cx="10409524" cy="1047619"/>
        </a:xfrm>
        <a:prstGeom prst="rect">
          <a:avLst/>
        </a:prstGeom>
      </xdr:spPr>
    </xdr:pic>
    <xdr:clientData/>
  </xdr:twoCellAnchor>
  <xdr:twoCellAnchor editAs="oneCell">
    <xdr:from>
      <xdr:col>0</xdr:col>
      <xdr:colOff>0</xdr:colOff>
      <xdr:row>125</xdr:row>
      <xdr:rowOff>0</xdr:rowOff>
    </xdr:from>
    <xdr:to>
      <xdr:col>15</xdr:col>
      <xdr:colOff>151095</xdr:colOff>
      <xdr:row>155</xdr:row>
      <xdr:rowOff>37417</xdr:rowOff>
    </xdr:to>
    <xdr:pic>
      <xdr:nvPicPr>
        <xdr:cNvPr id="10" name="图片 9">
          <a:extLst>
            <a:ext uri="{FF2B5EF4-FFF2-40B4-BE49-F238E27FC236}">
              <a16:creationId xmlns="" xmlns:a16="http://schemas.microsoft.com/office/drawing/2014/main" id="{EAC37D45-C5EF-42AF-B14C-550E5FFDB1BC}"/>
            </a:ext>
          </a:extLst>
        </xdr:cNvPr>
        <xdr:cNvPicPr>
          <a:picLocks noChangeAspect="1"/>
        </xdr:cNvPicPr>
      </xdr:nvPicPr>
      <xdr:blipFill>
        <a:blip xmlns:r="http://schemas.openxmlformats.org/officeDocument/2006/relationships" r:embed="rId8"/>
        <a:stretch>
          <a:fillRect/>
        </a:stretch>
      </xdr:blipFill>
      <xdr:spPr>
        <a:xfrm>
          <a:off x="0" y="22621875"/>
          <a:ext cx="10438095" cy="5466667"/>
        </a:xfrm>
        <a:prstGeom prst="rect">
          <a:avLst/>
        </a:prstGeom>
      </xdr:spPr>
    </xdr:pic>
    <xdr:clientData/>
  </xdr:twoCellAnchor>
  <xdr:twoCellAnchor editAs="oneCell">
    <xdr:from>
      <xdr:col>0</xdr:col>
      <xdr:colOff>0</xdr:colOff>
      <xdr:row>155</xdr:row>
      <xdr:rowOff>0</xdr:rowOff>
    </xdr:from>
    <xdr:to>
      <xdr:col>15</xdr:col>
      <xdr:colOff>170143</xdr:colOff>
      <xdr:row>160</xdr:row>
      <xdr:rowOff>95125</xdr:rowOff>
    </xdr:to>
    <xdr:pic>
      <xdr:nvPicPr>
        <xdr:cNvPr id="11" name="图片 10">
          <a:extLst>
            <a:ext uri="{FF2B5EF4-FFF2-40B4-BE49-F238E27FC236}">
              <a16:creationId xmlns="" xmlns:a16="http://schemas.microsoft.com/office/drawing/2014/main" id="{EAF5CBB2-09A8-4015-8C29-CED2274B5050}"/>
            </a:ext>
          </a:extLst>
        </xdr:cNvPr>
        <xdr:cNvPicPr>
          <a:picLocks noChangeAspect="1"/>
        </xdr:cNvPicPr>
      </xdr:nvPicPr>
      <xdr:blipFill>
        <a:blip xmlns:r="http://schemas.openxmlformats.org/officeDocument/2006/relationships" r:embed="rId9"/>
        <a:stretch>
          <a:fillRect/>
        </a:stretch>
      </xdr:blipFill>
      <xdr:spPr>
        <a:xfrm>
          <a:off x="0" y="28051125"/>
          <a:ext cx="10457143" cy="100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GPT&#27983;&#35272;&#22120;&#19979;&#36733;\12.20&#22343;&#20215;&#27979;&#31639;-&#28699;&#28023;&#20849;&#26377;&#20135;2025&#22320;&#22359;-&#39640;&#40527;20231225-13163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hilin/Desktop/&#12304;2022&#12305;&#22522;&#20934;&#22320;&#20215;&#31995;&#25968;&#20462;&#27491;-&#25913;&#34920;&#39564;&#35777;&#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多规"/>
      <sheetName val="数据-基础表"/>
      <sheetName val="数据-汇总表"/>
      <sheetName val="数据-取费表"/>
      <sheetName val="估价对象房地状况"/>
      <sheetName val="结果表"/>
      <sheetName val="成本法"/>
      <sheetName val="成本法 (元)"/>
      <sheetName val="假设开发法"/>
      <sheetName val="收益法"/>
      <sheetName val="土地比较法-住宅、综合"/>
      <sheetName val="地价-分区"/>
      <sheetName val="地价"/>
      <sheetName val="招拍挂案例"/>
      <sheetName val="收益法 (元)"/>
      <sheetName val="收益法-酒店模型"/>
      <sheetName val="收益法（汇总）"/>
      <sheetName val="比较法-住宅"/>
      <sheetName val="共有产权房案例"/>
      <sheetName val="二手房变化趋势"/>
      <sheetName val="Sheet3"/>
      <sheetName val="Sheet2"/>
      <sheetName val="系统读取表"/>
      <sheetName val="sheet1"/>
      <sheetName val="比较法-商业"/>
      <sheetName val="比较法-办公"/>
      <sheetName val="比较法-工业"/>
      <sheetName val="比较法-车位"/>
      <sheetName val="比较法-仓储"/>
      <sheetName val="土地比较法-工业"/>
      <sheetName val="典型户型修正"/>
      <sheetName val="基准地价（汇总）"/>
      <sheetName val="基准地价修正"/>
      <sheetName val="修正"/>
      <sheetName val="容积率修正"/>
      <sheetName val="成本法（废）"/>
      <sheetName val="区片价"/>
      <sheetName val="因素修正幅度"/>
      <sheetName val="区片价（范围）"/>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26">
          <cell r="F26">
            <v>0.59</v>
          </cell>
        </row>
        <row r="27">
          <cell r="F27">
            <v>0.45</v>
          </cell>
        </row>
        <row r="28">
          <cell r="F28">
            <v>0.59</v>
          </cell>
        </row>
        <row r="29">
          <cell r="F29">
            <v>0.2</v>
          </cell>
        </row>
        <row r="30">
          <cell r="F30">
            <v>0.28999999999999998</v>
          </cell>
        </row>
        <row r="31">
          <cell r="F31">
            <v>-0.13</v>
          </cell>
        </row>
        <row r="32">
          <cell r="F32">
            <v>0.45</v>
          </cell>
        </row>
        <row r="33">
          <cell r="F33">
            <v>0.08</v>
          </cell>
        </row>
        <row r="34">
          <cell r="F34">
            <v>0.28000000000000003</v>
          </cell>
        </row>
      </sheetData>
      <sheetData sheetId="24"/>
      <sheetData sheetId="25">
        <row r="2">
          <cell r="B2" t="str">
            <v>星光里·星筑</v>
          </cell>
        </row>
        <row r="3">
          <cell r="B3" t="str">
            <v>亦生悦</v>
          </cell>
        </row>
      </sheetData>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项目基本情况"/>
    </sheetNames>
    <sheetDataSet>
      <sheetData sheetId="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8.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3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4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4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4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44.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5.vml"/></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6.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4.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E24" sqref="E24"/>
    </sheetView>
  </sheetViews>
  <sheetFormatPr defaultColWidth="9" defaultRowHeight="15.75"/>
  <cols>
    <col min="1" max="1" width="35.625" style="1190" customWidth="1"/>
    <col min="2" max="2" width="81" style="1207" customWidth="1"/>
    <col min="3" max="16384" width="9" style="1205"/>
  </cols>
  <sheetData>
    <row r="1" spans="1:2" s="1193" customFormat="1" ht="16.5" thickBot="1">
      <c r="A1" s="1192" t="s">
        <v>521</v>
      </c>
      <c r="B1" s="1191" t="s">
        <v>600</v>
      </c>
    </row>
    <row r="2" spans="1:2" s="1196" customFormat="1" ht="16.5" thickTop="1">
      <c r="A2" s="1194" t="s">
        <v>522</v>
      </c>
      <c r="B2" s="1195" t="str">
        <f>'预评函-封皮'!B37:I37</f>
        <v>北京市房地产市场价值预评估</v>
      </c>
    </row>
    <row r="3" spans="1:2" s="1199" customFormat="1">
      <c r="A3" s="1197" t="s">
        <v>523</v>
      </c>
      <c r="B3" s="1198">
        <f>'预评函-封皮'!B40</f>
        <v>0</v>
      </c>
    </row>
    <row r="4" spans="1:2" s="1199" customFormat="1">
      <c r="A4" s="1197" t="s">
        <v>524</v>
      </c>
      <c r="B4" s="1198" t="str">
        <f>'预评函-封皮'!B46</f>
        <v>（注册号：0)、（注册号：0)</v>
      </c>
    </row>
    <row r="5" spans="1:2" s="1193" customFormat="1" ht="16.5" thickBot="1">
      <c r="A5" s="1200" t="s">
        <v>525</v>
      </c>
      <c r="B5" s="1201" t="str">
        <f>'预评函-封皮'!B49</f>
        <v>康正预评字号</v>
      </c>
    </row>
    <row r="6" spans="1:2" s="1196" customFormat="1" ht="16.5" thickTop="1">
      <c r="A6" s="1194" t="s">
        <v>526</v>
      </c>
      <c r="B6" s="1195" t="str">
        <f>'预评函-1'!A4</f>
        <v>受贵公司委托，我公司对北京市房地产市场价值进行了预评估。</v>
      </c>
    </row>
    <row r="7" spans="1:2" s="1199" customFormat="1">
      <c r="A7" s="1197" t="s">
        <v>566</v>
      </c>
      <c r="B7" s="1198" t="str">
        <f>'预评函-1'!A7</f>
        <v>估价对象为北京市房地产，为所有。根据《国有土地使用证》[]，估价对象（分摊）出让国有建设用地使用权面积为0.45平方米，建筑面积为1平方米。</v>
      </c>
    </row>
    <row r="8" spans="1:2" s="1199" customFormat="1">
      <c r="A8" s="1197" t="s">
        <v>567</v>
      </c>
      <c r="B8" s="1198" t="str">
        <f>'预评函-1'!A8</f>
        <v>估价对象简述。项目推广名，项目类型（用途），估价对象分布，各用途面积明细情况：XX用途建筑面积XX平方米，XX用途建筑面积XX平方米，……。复杂面积清单需设‘附表’列示：抵押物清单详见附表</v>
      </c>
    </row>
    <row r="9" spans="1:2" s="1199" customFormat="1">
      <c r="A9" s="1197" t="s">
        <v>568</v>
      </c>
      <c r="B9" s="1198" t="str">
        <f>'预评函-1'!A10</f>
        <v>估价对象为北京市房地产,属开发建设的，该项目尚在开发建设中。根据《国有土地使用证》[]，估价对象（分摊）出让国有建设用地使用权面积为0.45平方米，规划建筑面积为1平方米。</v>
      </c>
    </row>
    <row r="10" spans="1:2" s="1199" customFormat="1">
      <c r="A10" s="1197" t="s">
        <v>569</v>
      </c>
      <c r="B10" s="1198"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199" customFormat="1">
      <c r="A11" s="1197" t="s">
        <v>527</v>
      </c>
      <c r="B11" s="1198" t="str">
        <f>'预评函-1'!A13</f>
        <v>为估价委托人了解估价对象房地产市场价值提供参考依据。</v>
      </c>
    </row>
    <row r="12" spans="1:2" s="1199" customFormat="1">
      <c r="A12" s="1197" t="s">
        <v>528</v>
      </c>
      <c r="B12" s="1198" t="str">
        <f>'预评函-1'!A15</f>
        <v>2023年7月7日（评估专业人员实地查勘之日）</v>
      </c>
    </row>
    <row r="13" spans="1:2" s="1199" customFormat="1">
      <c r="A13" s="1197" t="s">
        <v>529</v>
      </c>
      <c r="B13" s="1198" t="str">
        <f>'预评函-1'!A18</f>
        <v>本次估价的“房地产价值”是指在正常市场情况下，在价值时点2023年7月7日，估价对象规划用途为，土地取得方式为出让，出让国有建设用地使用权剩余土地使用年限为，假定未设立法定优先受偿款下的房地产市场价值。</v>
      </c>
    </row>
    <row r="14" spans="1:2" s="1199" customFormat="1">
      <c r="A14" s="1197" t="s">
        <v>530</v>
      </c>
      <c r="B14" s="1198"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199" customFormat="1">
      <c r="A15" s="1197" t="s">
        <v>531</v>
      </c>
      <c r="B15" s="1198" t="str">
        <f>'预评函-1'!A20</f>
        <v>——</v>
      </c>
    </row>
    <row r="16" spans="1:2" s="1199" customFormat="1">
      <c r="A16" s="1197" t="s">
        <v>532</v>
      </c>
      <c r="B16" s="1198" t="str">
        <f>'预评函-1'!A21</f>
        <v>——</v>
      </c>
    </row>
    <row r="17" spans="1:2" s="1199" customFormat="1">
      <c r="A17" s="1197" t="s">
        <v>533</v>
      </c>
      <c r="B17" s="1198" t="str">
        <f>'预评函-1'!A22</f>
        <v>——</v>
      </c>
    </row>
    <row r="18" spans="1:2" s="1193" customFormat="1" ht="16.5" thickBot="1">
      <c r="A18" s="1200" t="s">
        <v>534</v>
      </c>
      <c r="B18" s="1201" t="str">
        <f>'预评函-1'!A24</f>
        <v>本次评估采用的主估价方法为成本法和比较法。</v>
      </c>
    </row>
    <row r="19" spans="1:2" s="1196" customFormat="1" ht="16.5" thickTop="1">
      <c r="A19" s="1194" t="s">
        <v>535</v>
      </c>
      <c r="B19" s="1195" t="str">
        <f>'预评函-2'!A2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20" spans="1:2" s="1199" customFormat="1">
      <c r="A20" s="1197" t="s">
        <v>536</v>
      </c>
      <c r="B20" s="1198">
        <f ca="1">'预评函-2'!D5</f>
        <v>3</v>
      </c>
    </row>
    <row r="21" spans="1:2" s="1199" customFormat="1">
      <c r="A21" s="1197" t="s">
        <v>537</v>
      </c>
      <c r="B21" s="1198">
        <f ca="1">'预评函-2'!D7</f>
        <v>30039</v>
      </c>
    </row>
    <row r="22" spans="1:2" s="1199" customFormat="1">
      <c r="A22" s="1197" t="s">
        <v>538</v>
      </c>
      <c r="B22" s="1198" t="str">
        <f ca="1">'预评函-2'!D6</f>
        <v>叁万元整</v>
      </c>
    </row>
    <row r="23" spans="1:2" s="1199" customFormat="1">
      <c r="A23" s="1197" t="s">
        <v>589</v>
      </c>
      <c r="B23" s="1198" t="str">
        <f>'预评函-2'!B8</f>
        <v>2.估价师知悉的法定优先受偿款</v>
      </c>
    </row>
    <row r="24" spans="1:2" s="1199" customFormat="1">
      <c r="A24" s="1197" t="s">
        <v>595</v>
      </c>
      <c r="B24" s="1198">
        <f>'预评函-2'!D8</f>
        <v>0</v>
      </c>
    </row>
    <row r="25" spans="1:2" s="1199" customFormat="1">
      <c r="A25" s="1197" t="s">
        <v>539</v>
      </c>
      <c r="B25" s="1198" t="str">
        <f>'预评函-2'!D9</f>
        <v>零元整</v>
      </c>
    </row>
    <row r="26" spans="1:2" s="1199" customFormat="1">
      <c r="A26" s="1197" t="s">
        <v>540</v>
      </c>
      <c r="B26" s="1198">
        <f>'预评函-2'!D10</f>
        <v>0</v>
      </c>
    </row>
    <row r="27" spans="1:2" s="1199" customFormat="1">
      <c r="A27" s="1197" t="s">
        <v>541</v>
      </c>
      <c r="B27" s="1198">
        <f>'预评函-2'!D11</f>
        <v>0</v>
      </c>
    </row>
    <row r="28" spans="1:2" s="1199" customFormat="1">
      <c r="A28" s="1197" t="s">
        <v>542</v>
      </c>
      <c r="B28" s="1198">
        <f>'预评函-2'!D12</f>
        <v>0</v>
      </c>
    </row>
    <row r="29" spans="1:2" s="1199" customFormat="1">
      <c r="A29" s="1197" t="s">
        <v>593</v>
      </c>
      <c r="B29" s="1198" t="str">
        <f>'预评函-2'!B13</f>
        <v>3.房地产抵押价值</v>
      </c>
    </row>
    <row r="30" spans="1:2" s="1199" customFormat="1">
      <c r="A30" s="1197" t="s">
        <v>594</v>
      </c>
      <c r="B30" s="1198">
        <f ca="1">'预评函-2'!D13</f>
        <v>3</v>
      </c>
    </row>
    <row r="31" spans="1:2" s="1199" customFormat="1">
      <c r="A31" s="1197" t="s">
        <v>576</v>
      </c>
      <c r="B31" s="1198">
        <f ca="1">'预评函-2'!D15</f>
        <v>30039</v>
      </c>
    </row>
    <row r="32" spans="1:2" s="1199" customFormat="1">
      <c r="A32" s="1197" t="s">
        <v>543</v>
      </c>
      <c r="B32" s="1198" t="str">
        <f ca="1">'预评函-2'!D14</f>
        <v>叁万元整</v>
      </c>
    </row>
    <row r="33" spans="1:2" s="1199" customFormat="1">
      <c r="A33" s="1197" t="s">
        <v>578</v>
      </c>
      <c r="B33" s="1198" t="str">
        <f>'预评函-2'!B16</f>
        <v>——</v>
      </c>
    </row>
    <row r="34" spans="1:2" s="1199" customFormat="1">
      <c r="A34" s="1197" t="s">
        <v>596</v>
      </c>
      <c r="B34" s="1198" t="str">
        <f>'预评函-2'!D16</f>
        <v>——</v>
      </c>
    </row>
    <row r="35" spans="1:2" s="1199" customFormat="1">
      <c r="A35" s="1197" t="s">
        <v>577</v>
      </c>
      <c r="B35" s="1198" t="str">
        <f>'预评函-2'!D18</f>
        <v>——</v>
      </c>
    </row>
    <row r="36" spans="1:2" s="1199" customFormat="1">
      <c r="A36" s="1197" t="s">
        <v>544</v>
      </c>
      <c r="B36" s="1198" t="e">
        <f>'预评函-2'!D17</f>
        <v>#VALUE!</v>
      </c>
    </row>
    <row r="37" spans="1:2" s="1199" customFormat="1">
      <c r="A37" s="1197" t="s">
        <v>579</v>
      </c>
      <c r="B37" s="1198" t="str">
        <f>'预评函-2'!B19</f>
        <v>——</v>
      </c>
    </row>
    <row r="38" spans="1:2" s="1199" customFormat="1">
      <c r="A38" s="1197" t="s">
        <v>597</v>
      </c>
      <c r="B38" s="1198" t="str">
        <f>'预评函-2'!D19</f>
        <v>——</v>
      </c>
    </row>
    <row r="39" spans="1:2" s="1199" customFormat="1">
      <c r="A39" s="1197" t="s">
        <v>545</v>
      </c>
      <c r="B39" s="1198" t="str">
        <f>'预评函-2'!D21</f>
        <v>——</v>
      </c>
    </row>
    <row r="40" spans="1:2" s="1199" customFormat="1">
      <c r="A40" s="1197" t="s">
        <v>546</v>
      </c>
      <c r="B40" s="1198" t="e">
        <f>'预评函-2'!D20</f>
        <v>#VALUE!</v>
      </c>
    </row>
    <row r="41" spans="1:2" s="1199" customFormat="1">
      <c r="A41" s="1197" t="s">
        <v>592</v>
      </c>
      <c r="B41" s="1198" t="str">
        <f>'预评函-3'!A4</f>
        <v>北京市房地产</v>
      </c>
    </row>
    <row r="42" spans="1:2" s="1199" customFormat="1">
      <c r="A42" s="1197" t="s">
        <v>590</v>
      </c>
      <c r="B42" s="1198" t="str">
        <f>'预评函-3'!B2</f>
        <v>建筑面积</v>
      </c>
    </row>
    <row r="43" spans="1:2" s="1199" customFormat="1">
      <c r="A43" s="1197" t="s">
        <v>591</v>
      </c>
      <c r="B43" s="1198">
        <f>'预评函-3'!B4</f>
        <v>1</v>
      </c>
    </row>
    <row r="44" spans="1:2" s="1199" customFormat="1">
      <c r="A44" s="1197" t="s">
        <v>575</v>
      </c>
      <c r="B44" s="1198" t="str">
        <f>'预评函-3'!C2</f>
        <v>(分摊)土地面积</v>
      </c>
    </row>
    <row r="45" spans="1:2" s="1199" customFormat="1">
      <c r="A45" s="1197" t="s">
        <v>547</v>
      </c>
      <c r="B45" s="1198">
        <f>'预评函-3'!C4</f>
        <v>0.45</v>
      </c>
    </row>
    <row r="46" spans="1:2" s="1199" customFormat="1">
      <c r="A46" s="1197" t="s">
        <v>573</v>
      </c>
      <c r="B46" s="1198" t="str">
        <f>'预评函-3'!D2</f>
        <v>出让国有建设用地使用权价值</v>
      </c>
    </row>
    <row r="47" spans="1:2" s="1199" customFormat="1">
      <c r="A47" s="1197" t="s">
        <v>548</v>
      </c>
      <c r="B47" s="1198" t="e">
        <f ca="1">'预评函-3'!D4</f>
        <v>#REF!</v>
      </c>
    </row>
    <row r="48" spans="1:2" s="1199" customFormat="1">
      <c r="A48" s="1197" t="s">
        <v>549</v>
      </c>
      <c r="B48" s="1198" t="e">
        <f ca="1">'预评函-3'!E4</f>
        <v>#REF!</v>
      </c>
    </row>
    <row r="49" spans="1:2" s="1199" customFormat="1">
      <c r="A49" s="1197" t="s">
        <v>550</v>
      </c>
      <c r="B49" s="1198" t="e">
        <f ca="1">'预评函-3'!D5</f>
        <v>#REF!</v>
      </c>
    </row>
    <row r="50" spans="1:2" s="1199" customFormat="1">
      <c r="A50" s="1197" t="s">
        <v>574</v>
      </c>
      <c r="B50" s="1198" t="str">
        <f>'预评函-3'!F2</f>
        <v>在建建筑物价值</v>
      </c>
    </row>
    <row r="51" spans="1:2" s="1199" customFormat="1">
      <c r="A51" s="1197" t="s">
        <v>551</v>
      </c>
      <c r="B51" s="1198" t="e">
        <f ca="1">'预评函-3'!F4</f>
        <v>#REF!</v>
      </c>
    </row>
    <row r="52" spans="1:2" s="1199" customFormat="1">
      <c r="A52" s="1197" t="s">
        <v>552</v>
      </c>
      <c r="B52" s="1198" t="e">
        <f ca="1">'预评函-3'!G4</f>
        <v>#REF!</v>
      </c>
    </row>
    <row r="53" spans="1:2" s="1199" customFormat="1">
      <c r="A53" s="1197" t="s">
        <v>580</v>
      </c>
      <c r="B53" s="1198" t="e">
        <f ca="1">'预评函-3'!F5</f>
        <v>#REF!</v>
      </c>
    </row>
    <row r="54" spans="1:2" s="1199" customFormat="1">
      <c r="A54" s="1197" t="s">
        <v>598</v>
      </c>
      <c r="B54" s="1198" t="str">
        <f>'预评函-3'!A8</f>
        <v/>
      </c>
    </row>
    <row r="55" spans="1:2" s="1199" customFormat="1">
      <c r="A55" s="1197" t="s">
        <v>581</v>
      </c>
      <c r="B55" s="1198" t="str">
        <f>'预评函-3'!A10</f>
        <v/>
      </c>
    </row>
    <row r="56" spans="1:2" s="1199" customFormat="1">
      <c r="A56" s="1197" t="s">
        <v>582</v>
      </c>
      <c r="B56" s="1198" t="str">
        <f>'预评函-3'!A12</f>
        <v/>
      </c>
    </row>
    <row r="57" spans="1:2" s="1193" customFormat="1" ht="16.5" thickBot="1">
      <c r="A57" s="1200" t="s">
        <v>599</v>
      </c>
      <c r="B57" s="1201" t="str">
        <f>'预评函-3'!A6</f>
        <v/>
      </c>
    </row>
    <row r="58" spans="1:2" s="1196" customFormat="1" ht="16.5" thickTop="1">
      <c r="A58" s="1194" t="s">
        <v>553</v>
      </c>
      <c r="B58" s="1195" t="str">
        <f>'预评函-4'!A12</f>
        <v>2.本次评估设定估价对象房地产权属无争议，未被查封或者以其他形式限制其房地产权利，未设定抵押权等他项权利，不涉及第三方权利义务。</v>
      </c>
    </row>
    <row r="59" spans="1:2" s="1199" customFormat="1">
      <c r="A59" s="1197" t="s">
        <v>554</v>
      </c>
      <c r="B59" s="1198" t="str">
        <f>'预评函-4'!A13</f>
        <v>——</v>
      </c>
    </row>
    <row r="60" spans="1:2" s="1199" customFormat="1">
      <c r="A60" s="1197" t="s">
        <v>555</v>
      </c>
      <c r="B60" s="1198" t="str">
        <f>'预评函-4'!A14</f>
        <v>——</v>
      </c>
    </row>
    <row r="61" spans="1:2" s="1199" customFormat="1">
      <c r="A61" s="1197" t="s">
        <v>556</v>
      </c>
      <c r="B61" s="1198" t="str">
        <f>'预评函-4'!A15</f>
        <v>——</v>
      </c>
    </row>
    <row r="62" spans="1:2" s="1199" customFormat="1">
      <c r="A62" s="1197" t="s">
        <v>557</v>
      </c>
      <c r="B62" s="1198" t="str">
        <f>'预评函-4'!A16</f>
        <v>（2）根据《工程款支付情况说明》，截至价值时点，估价对象不存在应付未付工程款项。（只要没有施工方盖章的，均“设定”进行表述）</v>
      </c>
    </row>
    <row r="63" spans="1:2" s="1199" customFormat="1">
      <c r="A63" s="1197" t="s">
        <v>558</v>
      </c>
      <c r="B63" s="1198"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199" customFormat="1">
      <c r="A64" s="1197" t="s">
        <v>570</v>
      </c>
      <c r="B64" s="1198" t="str">
        <f>'预评函-4'!A18</f>
        <v>——</v>
      </c>
    </row>
    <row r="65" spans="1:2" s="1199" customFormat="1">
      <c r="A65" s="1197" t="s">
        <v>559</v>
      </c>
      <c r="B65" s="1198"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199" customFormat="1">
      <c r="A66" s="1197" t="s">
        <v>560</v>
      </c>
      <c r="B66" s="1198" t="str">
        <f>'预评函-4'!A20</f>
        <v>——</v>
      </c>
    </row>
    <row r="67" spans="1:2" s="1199" customFormat="1">
      <c r="A67" s="1197" t="s">
        <v>571</v>
      </c>
      <c r="B67" s="1198" t="str">
        <f>'预评函-4'!A21</f>
        <v>——</v>
      </c>
    </row>
    <row r="68" spans="1:2" s="1199" customFormat="1">
      <c r="A68" s="1197" t="s">
        <v>572</v>
      </c>
      <c r="B68" s="1198" t="str">
        <f>'预评函-4'!A22</f>
        <v>8.其他需特殊说明事项：无（注意调整序号）</v>
      </c>
    </row>
    <row r="69" spans="1:2" s="1193" customFormat="1" ht="16.5" thickBot="1">
      <c r="A69" s="1200" t="s">
        <v>561</v>
      </c>
      <c r="B69" s="1202">
        <f>'预评函-4'!C31</f>
        <v>42551</v>
      </c>
    </row>
    <row r="70" spans="1:2" ht="16.5" thickTop="1">
      <c r="A70" s="1203" t="s">
        <v>562</v>
      </c>
      <c r="B70" s="1204">
        <f>'预评函-4'!A4</f>
        <v>0</v>
      </c>
    </row>
    <row r="71" spans="1:2">
      <c r="A71" s="1197" t="s">
        <v>563</v>
      </c>
      <c r="B71" s="1198">
        <f>'预评函-4'!B4</f>
        <v>0</v>
      </c>
    </row>
    <row r="72" spans="1:2">
      <c r="A72" s="1197" t="s">
        <v>564</v>
      </c>
      <c r="B72" s="1206">
        <f>'预评函-4'!A5</f>
        <v>0</v>
      </c>
    </row>
    <row r="73" spans="1:2" s="1193" customFormat="1" ht="16.5" thickBot="1">
      <c r="A73" s="1200" t="s">
        <v>565</v>
      </c>
      <c r="B73" s="1201">
        <f>'预评函-4'!B5</f>
        <v>0</v>
      </c>
    </row>
    <row r="74" spans="1:2" ht="16.5" thickTop="1">
      <c r="A74" s="1190" t="s">
        <v>601</v>
      </c>
      <c r="B74" s="1207" t="str">
        <f>'预评函-4'!A8</f>
        <v>XX</v>
      </c>
    </row>
  </sheetData>
  <sheetProtection sheet="1" objects="1" scenarios="1"/>
  <phoneticPr fontId="13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topLeftCell="C1" workbookViewId="0">
      <selection activeCell="I2" sqref="I2:I15"/>
    </sheetView>
  </sheetViews>
  <sheetFormatPr defaultColWidth="9" defaultRowHeight="14.25"/>
  <cols>
    <col min="1" max="1" width="13.5" style="1552" customWidth="1"/>
    <col min="2" max="2" width="23.125" style="1503" customWidth="1"/>
    <col min="3" max="3" width="13" style="1547" customWidth="1"/>
    <col min="4" max="4" width="5.875" style="1544" customWidth="1"/>
    <col min="5" max="5" width="7.125" style="1544" customWidth="1"/>
    <col min="6" max="6" width="10.625" style="1544" customWidth="1"/>
    <col min="7" max="7" width="7.5" style="1544" customWidth="1"/>
    <col min="8" max="8" width="11.875" style="1547" customWidth="1"/>
    <col min="9" max="9" width="11.625" style="1547" customWidth="1"/>
    <col min="10" max="10" width="9" style="1547" customWidth="1"/>
    <col min="11" max="19" width="9" style="1544" customWidth="1"/>
    <col min="20" max="23" width="9" style="1547" customWidth="1"/>
    <col min="24" max="24" width="21.125" style="1503" customWidth="1"/>
    <col min="25" max="16384" width="9" style="1503"/>
  </cols>
  <sheetData>
    <row r="1" spans="1:23" s="1541" customFormat="1" ht="42.75">
      <c r="A1" s="1535" t="s">
        <v>44</v>
      </c>
      <c r="B1" s="1536" t="s">
        <v>977</v>
      </c>
      <c r="C1" s="1537" t="s">
        <v>314</v>
      </c>
      <c r="D1" s="1539" t="s">
        <v>3355</v>
      </c>
      <c r="E1" s="1538" t="s">
        <v>978</v>
      </c>
      <c r="F1" s="1538" t="s">
        <v>979</v>
      </c>
      <c r="G1" s="1538" t="s">
        <v>980</v>
      </c>
      <c r="H1" s="1538" t="s">
        <v>981</v>
      </c>
      <c r="I1" s="1538" t="s">
        <v>982</v>
      </c>
      <c r="J1" s="1538" t="s">
        <v>983</v>
      </c>
      <c r="K1" s="1538" t="s">
        <v>984</v>
      </c>
      <c r="L1" s="1538" t="s">
        <v>985</v>
      </c>
      <c r="M1" s="1538" t="s">
        <v>986</v>
      </c>
      <c r="N1" s="1538" t="s">
        <v>987</v>
      </c>
      <c r="O1" s="1538" t="s">
        <v>988</v>
      </c>
      <c r="P1" s="1539" t="s">
        <v>309</v>
      </c>
      <c r="Q1" s="1539" t="s">
        <v>447</v>
      </c>
      <c r="R1" s="1538" t="s">
        <v>441</v>
      </c>
      <c r="S1" s="1538" t="s">
        <v>989</v>
      </c>
      <c r="T1" s="1540" t="s">
        <v>990</v>
      </c>
      <c r="U1" s="1538" t="s">
        <v>991</v>
      </c>
      <c r="V1" s="1538" t="s">
        <v>992</v>
      </c>
      <c r="W1" s="1538" t="s">
        <v>311</v>
      </c>
    </row>
    <row r="2" spans="1:23">
      <c r="A2" s="1542" t="s">
        <v>19</v>
      </c>
      <c r="B2" s="1542" t="s">
        <v>993</v>
      </c>
      <c r="C2" s="1543" t="s">
        <v>315</v>
      </c>
      <c r="D2" s="1544" t="s">
        <v>994</v>
      </c>
      <c r="E2" s="1544" t="s">
        <v>995</v>
      </c>
      <c r="F2" s="1544" t="s">
        <v>996</v>
      </c>
      <c r="G2" s="1544">
        <v>20</v>
      </c>
      <c r="H2" s="1544" t="s">
        <v>996</v>
      </c>
      <c r="I2" s="1544" t="s">
        <v>3341</v>
      </c>
      <c r="J2" s="1544" t="s">
        <v>997</v>
      </c>
      <c r="K2" s="1544" t="s">
        <v>998</v>
      </c>
      <c r="L2" s="1544" t="s">
        <v>998</v>
      </c>
      <c r="M2" s="1544" t="s">
        <v>998</v>
      </c>
      <c r="N2" s="1544" t="s">
        <v>998</v>
      </c>
      <c r="O2" s="1544" t="s">
        <v>998</v>
      </c>
      <c r="P2" s="1544" t="s">
        <v>998</v>
      </c>
      <c r="Q2" s="1544" t="s">
        <v>998</v>
      </c>
      <c r="R2" s="1544" t="s">
        <v>443</v>
      </c>
      <c r="S2" s="1544" t="s">
        <v>998</v>
      </c>
      <c r="T2" s="1544" t="s">
        <v>999</v>
      </c>
      <c r="U2" s="1544" t="s">
        <v>998</v>
      </c>
      <c r="V2" s="1544" t="s">
        <v>1000</v>
      </c>
      <c r="W2" s="1544" t="s">
        <v>998</v>
      </c>
    </row>
    <row r="3" spans="1:23">
      <c r="A3" s="1542" t="s">
        <v>1001</v>
      </c>
      <c r="B3" s="1545" t="s">
        <v>448</v>
      </c>
      <c r="C3" s="1546" t="s">
        <v>316</v>
      </c>
      <c r="D3" s="1544" t="s">
        <v>1002</v>
      </c>
      <c r="E3" s="1544" t="s">
        <v>13</v>
      </c>
      <c r="F3" s="1544" t="s">
        <v>1003</v>
      </c>
      <c r="G3" s="1544">
        <v>40</v>
      </c>
      <c r="H3" s="1544" t="s">
        <v>1003</v>
      </c>
      <c r="I3" s="1544" t="s">
        <v>3342</v>
      </c>
      <c r="J3" s="1544" t="s">
        <v>1004</v>
      </c>
      <c r="K3" s="1544" t="s">
        <v>1005</v>
      </c>
      <c r="L3" s="1544" t="s">
        <v>1005</v>
      </c>
      <c r="M3" s="1544" t="s">
        <v>1005</v>
      </c>
      <c r="N3" s="1544" t="s">
        <v>1005</v>
      </c>
      <c r="O3" s="1544" t="s">
        <v>1005</v>
      </c>
      <c r="P3" s="1544" t="s">
        <v>1005</v>
      </c>
      <c r="Q3" s="1544" t="s">
        <v>1005</v>
      </c>
      <c r="R3" s="1544" t="s">
        <v>442</v>
      </c>
      <c r="S3" s="1544" t="s">
        <v>1005</v>
      </c>
      <c r="T3" s="1544" t="s">
        <v>1006</v>
      </c>
      <c r="U3" s="1544" t="s">
        <v>1005</v>
      </c>
      <c r="V3" s="1544" t="s">
        <v>1007</v>
      </c>
      <c r="W3" s="1544" t="s">
        <v>1005</v>
      </c>
    </row>
    <row r="4" spans="1:23">
      <c r="A4" s="1542" t="s">
        <v>1008</v>
      </c>
      <c r="B4" s="1542" t="s">
        <v>1009</v>
      </c>
      <c r="C4" s="1543" t="s">
        <v>317</v>
      </c>
      <c r="D4" s="1544" t="s">
        <v>389</v>
      </c>
      <c r="E4" s="1544" t="s">
        <v>1010</v>
      </c>
      <c r="F4" s="1544" t="s">
        <v>1011</v>
      </c>
      <c r="G4" s="1544">
        <v>50</v>
      </c>
      <c r="H4" s="1544" t="s">
        <v>1011</v>
      </c>
      <c r="I4" s="1544" t="s">
        <v>3343</v>
      </c>
      <c r="K4" s="1544" t="s">
        <v>1012</v>
      </c>
      <c r="L4" s="1544" t="s">
        <v>1012</v>
      </c>
      <c r="M4" s="1544" t="s">
        <v>1012</v>
      </c>
      <c r="N4" s="1544" t="s">
        <v>1012</v>
      </c>
      <c r="O4" s="1544" t="s">
        <v>1012</v>
      </c>
      <c r="P4" s="1544" t="s">
        <v>1012</v>
      </c>
      <c r="Q4" s="1544" t="s">
        <v>1012</v>
      </c>
      <c r="R4" s="1544" t="s">
        <v>444</v>
      </c>
      <c r="S4" s="1544" t="s">
        <v>1012</v>
      </c>
      <c r="T4" s="1544" t="s">
        <v>1013</v>
      </c>
      <c r="U4" s="1544" t="s">
        <v>1012</v>
      </c>
      <c r="W4" s="1544" t="s">
        <v>1012</v>
      </c>
    </row>
    <row r="5" spans="1:23">
      <c r="A5" s="1542" t="s">
        <v>1014</v>
      </c>
      <c r="B5" s="1542" t="s">
        <v>1015</v>
      </c>
      <c r="C5" s="1543" t="s">
        <v>318</v>
      </c>
      <c r="F5" s="1544" t="s">
        <v>1016</v>
      </c>
      <c r="G5" s="1544">
        <v>70</v>
      </c>
      <c r="H5" s="1544" t="s">
        <v>1017</v>
      </c>
      <c r="I5" s="1544" t="s">
        <v>3344</v>
      </c>
      <c r="K5" s="1544" t="s">
        <v>1018</v>
      </c>
      <c r="L5" s="1544" t="s">
        <v>1018</v>
      </c>
      <c r="M5" s="1544" t="s">
        <v>1018</v>
      </c>
      <c r="N5" s="1544" t="s">
        <v>1018</v>
      </c>
      <c r="O5" s="1544" t="s">
        <v>1018</v>
      </c>
      <c r="P5" s="1544" t="s">
        <v>1018</v>
      </c>
      <c r="Q5" s="1544" t="s">
        <v>1018</v>
      </c>
      <c r="R5" s="1544" t="s">
        <v>445</v>
      </c>
      <c r="S5" s="1544" t="s">
        <v>1018</v>
      </c>
      <c r="T5" s="1544" t="s">
        <v>1019</v>
      </c>
      <c r="U5" s="1544" t="s">
        <v>1018</v>
      </c>
      <c r="W5" s="1544" t="s">
        <v>1018</v>
      </c>
    </row>
    <row r="6" spans="1:23">
      <c r="A6" s="1542" t="s">
        <v>1020</v>
      </c>
      <c r="B6" s="1545" t="s">
        <v>449</v>
      </c>
      <c r="C6" s="1548" t="s">
        <v>24</v>
      </c>
      <c r="F6" s="1544" t="s">
        <v>1017</v>
      </c>
      <c r="H6" s="1544" t="s">
        <v>1021</v>
      </c>
      <c r="I6" s="1544" t="s">
        <v>3345</v>
      </c>
      <c r="K6" s="1544" t="s">
        <v>1022</v>
      </c>
      <c r="L6" s="1544" t="s">
        <v>1022</v>
      </c>
      <c r="M6" s="1544" t="s">
        <v>1022</v>
      </c>
      <c r="N6" s="1544" t="s">
        <v>1022</v>
      </c>
      <c r="O6" s="1544" t="s">
        <v>1022</v>
      </c>
      <c r="P6" s="1544" t="s">
        <v>1022</v>
      </c>
      <c r="Q6" s="1544" t="s">
        <v>1022</v>
      </c>
      <c r="R6" s="1544" t="s">
        <v>446</v>
      </c>
      <c r="S6" s="1544" t="s">
        <v>1022</v>
      </c>
      <c r="T6" s="1544"/>
      <c r="U6" s="1544" t="s">
        <v>1022</v>
      </c>
      <c r="W6" s="1544" t="s">
        <v>1022</v>
      </c>
    </row>
    <row r="7" spans="1:23">
      <c r="A7" s="1542" t="s">
        <v>1023</v>
      </c>
      <c r="B7" s="1545" t="s">
        <v>450</v>
      </c>
      <c r="C7" s="1543" t="s">
        <v>25</v>
      </c>
      <c r="F7" s="1544" t="s">
        <v>1024</v>
      </c>
      <c r="H7" s="1544" t="s">
        <v>1025</v>
      </c>
      <c r="I7" s="1544" t="s">
        <v>3346</v>
      </c>
    </row>
    <row r="8" spans="1:23">
      <c r="A8" s="1542" t="s">
        <v>1026</v>
      </c>
      <c r="B8" s="1542" t="s">
        <v>1027</v>
      </c>
      <c r="C8" s="1543" t="s">
        <v>319</v>
      </c>
      <c r="F8" s="1544" t="s">
        <v>1028</v>
      </c>
      <c r="H8" s="1544" t="s">
        <v>2577</v>
      </c>
      <c r="I8" s="1544" t="s">
        <v>3347</v>
      </c>
    </row>
    <row r="9" spans="1:23">
      <c r="A9" s="1542" t="s">
        <v>1029</v>
      </c>
      <c r="B9" s="1542" t="s">
        <v>1030</v>
      </c>
      <c r="C9" s="1543" t="s">
        <v>320</v>
      </c>
      <c r="F9" s="1544" t="s">
        <v>1031</v>
      </c>
      <c r="H9" s="1544"/>
      <c r="I9" s="1547" t="s">
        <v>3348</v>
      </c>
    </row>
    <row r="10" spans="1:23">
      <c r="A10" s="1542" t="s">
        <v>1032</v>
      </c>
      <c r="B10" s="1542" t="s">
        <v>1033</v>
      </c>
      <c r="C10" s="1543" t="s">
        <v>321</v>
      </c>
      <c r="F10" s="1544" t="s">
        <v>2578</v>
      </c>
      <c r="I10" s="1547" t="s">
        <v>3349</v>
      </c>
    </row>
    <row r="11" spans="1:23">
      <c r="A11" s="1542" t="s">
        <v>1034</v>
      </c>
      <c r="B11" s="1542" t="s">
        <v>1035</v>
      </c>
      <c r="C11" s="1543" t="s">
        <v>322</v>
      </c>
      <c r="F11" s="1544" t="s">
        <v>13</v>
      </c>
      <c r="I11" s="1547" t="s">
        <v>3350</v>
      </c>
    </row>
    <row r="12" spans="1:23">
      <c r="A12" s="1542" t="s">
        <v>1036</v>
      </c>
      <c r="B12" s="1542" t="s">
        <v>1037</v>
      </c>
      <c r="C12" s="1543" t="s">
        <v>323</v>
      </c>
      <c r="I12" s="1547" t="s">
        <v>3351</v>
      </c>
    </row>
    <row r="13" spans="1:23">
      <c r="A13" s="1542" t="s">
        <v>1038</v>
      </c>
      <c r="B13" s="1542" t="s">
        <v>1039</v>
      </c>
      <c r="C13" s="1543" t="s">
        <v>324</v>
      </c>
      <c r="I13" s="1547" t="s">
        <v>3352</v>
      </c>
    </row>
    <row r="14" spans="1:23">
      <c r="A14" s="1542" t="s">
        <v>1040</v>
      </c>
      <c r="B14" s="1542" t="s">
        <v>1041</v>
      </c>
      <c r="C14" s="1544" t="s">
        <v>13</v>
      </c>
      <c r="I14" s="1547" t="s">
        <v>3353</v>
      </c>
    </row>
    <row r="15" spans="1:23">
      <c r="A15" s="1542" t="s">
        <v>1042</v>
      </c>
      <c r="B15" s="1542" t="s">
        <v>1043</v>
      </c>
      <c r="C15" s="1543"/>
      <c r="I15" s="1547" t="s">
        <v>3354</v>
      </c>
    </row>
    <row r="16" spans="1:23">
      <c r="A16" s="1542" t="s">
        <v>1044</v>
      </c>
      <c r="B16" s="1542" t="s">
        <v>312</v>
      </c>
      <c r="C16" s="1543"/>
    </row>
    <row r="17" spans="1:3">
      <c r="A17" s="1542" t="s">
        <v>1045</v>
      </c>
      <c r="B17" s="1542" t="s">
        <v>2290</v>
      </c>
      <c r="C17" s="1543"/>
    </row>
    <row r="18" spans="1:3">
      <c r="A18" s="1542" t="s">
        <v>1046</v>
      </c>
      <c r="B18" s="1542" t="s">
        <v>2433</v>
      </c>
      <c r="C18" s="1543"/>
    </row>
    <row r="19" spans="1:3">
      <c r="A19" s="1542" t="s">
        <v>1047</v>
      </c>
      <c r="B19" s="1542" t="s">
        <v>313</v>
      </c>
      <c r="C19" s="1543"/>
    </row>
    <row r="20" spans="1:3">
      <c r="A20" s="1542" t="s">
        <v>1048</v>
      </c>
      <c r="B20" s="1542" t="s">
        <v>313</v>
      </c>
      <c r="C20" s="1543"/>
    </row>
    <row r="21" spans="1:3">
      <c r="A21" s="1542" t="s">
        <v>1049</v>
      </c>
      <c r="B21" s="1542" t="s">
        <v>313</v>
      </c>
      <c r="C21" s="1543"/>
    </row>
    <row r="22" spans="1:3">
      <c r="A22" s="1542" t="s">
        <v>1050</v>
      </c>
      <c r="B22" s="1542" t="s">
        <v>313</v>
      </c>
      <c r="C22" s="1543"/>
    </row>
    <row r="23" spans="1:3">
      <c r="A23" s="1542" t="s">
        <v>1051</v>
      </c>
      <c r="B23" s="1542" t="s">
        <v>313</v>
      </c>
      <c r="C23" s="1543"/>
    </row>
    <row r="24" spans="1:3">
      <c r="A24" s="1542" t="s">
        <v>1052</v>
      </c>
      <c r="B24" s="1542" t="s">
        <v>313</v>
      </c>
      <c r="C24" s="1543"/>
    </row>
    <row r="25" spans="1:3">
      <c r="A25" s="1542" t="s">
        <v>1053</v>
      </c>
      <c r="B25" s="1542" t="s">
        <v>313</v>
      </c>
      <c r="C25" s="1543"/>
    </row>
    <row r="26" spans="1:3">
      <c r="A26" s="1542" t="s">
        <v>1054</v>
      </c>
      <c r="B26" s="1542" t="s">
        <v>313</v>
      </c>
      <c r="C26" s="1543"/>
    </row>
    <row r="27" spans="1:3">
      <c r="A27" s="1542" t="s">
        <v>313</v>
      </c>
      <c r="B27" s="1542" t="s">
        <v>313</v>
      </c>
      <c r="C27" s="1543"/>
    </row>
    <row r="28" spans="1:3">
      <c r="A28" s="1542" t="s">
        <v>313</v>
      </c>
      <c r="B28" s="1542" t="s">
        <v>313</v>
      </c>
      <c r="C28" s="1543"/>
    </row>
    <row r="29" spans="1:3">
      <c r="A29" s="1542" t="s">
        <v>313</v>
      </c>
      <c r="B29" s="1542" t="s">
        <v>313</v>
      </c>
      <c r="C29" s="1543"/>
    </row>
    <row r="30" spans="1:3">
      <c r="A30" s="1542" t="s">
        <v>313</v>
      </c>
      <c r="B30" s="1542" t="s">
        <v>313</v>
      </c>
      <c r="C30" s="1543"/>
    </row>
    <row r="31" spans="1:3">
      <c r="A31" s="1542" t="s">
        <v>313</v>
      </c>
      <c r="B31" s="1542" t="s">
        <v>313</v>
      </c>
      <c r="C31" s="1543"/>
    </row>
    <row r="32" spans="1:3">
      <c r="A32" s="1542" t="s">
        <v>313</v>
      </c>
      <c r="B32" s="1542" t="s">
        <v>313</v>
      </c>
      <c r="C32" s="1543"/>
    </row>
    <row r="33" spans="1:3">
      <c r="A33" s="1542" t="s">
        <v>313</v>
      </c>
      <c r="B33" s="1542" t="s">
        <v>313</v>
      </c>
      <c r="C33" s="1543"/>
    </row>
    <row r="34" spans="1:3">
      <c r="A34" s="1542" t="s">
        <v>313</v>
      </c>
      <c r="B34" s="1542" t="s">
        <v>313</v>
      </c>
      <c r="C34" s="1543"/>
    </row>
    <row r="35" spans="1:3">
      <c r="A35" s="1542" t="s">
        <v>313</v>
      </c>
      <c r="B35" s="1542" t="s">
        <v>313</v>
      </c>
      <c r="C35" s="1543"/>
    </row>
    <row r="36" spans="1:3">
      <c r="A36" s="1542" t="s">
        <v>313</v>
      </c>
      <c r="B36" s="1542" t="s">
        <v>313</v>
      </c>
      <c r="C36" s="1543"/>
    </row>
    <row r="37" spans="1:3">
      <c r="A37" s="1542" t="s">
        <v>313</v>
      </c>
      <c r="B37" s="1542" t="s">
        <v>313</v>
      </c>
      <c r="C37" s="1543"/>
    </row>
    <row r="38" spans="1:3">
      <c r="A38" s="1542" t="s">
        <v>313</v>
      </c>
      <c r="B38" s="1542" t="s">
        <v>313</v>
      </c>
      <c r="C38" s="1543"/>
    </row>
    <row r="39" spans="1:3">
      <c r="A39" s="1542" t="s">
        <v>313</v>
      </c>
      <c r="B39" s="1542" t="s">
        <v>313</v>
      </c>
      <c r="C39" s="1543"/>
    </row>
    <row r="40" spans="1:3">
      <c r="A40" s="1542" t="s">
        <v>313</v>
      </c>
      <c r="B40" s="1542" t="s">
        <v>313</v>
      </c>
      <c r="C40" s="1543"/>
    </row>
    <row r="41" spans="1:3">
      <c r="A41" s="1542" t="s">
        <v>313</v>
      </c>
      <c r="B41" s="1542" t="s">
        <v>313</v>
      </c>
      <c r="C41" s="1543"/>
    </row>
    <row r="42" spans="1:3">
      <c r="A42" s="1542" t="s">
        <v>313</v>
      </c>
      <c r="B42" s="1542" t="s">
        <v>313</v>
      </c>
      <c r="C42" s="1543"/>
    </row>
    <row r="43" spans="1:3">
      <c r="A43" s="1542" t="s">
        <v>313</v>
      </c>
      <c r="B43" s="1542" t="s">
        <v>313</v>
      </c>
      <c r="C43" s="1543"/>
    </row>
    <row r="44" spans="1:3">
      <c r="A44" s="1542" t="s">
        <v>313</v>
      </c>
      <c r="B44" s="1542" t="s">
        <v>313</v>
      </c>
      <c r="C44" s="1543"/>
    </row>
    <row r="45" spans="1:3">
      <c r="A45" s="1542" t="s">
        <v>313</v>
      </c>
      <c r="B45" s="1542" t="s">
        <v>313</v>
      </c>
      <c r="C45" s="1543"/>
    </row>
    <row r="46" spans="1:3">
      <c r="A46" s="1542" t="s">
        <v>313</v>
      </c>
      <c r="B46" s="1542" t="s">
        <v>313</v>
      </c>
      <c r="C46" s="1543"/>
    </row>
    <row r="47" spans="1:3">
      <c r="A47" s="1542" t="s">
        <v>313</v>
      </c>
      <c r="B47" s="1542" t="s">
        <v>313</v>
      </c>
      <c r="C47" s="1543"/>
    </row>
    <row r="48" spans="1:3">
      <c r="A48" s="1542" t="s">
        <v>313</v>
      </c>
      <c r="B48" s="1542" t="s">
        <v>313</v>
      </c>
      <c r="C48" s="1543"/>
    </row>
    <row r="49" spans="1:4">
      <c r="A49" s="1542" t="s">
        <v>313</v>
      </c>
      <c r="B49" s="1542" t="s">
        <v>313</v>
      </c>
      <c r="C49" s="1543"/>
    </row>
    <row r="50" spans="1:4">
      <c r="A50" s="1542" t="s">
        <v>313</v>
      </c>
      <c r="B50" s="1542" t="s">
        <v>313</v>
      </c>
      <c r="C50" s="1543"/>
    </row>
    <row r="51" spans="1:4">
      <c r="A51" s="1549" t="s">
        <v>378</v>
      </c>
      <c r="B51" s="1550"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547"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550" t="s">
        <v>586</v>
      </c>
    </row>
    <row r="52" spans="1:4">
      <c r="A52" s="1549" t="s">
        <v>379</v>
      </c>
      <c r="B52" s="1549" t="s">
        <v>380</v>
      </c>
      <c r="C52" s="1547" t="s">
        <v>381</v>
      </c>
      <c r="D52" s="1547" t="s">
        <v>382</v>
      </c>
    </row>
    <row r="53" spans="1:4">
      <c r="A53" s="3564" t="s">
        <v>383</v>
      </c>
      <c r="B53" s="1550" t="s">
        <v>384</v>
      </c>
      <c r="C53" s="1547"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2023年7月7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564"/>
      <c r="B54" s="1550" t="s">
        <v>385</v>
      </c>
      <c r="C54" s="1547" t="s">
        <v>583</v>
      </c>
    </row>
    <row r="55" spans="1:4">
      <c r="A55" s="3564"/>
      <c r="B55" s="1550" t="s">
        <v>386</v>
      </c>
      <c r="C55" s="1547" t="s">
        <v>584</v>
      </c>
    </row>
    <row r="56" spans="1:4">
      <c r="A56" s="3564"/>
      <c r="B56" s="1550" t="s">
        <v>387</v>
      </c>
      <c r="C56" s="1547" t="s">
        <v>588</v>
      </c>
    </row>
    <row r="57" spans="1:4">
      <c r="A57" s="3564"/>
      <c r="B57" s="1550" t="s">
        <v>388</v>
      </c>
      <c r="C57" s="1547" t="s">
        <v>585</v>
      </c>
    </row>
    <row r="58" spans="1:4">
      <c r="A58" s="1551"/>
      <c r="B58" s="1547"/>
    </row>
    <row r="59" spans="1:4">
      <c r="A59" s="1551"/>
      <c r="B59" s="1547"/>
    </row>
    <row r="60" spans="1:4">
      <c r="A60" s="1551"/>
      <c r="B60" s="1547"/>
    </row>
    <row r="61" spans="1:4">
      <c r="A61" s="1551"/>
      <c r="B61" s="1547"/>
    </row>
    <row r="62" spans="1:4">
      <c r="A62" s="1551"/>
      <c r="B62" s="1547"/>
    </row>
    <row r="63" spans="1:4">
      <c r="A63" s="1551"/>
      <c r="B63" s="1547"/>
    </row>
    <row r="64" spans="1:4">
      <c r="A64" s="1551"/>
      <c r="B64" s="1547"/>
    </row>
    <row r="65" spans="1:2">
      <c r="A65" s="1551"/>
      <c r="B65" s="1547"/>
    </row>
    <row r="66" spans="1:2">
      <c r="A66" s="1551"/>
      <c r="B66" s="1547"/>
    </row>
    <row r="67" spans="1:2">
      <c r="A67" s="1551"/>
      <c r="B67" s="1547"/>
    </row>
    <row r="68" spans="1:2">
      <c r="A68" s="1551"/>
      <c r="B68" s="1547"/>
    </row>
    <row r="69" spans="1:2">
      <c r="A69" s="1551"/>
      <c r="B69" s="1547"/>
    </row>
    <row r="70" spans="1:2">
      <c r="A70" s="1551"/>
      <c r="B70" s="1547"/>
    </row>
    <row r="71" spans="1:2">
      <c r="A71" s="1551"/>
      <c r="B71" s="1547"/>
    </row>
    <row r="72" spans="1:2">
      <c r="A72" s="1551"/>
      <c r="B72" s="1547"/>
    </row>
    <row r="73" spans="1:2">
      <c r="A73" s="1551"/>
      <c r="B73" s="1547"/>
    </row>
    <row r="74" spans="1:2">
      <c r="A74" s="1551"/>
      <c r="B74" s="1547"/>
    </row>
    <row r="75" spans="1:2">
      <c r="A75" s="1551"/>
      <c r="B75" s="1547"/>
    </row>
    <row r="76" spans="1:2">
      <c r="A76" s="1551"/>
      <c r="B76" s="1547"/>
    </row>
    <row r="77" spans="1:2">
      <c r="A77" s="1551"/>
      <c r="B77" s="1547"/>
    </row>
    <row r="78" spans="1:2">
      <c r="A78" s="1551"/>
      <c r="B78" s="1547"/>
    </row>
    <row r="79" spans="1:2">
      <c r="A79" s="1551"/>
      <c r="B79" s="1547"/>
    </row>
    <row r="80" spans="1:2">
      <c r="A80" s="1551"/>
      <c r="B80" s="1547"/>
    </row>
    <row r="81" spans="1:2">
      <c r="A81" s="1551"/>
      <c r="B81" s="1547"/>
    </row>
    <row r="82" spans="1:2">
      <c r="A82" s="1551"/>
      <c r="B82" s="1547"/>
    </row>
    <row r="83" spans="1:2">
      <c r="A83" s="1551"/>
      <c r="B83" s="1547"/>
    </row>
    <row r="84" spans="1:2">
      <c r="A84" s="1551"/>
      <c r="B84" s="1547"/>
    </row>
    <row r="85" spans="1:2">
      <c r="A85" s="1551"/>
      <c r="B85" s="1547"/>
    </row>
    <row r="86" spans="1:2">
      <c r="A86" s="1551"/>
      <c r="B86" s="1547"/>
    </row>
    <row r="87" spans="1:2">
      <c r="A87" s="1551"/>
      <c r="B87" s="1547"/>
    </row>
    <row r="88" spans="1:2">
      <c r="A88" s="1551"/>
      <c r="B88" s="1547"/>
    </row>
    <row r="89" spans="1:2">
      <c r="A89" s="1551"/>
      <c r="B89" s="1547"/>
    </row>
    <row r="90" spans="1:2">
      <c r="A90" s="1551"/>
      <c r="B90" s="1547"/>
    </row>
    <row r="91" spans="1:2">
      <c r="A91" s="1551"/>
      <c r="B91" s="1547"/>
    </row>
    <row r="92" spans="1:2">
      <c r="A92" s="1551"/>
      <c r="B92" s="1547"/>
    </row>
    <row r="93" spans="1:2">
      <c r="A93" s="1551"/>
      <c r="B93" s="1547"/>
    </row>
    <row r="94" spans="1:2">
      <c r="A94" s="1551"/>
      <c r="B94" s="1547"/>
    </row>
    <row r="95" spans="1:2">
      <c r="A95" s="1551"/>
      <c r="B95" s="1547"/>
    </row>
    <row r="96" spans="1:2">
      <c r="A96" s="1551"/>
      <c r="B96" s="1547"/>
    </row>
    <row r="97" spans="1:2">
      <c r="A97" s="1551"/>
      <c r="B97" s="1547"/>
    </row>
    <row r="98" spans="1:2">
      <c r="A98" s="1551"/>
      <c r="B98" s="1547"/>
    </row>
    <row r="99" spans="1:2">
      <c r="A99" s="1551"/>
      <c r="B99" s="1547"/>
    </row>
    <row r="100" spans="1:2">
      <c r="A100" s="1551"/>
      <c r="B100" s="1547"/>
    </row>
    <row r="101" spans="1:2">
      <c r="A101" s="1551"/>
      <c r="B101" s="1547"/>
    </row>
    <row r="102" spans="1:2">
      <c r="A102" s="1551"/>
      <c r="B102" s="1547"/>
    </row>
    <row r="103" spans="1:2">
      <c r="A103" s="1551"/>
      <c r="B103" s="1547"/>
    </row>
    <row r="104" spans="1:2">
      <c r="A104" s="1551"/>
      <c r="B104" s="1547"/>
    </row>
    <row r="105" spans="1:2">
      <c r="A105" s="1551"/>
      <c r="B105" s="1547"/>
    </row>
    <row r="106" spans="1:2">
      <c r="A106" s="1551"/>
      <c r="B106" s="1547"/>
    </row>
    <row r="107" spans="1:2">
      <c r="A107" s="1551"/>
      <c r="B107" s="1547"/>
    </row>
    <row r="108" spans="1:2">
      <c r="A108" s="1551"/>
      <c r="B108" s="1547"/>
    </row>
    <row r="109" spans="1:2">
      <c r="A109" s="1551"/>
      <c r="B109" s="1547"/>
    </row>
    <row r="110" spans="1:2">
      <c r="A110" s="1551"/>
      <c r="B110" s="1547"/>
    </row>
    <row r="111" spans="1:2">
      <c r="A111" s="1551"/>
      <c r="B111" s="1547"/>
    </row>
    <row r="112" spans="1:2">
      <c r="A112" s="1551"/>
      <c r="B112" s="1547"/>
    </row>
    <row r="113" spans="1:2">
      <c r="A113" s="1551"/>
      <c r="B113" s="1547"/>
    </row>
    <row r="114" spans="1:2">
      <c r="A114" s="1551"/>
      <c r="B114" s="1547"/>
    </row>
    <row r="115" spans="1:2">
      <c r="A115" s="1551"/>
      <c r="B115" s="1547"/>
    </row>
    <row r="116" spans="1:2">
      <c r="A116" s="1551"/>
      <c r="B116" s="1547"/>
    </row>
    <row r="117" spans="1:2">
      <c r="A117" s="1551"/>
      <c r="B117" s="1547"/>
    </row>
    <row r="118" spans="1:2">
      <c r="A118" s="1551"/>
      <c r="B118" s="1547"/>
    </row>
    <row r="119" spans="1:2">
      <c r="A119" s="1551"/>
      <c r="B119" s="1547"/>
    </row>
    <row r="120" spans="1:2">
      <c r="A120" s="1551"/>
      <c r="B120" s="1547"/>
    </row>
    <row r="121" spans="1:2">
      <c r="A121" s="1551"/>
      <c r="B121" s="1547"/>
    </row>
    <row r="122" spans="1:2">
      <c r="A122" s="1551"/>
      <c r="B122" s="1547"/>
    </row>
    <row r="123" spans="1:2">
      <c r="A123" s="1551"/>
      <c r="B123" s="1547"/>
    </row>
    <row r="124" spans="1:2">
      <c r="A124" s="1551"/>
      <c r="B124" s="1547"/>
    </row>
    <row r="125" spans="1:2">
      <c r="A125" s="1551"/>
      <c r="B125" s="1547"/>
    </row>
    <row r="126" spans="1:2">
      <c r="A126" s="1551"/>
      <c r="B126" s="1547"/>
    </row>
    <row r="127" spans="1:2">
      <c r="A127" s="1551"/>
      <c r="B127" s="1547"/>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47"/>
  <sheetViews>
    <sheetView topLeftCell="A16" workbookViewId="0">
      <selection activeCell="P26" sqref="P26"/>
    </sheetView>
  </sheetViews>
  <sheetFormatPr defaultColWidth="15.125" defaultRowHeight="14.25"/>
  <cols>
    <col min="1" max="7" width="15.125" style="3008"/>
    <col min="8" max="8" width="5.5" style="3008" customWidth="1"/>
    <col min="9" max="13" width="9.5" style="3050" customWidth="1"/>
    <col min="14" max="18" width="9.5" style="3008" customWidth="1"/>
    <col min="19" max="16384" width="15.125" style="3008"/>
  </cols>
  <sheetData>
    <row r="1" spans="1:18">
      <c r="A1" s="3005" t="s">
        <v>2500</v>
      </c>
      <c r="B1" s="3006"/>
      <c r="C1" s="3006"/>
      <c r="D1" s="3006"/>
      <c r="E1" s="3006"/>
      <c r="F1" s="3007"/>
      <c r="I1" s="3429" t="s">
        <v>2593</v>
      </c>
      <c r="J1" s="3218"/>
      <c r="K1" s="3218"/>
      <c r="L1" s="3218"/>
      <c r="M1" s="3218"/>
      <c r="N1" s="3430"/>
      <c r="O1" s="3430"/>
      <c r="P1" s="3430"/>
      <c r="Q1" s="3430"/>
      <c r="R1" s="3430"/>
    </row>
    <row r="2" spans="1:18">
      <c r="A2" s="3009"/>
      <c r="B2" s="3010"/>
      <c r="C2" s="3010"/>
      <c r="D2" s="3010"/>
      <c r="E2" s="3010"/>
      <c r="F2" s="3011"/>
      <c r="I2" s="3565" t="s">
        <v>2580</v>
      </c>
      <c r="J2" s="3565"/>
      <c r="K2" s="3565"/>
      <c r="L2" s="3565"/>
      <c r="M2" s="3565"/>
      <c r="N2" s="3565"/>
      <c r="O2" s="3565"/>
      <c r="P2" s="3565"/>
      <c r="Q2" s="3565"/>
      <c r="R2" s="3565"/>
    </row>
    <row r="3" spans="1:18">
      <c r="A3" s="3012" t="s">
        <v>2501</v>
      </c>
      <c r="B3" s="3013">
        <f>项目基本情况!D3</f>
        <v>45114</v>
      </c>
      <c r="C3" s="3015"/>
      <c r="D3" s="3015"/>
      <c r="E3" s="3015"/>
      <c r="F3" s="3011"/>
      <c r="I3" s="3431"/>
      <c r="J3" s="3431" t="s">
        <v>2584</v>
      </c>
      <c r="K3" s="3431" t="s">
        <v>2585</v>
      </c>
      <c r="L3" s="3431" t="s">
        <v>2586</v>
      </c>
      <c r="M3" s="3431" t="s">
        <v>2587</v>
      </c>
      <c r="N3" s="3432" t="s">
        <v>2588</v>
      </c>
      <c r="O3" s="3432" t="s">
        <v>2589</v>
      </c>
      <c r="P3" s="3432" t="s">
        <v>2590</v>
      </c>
      <c r="Q3" s="3432" t="s">
        <v>2591</v>
      </c>
      <c r="R3" s="3432" t="s">
        <v>2592</v>
      </c>
    </row>
    <row r="4" spans="1:18">
      <c r="A4" s="3012" t="s">
        <v>2502</v>
      </c>
      <c r="B4" s="3015" t="s">
        <v>2503</v>
      </c>
      <c r="C4" s="3015" t="s">
        <v>2504</v>
      </c>
      <c r="D4" s="3015" t="s">
        <v>2505</v>
      </c>
      <c r="E4" s="3015" t="s">
        <v>2506</v>
      </c>
      <c r="F4" s="3011"/>
      <c r="I4" s="3431" t="s">
        <v>2581</v>
      </c>
      <c r="J4" s="3431">
        <v>80</v>
      </c>
      <c r="K4" s="3431">
        <v>70</v>
      </c>
      <c r="L4" s="3431">
        <v>20</v>
      </c>
      <c r="M4" s="3431">
        <v>30</v>
      </c>
      <c r="N4" s="3015">
        <v>45</v>
      </c>
      <c r="O4" s="3015">
        <v>60</v>
      </c>
      <c r="P4" s="3015">
        <v>50</v>
      </c>
      <c r="Q4" s="3015">
        <v>20</v>
      </c>
      <c r="R4" s="3015">
        <v>375</v>
      </c>
    </row>
    <row r="5" spans="1:18">
      <c r="A5" s="3016">
        <v>40</v>
      </c>
      <c r="B5" s="3013">
        <v>46375</v>
      </c>
      <c r="C5" s="3015">
        <f>ROUNDDOWN(MIN((B5-B3)/365,A5),2)</f>
        <v>3.45</v>
      </c>
      <c r="D5" s="3017">
        <f>IF(ISERROR(ROUND(POWER(1+E5,A5-C5)*(POWER(1+E5,C5)-1)/(POWER(1+E5,A5)-1),3)),0,ROUND(POWER(1+E5,A5-C5)*(POWER(1+E5,C5)-1)/(POWER(1+E5,A5)-1),4))</f>
        <v>0.15989999999999999</v>
      </c>
      <c r="E5" s="3018">
        <v>0.04</v>
      </c>
      <c r="F5" s="3011"/>
      <c r="I5" s="3431" t="s">
        <v>2582</v>
      </c>
      <c r="J5" s="3431">
        <v>70</v>
      </c>
      <c r="K5" s="3431">
        <v>60</v>
      </c>
      <c r="L5" s="3431">
        <v>15</v>
      </c>
      <c r="M5" s="3431">
        <v>25</v>
      </c>
      <c r="N5" s="3015">
        <v>40</v>
      </c>
      <c r="O5" s="3015">
        <v>50</v>
      </c>
      <c r="P5" s="3015">
        <v>40</v>
      </c>
      <c r="Q5" s="3015">
        <v>15</v>
      </c>
      <c r="R5" s="3015">
        <v>315</v>
      </c>
    </row>
    <row r="6" spans="1:18">
      <c r="A6" s="3016">
        <v>50</v>
      </c>
      <c r="B6" s="3013">
        <v>50028</v>
      </c>
      <c r="C6" s="3015">
        <f>ROUNDDOWN(MIN((B6-B3)/365,A6),2)</f>
        <v>13.46</v>
      </c>
      <c r="D6" s="3017">
        <f>IF(ISERROR(ROUND(POWER(1+E6,A6-C6)*(POWER(1+E6,C6)-1)/(POWER(1+E6,A6)-1),3)),0,ROUND(POWER(1+E6,A6-C6)*(POWER(1+E6,C6)-1)/(POWER(1+E6,A6)-1),4))</f>
        <v>0.4773</v>
      </c>
      <c r="E6" s="3018">
        <v>0.04</v>
      </c>
      <c r="F6" s="3011"/>
      <c r="I6" s="3431" t="s">
        <v>2583</v>
      </c>
      <c r="J6" s="3431">
        <v>60</v>
      </c>
      <c r="K6" s="3431">
        <v>50</v>
      </c>
      <c r="L6" s="3431">
        <v>10</v>
      </c>
      <c r="M6" s="3431">
        <v>20</v>
      </c>
      <c r="N6" s="3015">
        <v>35</v>
      </c>
      <c r="O6" s="3015">
        <v>40</v>
      </c>
      <c r="P6" s="3015">
        <v>30</v>
      </c>
      <c r="Q6" s="3015">
        <v>10</v>
      </c>
      <c r="R6" s="3015">
        <v>255</v>
      </c>
    </row>
    <row r="7" spans="1:18">
      <c r="A7" s="3016">
        <v>70</v>
      </c>
      <c r="B7" s="3013">
        <v>57333</v>
      </c>
      <c r="C7" s="3015">
        <f>ROUNDDOWN(MIN((B7-B3)/365,A7),2)</f>
        <v>33.47</v>
      </c>
      <c r="D7" s="3017">
        <f>IF(ISERROR(ROUND(POWER(1+E7,A7-C7)*(POWER(1+E7,C7)-1)/(POWER(1+E7,A7)-1),3)),0,ROUND(POWER(1+E7,A7-C7)*(POWER(1+E7,C7)-1)/(POWER(1+E7,A7)-1),4))</f>
        <v>0.78110000000000002</v>
      </c>
      <c r="E7" s="3018">
        <v>0.04</v>
      </c>
      <c r="F7" s="3011"/>
    </row>
    <row r="8" spans="1:18">
      <c r="A8" s="3009"/>
      <c r="B8" s="3010"/>
      <c r="C8" s="3010"/>
      <c r="D8" s="3010"/>
      <c r="E8" s="3010"/>
      <c r="F8" s="3011"/>
    </row>
    <row r="9" spans="1:18">
      <c r="A9" s="3012" t="s">
        <v>2507</v>
      </c>
      <c r="B9" s="3015"/>
      <c r="C9" s="3015"/>
      <c r="D9" s="3015"/>
      <c r="E9" s="3015"/>
      <c r="F9" s="3019"/>
    </row>
    <row r="10" spans="1:18">
      <c r="A10" s="3012" t="s">
        <v>2508</v>
      </c>
      <c r="B10" s="3015"/>
      <c r="C10" s="3015"/>
      <c r="D10" s="3015" t="s">
        <v>2506</v>
      </c>
      <c r="E10" s="3015"/>
      <c r="F10" s="3019" t="s">
        <v>2505</v>
      </c>
    </row>
    <row r="11" spans="1:18">
      <c r="A11" s="3012" t="s">
        <v>2509</v>
      </c>
      <c r="B11" s="3020">
        <v>70</v>
      </c>
      <c r="C11" s="3015" t="s">
        <v>2510</v>
      </c>
      <c r="D11" s="3021">
        <v>4.4999999999999998E-2</v>
      </c>
      <c r="E11" s="3015" t="s">
        <v>2511</v>
      </c>
      <c r="F11" s="3022">
        <f>ROUND(1-(1/(POWER(1+D11,B11))),4)</f>
        <v>0.95409999999999995</v>
      </c>
    </row>
    <row r="12" spans="1:18">
      <c r="A12" s="3012" t="s">
        <v>2512</v>
      </c>
      <c r="B12" s="3020">
        <v>40</v>
      </c>
      <c r="C12" s="3015" t="s">
        <v>2513</v>
      </c>
      <c r="D12" s="3021">
        <v>4.4999999999999998E-2</v>
      </c>
      <c r="E12" s="3015" t="s">
        <v>2514</v>
      </c>
      <c r="F12" s="3022">
        <f>ROUND(1-(1/(POWER(1+D12,B12))),4)</f>
        <v>0.82809999999999995</v>
      </c>
    </row>
    <row r="13" spans="1:18">
      <c r="A13" s="3012" t="s">
        <v>2515</v>
      </c>
      <c r="B13" s="3015"/>
      <c r="C13" s="3015"/>
      <c r="D13" s="3010"/>
      <c r="E13" s="3010"/>
      <c r="F13" s="3011"/>
    </row>
    <row r="14" spans="1:18">
      <c r="A14" s="3012" t="s">
        <v>2516</v>
      </c>
      <c r="B14" s="3020">
        <v>5000</v>
      </c>
      <c r="C14" s="3014"/>
      <c r="D14" s="3010"/>
      <c r="E14" s="3010"/>
      <c r="F14" s="3011"/>
    </row>
    <row r="15" spans="1:18">
      <c r="A15" s="3012" t="s">
        <v>2517</v>
      </c>
      <c r="B15" s="3015">
        <f>ROUND(B14*F12/F11,2)</f>
        <v>4339.6899999999996</v>
      </c>
      <c r="C15" s="3015">
        <f>ROUND(F12/F11,4)</f>
        <v>0.8679</v>
      </c>
      <c r="D15" s="3010"/>
      <c r="E15" s="3010"/>
      <c r="F15" s="3011"/>
    </row>
    <row r="16" spans="1:18">
      <c r="A16" s="3012" t="s">
        <v>2518</v>
      </c>
      <c r="B16" s="3015"/>
      <c r="C16" s="3015"/>
      <c r="D16" s="3010"/>
      <c r="E16" s="3010"/>
      <c r="F16" s="3011"/>
    </row>
    <row r="17" spans="1:13">
      <c r="A17" s="3012" t="s">
        <v>2517</v>
      </c>
      <c r="B17" s="3021">
        <v>4810</v>
      </c>
      <c r="C17" s="3014"/>
      <c r="D17" s="3010"/>
      <c r="E17" s="3010"/>
      <c r="F17" s="3011"/>
    </row>
    <row r="18" spans="1:13" ht="15" thickBot="1">
      <c r="A18" s="3023" t="s">
        <v>2516</v>
      </c>
      <c r="B18" s="3024">
        <f>ROUND(B17*F11/F12,2)</f>
        <v>5541.87</v>
      </c>
      <c r="C18" s="3024">
        <f>ROUND(F11/F12,4)</f>
        <v>1.1521999999999999</v>
      </c>
      <c r="D18" s="3025"/>
      <c r="E18" s="3025"/>
      <c r="F18" s="3026"/>
    </row>
    <row r="19" spans="1:13" ht="15" thickBot="1"/>
    <row r="20" spans="1:13" s="3061" customFormat="1" ht="15" thickTop="1">
      <c r="A20" s="3058" t="s">
        <v>2519</v>
      </c>
      <c r="B20" s="3059"/>
      <c r="C20" s="3059"/>
      <c r="D20" s="3059"/>
      <c r="E20" s="3059"/>
      <c r="F20" s="3059"/>
      <c r="G20" s="3060"/>
      <c r="I20" s="3062" t="s">
        <v>2564</v>
      </c>
      <c r="J20" s="3062" t="s">
        <v>2569</v>
      </c>
      <c r="K20" s="3062"/>
      <c r="L20" s="3062"/>
      <c r="M20" s="3062"/>
    </row>
    <row r="21" spans="1:13">
      <c r="A21" s="3027"/>
      <c r="B21" s="3028" t="s">
        <v>2520</v>
      </c>
      <c r="C21" s="3028" t="s">
        <v>2521</v>
      </c>
      <c r="D21" s="3028" t="s">
        <v>2522</v>
      </c>
      <c r="E21" s="3028" t="s">
        <v>2523</v>
      </c>
      <c r="F21" s="3028" t="s">
        <v>2524</v>
      </c>
      <c r="G21" s="3029" t="s">
        <v>2525</v>
      </c>
      <c r="I21" s="3050">
        <v>5</v>
      </c>
      <c r="J21" s="3050">
        <v>54.2</v>
      </c>
    </row>
    <row r="22" spans="1:13">
      <c r="A22" s="3027" t="s">
        <v>2526</v>
      </c>
      <c r="B22" s="3030">
        <v>70</v>
      </c>
      <c r="C22" s="3030">
        <v>30</v>
      </c>
      <c r="D22" s="3031">
        <v>0.04</v>
      </c>
      <c r="E22" s="3028">
        <f>ROUND(POWER(1+D22,B22-C22)*(POWER(1+D22,C22)-1)/(POWER(1+D22,B22)-1),3)</f>
        <v>0.73899999999999999</v>
      </c>
      <c r="F22" s="3031">
        <v>0.7</v>
      </c>
      <c r="G22" s="3029">
        <f>ROUND(100*(1-(1-E22)*F22),1)</f>
        <v>81.7</v>
      </c>
      <c r="I22" s="3050">
        <v>10</v>
      </c>
      <c r="J22" s="3050">
        <v>65.400000000000006</v>
      </c>
      <c r="K22" s="3050">
        <f>J22-J21</f>
        <v>11.200000000000003</v>
      </c>
    </row>
    <row r="23" spans="1:13">
      <c r="A23" s="3027" t="s">
        <v>2527</v>
      </c>
      <c r="B23" s="3030">
        <v>70</v>
      </c>
      <c r="C23" s="3030">
        <v>40</v>
      </c>
      <c r="D23" s="3031">
        <v>0.04</v>
      </c>
      <c r="E23" s="3028">
        <f t="shared" ref="E23:E25" si="0">ROUND(POWER(1+D23,B23-C23)*(POWER(1+D23,C23)-1)/(POWER(1+D23,B23)-1),3)</f>
        <v>0.84599999999999997</v>
      </c>
      <c r="F23" s="3031">
        <f>F22</f>
        <v>0.7</v>
      </c>
      <c r="G23" s="3029">
        <f t="shared" ref="G23:G25" si="1">ROUND(100*(1-(1-E23)*F23),1)</f>
        <v>89.2</v>
      </c>
      <c r="I23" s="3050">
        <v>15</v>
      </c>
      <c r="J23" s="3050">
        <v>74.099999999999994</v>
      </c>
      <c r="K23" s="3050">
        <f t="shared" ref="K23:K30" si="2">J23-J22</f>
        <v>8.6999999999999886</v>
      </c>
      <c r="L23" s="3050" t="s">
        <v>2567</v>
      </c>
      <c r="M23" s="3050" t="s">
        <v>2568</v>
      </c>
    </row>
    <row r="24" spans="1:13">
      <c r="A24" s="3027" t="s">
        <v>2528</v>
      </c>
      <c r="B24" s="3030">
        <v>70</v>
      </c>
      <c r="C24" s="3030">
        <v>50</v>
      </c>
      <c r="D24" s="3031">
        <v>0.04</v>
      </c>
      <c r="E24" s="3028">
        <f t="shared" si="0"/>
        <v>0.91800000000000004</v>
      </c>
      <c r="F24" s="3031">
        <f>F23</f>
        <v>0.7</v>
      </c>
      <c r="G24" s="3029">
        <f t="shared" si="1"/>
        <v>94.3</v>
      </c>
      <c r="I24" s="3050">
        <v>20</v>
      </c>
      <c r="J24" s="3050">
        <v>81</v>
      </c>
      <c r="K24" s="3050">
        <f t="shared" si="2"/>
        <v>6.9000000000000057</v>
      </c>
      <c r="L24" s="3050" t="s">
        <v>2566</v>
      </c>
      <c r="M24" s="3050">
        <v>10</v>
      </c>
    </row>
    <row r="25" spans="1:13">
      <c r="A25" s="3027" t="s">
        <v>2529</v>
      </c>
      <c r="B25" s="3030">
        <v>70</v>
      </c>
      <c r="C25" s="3030">
        <v>60</v>
      </c>
      <c r="D25" s="3031">
        <v>0.04</v>
      </c>
      <c r="E25" s="3028">
        <f t="shared" si="0"/>
        <v>0.96699999999999997</v>
      </c>
      <c r="F25" s="3031">
        <f>F24</f>
        <v>0.7</v>
      </c>
      <c r="G25" s="3029">
        <f t="shared" si="1"/>
        <v>97.7</v>
      </c>
      <c r="I25" s="3050">
        <v>25</v>
      </c>
      <c r="J25" s="3050">
        <v>86.3</v>
      </c>
      <c r="K25" s="3050">
        <f t="shared" si="2"/>
        <v>5.2999999999999972</v>
      </c>
      <c r="L25" s="3050" t="s">
        <v>2570</v>
      </c>
      <c r="M25" s="3050">
        <v>8</v>
      </c>
    </row>
    <row r="26" spans="1:13">
      <c r="A26" s="3032"/>
      <c r="B26" s="3033"/>
      <c r="C26" s="3033"/>
      <c r="D26" s="3033"/>
      <c r="E26" s="3033"/>
      <c r="F26" s="3033"/>
      <c r="G26" s="3034"/>
      <c r="I26" s="3050">
        <v>30</v>
      </c>
      <c r="J26" s="3050">
        <v>90.5</v>
      </c>
      <c r="K26" s="3050">
        <f t="shared" si="2"/>
        <v>4.2000000000000028</v>
      </c>
      <c r="L26" s="3050" t="s">
        <v>2571</v>
      </c>
      <c r="M26" s="3050">
        <v>5</v>
      </c>
    </row>
    <row r="27" spans="1:13">
      <c r="A27" s="3032" t="s">
        <v>2530</v>
      </c>
      <c r="B27" s="3033"/>
      <c r="C27" s="3033"/>
      <c r="D27" s="3033"/>
      <c r="E27" s="3033"/>
      <c r="F27" s="3033"/>
      <c r="G27" s="3034"/>
      <c r="I27" s="3050">
        <v>35</v>
      </c>
      <c r="J27" s="3050">
        <v>93.8</v>
      </c>
      <c r="K27" s="3050">
        <f t="shared" si="2"/>
        <v>3.2999999999999972</v>
      </c>
      <c r="L27" s="3050" t="s">
        <v>2572</v>
      </c>
      <c r="M27" s="3050">
        <v>3</v>
      </c>
    </row>
    <row r="28" spans="1:13">
      <c r="A28" s="3032" t="s">
        <v>2531</v>
      </c>
      <c r="B28" s="3033"/>
      <c r="C28" s="3033"/>
      <c r="D28" s="3033"/>
      <c r="E28" s="3033"/>
      <c r="F28" s="3033"/>
      <c r="G28" s="3034"/>
      <c r="I28" s="3050">
        <v>40</v>
      </c>
      <c r="J28" s="3050">
        <v>96.4</v>
      </c>
      <c r="K28" s="3050">
        <f t="shared" si="2"/>
        <v>2.6000000000000085</v>
      </c>
      <c r="L28" s="3050" t="s">
        <v>2573</v>
      </c>
      <c r="M28" s="3050">
        <v>2</v>
      </c>
    </row>
    <row r="29" spans="1:13">
      <c r="A29" s="3032" t="s">
        <v>2532</v>
      </c>
      <c r="B29" s="3033"/>
      <c r="C29" s="3033"/>
      <c r="D29" s="3033"/>
      <c r="E29" s="3033"/>
      <c r="F29" s="3033"/>
      <c r="G29" s="3034"/>
      <c r="I29" s="3050">
        <v>45</v>
      </c>
      <c r="J29" s="3050">
        <v>98.4</v>
      </c>
      <c r="K29" s="3050">
        <f t="shared" si="2"/>
        <v>2</v>
      </c>
    </row>
    <row r="30" spans="1:13">
      <c r="A30" s="3032" t="s">
        <v>2533</v>
      </c>
      <c r="B30" s="3033"/>
      <c r="C30" s="3033"/>
      <c r="D30" s="3033"/>
      <c r="E30" s="3033"/>
      <c r="F30" s="3033"/>
      <c r="G30" s="3034"/>
      <c r="I30" s="3050">
        <v>50</v>
      </c>
      <c r="J30" s="3050">
        <v>100</v>
      </c>
      <c r="K30" s="3050">
        <f t="shared" si="2"/>
        <v>1.5999999999999943</v>
      </c>
    </row>
    <row r="31" spans="1:13">
      <c r="A31" s="3032" t="s">
        <v>2534</v>
      </c>
      <c r="B31" s="3033"/>
      <c r="C31" s="3033"/>
      <c r="D31" s="3033"/>
      <c r="E31" s="3033"/>
      <c r="F31" s="3033"/>
      <c r="G31" s="3034"/>
      <c r="I31" s="3050" t="s">
        <v>2565</v>
      </c>
    </row>
    <row r="32" spans="1:13">
      <c r="A32" s="3032" t="s">
        <v>2535</v>
      </c>
      <c r="B32" s="3033"/>
      <c r="C32" s="3033"/>
      <c r="D32" s="3033"/>
      <c r="E32" s="3033"/>
      <c r="F32" s="3033"/>
      <c r="G32" s="3034"/>
    </row>
    <row r="33" spans="1:13">
      <c r="A33" s="3032" t="s">
        <v>2536</v>
      </c>
      <c r="B33" s="3033"/>
      <c r="C33" s="3033"/>
      <c r="D33" s="3033"/>
      <c r="E33" s="3033"/>
      <c r="F33" s="3033"/>
      <c r="G33" s="3034"/>
      <c r="I33" s="3050" t="s">
        <v>2564</v>
      </c>
      <c r="J33" s="3050" t="s">
        <v>2574</v>
      </c>
    </row>
    <row r="34" spans="1:13">
      <c r="A34" s="3032" t="s">
        <v>2537</v>
      </c>
      <c r="B34" s="3033"/>
      <c r="C34" s="3033"/>
      <c r="D34" s="3033"/>
      <c r="E34" s="3033"/>
      <c r="F34" s="3033"/>
      <c r="G34" s="3034"/>
      <c r="I34" s="3050">
        <v>5</v>
      </c>
      <c r="J34" s="3050">
        <v>55.1</v>
      </c>
    </row>
    <row r="35" spans="1:13">
      <c r="A35" s="3032" t="s">
        <v>2538</v>
      </c>
      <c r="B35" s="3033"/>
      <c r="C35" s="3033"/>
      <c r="D35" s="3033"/>
      <c r="E35" s="3033"/>
      <c r="F35" s="3033"/>
      <c r="G35" s="3034"/>
      <c r="I35" s="3050">
        <v>10</v>
      </c>
      <c r="J35" s="3050">
        <v>67</v>
      </c>
      <c r="K35" s="3050">
        <f>J35-J34</f>
        <v>11.899999999999999</v>
      </c>
    </row>
    <row r="36" spans="1:13">
      <c r="A36" s="3032" t="s">
        <v>2539</v>
      </c>
      <c r="B36" s="3033"/>
      <c r="C36" s="3033"/>
      <c r="D36" s="3033"/>
      <c r="E36" s="3033"/>
      <c r="F36" s="3033"/>
      <c r="G36" s="3034"/>
      <c r="I36" s="3050">
        <v>15</v>
      </c>
      <c r="J36" s="3050">
        <v>76.3</v>
      </c>
      <c r="K36" s="3050">
        <f t="shared" ref="K36:K41" si="3">J36-J35</f>
        <v>9.2999999999999972</v>
      </c>
      <c r="L36" s="3050" t="s">
        <v>2567</v>
      </c>
      <c r="M36" s="3050" t="s">
        <v>2568</v>
      </c>
    </row>
    <row r="37" spans="1:13">
      <c r="A37" s="3032" t="s">
        <v>2540</v>
      </c>
      <c r="B37" s="3033"/>
      <c r="C37" s="3033"/>
      <c r="D37" s="3033"/>
      <c r="E37" s="3033"/>
      <c r="F37" s="3033"/>
      <c r="G37" s="3034"/>
      <c r="I37" s="3050">
        <v>20</v>
      </c>
      <c r="J37" s="3050">
        <v>83.6</v>
      </c>
      <c r="K37" s="3050">
        <f t="shared" si="3"/>
        <v>7.2999999999999972</v>
      </c>
      <c r="L37" s="3050" t="s">
        <v>2566</v>
      </c>
      <c r="M37" s="3050">
        <v>10</v>
      </c>
    </row>
    <row r="38" spans="1:13">
      <c r="A38" s="3032" t="s">
        <v>2541</v>
      </c>
      <c r="B38" s="3033"/>
      <c r="C38" s="3033"/>
      <c r="D38" s="3033"/>
      <c r="E38" s="3033"/>
      <c r="F38" s="3033"/>
      <c r="G38" s="3034"/>
      <c r="I38" s="3050">
        <v>25</v>
      </c>
      <c r="J38" s="3050">
        <v>89.3</v>
      </c>
      <c r="K38" s="3050">
        <f t="shared" si="3"/>
        <v>5.7000000000000028</v>
      </c>
      <c r="L38" s="3050" t="s">
        <v>2570</v>
      </c>
      <c r="M38" s="3050">
        <v>8</v>
      </c>
    </row>
    <row r="39" spans="1:13">
      <c r="A39" s="3032"/>
      <c r="B39" s="3033"/>
      <c r="C39" s="3033"/>
      <c r="D39" s="3033"/>
      <c r="E39" s="3033"/>
      <c r="F39" s="3033"/>
      <c r="G39" s="3034"/>
      <c r="I39" s="3050">
        <v>30</v>
      </c>
      <c r="J39" s="3050">
        <v>93.8</v>
      </c>
      <c r="K39" s="3050">
        <f t="shared" si="3"/>
        <v>4.5</v>
      </c>
      <c r="L39" s="3050" t="s">
        <v>2571</v>
      </c>
      <c r="M39" s="3050">
        <v>6</v>
      </c>
    </row>
    <row r="40" spans="1:13">
      <c r="A40" s="3035" t="s">
        <v>2542</v>
      </c>
      <c r="B40" s="3036"/>
      <c r="C40" s="3036"/>
      <c r="D40" s="3036"/>
      <c r="E40" s="3036"/>
      <c r="F40" s="3036"/>
      <c r="G40" s="3037"/>
      <c r="I40" s="3050">
        <v>35</v>
      </c>
      <c r="J40" s="3050">
        <v>97.2</v>
      </c>
      <c r="K40" s="3050">
        <f t="shared" si="3"/>
        <v>3.4000000000000057</v>
      </c>
      <c r="L40" s="3050" t="s">
        <v>2572</v>
      </c>
      <c r="M40" s="3050">
        <v>3</v>
      </c>
    </row>
    <row r="41" spans="1:13">
      <c r="A41" s="3038" t="s">
        <v>2543</v>
      </c>
      <c r="B41" s="3039" t="s">
        <v>2544</v>
      </c>
      <c r="C41" s="3040" t="s">
        <v>2545</v>
      </c>
      <c r="D41" s="3040" t="s">
        <v>2546</v>
      </c>
      <c r="E41" s="3041"/>
      <c r="F41" s="3042"/>
      <c r="G41" s="3043"/>
      <c r="I41" s="3050">
        <v>40</v>
      </c>
      <c r="J41" s="3050">
        <v>100</v>
      </c>
      <c r="K41" s="3050">
        <f t="shared" si="3"/>
        <v>2.7999999999999972</v>
      </c>
    </row>
    <row r="42" spans="1:13">
      <c r="A42" s="3038" t="s">
        <v>2547</v>
      </c>
      <c r="B42" s="3039" t="s">
        <v>2548</v>
      </c>
      <c r="C42" s="3040" t="s">
        <v>2549</v>
      </c>
      <c r="D42" s="3044" t="s">
        <v>2550</v>
      </c>
      <c r="E42" s="3036" t="s">
        <v>2551</v>
      </c>
      <c r="F42" s="3036"/>
      <c r="G42" s="3037"/>
    </row>
    <row r="43" spans="1:13">
      <c r="A43" s="3038" t="s">
        <v>2552</v>
      </c>
      <c r="B43" s="3039" t="s">
        <v>2553</v>
      </c>
      <c r="C43" s="3040" t="s">
        <v>2554</v>
      </c>
      <c r="D43" s="3040" t="s">
        <v>2555</v>
      </c>
      <c r="E43" s="3041" t="s">
        <v>2556</v>
      </c>
      <c r="F43" s="3042"/>
      <c r="G43" s="3043"/>
      <c r="I43" s="3050" t="s">
        <v>2564</v>
      </c>
      <c r="J43" s="3050" t="s">
        <v>2575</v>
      </c>
    </row>
    <row r="44" spans="1:13">
      <c r="A44" s="3038" t="s">
        <v>2557</v>
      </c>
      <c r="B44" s="3039" t="s">
        <v>2558</v>
      </c>
      <c r="C44" s="3040" t="s">
        <v>2559</v>
      </c>
      <c r="D44" s="3044">
        <v>0.5</v>
      </c>
      <c r="E44" s="3041" t="s">
        <v>2560</v>
      </c>
      <c r="F44" s="3042"/>
      <c r="G44" s="3043"/>
      <c r="I44" s="3050">
        <v>30</v>
      </c>
      <c r="J44" s="3050">
        <v>81.7</v>
      </c>
    </row>
    <row r="45" spans="1:13" ht="15" thickBot="1">
      <c r="A45" s="3045" t="s">
        <v>2561</v>
      </c>
      <c r="B45" s="3046" t="s">
        <v>2548</v>
      </c>
      <c r="C45" s="3047" t="s">
        <v>2548</v>
      </c>
      <c r="D45" s="3047" t="s">
        <v>2562</v>
      </c>
      <c r="E45" s="3048" t="s">
        <v>2563</v>
      </c>
      <c r="F45" s="3048"/>
      <c r="G45" s="3049"/>
      <c r="I45" s="3050">
        <v>40</v>
      </c>
      <c r="J45" s="3050">
        <v>89.2</v>
      </c>
      <c r="K45" s="3050">
        <f>J45-J44</f>
        <v>7.5</v>
      </c>
    </row>
    <row r="46" spans="1:13">
      <c r="I46" s="3050">
        <v>50</v>
      </c>
      <c r="J46" s="3050">
        <v>94.3</v>
      </c>
      <c r="K46" s="3050">
        <f t="shared" ref="K46:K47" si="4">J46-J45</f>
        <v>5.0999999999999943</v>
      </c>
    </row>
    <row r="47" spans="1:13">
      <c r="I47" s="3050">
        <v>60</v>
      </c>
      <c r="J47" s="3050">
        <v>97.7</v>
      </c>
      <c r="K47" s="3050">
        <f t="shared" si="4"/>
        <v>3.4000000000000057</v>
      </c>
    </row>
  </sheetData>
  <sheetProtection password="CEE9" sheet="1" objects="1" scenarios="1"/>
  <mergeCells count="1">
    <mergeCell ref="I2:R2"/>
  </mergeCells>
  <phoneticPr fontId="13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SheetLayoutView="100" workbookViewId="0">
      <selection activeCell="C10" sqref="C10"/>
    </sheetView>
  </sheetViews>
  <sheetFormatPr defaultColWidth="10" defaultRowHeight="12.75"/>
  <cols>
    <col min="1" max="1" width="16.875" style="1741" customWidth="1"/>
    <col min="2" max="2" width="10" style="1741" customWidth="1"/>
    <col min="3" max="3" width="11.5" style="1741" customWidth="1"/>
    <col min="4" max="4" width="10" style="1741" customWidth="1"/>
    <col min="5" max="5" width="12.625" style="1741" customWidth="1"/>
    <col min="6" max="6" width="10" style="1741" customWidth="1"/>
    <col min="7" max="7" width="10.875" style="1741" customWidth="1"/>
    <col min="8" max="8" width="10" style="1741" customWidth="1"/>
    <col min="9" max="9" width="11.125" style="1575" customWidth="1"/>
    <col min="10" max="10" width="10" style="1739" customWidth="1"/>
    <col min="11" max="11" width="10" style="2620" customWidth="1"/>
    <col min="12" max="13" width="10" style="2621" customWidth="1"/>
    <col min="14" max="14" width="10" style="1739" customWidth="1"/>
    <col min="15" max="15" width="10" style="9" customWidth="1"/>
    <col min="16" max="17" width="10" style="1739"/>
    <col min="18" max="18" width="10" style="1739" customWidth="1"/>
    <col min="19" max="30" width="10" style="1739"/>
    <col min="31" max="16384" width="10" style="1741"/>
  </cols>
  <sheetData>
    <row r="1" spans="1:30" ht="13.5" thickBot="1">
      <c r="A1" s="2359" t="s">
        <v>2168</v>
      </c>
      <c r="B1" s="3566" t="str">
        <f>IF(B10="北京市","北京市",C10)&amp;F10&amp;IF(结果表!G1="在建","出让国有建设用地使用权及在建建筑物",IF(结果表!G1="土地","出让国有建设用地使用权",))&amp;B9&amp;"预评估"</f>
        <v>北京市房地产市场价值预评估</v>
      </c>
      <c r="C1" s="3567"/>
      <c r="D1" s="3567"/>
      <c r="E1" s="3567"/>
      <c r="F1" s="3567"/>
      <c r="G1" s="3567"/>
      <c r="H1" s="3567"/>
      <c r="I1" s="3568"/>
      <c r="J1" s="2463"/>
      <c r="K1" s="2361"/>
      <c r="L1" s="2362"/>
      <c r="M1" s="2362"/>
      <c r="N1" s="2363"/>
      <c r="O1" s="1572"/>
      <c r="P1" s="2363"/>
      <c r="Q1" s="2363"/>
      <c r="R1" s="2363"/>
      <c r="S1" s="1678" t="str">
        <f>IF(B10="北京市","北京市",C10)&amp;F10&amp;IF(结果表!G1="在建","出让国有建设用地使用权及在建建筑物房地产抵押价值",IF(结果表!G1="土地","出让国有建设用地使用权抵押价值",B9))</f>
        <v>北京市房地产市场价值</v>
      </c>
      <c r="T1" s="1741"/>
      <c r="U1" s="1741"/>
      <c r="V1" s="1741"/>
      <c r="W1" s="1741"/>
      <c r="X1" s="1741"/>
      <c r="Y1" s="1741"/>
      <c r="Z1" s="1741"/>
      <c r="AA1" s="1741"/>
      <c r="AB1" s="1741"/>
    </row>
    <row r="2" spans="1:30">
      <c r="A2" s="2360" t="s">
        <v>2169</v>
      </c>
      <c r="B2" s="2364"/>
      <c r="C2" s="2365"/>
      <c r="D2" s="2662"/>
      <c r="E2" s="2654"/>
      <c r="F2" s="2654"/>
      <c r="G2" s="2655"/>
      <c r="H2" s="2655"/>
      <c r="I2" s="2655"/>
      <c r="J2" s="2463"/>
      <c r="K2" s="2361"/>
      <c r="L2" s="2362"/>
      <c r="M2" s="2362"/>
      <c r="N2" s="2363"/>
      <c r="O2" s="1572"/>
      <c r="P2" s="2363"/>
      <c r="Q2" s="2363"/>
      <c r="R2" s="2363"/>
      <c r="S2" s="1678" t="str">
        <f>IF(B10="北京市","北京市",C10)&amp;F10&amp;IF(结果表!G1="在建","出让国有建设用地使用权及在建建筑物房地产",IF(结果表!G1="土地","出让国有建设用地使用权","房地产"))</f>
        <v>北京市房地产</v>
      </c>
      <c r="T2" s="1741"/>
      <c r="U2" s="1741"/>
      <c r="V2" s="1741"/>
      <c r="W2" s="1741"/>
      <c r="X2" s="1741"/>
      <c r="Y2" s="1741"/>
      <c r="Z2" s="1741"/>
      <c r="AA2" s="1741"/>
      <c r="AB2" s="1741"/>
    </row>
    <row r="3" spans="1:30">
      <c r="A3" s="299" t="s">
        <v>2170</v>
      </c>
      <c r="B3" s="2366">
        <v>45114</v>
      </c>
      <c r="C3" s="2367" t="s">
        <v>2171</v>
      </c>
      <c r="D3" s="2366">
        <f>B3</f>
        <v>45114</v>
      </c>
      <c r="E3" s="2655"/>
      <c r="F3" s="2655"/>
      <c r="G3" s="2655"/>
      <c r="H3" s="2655"/>
      <c r="I3" s="2655"/>
      <c r="J3" s="2463"/>
      <c r="K3" s="2361"/>
      <c r="L3" s="2362"/>
      <c r="M3" s="2362"/>
      <c r="N3" s="2363"/>
      <c r="O3" s="1572"/>
      <c r="P3" s="2363"/>
      <c r="Q3" s="2363"/>
      <c r="R3" s="2363"/>
      <c r="S3" s="1678"/>
      <c r="T3" s="1741"/>
      <c r="U3" s="1741"/>
      <c r="V3" s="1741"/>
      <c r="W3" s="1741"/>
      <c r="X3" s="1741"/>
      <c r="Y3" s="1741"/>
      <c r="Z3" s="1741"/>
      <c r="AA3" s="1741"/>
      <c r="AB3" s="1741"/>
    </row>
    <row r="4" spans="1:30" ht="13.5" thickBot="1">
      <c r="A4" s="1086" t="s">
        <v>2172</v>
      </c>
      <c r="B4" s="2368"/>
      <c r="C4" s="2369">
        <f>SUMIF(注册房地产估价师,B4,估价师及机构信息!B3:B24)</f>
        <v>0</v>
      </c>
      <c r="D4" s="2368"/>
      <c r="E4" s="2370">
        <f>SUMIF(注册房地产估价师,D4,估价师及机构信息!B3:B24)</f>
        <v>0</v>
      </c>
      <c r="F4" s="2368"/>
      <c r="G4" s="2370">
        <f>SUMIF(注册房地产估价师,F4,估价师及机构信息!B3:B24)</f>
        <v>0</v>
      </c>
      <c r="H4" s="2368"/>
      <c r="I4" s="2370">
        <f>SUMIF(注册房地产估价师,H4,估价师及机构信息!B3:B24)</f>
        <v>0</v>
      </c>
      <c r="J4" s="2432"/>
      <c r="K4" s="2371" t="str">
        <f>CONCATENATE(B4,"（注册号：",C4,")、",D4,"（注册号：",E4,")")</f>
        <v>（注册号：0)、（注册号：0)</v>
      </c>
      <c r="L4" s="2362"/>
      <c r="M4" s="2362"/>
      <c r="N4" s="2363"/>
      <c r="O4" s="1572"/>
      <c r="P4" s="2363"/>
      <c r="Q4" s="2363"/>
      <c r="R4" s="2363"/>
      <c r="S4" s="1678"/>
      <c r="T4" s="1741"/>
      <c r="U4" s="1741"/>
      <c r="V4" s="1741"/>
      <c r="W4" s="1741"/>
      <c r="X4" s="1741"/>
      <c r="Y4" s="1741"/>
      <c r="Z4" s="1741"/>
      <c r="AA4" s="1741"/>
      <c r="AB4" s="1741"/>
    </row>
    <row r="5" spans="1:30" ht="13.5" thickTop="1">
      <c r="A5" s="2372" t="s">
        <v>2173</v>
      </c>
      <c r="B5" s="2373"/>
      <c r="C5" s="2374"/>
      <c r="D5" s="2375"/>
      <c r="E5" s="2656"/>
      <c r="F5" s="2656"/>
      <c r="G5" s="2656"/>
      <c r="H5" s="2656"/>
      <c r="I5" s="2656"/>
      <c r="J5" s="2432"/>
      <c r="K5" s="2371" t="str">
        <f>IF(F4="——","",IF(H4="——",F4&amp;"（注册号："&amp;G4&amp;")",CONCATENATE(F4,"（注册号：",G4,")、",H4,"（注册号：",I4,")")))</f>
        <v>（注册号：0)、（注册号：0)</v>
      </c>
      <c r="L5" s="2362"/>
      <c r="M5" s="2362"/>
      <c r="N5" s="2363"/>
      <c r="O5" s="1572"/>
      <c r="P5" s="2363"/>
      <c r="Q5" s="2363"/>
      <c r="R5" s="2363"/>
      <c r="S5" s="1741"/>
      <c r="T5" s="1741"/>
      <c r="U5" s="1741"/>
      <c r="V5" s="1741"/>
      <c r="W5" s="1741"/>
      <c r="X5" s="1741"/>
      <c r="Y5" s="1741"/>
      <c r="Z5" s="1741"/>
      <c r="AA5" s="1741"/>
      <c r="AB5" s="1741"/>
    </row>
    <row r="6" spans="1:30">
      <c r="A6" s="2376" t="s">
        <v>2174</v>
      </c>
      <c r="B6" s="2377"/>
      <c r="C6" s="2378"/>
      <c r="D6" s="2379"/>
      <c r="E6" s="2654"/>
      <c r="F6" s="2656"/>
      <c r="G6" s="2656"/>
      <c r="H6" s="2656"/>
      <c r="I6" s="2656"/>
      <c r="J6" s="2432"/>
      <c r="K6" s="2607" t="str">
        <f>IF(COUNTIF(B6,"*上海银行*"),"上海银行","")</f>
        <v/>
      </c>
      <c r="L6" s="2605"/>
      <c r="M6" s="2605"/>
      <c r="N6" s="2432"/>
      <c r="O6" s="2443"/>
      <c r="P6" s="2432"/>
      <c r="Q6" s="2432"/>
      <c r="R6" s="2432"/>
    </row>
    <row r="7" spans="1:30">
      <c r="A7" s="2376" t="s">
        <v>2175</v>
      </c>
      <c r="B7" s="2380"/>
      <c r="C7" s="2378"/>
      <c r="D7" s="2379"/>
      <c r="E7" s="2654"/>
      <c r="F7" s="2656"/>
      <c r="G7" s="2656"/>
      <c r="H7" s="2656"/>
      <c r="I7" s="2656"/>
      <c r="J7" s="2432"/>
      <c r="K7" s="2608"/>
      <c r="L7" s="2605"/>
      <c r="M7" s="2605"/>
      <c r="N7" s="2432"/>
      <c r="O7" s="2443"/>
      <c r="P7" s="2432"/>
      <c r="Q7" s="2432"/>
      <c r="R7" s="2432"/>
    </row>
    <row r="8" spans="1:30">
      <c r="A8" s="2381" t="s">
        <v>2176</v>
      </c>
      <c r="B8" s="2382" t="s">
        <v>3376</v>
      </c>
      <c r="C8" s="2383"/>
      <c r="D8" s="3569" t="s">
        <v>2177</v>
      </c>
      <c r="E8" s="2384"/>
      <c r="F8" s="2385"/>
      <c r="G8" s="2655"/>
      <c r="H8" s="2655"/>
      <c r="I8" s="2655"/>
      <c r="J8" s="2432"/>
      <c r="K8" s="2606"/>
      <c r="L8" s="2605"/>
      <c r="M8" s="2605"/>
      <c r="N8" s="2432"/>
      <c r="O8" s="2443"/>
      <c r="P8" s="2432"/>
      <c r="Q8" s="2432"/>
      <c r="R8" s="2432"/>
    </row>
    <row r="9" spans="1:30" ht="13.5" thickBot="1">
      <c r="A9" s="2386" t="s">
        <v>2178</v>
      </c>
      <c r="B9" s="2387" t="s">
        <v>3377</v>
      </c>
      <c r="C9" s="2388"/>
      <c r="D9" s="3570"/>
      <c r="E9" s="2387"/>
      <c r="F9" s="2389"/>
      <c r="G9" s="2657"/>
      <c r="H9" s="2657"/>
      <c r="I9" s="2657"/>
      <c r="J9" s="2432"/>
      <c r="K9" s="2608"/>
      <c r="L9" s="2605"/>
      <c r="M9" s="2605"/>
      <c r="N9" s="2432"/>
      <c r="O9" s="2443"/>
      <c r="P9" s="2432"/>
      <c r="Q9" s="2432"/>
      <c r="R9" s="2432"/>
    </row>
    <row r="10" spans="1:30" ht="13.5" thickTop="1">
      <c r="A10" s="2390" t="s">
        <v>2179</v>
      </c>
      <c r="B10" s="2391" t="s">
        <v>3378</v>
      </c>
      <c r="C10" s="2392"/>
      <c r="D10" s="2375"/>
      <c r="E10" s="2393" t="s">
        <v>2180</v>
      </c>
      <c r="F10" s="2658"/>
      <c r="G10" s="2659"/>
      <c r="H10" s="2660"/>
      <c r="I10" s="2661"/>
      <c r="J10" s="2432"/>
      <c r="K10" s="2608"/>
      <c r="L10" s="2605"/>
      <c r="M10" s="2605"/>
      <c r="N10" s="2432"/>
      <c r="O10" s="2443"/>
      <c r="P10" s="2432"/>
      <c r="Q10" s="2432"/>
      <c r="R10" s="2432"/>
    </row>
    <row r="11" spans="1:30">
      <c r="A11" s="2394" t="s">
        <v>2181</v>
      </c>
      <c r="B11" s="2395" t="s">
        <v>3379</v>
      </c>
      <c r="C11" s="2396"/>
      <c r="D11" s="2397"/>
      <c r="E11" s="2363"/>
      <c r="F11" s="2363"/>
      <c r="G11" s="2363"/>
      <c r="H11" s="2363"/>
      <c r="I11" s="2363"/>
      <c r="J11" s="3053"/>
      <c r="K11" s="3052"/>
      <c r="L11" s="2605"/>
      <c r="M11" s="2605"/>
      <c r="N11" s="2432"/>
      <c r="O11" s="2443"/>
      <c r="P11" s="2432"/>
      <c r="Q11" s="2432"/>
      <c r="R11" s="2432"/>
    </row>
    <row r="12" spans="1:30">
      <c r="A12" s="2398" t="s">
        <v>2182</v>
      </c>
      <c r="B12" s="320" t="s">
        <v>2183</v>
      </c>
      <c r="C12" s="2399" t="s">
        <v>2184</v>
      </c>
      <c r="D12" s="2399" t="s">
        <v>2185</v>
      </c>
      <c r="E12" s="2399" t="s">
        <v>2186</v>
      </c>
      <c r="F12" s="2399" t="s">
        <v>2187</v>
      </c>
      <c r="G12" s="2399" t="s">
        <v>2188</v>
      </c>
      <c r="H12" s="2399" t="s">
        <v>2189</v>
      </c>
      <c r="I12" s="3051" t="s">
        <v>2576</v>
      </c>
      <c r="J12" s="3054"/>
      <c r="K12" s="2605"/>
      <c r="L12" s="2605"/>
      <c r="M12" s="2432"/>
      <c r="N12" s="2443"/>
      <c r="O12" s="2432"/>
      <c r="P12" s="2432"/>
      <c r="Q12" s="2432"/>
      <c r="AD12" s="1741"/>
    </row>
    <row r="13" spans="1:30">
      <c r="A13" s="3415" t="s">
        <v>3336</v>
      </c>
      <c r="B13" s="2400" t="s">
        <v>2190</v>
      </c>
      <c r="C13" s="852">
        <v>70675</v>
      </c>
      <c r="D13" s="852"/>
      <c r="E13" s="852"/>
      <c r="F13" s="852"/>
      <c r="G13" s="852"/>
      <c r="H13" s="852"/>
      <c r="I13" s="852"/>
      <c r="J13" s="3054"/>
      <c r="K13" s="2605"/>
      <c r="L13" s="2605"/>
      <c r="M13" s="2432"/>
      <c r="N13" s="2443"/>
      <c r="O13" s="2432"/>
      <c r="P13" s="2432"/>
      <c r="Q13" s="2432"/>
      <c r="AD13" s="1741"/>
    </row>
    <row r="14" spans="1:30">
      <c r="A14" s="1077"/>
      <c r="B14" s="2400" t="s">
        <v>2191</v>
      </c>
      <c r="C14" s="2401">
        <v>70</v>
      </c>
      <c r="D14" s="2401"/>
      <c r="E14" s="2401"/>
      <c r="F14" s="2401"/>
      <c r="G14" s="2401"/>
      <c r="H14" s="2401"/>
      <c r="I14" s="2401"/>
      <c r="J14" s="3055"/>
      <c r="K14" s="2605"/>
      <c r="L14" s="2605"/>
      <c r="M14" s="2432"/>
      <c r="N14" s="2443"/>
      <c r="O14" s="2432"/>
      <c r="P14" s="2432"/>
      <c r="Q14" s="2432"/>
      <c r="AD14" s="1741"/>
    </row>
    <row r="15" spans="1:30">
      <c r="A15" s="317"/>
      <c r="B15" s="2402" t="s">
        <v>2192</v>
      </c>
      <c r="C15" s="2403">
        <f>IF(A13="出让",IF(C13="","",ROUNDDOWN(MIN((C13-$D$3)/365,C14),2)),C14)</f>
        <v>70</v>
      </c>
      <c r="D15" s="2403" t="str">
        <f>IF(A13="出让",IF(D13="","",ROUNDDOWN(MIN((D13-$D$3)/365,D14),2)),D14)</f>
        <v/>
      </c>
      <c r="E15" s="2403" t="str">
        <f>IF(A13="出让",IF(E13="","",ROUNDDOWN(MIN((E13-$D$3)/365,E14),2)),E14)</f>
        <v/>
      </c>
      <c r="F15" s="2403" t="str">
        <f>IF(A13="出让",IF(F13="","",ROUNDDOWN(MIN((F13-$D$3)/365,F14),2)),F14)</f>
        <v/>
      </c>
      <c r="G15" s="2403" t="str">
        <f>IF(A13="出让",IF(G13="","",ROUNDDOWN(MIN((G13-$D$3)/365,G14),2)),G14)</f>
        <v/>
      </c>
      <c r="H15" s="2403" t="str">
        <f>IF(A13="出让",IF(H13="","",ROUNDDOWN(MIN((H13-$D$3)/365,H14),2)),H14)</f>
        <v/>
      </c>
      <c r="I15" s="2403" t="str">
        <f>IF(A13="出让",IF(I13="","",ROUNDDOWN(MIN((I13-$D$3)/365,I14),2)),I14)</f>
        <v/>
      </c>
      <c r="J15" s="3056"/>
      <c r="K15" s="2444"/>
      <c r="L15" s="2444"/>
      <c r="M15" s="2501"/>
      <c r="N15" s="2444"/>
      <c r="O15" s="2501"/>
      <c r="P15" s="2432"/>
      <c r="Q15" s="2432"/>
      <c r="AD15" s="1741"/>
    </row>
    <row r="16" spans="1:30">
      <c r="A16" s="2393" t="s">
        <v>2193</v>
      </c>
      <c r="B16" s="3576"/>
      <c r="C16" s="3577"/>
      <c r="D16" s="3578"/>
      <c r="E16" s="2406" t="s">
        <v>2194</v>
      </c>
      <c r="F16" s="3579"/>
      <c r="G16" s="3580"/>
      <c r="H16" s="3580"/>
      <c r="I16" s="3581"/>
      <c r="J16" s="2432"/>
      <c r="K16" s="2609"/>
      <c r="L16" s="2444"/>
      <c r="M16" s="2444"/>
      <c r="N16" s="2501"/>
      <c r="O16" s="2444"/>
      <c r="P16" s="2501"/>
      <c r="Q16" s="2432"/>
      <c r="R16" s="2432"/>
    </row>
    <row r="17" spans="1:28">
      <c r="A17" s="310" t="s">
        <v>2195</v>
      </c>
      <c r="B17" s="299" t="s">
        <v>2196</v>
      </c>
      <c r="C17" s="8">
        <f>'数据-汇总表'!E3</f>
        <v>1</v>
      </c>
      <c r="D17" s="2315" t="s">
        <v>2197</v>
      </c>
      <c r="E17" s="3582" t="s">
        <v>2198</v>
      </c>
      <c r="F17" s="3583"/>
      <c r="G17" s="3583"/>
      <c r="H17" s="3583"/>
      <c r="I17" s="3584"/>
      <c r="J17" s="2432"/>
      <c r="K17" s="2610"/>
      <c r="L17" s="2444"/>
      <c r="M17" s="2444"/>
      <c r="N17" s="2501"/>
      <c r="O17" s="2444"/>
      <c r="P17" s="2501"/>
      <c r="Q17" s="2432"/>
      <c r="R17" s="2432"/>
      <c r="S17" s="2432"/>
      <c r="T17" s="2432"/>
      <c r="U17" s="2432"/>
      <c r="V17" s="2432"/>
    </row>
    <row r="18" spans="1:28" ht="24.75" thickBot="1">
      <c r="A18" s="2407" t="s">
        <v>2199</v>
      </c>
      <c r="B18" s="1086" t="s">
        <v>2200</v>
      </c>
      <c r="C18" s="2408">
        <f>'数据-汇总表'!D3</f>
        <v>0.45</v>
      </c>
      <c r="D18" s="1088" t="s">
        <v>2201</v>
      </c>
      <c r="E18" s="3585" t="s">
        <v>2202</v>
      </c>
      <c r="F18" s="3586"/>
      <c r="G18" s="3586"/>
      <c r="H18" s="3586"/>
      <c r="I18" s="3587"/>
      <c r="J18" s="2432"/>
      <c r="K18" s="2610"/>
      <c r="L18" s="2444"/>
      <c r="M18" s="2444"/>
      <c r="N18" s="2501"/>
      <c r="O18" s="2444"/>
      <c r="P18" s="2501"/>
      <c r="Q18" s="2432"/>
      <c r="R18" s="2432"/>
      <c r="S18" s="2432"/>
      <c r="T18" s="2432"/>
      <c r="U18" s="2432"/>
      <c r="V18" s="2432"/>
    </row>
    <row r="19" spans="1:28" ht="37.5" thickTop="1" thickBot="1">
      <c r="A19" s="324" t="s">
        <v>1055</v>
      </c>
      <c r="B19" s="304" t="s">
        <v>2203</v>
      </c>
      <c r="C19" s="1559"/>
      <c r="D19" s="1560" t="s">
        <v>2204</v>
      </c>
      <c r="E19" s="1561"/>
      <c r="F19" s="1562" t="str">
        <f>IF(AND(C19="是",E19="否"),"是否提供他项权证或相关说明","")</f>
        <v/>
      </c>
      <c r="G19" s="1563"/>
      <c r="H19" s="2656"/>
      <c r="I19" s="2656"/>
      <c r="J19" s="2432"/>
      <c r="K19" s="2608"/>
      <c r="L19" s="2605"/>
      <c r="M19" s="2605"/>
      <c r="N19" s="2501"/>
      <c r="O19" s="2444"/>
      <c r="P19" s="2501"/>
      <c r="Q19" s="2432"/>
      <c r="R19" s="2432"/>
      <c r="S19" s="2432"/>
      <c r="T19" s="2432"/>
      <c r="U19" s="2432"/>
      <c r="V19" s="2432"/>
    </row>
    <row r="20" spans="1:28">
      <c r="A20" s="2624" t="s">
        <v>2205</v>
      </c>
      <c r="B20" s="3572" t="s">
        <v>2206</v>
      </c>
      <c r="C20" s="3573"/>
      <c r="D20" s="3574" t="s">
        <v>2207</v>
      </c>
      <c r="E20" s="3575"/>
      <c r="F20" s="2639" t="s">
        <v>1056</v>
      </c>
      <c r="G20" s="2656"/>
      <c r="H20" s="2656"/>
      <c r="I20" s="2656"/>
      <c r="J20" s="2432"/>
      <c r="K20" s="3571" t="s">
        <v>2208</v>
      </c>
      <c r="L20" s="680"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362"/>
      <c r="N20" s="2405"/>
      <c r="O20" s="2404"/>
      <c r="P20" s="2405"/>
      <c r="Q20" s="2363"/>
      <c r="R20" s="2363"/>
      <c r="S20" s="2363"/>
      <c r="T20" s="2363"/>
      <c r="U20" s="2363"/>
      <c r="V20" s="2363"/>
      <c r="W20" s="1741"/>
      <c r="X20" s="1741"/>
      <c r="Y20" s="1741"/>
      <c r="Z20" s="1741"/>
      <c r="AA20" s="1741"/>
      <c r="AB20" s="1741"/>
    </row>
    <row r="21" spans="1:28" ht="24.75" thickBot="1">
      <c r="A21" s="2624"/>
      <c r="B21" s="2625" t="s">
        <v>2209</v>
      </c>
      <c r="C21" s="2626" t="s">
        <v>1057</v>
      </c>
      <c r="D21" s="1564" t="s">
        <v>2210</v>
      </c>
      <c r="E21" s="2627" t="s">
        <v>1057</v>
      </c>
      <c r="F21" s="2640"/>
      <c r="G21" s="2656"/>
      <c r="H21" s="2656"/>
      <c r="I21" s="2656"/>
      <c r="J21" s="2432"/>
      <c r="K21" s="3571"/>
      <c r="L21" s="680"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362"/>
      <c r="N21" s="2405"/>
      <c r="O21" s="2404"/>
      <c r="P21" s="2405"/>
      <c r="Q21" s="2363"/>
      <c r="R21" s="2363"/>
      <c r="S21" s="2363"/>
      <c r="T21" s="2363"/>
      <c r="U21" s="2363"/>
      <c r="V21" s="2363"/>
      <c r="W21" s="1741"/>
      <c r="X21" s="1741"/>
      <c r="Y21" s="1741"/>
      <c r="Z21" s="1741"/>
      <c r="AA21" s="1741"/>
      <c r="AB21" s="1741"/>
    </row>
    <row r="22" spans="1:28" ht="24.75" thickBot="1">
      <c r="A22" s="2624"/>
      <c r="B22" s="2628" t="s">
        <v>2211</v>
      </c>
      <c r="C22" s="2626" t="s">
        <v>1058</v>
      </c>
      <c r="D22" s="2655"/>
      <c r="E22" s="2655"/>
      <c r="F22" s="2655"/>
      <c r="G22" s="2656"/>
      <c r="H22" s="2656"/>
      <c r="I22" s="2656"/>
      <c r="J22" s="2432"/>
      <c r="K22" s="3571"/>
      <c r="L22" s="680"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362"/>
      <c r="N22" s="2405"/>
      <c r="O22" s="2404"/>
      <c r="P22" s="2405"/>
      <c r="Q22" s="2363"/>
      <c r="R22" s="2363"/>
      <c r="S22" s="2363"/>
      <c r="T22" s="2363"/>
      <c r="U22" s="2363"/>
      <c r="V22" s="2363"/>
      <c r="W22" s="1741"/>
      <c r="X22" s="1741"/>
      <c r="Y22" s="1741"/>
      <c r="Z22" s="1741"/>
      <c r="AA22" s="1741"/>
      <c r="AB22" s="1741"/>
    </row>
    <row r="23" spans="1:28">
      <c r="A23" s="2629" t="s">
        <v>2212</v>
      </c>
      <c r="B23" s="2494" t="s">
        <v>2213</v>
      </c>
      <c r="C23" s="2630"/>
      <c r="D23" s="2631" t="s">
        <v>2213</v>
      </c>
      <c r="E23" s="2632"/>
      <c r="F23" s="2655"/>
      <c r="G23" s="2656"/>
      <c r="H23" s="2656"/>
      <c r="I23" s="2656"/>
      <c r="J23" s="2432"/>
      <c r="K23" s="2611"/>
      <c r="L23" s="2467"/>
      <c r="M23" s="2605"/>
      <c r="N23" s="2501"/>
      <c r="O23" s="2444"/>
      <c r="P23" s="2501"/>
      <c r="Q23" s="2432"/>
      <c r="R23" s="2432"/>
      <c r="S23" s="2432"/>
      <c r="T23" s="2432"/>
      <c r="U23" s="2432"/>
      <c r="V23" s="2432"/>
    </row>
    <row r="24" spans="1:28">
      <c r="A24" s="2629"/>
      <c r="B24" s="2494" t="s">
        <v>1059</v>
      </c>
      <c r="C24" s="2633"/>
      <c r="D24" s="2629" t="s">
        <v>1059</v>
      </c>
      <c r="E24" s="2634"/>
      <c r="F24" s="2655"/>
      <c r="G24" s="2656"/>
      <c r="H24" s="2656"/>
      <c r="I24" s="2656"/>
      <c r="J24" s="2432"/>
      <c r="K24" s="2611"/>
      <c r="L24" s="2467"/>
      <c r="M24" s="2605"/>
      <c r="N24" s="2501"/>
      <c r="O24" s="2444"/>
      <c r="P24" s="2501"/>
      <c r="Q24" s="2432"/>
      <c r="R24" s="2432"/>
      <c r="S24" s="2432"/>
      <c r="T24" s="2432"/>
      <c r="U24" s="2432"/>
      <c r="V24" s="2432"/>
    </row>
    <row r="25" spans="1:28">
      <c r="A25" s="2629"/>
      <c r="B25" s="2494" t="s">
        <v>1060</v>
      </c>
      <c r="C25" s="2633"/>
      <c r="D25" s="2629" t="s">
        <v>1060</v>
      </c>
      <c r="E25" s="2634"/>
      <c r="F25" s="2655"/>
      <c r="G25" s="2656"/>
      <c r="H25" s="2656"/>
      <c r="I25" s="2656"/>
      <c r="J25" s="2432"/>
      <c r="K25" s="2608"/>
      <c r="L25" s="2605"/>
      <c r="M25" s="2605"/>
      <c r="N25" s="2501"/>
      <c r="O25" s="2444"/>
      <c r="P25" s="2501"/>
      <c r="Q25" s="2432"/>
      <c r="R25" s="2432"/>
      <c r="S25" s="2432"/>
      <c r="T25" s="2432"/>
      <c r="U25" s="2432"/>
      <c r="V25" s="2432"/>
    </row>
    <row r="26" spans="1:28" ht="13.5" thickBot="1">
      <c r="A26" s="2635"/>
      <c r="B26" s="2636" t="s">
        <v>1061</v>
      </c>
      <c r="C26" s="2637"/>
      <c r="D26" s="2635" t="s">
        <v>1061</v>
      </c>
      <c r="E26" s="2638"/>
      <c r="F26" s="2657"/>
      <c r="G26" s="2657"/>
      <c r="H26" s="2657"/>
      <c r="I26" s="2657"/>
      <c r="J26" s="2432"/>
      <c r="K26" s="2608"/>
      <c r="L26" s="2605"/>
      <c r="M26" s="2605"/>
      <c r="N26" s="2501"/>
      <c r="O26" s="2444"/>
      <c r="P26" s="2501"/>
      <c r="Q26" s="2432"/>
      <c r="R26" s="2432"/>
      <c r="S26" s="2432"/>
      <c r="T26" s="2432"/>
      <c r="U26" s="2432"/>
      <c r="V26" s="2432"/>
    </row>
    <row r="27" spans="1:28" ht="13.5" thickTop="1">
      <c r="A27" s="3589" t="s">
        <v>2214</v>
      </c>
      <c r="B27" s="317" t="s">
        <v>2215</v>
      </c>
      <c r="C27" s="2409"/>
      <c r="D27" s="2410"/>
      <c r="E27" s="2656"/>
      <c r="F27" s="2656"/>
      <c r="G27" s="2656"/>
      <c r="H27" s="2656"/>
      <c r="I27" s="2656"/>
      <c r="J27" s="2432"/>
      <c r="K27" s="2609"/>
      <c r="L27" s="2444"/>
      <c r="M27" s="2444"/>
      <c r="N27" s="2501"/>
      <c r="O27" s="2444"/>
      <c r="P27" s="2501"/>
      <c r="Q27" s="2432"/>
      <c r="R27" s="2432"/>
      <c r="S27" s="2432"/>
      <c r="T27" s="2432"/>
      <c r="U27" s="2432"/>
      <c r="V27" s="2432"/>
    </row>
    <row r="28" spans="1:28">
      <c r="A28" s="3589"/>
      <c r="B28" s="299" t="s">
        <v>2216</v>
      </c>
      <c r="C28" s="2411"/>
      <c r="D28" s="2412"/>
      <c r="E28" s="2656"/>
      <c r="F28" s="2656"/>
      <c r="G28" s="2656"/>
      <c r="H28" s="2656"/>
      <c r="I28" s="2656"/>
      <c r="J28" s="2432"/>
      <c r="K28" s="2608"/>
      <c r="L28" s="2605"/>
      <c r="M28" s="2605"/>
      <c r="N28" s="2432"/>
      <c r="O28" s="2443"/>
      <c r="P28" s="2432"/>
      <c r="Q28" s="2432"/>
      <c r="R28" s="2432"/>
      <c r="S28" s="2432"/>
      <c r="T28" s="2432"/>
      <c r="U28" s="2432"/>
      <c r="V28" s="2432"/>
    </row>
    <row r="29" spans="1:28">
      <c r="A29" s="3589"/>
      <c r="B29" s="299" t="s">
        <v>2217</v>
      </c>
      <c r="C29" s="2413"/>
      <c r="D29" s="2414"/>
      <c r="E29" s="2656"/>
      <c r="F29" s="2656"/>
      <c r="G29" s="2656"/>
      <c r="H29" s="2656"/>
      <c r="I29" s="2656"/>
      <c r="J29" s="2432"/>
      <c r="K29" s="2608"/>
      <c r="L29" s="2605"/>
      <c r="M29" s="2605"/>
      <c r="N29" s="2432"/>
      <c r="O29" s="2443"/>
      <c r="P29" s="2432"/>
      <c r="Q29" s="2432"/>
      <c r="R29" s="2432"/>
      <c r="S29" s="2432"/>
      <c r="T29" s="2432"/>
      <c r="U29" s="2432"/>
      <c r="V29" s="2432"/>
    </row>
    <row r="30" spans="1:28">
      <c r="A30" s="3590"/>
      <c r="B30" s="299" t="s">
        <v>2218</v>
      </c>
      <c r="C30" s="3591"/>
      <c r="D30" s="3592"/>
      <c r="E30" s="2656"/>
      <c r="F30" s="2656"/>
      <c r="G30" s="2656"/>
      <c r="H30" s="2656"/>
      <c r="I30" s="2656"/>
      <c r="J30" s="2432"/>
      <c r="K30" s="2608"/>
      <c r="L30" s="2605"/>
      <c r="M30" s="2605"/>
      <c r="N30" s="2432"/>
      <c r="O30" s="2443"/>
      <c r="P30" s="2432"/>
      <c r="Q30" s="2432"/>
      <c r="R30" s="2432"/>
      <c r="S30" s="2432"/>
      <c r="T30" s="2432"/>
      <c r="U30" s="2432"/>
      <c r="V30" s="2432"/>
    </row>
    <row r="31" spans="1:28">
      <c r="A31" s="3593" t="s">
        <v>2219</v>
      </c>
      <c r="B31" s="2415"/>
      <c r="C31" s="2316" t="str">
        <f>IF(B31="现房","成新及维护状况正常否",IF(B31="在建","工程状态是否正常",IF(B31="土地","是否闲置","-")))</f>
        <v>-</v>
      </c>
      <c r="D31" s="1369"/>
      <c r="E31" s="2416"/>
      <c r="F31" s="2656"/>
      <c r="G31" s="2656"/>
      <c r="H31" s="2656"/>
      <c r="I31" s="2656"/>
      <c r="J31" s="2432"/>
      <c r="K31" s="2607"/>
      <c r="L31" s="2605"/>
      <c r="M31" s="2605"/>
      <c r="N31" s="2432"/>
      <c r="O31" s="2443"/>
      <c r="P31" s="2432"/>
      <c r="Q31" s="2432"/>
      <c r="R31" s="2432"/>
      <c r="S31" s="2432"/>
      <c r="T31" s="2432"/>
      <c r="U31" s="2432"/>
      <c r="V31" s="2432"/>
    </row>
    <row r="32" spans="1:28">
      <c r="A32" s="3594"/>
      <c r="B32" s="2415"/>
      <c r="C32" s="2316" t="str">
        <f>IF(B32="现房","成新及维护状况是否正常",IF(B32="在建","工程状态是否正常",IF(B32="土地","是否闲置","-")))</f>
        <v>-</v>
      </c>
      <c r="D32" s="1369"/>
      <c r="E32" s="2416"/>
      <c r="F32" s="2656"/>
      <c r="G32" s="2656"/>
      <c r="H32" s="2656"/>
      <c r="I32" s="2656"/>
      <c r="J32" s="2432"/>
      <c r="K32" s="2608"/>
      <c r="L32" s="2605"/>
      <c r="M32" s="2605"/>
      <c r="N32" s="2432"/>
      <c r="O32" s="2443"/>
      <c r="P32" s="2432"/>
      <c r="Q32" s="2432"/>
      <c r="R32" s="2432"/>
      <c r="S32" s="2432"/>
      <c r="T32" s="2432"/>
      <c r="U32" s="2432"/>
      <c r="V32" s="2432"/>
    </row>
    <row r="33" spans="1:30">
      <c r="A33" s="3594"/>
      <c r="B33" s="2418"/>
      <c r="C33" s="1586" t="str">
        <f>IF(B33="现房","成新及维护状况是否正常",IF(B33="在建","工程状态是否正常",IF(B33="土地","是否闲置","-")))</f>
        <v>-</v>
      </c>
      <c r="D33" s="1361"/>
      <c r="E33" s="2419"/>
      <c r="F33" s="2656"/>
      <c r="G33" s="2656"/>
      <c r="H33" s="2656"/>
      <c r="I33" s="2656"/>
      <c r="J33" s="2432"/>
      <c r="K33" s="2608"/>
      <c r="L33" s="2605"/>
      <c r="M33" s="2605"/>
      <c r="N33" s="2432"/>
      <c r="O33" s="2443"/>
      <c r="P33" s="2432"/>
      <c r="Q33" s="2432"/>
      <c r="R33" s="2432"/>
      <c r="S33" s="2432"/>
      <c r="T33" s="2432"/>
      <c r="U33" s="2432"/>
      <c r="V33" s="2432"/>
    </row>
    <row r="34" spans="1:30">
      <c r="A34" s="299" t="s">
        <v>2220</v>
      </c>
      <c r="B34" s="2019"/>
      <c r="C34" s="2019"/>
      <c r="D34" s="2019"/>
      <c r="E34" s="2019"/>
      <c r="F34" s="2019"/>
      <c r="G34" s="2019"/>
      <c r="H34" s="2019"/>
      <c r="I34" s="2656"/>
      <c r="J34" s="2432"/>
      <c r="K34" s="2420">
        <f>COUNTIF(B34:H34,"——")</f>
        <v>0</v>
      </c>
      <c r="L34" s="320" t="s">
        <v>2221</v>
      </c>
      <c r="M34" s="320" t="s">
        <v>2222</v>
      </c>
      <c r="N34" s="320" t="s">
        <v>2223</v>
      </c>
      <c r="O34" s="320" t="s">
        <v>2224</v>
      </c>
      <c r="P34" s="320" t="s">
        <v>2225</v>
      </c>
      <c r="Q34" s="320" t="s">
        <v>2226</v>
      </c>
      <c r="R34" s="320" t="s">
        <v>2227</v>
      </c>
      <c r="S34" s="3588" t="s">
        <v>2228</v>
      </c>
      <c r="T34" s="2421" t="str">
        <f>NUMBERSTRING(7-K34,1)&amp;"通"</f>
        <v>七通</v>
      </c>
      <c r="U34" s="2432"/>
      <c r="V34" s="2432"/>
    </row>
    <row r="35" spans="1:30">
      <c r="A35" s="2422"/>
      <c r="B35" s="3595" t="s">
        <v>2229</v>
      </c>
      <c r="C35" s="3595"/>
      <c r="D35" s="3595"/>
      <c r="E35" s="3595"/>
      <c r="F35" s="661">
        <f>C10</f>
        <v>0</v>
      </c>
      <c r="G35" s="2656"/>
      <c r="H35" s="2656"/>
      <c r="I35" s="2656"/>
      <c r="J35" s="2432"/>
      <c r="K35" s="320"/>
      <c r="L35" s="320">
        <f>B34</f>
        <v>0</v>
      </c>
      <c r="M35" s="326" t="str">
        <f>B34&amp;"、"&amp;C34</f>
        <v>、</v>
      </c>
      <c r="N35" s="326" t="str">
        <f>B34&amp;"、"&amp;C34&amp;"、"&amp;D34</f>
        <v>、、</v>
      </c>
      <c r="O35" s="326" t="str">
        <f>B34&amp;"、"&amp;C34&amp;"、"&amp;D34&amp;"、"&amp;E34</f>
        <v>、、、</v>
      </c>
      <c r="P35" s="326" t="str">
        <f>B34&amp;"、"&amp;C34&amp;"、"&amp;D34&amp;"、"&amp;E34&amp;"、"&amp;F34</f>
        <v>、、、、</v>
      </c>
      <c r="Q35" s="326" t="str">
        <f>B34&amp;"、"&amp;C34&amp;"、"&amp;D34&amp;"、"&amp;E34&amp;"、"&amp;F34&amp;"、"&amp;G34</f>
        <v>、、、、、</v>
      </c>
      <c r="R35" s="326" t="str">
        <f>B34&amp;"、"&amp;C34&amp;"、"&amp;D34&amp;"、"&amp;E34&amp;"、"&amp;F34&amp;"、"&amp;G34&amp;"、"&amp;H34</f>
        <v>、、、、、、</v>
      </c>
      <c r="S35" s="3588"/>
      <c r="T35" s="326" t="str">
        <f>IF(T34="一通",L35,IF(T34="二通",M35,IF(T34="三通",N35,IF(T34="四通",O35,IF(T34="五通",P35,IF(T34="六通",Q35,R35))))))</f>
        <v>、、、、、、</v>
      </c>
      <c r="U35" s="2432"/>
      <c r="V35" s="2432"/>
    </row>
    <row r="36" spans="1:30">
      <c r="A36" s="2423"/>
      <c r="B36" s="661" t="s">
        <v>2185</v>
      </c>
      <c r="C36" s="661" t="s">
        <v>2186</v>
      </c>
      <c r="D36" s="661" t="s">
        <v>2184</v>
      </c>
      <c r="E36" s="661" t="s">
        <v>2189</v>
      </c>
      <c r="F36" s="3057" t="s">
        <v>2579</v>
      </c>
      <c r="G36" s="2656"/>
      <c r="H36" s="2656"/>
      <c r="I36" s="2656"/>
      <c r="J36" s="2432"/>
      <c r="K36" s="2608"/>
      <c r="L36" s="2605"/>
      <c r="M36" s="2605"/>
      <c r="N36" s="2432"/>
      <c r="O36" s="2443"/>
      <c r="P36" s="2432"/>
      <c r="Q36" s="2432"/>
      <c r="R36" s="2432"/>
      <c r="S36" s="2432"/>
      <c r="T36" s="2432"/>
      <c r="U36" s="2432"/>
      <c r="V36" s="2432"/>
    </row>
    <row r="37" spans="1:30">
      <c r="A37" s="2622" t="s">
        <v>2230</v>
      </c>
      <c r="B37" s="2424"/>
      <c r="C37" s="2424"/>
      <c r="D37" s="2424"/>
      <c r="E37" s="2424"/>
      <c r="F37" s="2424"/>
      <c r="G37" s="2656"/>
      <c r="H37" s="2656"/>
      <c r="I37" s="2656"/>
      <c r="J37" s="2432"/>
      <c r="K37" s="2608"/>
      <c r="L37" s="2605"/>
      <c r="M37" s="2605"/>
      <c r="N37" s="2432"/>
      <c r="O37" s="2443"/>
      <c r="P37" s="2432"/>
      <c r="Q37" s="2432"/>
      <c r="R37" s="2432"/>
      <c r="S37" s="2432"/>
      <c r="T37" s="2432"/>
      <c r="U37" s="2432"/>
      <c r="V37" s="2432"/>
    </row>
    <row r="38" spans="1:30" ht="13.5" thickBot="1">
      <c r="A38" s="2623" t="s">
        <v>2231</v>
      </c>
      <c r="B38" s="2425"/>
      <c r="C38" s="2425"/>
      <c r="D38" s="2425"/>
      <c r="E38" s="2425"/>
      <c r="F38" s="2425"/>
      <c r="G38" s="2657"/>
      <c r="H38" s="2657"/>
      <c r="I38" s="2657"/>
      <c r="J38" s="2432"/>
      <c r="K38" s="2608"/>
      <c r="L38" s="2605"/>
      <c r="M38" s="2605"/>
      <c r="N38" s="2432"/>
      <c r="O38" s="2443"/>
      <c r="P38" s="2432"/>
      <c r="Q38" s="2432"/>
      <c r="R38" s="2432"/>
      <c r="S38" s="2432"/>
      <c r="T38" s="2432"/>
      <c r="U38" s="2432"/>
      <c r="V38" s="2432"/>
    </row>
    <row r="39" spans="1:30" s="2428" customFormat="1" ht="14.25" thickTop="1" thickBot="1">
      <c r="A39" s="2426" t="s">
        <v>2232</v>
      </c>
      <c r="B39" s="2427"/>
      <c r="C39" s="2427"/>
      <c r="D39" s="2427"/>
      <c r="E39" s="2427"/>
      <c r="F39" s="2427"/>
      <c r="G39" s="2427"/>
      <c r="H39" s="2427"/>
      <c r="I39" s="2427"/>
      <c r="J39" s="2614"/>
      <c r="K39" s="2615"/>
      <c r="L39" s="2614"/>
      <c r="M39" s="2614"/>
      <c r="N39" s="2614"/>
      <c r="O39" s="2616"/>
      <c r="P39" s="2614"/>
      <c r="Q39" s="2614"/>
      <c r="R39" s="2614"/>
      <c r="S39" s="2614"/>
      <c r="T39" s="2614"/>
      <c r="U39" s="2614"/>
      <c r="V39" s="2614"/>
      <c r="W39" s="2617"/>
      <c r="X39" s="2617"/>
      <c r="Y39" s="2617"/>
      <c r="Z39" s="2617"/>
      <c r="AA39" s="2617"/>
      <c r="AB39" s="2617"/>
      <c r="AC39" s="2617"/>
      <c r="AD39" s="2617"/>
    </row>
    <row r="40" spans="1:30">
      <c r="A40" s="2363"/>
      <c r="B40" s="2363"/>
      <c r="C40" s="2363"/>
      <c r="D40" s="2363"/>
      <c r="E40" s="2363"/>
      <c r="F40" s="2363"/>
      <c r="G40" s="2363"/>
      <c r="H40" s="2363"/>
      <c r="I40" s="1574"/>
      <c r="J40" s="2501"/>
      <c r="K40" s="2607"/>
      <c r="L40" s="2444"/>
      <c r="M40" s="2444"/>
      <c r="N40" s="2501"/>
      <c r="O40" s="2444"/>
      <c r="P40" s="2432"/>
      <c r="Q40" s="2432"/>
      <c r="R40" s="2432"/>
      <c r="S40" s="2432"/>
      <c r="T40" s="2432"/>
      <c r="U40" s="2432"/>
      <c r="V40" s="2432"/>
    </row>
    <row r="41" spans="1:30">
      <c r="A41" s="2429" t="s">
        <v>2233</v>
      </c>
      <c r="B41" s="1753"/>
      <c r="C41" s="1369"/>
      <c r="D41" s="2363"/>
      <c r="E41" s="2363"/>
      <c r="F41" s="2363"/>
      <c r="G41" s="2363"/>
      <c r="H41" s="2363"/>
      <c r="I41" s="1572"/>
      <c r="J41" s="2432"/>
      <c r="K41" s="2608"/>
      <c r="L41" s="2605"/>
      <c r="M41" s="2605"/>
      <c r="N41" s="2432"/>
      <c r="O41" s="2443"/>
      <c r="P41" s="2432"/>
      <c r="Q41" s="2432"/>
      <c r="R41" s="2432"/>
      <c r="S41" s="2432"/>
      <c r="T41" s="2432"/>
      <c r="U41" s="2432"/>
      <c r="V41" s="2432"/>
    </row>
    <row r="42" spans="1:30" ht="25.5">
      <c r="A42" s="320" t="s">
        <v>2234</v>
      </c>
      <c r="B42" s="8" t="s">
        <v>2235</v>
      </c>
      <c r="C42" s="8" t="s">
        <v>2236</v>
      </c>
      <c r="D42" s="8" t="s">
        <v>2237</v>
      </c>
      <c r="E42" s="8" t="s">
        <v>2238</v>
      </c>
      <c r="F42" s="8" t="s">
        <v>2239</v>
      </c>
      <c r="G42" s="8" t="s">
        <v>2240</v>
      </c>
      <c r="H42" s="8" t="s">
        <v>2241</v>
      </c>
      <c r="I42" s="8" t="s">
        <v>2242</v>
      </c>
      <c r="J42" s="2618" t="s">
        <v>2243</v>
      </c>
      <c r="K42" s="2619" t="s">
        <v>2244</v>
      </c>
      <c r="L42" s="2619" t="s">
        <v>2245</v>
      </c>
      <c r="M42" s="2619" t="s">
        <v>2246</v>
      </c>
      <c r="N42" s="2612" t="s">
        <v>2247</v>
      </c>
      <c r="O42" s="2612" t="s">
        <v>2248</v>
      </c>
      <c r="P42" s="2612" t="s">
        <v>2249</v>
      </c>
      <c r="Q42" s="2613" t="s">
        <v>2250</v>
      </c>
      <c r="R42" s="2613" t="s">
        <v>2251</v>
      </c>
      <c r="S42" s="2432"/>
      <c r="T42" s="2432"/>
      <c r="U42" s="2432"/>
      <c r="V42" s="2432"/>
    </row>
    <row r="43" spans="1:30" s="1739" customFormat="1">
      <c r="A43" s="1566"/>
      <c r="B43" s="1047"/>
      <c r="C43" s="1047"/>
      <c r="D43" s="1047"/>
      <c r="E43" s="1047"/>
      <c r="F43" s="1047"/>
      <c r="G43" s="1047"/>
      <c r="H43" s="1047"/>
      <c r="I43" s="1047"/>
      <c r="J43" s="2430"/>
      <c r="K43" s="2431"/>
      <c r="L43" s="2431"/>
      <c r="M43" s="1047"/>
      <c r="N43" s="1047"/>
      <c r="O43" s="1047"/>
      <c r="P43" s="1047"/>
      <c r="Q43" s="1047"/>
      <c r="R43" s="1047"/>
      <c r="S43" s="2432"/>
      <c r="T43" s="2432"/>
      <c r="U43" s="2432"/>
      <c r="V43" s="2432"/>
    </row>
    <row r="44" spans="1:30" s="1739" customFormat="1">
      <c r="A44" s="1566"/>
      <c r="B44" s="1566"/>
      <c r="C44" s="1047"/>
      <c r="D44" s="1047"/>
      <c r="E44" s="1047"/>
      <c r="F44" s="1047"/>
      <c r="G44" s="1047"/>
      <c r="H44" s="1047"/>
      <c r="I44" s="1047"/>
      <c r="J44" s="2430"/>
      <c r="K44" s="2431"/>
      <c r="L44" s="2431"/>
      <c r="M44" s="1047"/>
      <c r="N44" s="1047"/>
      <c r="O44" s="1047"/>
      <c r="P44" s="1047"/>
      <c r="Q44" s="1047"/>
      <c r="R44" s="1047"/>
      <c r="S44" s="2432"/>
      <c r="T44" s="2432"/>
      <c r="U44" s="2432"/>
      <c r="V44" s="2432"/>
    </row>
    <row r="45" spans="1:30" s="1739" customFormat="1">
      <c r="A45" s="1566"/>
      <c r="B45" s="1566"/>
      <c r="C45" s="1047"/>
      <c r="D45" s="1047"/>
      <c r="E45" s="1047"/>
      <c r="F45" s="1047"/>
      <c r="G45" s="1047"/>
      <c r="H45" s="1047"/>
      <c r="I45" s="1047"/>
      <c r="J45" s="2430"/>
      <c r="K45" s="2431"/>
      <c r="L45" s="2431"/>
      <c r="M45" s="1047"/>
      <c r="N45" s="1047"/>
      <c r="O45" s="1047"/>
      <c r="P45" s="1047"/>
      <c r="Q45" s="1047"/>
      <c r="R45" s="1047"/>
      <c r="S45" s="2432"/>
      <c r="T45" s="2432"/>
      <c r="U45" s="2432"/>
      <c r="V45" s="2432"/>
    </row>
    <row r="46" spans="1:30" s="1739" customFormat="1">
      <c r="A46" s="1566"/>
      <c r="B46" s="1566"/>
      <c r="C46" s="1047"/>
      <c r="D46" s="1047"/>
      <c r="E46" s="1047"/>
      <c r="F46" s="1047"/>
      <c r="G46" s="1047"/>
      <c r="H46" s="1047"/>
      <c r="I46" s="1047"/>
      <c r="J46" s="2430"/>
      <c r="K46" s="2431"/>
      <c r="L46" s="2431"/>
      <c r="M46" s="1047"/>
      <c r="N46" s="1047"/>
      <c r="O46" s="1047"/>
      <c r="P46" s="1047"/>
      <c r="Q46" s="1047"/>
      <c r="R46" s="1047"/>
      <c r="S46" s="2432"/>
      <c r="T46" s="2432"/>
      <c r="U46" s="2432"/>
      <c r="V46" s="2432"/>
    </row>
    <row r="47" spans="1:30" s="1739" customFormat="1">
      <c r="A47" s="1566"/>
      <c r="B47" s="1566"/>
      <c r="C47" s="1047"/>
      <c r="D47" s="1047"/>
      <c r="E47" s="1047"/>
      <c r="F47" s="1047"/>
      <c r="G47" s="1047"/>
      <c r="H47" s="1047"/>
      <c r="I47" s="1047"/>
      <c r="J47" s="2430"/>
      <c r="K47" s="2431"/>
      <c r="L47" s="2431"/>
      <c r="M47" s="1047"/>
      <c r="N47" s="1047"/>
      <c r="O47" s="1047"/>
      <c r="P47" s="1047"/>
      <c r="Q47" s="1047"/>
      <c r="R47" s="1047"/>
      <c r="S47" s="2432"/>
      <c r="T47" s="2432"/>
      <c r="U47" s="2432"/>
      <c r="V47" s="2432"/>
    </row>
    <row r="48" spans="1:30" s="1739" customFormat="1">
      <c r="A48" s="1566"/>
      <c r="B48" s="1566"/>
      <c r="C48" s="1047"/>
      <c r="D48" s="1047"/>
      <c r="E48" s="1047"/>
      <c r="F48" s="1047"/>
      <c r="G48" s="1047"/>
      <c r="H48" s="1047"/>
      <c r="I48" s="1047"/>
      <c r="J48" s="2430"/>
      <c r="K48" s="2431"/>
      <c r="L48" s="2431"/>
      <c r="M48" s="1047"/>
      <c r="N48" s="1047"/>
      <c r="O48" s="1047"/>
      <c r="P48" s="1047"/>
      <c r="Q48" s="1047"/>
      <c r="R48" s="1047"/>
      <c r="S48" s="2432"/>
      <c r="T48" s="2432"/>
      <c r="U48" s="2432"/>
      <c r="V48" s="2432"/>
    </row>
    <row r="49" spans="1:22" s="1739" customFormat="1">
      <c r="A49" s="1566"/>
      <c r="B49" s="1566"/>
      <c r="C49" s="1047"/>
      <c r="D49" s="1047"/>
      <c r="E49" s="1047"/>
      <c r="F49" s="1047"/>
      <c r="G49" s="1047"/>
      <c r="H49" s="1047"/>
      <c r="I49" s="1047"/>
      <c r="J49" s="2430"/>
      <c r="K49" s="2431"/>
      <c r="L49" s="2431"/>
      <c r="M49" s="1047"/>
      <c r="N49" s="1047"/>
      <c r="O49" s="1047"/>
      <c r="P49" s="1047"/>
      <c r="Q49" s="1047"/>
      <c r="R49" s="1047"/>
      <c r="S49" s="2432"/>
      <c r="T49" s="2432"/>
      <c r="U49" s="2432"/>
      <c r="V49" s="2432"/>
    </row>
    <row r="50" spans="1:22" s="1739" customFormat="1">
      <c r="A50" s="1566"/>
      <c r="B50" s="1566"/>
      <c r="C50" s="1047"/>
      <c r="D50" s="1047"/>
      <c r="E50" s="1047"/>
      <c r="F50" s="1047"/>
      <c r="G50" s="1047"/>
      <c r="H50" s="1047"/>
      <c r="I50" s="1047"/>
      <c r="J50" s="2430"/>
      <c r="K50" s="2431"/>
      <c r="L50" s="2431"/>
      <c r="M50" s="1047"/>
      <c r="N50" s="1047"/>
      <c r="O50" s="1047"/>
      <c r="P50" s="1047"/>
      <c r="Q50" s="1047"/>
      <c r="R50" s="1047"/>
      <c r="S50" s="2432"/>
      <c r="T50" s="2432"/>
      <c r="U50" s="2432"/>
      <c r="V50" s="2432"/>
    </row>
    <row r="51" spans="1:22" s="1739" customFormat="1">
      <c r="A51" s="1566"/>
      <c r="B51" s="1566"/>
      <c r="C51" s="1047"/>
      <c r="D51" s="1047"/>
      <c r="E51" s="1047"/>
      <c r="F51" s="1047"/>
      <c r="G51" s="1047"/>
      <c r="H51" s="1047"/>
      <c r="I51" s="1047"/>
      <c r="J51" s="2430"/>
      <c r="K51" s="2431"/>
      <c r="L51" s="2431"/>
      <c r="M51" s="1047"/>
      <c r="N51" s="1047"/>
      <c r="O51" s="1047"/>
      <c r="P51" s="1047"/>
      <c r="Q51" s="1047"/>
      <c r="R51" s="1047"/>
    </row>
    <row r="52" spans="1:22" s="1739" customFormat="1">
      <c r="A52" s="1566"/>
      <c r="B52" s="1566"/>
      <c r="C52" s="1566"/>
      <c r="D52" s="1566"/>
      <c r="E52" s="1566"/>
      <c r="F52" s="1047"/>
      <c r="G52" s="1566"/>
      <c r="H52" s="1566"/>
      <c r="I52" s="1566"/>
      <c r="J52" s="2433"/>
      <c r="K52" s="2431"/>
      <c r="L52" s="2431"/>
      <c r="M52" s="2431"/>
      <c r="N52" s="1566"/>
      <c r="O52" s="1566"/>
      <c r="P52" s="1566"/>
      <c r="Q52" s="1566"/>
      <c r="R52" s="1566"/>
    </row>
    <row r="53" spans="1:22" s="1739" customFormat="1">
      <c r="A53" s="1566"/>
      <c r="B53" s="1566"/>
      <c r="C53" s="1566"/>
      <c r="D53" s="1566"/>
      <c r="E53" s="1566"/>
      <c r="F53" s="1047"/>
      <c r="G53" s="1566"/>
      <c r="H53" s="1566"/>
      <c r="I53" s="1566"/>
      <c r="J53" s="2433"/>
      <c r="K53" s="2431"/>
      <c r="L53" s="2431"/>
      <c r="M53" s="2431"/>
      <c r="N53" s="1566"/>
      <c r="O53" s="1566"/>
      <c r="P53" s="1566"/>
      <c r="Q53" s="1566"/>
      <c r="R53" s="1566"/>
    </row>
    <row r="54" spans="1:22" s="1739" customFormat="1">
      <c r="A54" s="1566"/>
      <c r="B54" s="1566"/>
      <c r="C54" s="1566"/>
      <c r="D54" s="1566"/>
      <c r="E54" s="1566"/>
      <c r="F54" s="1047"/>
      <c r="G54" s="1566"/>
      <c r="H54" s="1566"/>
      <c r="I54" s="1566"/>
      <c r="J54" s="2433"/>
      <c r="K54" s="2431"/>
      <c r="L54" s="2431"/>
      <c r="M54" s="2431"/>
      <c r="N54" s="1566"/>
      <c r="O54" s="1566"/>
      <c r="P54" s="1566"/>
      <c r="Q54" s="1566"/>
      <c r="R54" s="1566"/>
    </row>
    <row r="55" spans="1:22" s="1739" customFormat="1">
      <c r="A55" s="1566"/>
      <c r="B55" s="1566"/>
      <c r="C55" s="1566"/>
      <c r="D55" s="1566"/>
      <c r="E55" s="1566"/>
      <c r="F55" s="1047"/>
      <c r="G55" s="1566"/>
      <c r="H55" s="1566"/>
      <c r="I55" s="1566"/>
      <c r="J55" s="2433"/>
      <c r="K55" s="2431"/>
      <c r="L55" s="2431"/>
      <c r="M55" s="2431"/>
      <c r="N55" s="1566"/>
      <c r="O55" s="1566"/>
      <c r="P55" s="1566"/>
      <c r="Q55" s="1566"/>
      <c r="R55" s="1566"/>
    </row>
    <row r="56" spans="1:22" s="1739" customFormat="1">
      <c r="A56" s="1566"/>
      <c r="B56" s="1566"/>
      <c r="C56" s="1566"/>
      <c r="D56" s="1566"/>
      <c r="E56" s="1566"/>
      <c r="F56" s="1047"/>
      <c r="G56" s="1566"/>
      <c r="H56" s="1566"/>
      <c r="I56" s="1566"/>
      <c r="J56" s="2433"/>
      <c r="K56" s="2431"/>
      <c r="L56" s="2431"/>
      <c r="M56" s="2431"/>
      <c r="N56" s="1566"/>
      <c r="O56" s="1566"/>
      <c r="P56" s="1566"/>
      <c r="Q56" s="1566"/>
      <c r="R56" s="1566"/>
    </row>
  </sheetData>
  <sheetProtection password="CEE9"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F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估价范围判定</formula1>
    </dataValidation>
    <dataValidation type="list" allowBlank="1" showInputMessage="1" showErrorMessage="1" sqref="B21:B22">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F38">
      <formula1>INDIRECT($F$37)</formula1>
    </dataValidation>
  </dataValidations>
  <printOptions horizontalCentered="1"/>
  <pageMargins left="0.70866141732283472" right="0.70866141732283472" top="0.74803149606299213" bottom="0.74803149606299213" header="0.31496062992125984" footer="0.31496062992125984"/>
  <pageSetup paperSize="9" scale="83" fitToHeight="0"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60"/>
  <sheetViews>
    <sheetView topLeftCell="D1" zoomScale="130" zoomScaleNormal="130" workbookViewId="0">
      <selection activeCell="E73" sqref="E73"/>
    </sheetView>
  </sheetViews>
  <sheetFormatPr defaultColWidth="10.875" defaultRowHeight="14.25"/>
  <cols>
    <col min="1" max="1" width="6.125" style="3444" customWidth="1"/>
    <col min="2" max="2" width="16.375" style="3444" customWidth="1"/>
    <col min="3" max="3" width="15.5" style="3444" customWidth="1"/>
    <col min="4" max="4" width="16.125" style="3444" customWidth="1"/>
    <col min="5" max="5" width="10.875" style="3444" customWidth="1"/>
    <col min="6" max="9" width="10.875" style="3444"/>
    <col min="10" max="10" width="17.375" style="3444" customWidth="1"/>
    <col min="11" max="11" width="14.875" style="3444" customWidth="1"/>
    <col min="12" max="16384" width="10.875" style="3444"/>
  </cols>
  <sheetData>
    <row r="1" spans="1:11">
      <c r="A1" s="3596" t="s">
        <v>4284</v>
      </c>
      <c r="B1" s="3596"/>
      <c r="C1" s="3596"/>
      <c r="D1" s="3596"/>
      <c r="E1" s="3596"/>
      <c r="F1" s="3596"/>
      <c r="G1" s="3596"/>
      <c r="H1" s="3596"/>
      <c r="I1" s="3596"/>
      <c r="J1" s="3596"/>
    </row>
    <row r="2" spans="1:11" s="3443" customFormat="1" ht="23.25" customHeight="1">
      <c r="A2" s="3442" t="s">
        <v>3380</v>
      </c>
      <c r="B2" s="3442" t="s">
        <v>4256</v>
      </c>
      <c r="C2" s="3442" t="s">
        <v>3381</v>
      </c>
      <c r="D2" s="3442" t="s">
        <v>4257</v>
      </c>
      <c r="E2" s="3442" t="s">
        <v>4258</v>
      </c>
      <c r="F2" s="3442" t="s">
        <v>4259</v>
      </c>
      <c r="G2" s="3442" t="s">
        <v>4261</v>
      </c>
      <c r="H2" s="3442" t="s">
        <v>3382</v>
      </c>
      <c r="I2" s="3442" t="s">
        <v>3384</v>
      </c>
      <c r="J2" s="3442" t="s">
        <v>3385</v>
      </c>
      <c r="K2" s="3443" t="s">
        <v>3386</v>
      </c>
    </row>
    <row r="3" spans="1:11" ht="21.75" customHeight="1">
      <c r="A3" s="3445">
        <v>1</v>
      </c>
      <c r="B3" s="3445" t="s">
        <v>4279</v>
      </c>
      <c r="C3" s="3445" t="s">
        <v>4262</v>
      </c>
      <c r="D3" s="3445">
        <v>10125.530000000001</v>
      </c>
      <c r="E3" s="3445">
        <f>D3*F3</f>
        <v>25313.825000000001</v>
      </c>
      <c r="F3" s="3445">
        <v>2.5</v>
      </c>
      <c r="G3" s="3445">
        <v>60</v>
      </c>
      <c r="H3" s="3445">
        <v>35</v>
      </c>
      <c r="I3" s="3445">
        <v>30</v>
      </c>
      <c r="J3" s="3446" t="s">
        <v>4282</v>
      </c>
      <c r="K3" s="3444">
        <f>ROUND(F3-0.05-0.1-0.007,2)</f>
        <v>2.34</v>
      </c>
    </row>
    <row r="4" spans="1:11">
      <c r="A4" s="3445">
        <v>2</v>
      </c>
      <c r="B4" s="3445" t="s">
        <v>4280</v>
      </c>
      <c r="C4" s="3502" t="s">
        <v>4262</v>
      </c>
      <c r="D4" s="3445">
        <v>11343.27</v>
      </c>
      <c r="E4" s="3520">
        <f t="shared" ref="E4:E5" si="0">D4*F4</f>
        <v>28358.175000000003</v>
      </c>
      <c r="F4" s="3502">
        <v>2.5</v>
      </c>
      <c r="G4" s="3445">
        <v>60</v>
      </c>
      <c r="H4" s="3445">
        <v>35</v>
      </c>
      <c r="I4" s="3445">
        <v>30</v>
      </c>
      <c r="J4" s="3445" t="s">
        <v>3386</v>
      </c>
      <c r="K4" s="3444">
        <f>F4</f>
        <v>2.5</v>
      </c>
    </row>
    <row r="5" spans="1:11">
      <c r="A5" s="3445">
        <v>3</v>
      </c>
      <c r="B5" s="3520" t="s">
        <v>4281</v>
      </c>
      <c r="C5" s="3502" t="s">
        <v>4262</v>
      </c>
      <c r="D5" s="3445">
        <v>13057.03</v>
      </c>
      <c r="E5" s="3520">
        <f t="shared" si="0"/>
        <v>32642.575000000001</v>
      </c>
      <c r="F5" s="3502">
        <v>2.5</v>
      </c>
      <c r="G5" s="3445">
        <v>60</v>
      </c>
      <c r="H5" s="3445">
        <v>35</v>
      </c>
      <c r="I5" s="3445">
        <v>30</v>
      </c>
      <c r="J5" s="3446" t="s">
        <v>4283</v>
      </c>
      <c r="K5" s="3444">
        <f>ROUND(F5-0.007-0.007-0.005-0.007-0.028,2)</f>
        <v>2.4500000000000002</v>
      </c>
    </row>
    <row r="6" spans="1:11">
      <c r="A6" s="3445" t="s">
        <v>3387</v>
      </c>
      <c r="B6" s="3445" t="s">
        <v>3388</v>
      </c>
      <c r="C6" s="3445" t="s">
        <v>3388</v>
      </c>
      <c r="D6" s="3445">
        <f>SUM(D3:D5)</f>
        <v>34525.83</v>
      </c>
      <c r="E6" s="3445">
        <f>SUM(E3:E5)</f>
        <v>86314.574999999997</v>
      </c>
      <c r="F6" s="3445" t="s">
        <v>4260</v>
      </c>
      <c r="G6" s="3445" t="s">
        <v>3388</v>
      </c>
      <c r="H6" s="3445" t="s">
        <v>3388</v>
      </c>
      <c r="I6" s="3445" t="s">
        <v>3388</v>
      </c>
      <c r="J6" s="3445" t="s">
        <v>3388</v>
      </c>
      <c r="K6" s="3444">
        <f>SUM(K3:K5)</f>
        <v>7.29</v>
      </c>
    </row>
    <row r="55" spans="1:10">
      <c r="A55" s="3597" t="s">
        <v>4285</v>
      </c>
      <c r="B55" s="3597"/>
      <c r="C55" s="3597"/>
      <c r="D55" s="3597"/>
      <c r="E55" s="3597"/>
      <c r="F55" s="3597"/>
      <c r="G55" s="3597"/>
      <c r="H55" s="3597"/>
      <c r="I55" s="3597"/>
      <c r="J55" s="3597"/>
    </row>
    <row r="56" spans="1:10">
      <c r="A56" s="3521" t="s">
        <v>3383</v>
      </c>
      <c r="B56" s="3521" t="s">
        <v>4286</v>
      </c>
      <c r="C56" s="3521" t="s">
        <v>3402</v>
      </c>
      <c r="D56" s="3521" t="s">
        <v>4287</v>
      </c>
      <c r="E56" s="3521" t="s">
        <v>3405</v>
      </c>
      <c r="F56" s="3521" t="s">
        <v>4288</v>
      </c>
      <c r="G56" s="3521" t="s">
        <v>4230</v>
      </c>
      <c r="H56" s="3521" t="s">
        <v>4289</v>
      </c>
      <c r="I56" s="3521" t="s">
        <v>4290</v>
      </c>
      <c r="J56" s="3521" t="s">
        <v>4291</v>
      </c>
    </row>
    <row r="57" spans="1:10">
      <c r="A57" s="3521" t="s">
        <v>4279</v>
      </c>
      <c r="B57" s="3521" t="s">
        <v>4292</v>
      </c>
      <c r="C57" s="3521" t="s">
        <v>4293</v>
      </c>
      <c r="D57" s="3521">
        <v>1.01</v>
      </c>
      <c r="E57" s="3521">
        <v>2.5</v>
      </c>
      <c r="F57" s="3521">
        <f>D57*E57</f>
        <v>2.5249999999999999</v>
      </c>
      <c r="G57" s="3521">
        <v>35</v>
      </c>
      <c r="H57" s="3521">
        <v>30</v>
      </c>
      <c r="I57" s="3521">
        <v>60</v>
      </c>
      <c r="J57" s="3521" t="s">
        <v>4294</v>
      </c>
    </row>
    <row r="58" spans="1:10">
      <c r="A58" s="3521" t="s">
        <v>4295</v>
      </c>
      <c r="B58" s="3521" t="s">
        <v>4292</v>
      </c>
      <c r="C58" s="3521" t="s">
        <v>4293</v>
      </c>
      <c r="D58" s="3521">
        <v>1.1299999999999999</v>
      </c>
      <c r="E58" s="3521">
        <v>2.5</v>
      </c>
      <c r="F58" s="3521">
        <f>D58*E58</f>
        <v>2.8249999999999997</v>
      </c>
      <c r="G58" s="3521">
        <v>35</v>
      </c>
      <c r="H58" s="3521">
        <v>30</v>
      </c>
      <c r="I58" s="3521">
        <v>60</v>
      </c>
      <c r="J58" s="3521" t="s">
        <v>4294</v>
      </c>
    </row>
    <row r="59" spans="1:10">
      <c r="A59" s="3521" t="s">
        <v>4296</v>
      </c>
      <c r="B59" s="3521" t="s">
        <v>4292</v>
      </c>
      <c r="C59" s="3521" t="s">
        <v>4293</v>
      </c>
      <c r="D59" s="3521">
        <v>1.31</v>
      </c>
      <c r="E59" s="3521">
        <v>2.5</v>
      </c>
      <c r="F59" s="3521">
        <f>D59*E59</f>
        <v>3.2750000000000004</v>
      </c>
      <c r="G59" s="3521">
        <v>35</v>
      </c>
      <c r="H59" s="3521">
        <v>30</v>
      </c>
      <c r="I59" s="3521">
        <v>60</v>
      </c>
      <c r="J59" s="3521" t="s">
        <v>4294</v>
      </c>
    </row>
    <row r="60" spans="1:10">
      <c r="D60" s="3444">
        <f>SUM(D57:D59)</f>
        <v>3.4499999999999997</v>
      </c>
      <c r="F60" s="3444">
        <f>SUM(F57:F59)</f>
        <v>8.625</v>
      </c>
    </row>
  </sheetData>
  <mergeCells count="2">
    <mergeCell ref="A1:J1"/>
    <mergeCell ref="A55:J55"/>
  </mergeCells>
  <phoneticPr fontId="134" type="noConversion"/>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90" zoomScaleSheetLayoutView="90" workbookViewId="0">
      <pane xSplit="4" ySplit="12" topLeftCell="E13" activePane="bottomRight" state="frozen"/>
      <selection activeCell="C50" sqref="C50"/>
      <selection pane="topRight" activeCell="C50" sqref="C50"/>
      <selection pane="bottomLeft" activeCell="C50" sqref="C50"/>
      <selection pane="bottomRight" activeCell="D16" sqref="D16"/>
    </sheetView>
  </sheetViews>
  <sheetFormatPr defaultColWidth="8.875" defaultRowHeight="14.25"/>
  <cols>
    <col min="1" max="1" width="10.625" style="1569" customWidth="1"/>
    <col min="2" max="2" width="11" style="1569" customWidth="1"/>
    <col min="3" max="3" width="10.375" style="1569" customWidth="1"/>
    <col min="4" max="4" width="9.125" style="1569" customWidth="1"/>
    <col min="5" max="6" width="10" style="1630" customWidth="1"/>
    <col min="7" max="8" width="10" style="1569" customWidth="1"/>
    <col min="9" max="9" width="10.625" style="1569" customWidth="1"/>
    <col min="10" max="10" width="9.5" style="1569" customWidth="1"/>
    <col min="11" max="11" width="11" style="1569" customWidth="1"/>
    <col min="12" max="14" width="9.5" style="1569" customWidth="1"/>
    <col min="15" max="16" width="9.875" style="1569" customWidth="1"/>
    <col min="17" max="17" width="9.375" style="1569" customWidth="1"/>
    <col min="18" max="18" width="9.125" style="1569" customWidth="1"/>
    <col min="19" max="28" width="10.875" style="1569" customWidth="1"/>
    <col min="29" max="29" width="11" style="1569" bestFit="1" customWidth="1"/>
    <col min="30" max="30" width="10" style="1569" bestFit="1" customWidth="1"/>
    <col min="31" max="31" width="9.875" style="1569" customWidth="1"/>
    <col min="32" max="46" width="9.5" style="1569" customWidth="1"/>
    <col min="47" max="47" width="18.125" style="1569" customWidth="1"/>
    <col min="48" max="50" width="9.875" style="1569" customWidth="1"/>
    <col min="51" max="55" width="10.5" style="1569" bestFit="1" customWidth="1"/>
    <col min="56" max="56" width="9.5" style="1569" bestFit="1" customWidth="1"/>
    <col min="57" max="63" width="9.125" style="1569" bestFit="1" customWidth="1"/>
    <col min="64" max="64" width="9.5" style="1569" bestFit="1" customWidth="1"/>
    <col min="65" max="65" width="9.125" style="1569" bestFit="1" customWidth="1"/>
    <col min="66" max="66" width="9.5" style="1569" bestFit="1" customWidth="1"/>
    <col min="67" max="69" width="9.125" style="1569" bestFit="1" customWidth="1"/>
    <col min="70" max="70" width="9.5" style="1569" bestFit="1" customWidth="1"/>
    <col min="71" max="71" width="9" style="1569" customWidth="1"/>
    <col min="72" max="72" width="9.125" style="1569" bestFit="1" customWidth="1"/>
    <col min="73" max="16384" width="8.875" style="1569"/>
  </cols>
  <sheetData>
    <row r="1" spans="1:72" ht="20.25">
      <c r="A1" s="1570" t="s">
        <v>1062</v>
      </c>
      <c r="B1" s="1554"/>
      <c r="C1" s="1554"/>
      <c r="D1" s="1554"/>
      <c r="E1" s="1554"/>
      <c r="F1" s="1554"/>
      <c r="G1" s="1554"/>
      <c r="H1" s="1554"/>
      <c r="I1" s="1554"/>
      <c r="J1" s="1554"/>
      <c r="K1" s="1554"/>
      <c r="L1" s="1554"/>
      <c r="M1" s="1554"/>
      <c r="N1" s="1554"/>
      <c r="O1" s="1554"/>
      <c r="P1" s="1554"/>
      <c r="Q1" s="1554"/>
      <c r="R1" s="1554"/>
      <c r="S1" s="1554"/>
      <c r="T1" s="1554"/>
      <c r="U1" s="1554"/>
      <c r="V1" s="1554"/>
      <c r="W1" s="1554"/>
      <c r="X1" s="1554"/>
      <c r="Y1" s="1554"/>
      <c r="Z1" s="1554"/>
      <c r="AA1" s="1554"/>
      <c r="AB1" s="1554"/>
      <c r="AC1" s="1554"/>
      <c r="AD1" s="1554"/>
      <c r="AE1" s="1554"/>
      <c r="AF1" s="1554"/>
      <c r="AG1" s="1554"/>
      <c r="AH1" s="1554"/>
      <c r="AI1" s="1554"/>
      <c r="AJ1" s="1554"/>
      <c r="AK1" s="1554"/>
      <c r="AL1" s="1554"/>
      <c r="AM1" s="1554"/>
      <c r="AN1" s="1554"/>
      <c r="AO1" s="1554"/>
      <c r="AP1" s="1554"/>
      <c r="AQ1" s="1554"/>
      <c r="AR1" s="1554"/>
      <c r="AS1" s="1554"/>
      <c r="AT1" s="1554"/>
      <c r="AU1" s="1554"/>
      <c r="AV1" s="1571" t="s">
        <v>1063</v>
      </c>
      <c r="AW1" s="1554"/>
      <c r="AX1" s="1554"/>
      <c r="AY1" s="1554"/>
      <c r="AZ1" s="1554"/>
      <c r="BA1" s="1554"/>
      <c r="BB1" s="1554"/>
      <c r="BC1" s="1554"/>
      <c r="BD1" s="1554"/>
      <c r="BE1" s="1554"/>
      <c r="BF1" s="1554"/>
      <c r="BG1" s="1554"/>
      <c r="BH1" s="1554"/>
      <c r="BI1" s="1554"/>
      <c r="BJ1" s="1554"/>
      <c r="BK1" s="1554"/>
      <c r="BL1" s="1554"/>
      <c r="BM1" s="1554"/>
      <c r="BN1" s="1554"/>
      <c r="BO1" s="1554"/>
      <c r="BP1" s="1554"/>
      <c r="BQ1" s="1554"/>
      <c r="BR1" s="1554"/>
      <c r="BS1" s="1554"/>
      <c r="BT1" s="1554"/>
    </row>
    <row r="2" spans="1:72" s="1575" customFormat="1" ht="24">
      <c r="A2" s="8" t="s">
        <v>1064</v>
      </c>
      <c r="B2" s="8" t="s">
        <v>1065</v>
      </c>
      <c r="C2" s="8" t="s">
        <v>1066</v>
      </c>
      <c r="D2" s="1572"/>
      <c r="E2" s="1573"/>
      <c r="F2" s="1574"/>
      <c r="G2" s="1572"/>
      <c r="H2" s="1572"/>
      <c r="I2" s="1572"/>
      <c r="J2" s="1572"/>
      <c r="K2" s="1572"/>
      <c r="L2" s="1572"/>
      <c r="M2" s="1572"/>
      <c r="N2" s="1572"/>
      <c r="O2" s="1572"/>
      <c r="P2" s="1572"/>
      <c r="Q2" s="1572"/>
      <c r="R2" s="1572"/>
      <c r="S2" s="1572"/>
      <c r="T2" s="1572"/>
      <c r="U2" s="1572"/>
      <c r="V2" s="1572"/>
      <c r="W2" s="1572"/>
      <c r="X2" s="1572"/>
      <c r="Y2" s="1572"/>
      <c r="Z2" s="1572"/>
      <c r="AA2" s="1572"/>
      <c r="AB2" s="1572"/>
      <c r="AC2" s="1572"/>
      <c r="AD2" s="1572"/>
      <c r="AE2" s="1572"/>
      <c r="AF2" s="1572"/>
      <c r="AG2" s="1572"/>
      <c r="AH2" s="1572"/>
      <c r="AI2" s="1572"/>
      <c r="AJ2" s="1572"/>
      <c r="AK2" s="1572"/>
      <c r="AL2" s="1572"/>
      <c r="AM2" s="1572"/>
      <c r="AN2" s="1572"/>
      <c r="AO2" s="1572"/>
      <c r="AP2" s="1572"/>
      <c r="AQ2" s="1572"/>
      <c r="AR2" s="1572"/>
      <c r="AS2" s="1572"/>
      <c r="AT2" s="1572"/>
      <c r="AU2" s="1572"/>
      <c r="AV2" s="1572"/>
      <c r="AW2" s="1572"/>
      <c r="AX2" s="1572"/>
      <c r="AY2" s="1044" t="s">
        <v>1067</v>
      </c>
      <c r="AZ2" s="1045" t="s">
        <v>1068</v>
      </c>
      <c r="BA2" s="8" t="s">
        <v>1069</v>
      </c>
      <c r="BB2" s="1572"/>
      <c r="BC2" s="1572"/>
      <c r="BD2" s="1572"/>
      <c r="BE2" s="1572"/>
      <c r="BF2" s="1572"/>
      <c r="BG2" s="1572"/>
      <c r="BH2" s="1572"/>
      <c r="BI2" s="1572"/>
      <c r="BJ2" s="1572"/>
      <c r="BK2" s="1572"/>
      <c r="BL2" s="1572"/>
      <c r="BM2" s="1572"/>
      <c r="BN2" s="1572"/>
      <c r="BO2" s="1572"/>
      <c r="BP2" s="1572"/>
      <c r="BQ2" s="1572"/>
      <c r="BR2" s="1572"/>
      <c r="BS2" s="1572"/>
      <c r="BT2" s="1572"/>
    </row>
    <row r="3" spans="1:72" s="1575" customFormat="1" ht="12.75">
      <c r="A3" s="10">
        <f>B3/2.2</f>
        <v>0.45454545454545453</v>
      </c>
      <c r="B3" s="11">
        <f>IF(C3="否",G5-AT5,G5)</f>
        <v>1</v>
      </c>
      <c r="C3" s="1576" t="s">
        <v>1070</v>
      </c>
      <c r="D3" s="1572"/>
      <c r="E3" s="1572"/>
      <c r="F3" s="1572"/>
      <c r="G3" s="1572"/>
      <c r="H3" s="1572"/>
      <c r="I3" s="1572"/>
      <c r="J3" s="1572"/>
      <c r="K3" s="1572"/>
      <c r="L3" s="1572"/>
      <c r="M3" s="1572"/>
      <c r="N3" s="1572"/>
      <c r="O3" s="1572"/>
      <c r="P3" s="1572"/>
      <c r="Q3" s="1572"/>
      <c r="R3" s="1572"/>
      <c r="S3" s="1572"/>
      <c r="T3" s="1572"/>
      <c r="U3" s="1572"/>
      <c r="V3" s="1572"/>
      <c r="W3" s="1572"/>
      <c r="X3" s="1572"/>
      <c r="Y3" s="1572"/>
      <c r="Z3" s="1572"/>
      <c r="AA3" s="1572"/>
      <c r="AB3" s="1572"/>
      <c r="AC3" s="1572"/>
      <c r="AD3" s="1572"/>
      <c r="AE3" s="1572"/>
      <c r="AF3" s="1572"/>
      <c r="AG3" s="1572"/>
      <c r="AH3" s="1572"/>
      <c r="AI3" s="1572"/>
      <c r="AJ3" s="1572"/>
      <c r="AK3" s="1572"/>
      <c r="AL3" s="1572"/>
      <c r="AM3" s="1572"/>
      <c r="AN3" s="1572"/>
      <c r="AO3" s="1572"/>
      <c r="AP3" s="1572"/>
      <c r="AQ3" s="1572"/>
      <c r="AR3" s="1572"/>
      <c r="AS3" s="1572"/>
      <c r="AT3" s="1572"/>
      <c r="AU3" s="1572"/>
      <c r="AV3" s="1572"/>
      <c r="AW3" s="1572"/>
      <c r="AX3" s="1572"/>
      <c r="AY3" s="1046"/>
      <c r="AZ3" s="1047"/>
      <c r="BA3" s="1048"/>
      <c r="BB3" s="1572"/>
      <c r="BC3" s="1572"/>
      <c r="BD3" s="1572"/>
      <c r="BE3" s="1572"/>
      <c r="BF3" s="1572"/>
      <c r="BG3" s="1572"/>
      <c r="BH3" s="1572"/>
      <c r="BI3" s="1572"/>
      <c r="BJ3" s="1572"/>
      <c r="BK3" s="1572"/>
      <c r="BL3" s="1572"/>
      <c r="BM3" s="1572"/>
      <c r="BN3" s="1572"/>
      <c r="BO3" s="1572"/>
      <c r="BP3" s="1572"/>
      <c r="BQ3" s="1572"/>
      <c r="BR3" s="1572"/>
      <c r="BS3" s="1572"/>
      <c r="BT3" s="1572"/>
    </row>
    <row r="4" spans="1:72" s="1581" customFormat="1" ht="13.5" thickBot="1">
      <c r="A4" s="1577"/>
      <c r="B4" s="1578"/>
      <c r="C4" s="1579"/>
      <c r="D4" s="1572"/>
      <c r="E4" s="1572"/>
      <c r="F4" s="1572"/>
      <c r="G4" s="1572"/>
      <c r="H4" s="1572"/>
      <c r="I4" s="1572"/>
      <c r="J4" s="1572"/>
      <c r="K4" s="1572"/>
      <c r="L4" s="1572"/>
      <c r="M4" s="1572"/>
      <c r="N4" s="1572"/>
      <c r="O4" s="1572"/>
      <c r="P4" s="1572"/>
      <c r="Q4" s="1572"/>
      <c r="R4" s="1572"/>
      <c r="S4" s="1572"/>
      <c r="T4" s="1572"/>
      <c r="U4" s="1572"/>
      <c r="V4" s="1572"/>
      <c r="W4" s="1572"/>
      <c r="X4" s="1572"/>
      <c r="Y4" s="1572"/>
      <c r="Z4" s="1572"/>
      <c r="AA4" s="1572"/>
      <c r="AB4" s="1572"/>
      <c r="AC4" s="1572"/>
      <c r="AD4" s="1572"/>
      <c r="AE4" s="1572"/>
      <c r="AF4" s="1572"/>
      <c r="AG4" s="1572"/>
      <c r="AH4" s="1572"/>
      <c r="AI4" s="1572"/>
      <c r="AJ4" s="1572"/>
      <c r="AK4" s="1572"/>
      <c r="AL4" s="1572"/>
      <c r="AM4" s="1572"/>
      <c r="AN4" s="1572"/>
      <c r="AO4" s="1572"/>
      <c r="AP4" s="1572"/>
      <c r="AQ4" s="1572"/>
      <c r="AR4" s="1572"/>
      <c r="AS4" s="1572"/>
      <c r="AT4" s="1572"/>
      <c r="AU4" s="1572"/>
      <c r="AV4" s="1572"/>
      <c r="AW4" s="1572"/>
      <c r="AX4" s="1572"/>
      <c r="AY4" s="1572"/>
      <c r="AZ4" s="1572"/>
      <c r="BA4" s="1580"/>
      <c r="BB4" s="1572"/>
      <c r="BC4" s="1572"/>
      <c r="BD4" s="1572"/>
      <c r="BE4" s="1572"/>
      <c r="BF4" s="1572"/>
      <c r="BG4" s="1572"/>
      <c r="BH4" s="1572"/>
      <c r="BI4" s="1572"/>
      <c r="BJ4" s="1572"/>
      <c r="BK4" s="1572"/>
      <c r="BL4" s="1572"/>
      <c r="BM4" s="1572"/>
      <c r="BN4" s="1572"/>
      <c r="BO4" s="1572"/>
      <c r="BP4" s="1572"/>
      <c r="BQ4" s="1572"/>
      <c r="BR4" s="1572"/>
      <c r="BS4" s="1572"/>
      <c r="BT4" s="1572"/>
    </row>
    <row r="5" spans="1:72" s="1575" customFormat="1" ht="12.75">
      <c r="A5" s="12" t="s">
        <v>1071</v>
      </c>
      <c r="B5" s="1343"/>
      <c r="C5" s="1343"/>
      <c r="D5" s="1345"/>
      <c r="E5" s="13" t="s">
        <v>0</v>
      </c>
      <c r="F5" s="13">
        <f>SUM(F13:F587)</f>
        <v>0</v>
      </c>
      <c r="G5" s="13">
        <f>SUM(G13:G587)</f>
        <v>1</v>
      </c>
      <c r="H5" s="13">
        <f t="shared" ref="H5:AT5" si="0">SUM(H13:H656)</f>
        <v>1</v>
      </c>
      <c r="I5" s="13">
        <f t="shared" si="0"/>
        <v>1</v>
      </c>
      <c r="J5" s="13">
        <f t="shared" si="0"/>
        <v>0</v>
      </c>
      <c r="K5" s="13">
        <f t="shared" si="0"/>
        <v>0</v>
      </c>
      <c r="L5" s="13">
        <f t="shared" si="0"/>
        <v>0</v>
      </c>
      <c r="M5" s="13">
        <f t="shared" si="0"/>
        <v>0</v>
      </c>
      <c r="N5" s="13">
        <f t="shared" si="0"/>
        <v>0</v>
      </c>
      <c r="O5" s="13">
        <f t="shared" si="0"/>
        <v>0</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0</v>
      </c>
      <c r="AD5" s="13">
        <f t="shared" si="0"/>
        <v>0</v>
      </c>
      <c r="AE5" s="13">
        <f t="shared" si="0"/>
        <v>0</v>
      </c>
      <c r="AF5" s="13">
        <f t="shared" si="0"/>
        <v>0</v>
      </c>
      <c r="AG5" s="13">
        <f t="shared" si="0"/>
        <v>0</v>
      </c>
      <c r="AH5" s="13">
        <f t="shared" si="0"/>
        <v>0</v>
      </c>
      <c r="AI5" s="13">
        <f t="shared" si="0"/>
        <v>0</v>
      </c>
      <c r="AJ5" s="13">
        <f t="shared" si="0"/>
        <v>0</v>
      </c>
      <c r="AK5" s="13">
        <f t="shared" si="0"/>
        <v>0</v>
      </c>
      <c r="AL5" s="13">
        <f t="shared" si="0"/>
        <v>0</v>
      </c>
      <c r="AM5" s="13">
        <f t="shared" si="0"/>
        <v>0</v>
      </c>
      <c r="AN5" s="13">
        <f t="shared" si="0"/>
        <v>0</v>
      </c>
      <c r="AO5" s="13">
        <f t="shared" si="0"/>
        <v>0</v>
      </c>
      <c r="AP5" s="13">
        <f t="shared" si="0"/>
        <v>0</v>
      </c>
      <c r="AQ5" s="13">
        <f t="shared" si="0"/>
        <v>0</v>
      </c>
      <c r="AR5" s="13">
        <f t="shared" si="0"/>
        <v>0</v>
      </c>
      <c r="AS5" s="13">
        <f t="shared" si="0"/>
        <v>0</v>
      </c>
      <c r="AT5" s="13">
        <f t="shared" si="0"/>
        <v>0</v>
      </c>
      <c r="AU5" s="1342"/>
      <c r="AV5" s="12" t="s">
        <v>1071</v>
      </c>
      <c r="AW5" s="1343"/>
      <c r="AX5" s="1343"/>
      <c r="AY5" s="14" t="s">
        <v>2</v>
      </c>
      <c r="AZ5" s="15">
        <f t="shared" ref="AZ5:BT5" si="1">SUM(AZ13:AZ656)</f>
        <v>1</v>
      </c>
      <c r="BA5" s="15">
        <f t="shared" si="1"/>
        <v>1</v>
      </c>
      <c r="BB5" s="15">
        <f t="shared" si="1"/>
        <v>1</v>
      </c>
      <c r="BC5" s="15">
        <f t="shared" si="1"/>
        <v>0</v>
      </c>
      <c r="BD5" s="15">
        <f t="shared" si="1"/>
        <v>0</v>
      </c>
      <c r="BE5" s="15">
        <f t="shared" si="1"/>
        <v>0</v>
      </c>
      <c r="BF5" s="15">
        <f t="shared" si="1"/>
        <v>0</v>
      </c>
      <c r="BG5" s="15">
        <f t="shared" si="1"/>
        <v>0</v>
      </c>
      <c r="BH5" s="15">
        <f t="shared" si="1"/>
        <v>0</v>
      </c>
      <c r="BI5" s="15">
        <f t="shared" si="1"/>
        <v>0</v>
      </c>
      <c r="BJ5" s="15">
        <f t="shared" si="1"/>
        <v>0</v>
      </c>
      <c r="BK5" s="15">
        <f t="shared" si="1"/>
        <v>0</v>
      </c>
      <c r="BL5" s="15">
        <f t="shared" si="1"/>
        <v>0</v>
      </c>
      <c r="BM5" s="15">
        <f t="shared" si="1"/>
        <v>0</v>
      </c>
      <c r="BN5" s="15">
        <f t="shared" si="1"/>
        <v>0</v>
      </c>
      <c r="BO5" s="15">
        <f t="shared" si="1"/>
        <v>0</v>
      </c>
      <c r="BP5" s="15">
        <f t="shared" si="1"/>
        <v>0</v>
      </c>
      <c r="BQ5" s="15">
        <f t="shared" si="1"/>
        <v>0</v>
      </c>
      <c r="BR5" s="15">
        <f t="shared" si="1"/>
        <v>0</v>
      </c>
      <c r="BS5" s="15">
        <f t="shared" si="1"/>
        <v>0</v>
      </c>
      <c r="BT5" s="16">
        <f t="shared" si="1"/>
        <v>0</v>
      </c>
    </row>
    <row r="6" spans="1:72" s="1585" customFormat="1" ht="12.75">
      <c r="A6" s="12" t="s">
        <v>1072</v>
      </c>
      <c r="B6" s="1582"/>
      <c r="C6" s="1582"/>
      <c r="D6" s="1583"/>
      <c r="E6" s="13">
        <f>H6+AC6+AT6</f>
        <v>0.45</v>
      </c>
      <c r="F6" s="13" t="s">
        <v>0</v>
      </c>
      <c r="G6" s="13" t="s">
        <v>1</v>
      </c>
      <c r="H6" s="17">
        <f>SUMIF(I$12:AB$12,"总值",I6:AB6)</f>
        <v>0.45</v>
      </c>
      <c r="I6" s="13">
        <f t="shared" ref="I6:AB6" si="2">ROUND($A$3*I5/$B$3,2)</f>
        <v>0.45</v>
      </c>
      <c r="J6" s="13">
        <f t="shared" si="2"/>
        <v>0</v>
      </c>
      <c r="K6" s="13">
        <f t="shared" si="2"/>
        <v>0</v>
      </c>
      <c r="L6" s="13">
        <f t="shared" si="2"/>
        <v>0</v>
      </c>
      <c r="M6" s="13">
        <f t="shared" si="2"/>
        <v>0</v>
      </c>
      <c r="N6" s="13">
        <f t="shared" si="2"/>
        <v>0</v>
      </c>
      <c r="O6" s="13">
        <f t="shared" si="2"/>
        <v>0</v>
      </c>
      <c r="P6" s="13">
        <f t="shared" si="2"/>
        <v>0</v>
      </c>
      <c r="Q6" s="13">
        <f t="shared" si="2"/>
        <v>0</v>
      </c>
      <c r="R6" s="13">
        <f t="shared" si="2"/>
        <v>0</v>
      </c>
      <c r="S6" s="13">
        <f t="shared" si="2"/>
        <v>0</v>
      </c>
      <c r="T6" s="13">
        <f t="shared" si="2"/>
        <v>0</v>
      </c>
      <c r="U6" s="13">
        <f t="shared" si="2"/>
        <v>0</v>
      </c>
      <c r="V6" s="13">
        <f t="shared" si="2"/>
        <v>0</v>
      </c>
      <c r="W6" s="13">
        <f t="shared" si="2"/>
        <v>0</v>
      </c>
      <c r="X6" s="13">
        <f t="shared" si="2"/>
        <v>0</v>
      </c>
      <c r="Y6" s="13">
        <f t="shared" si="2"/>
        <v>0</v>
      </c>
      <c r="Z6" s="13">
        <f t="shared" si="2"/>
        <v>0</v>
      </c>
      <c r="AA6" s="13">
        <f t="shared" si="2"/>
        <v>0</v>
      </c>
      <c r="AB6" s="13">
        <f t="shared" si="2"/>
        <v>0</v>
      </c>
      <c r="AC6" s="17">
        <f>SUMIF(AD$12:AS$12,"总值",AD6:AS6)</f>
        <v>0</v>
      </c>
      <c r="AD6" s="13">
        <f t="shared" ref="AD6:AS6" si="3">ROUND($A$3*AD5/$B$3,2)</f>
        <v>0</v>
      </c>
      <c r="AE6" s="13">
        <f t="shared" si="3"/>
        <v>0</v>
      </c>
      <c r="AF6" s="13">
        <f t="shared" si="3"/>
        <v>0</v>
      </c>
      <c r="AG6" s="13">
        <f t="shared" si="3"/>
        <v>0</v>
      </c>
      <c r="AH6" s="13">
        <f t="shared" si="3"/>
        <v>0</v>
      </c>
      <c r="AI6" s="13">
        <f t="shared" si="3"/>
        <v>0</v>
      </c>
      <c r="AJ6" s="13">
        <f t="shared" si="3"/>
        <v>0</v>
      </c>
      <c r="AK6" s="13">
        <f t="shared" si="3"/>
        <v>0</v>
      </c>
      <c r="AL6" s="13">
        <f t="shared" si="3"/>
        <v>0</v>
      </c>
      <c r="AM6" s="13">
        <f t="shared" si="3"/>
        <v>0</v>
      </c>
      <c r="AN6" s="13">
        <f t="shared" si="3"/>
        <v>0</v>
      </c>
      <c r="AO6" s="13">
        <f t="shared" si="3"/>
        <v>0</v>
      </c>
      <c r="AP6" s="13">
        <f t="shared" si="3"/>
        <v>0</v>
      </c>
      <c r="AQ6" s="13">
        <f t="shared" si="3"/>
        <v>0</v>
      </c>
      <c r="AR6" s="13">
        <f t="shared" si="3"/>
        <v>0</v>
      </c>
      <c r="AS6" s="13">
        <f t="shared" si="3"/>
        <v>0</v>
      </c>
      <c r="AT6" s="17">
        <f>IF(C3="是",ROUND($A$3*AT5/$B$3,2),0)</f>
        <v>0</v>
      </c>
      <c r="AU6" s="1584"/>
      <c r="AV6" s="12" t="s">
        <v>1072</v>
      </c>
      <c r="AW6" s="1582"/>
      <c r="AX6" s="1582"/>
      <c r="AY6" s="18">
        <f>IF(AY3&gt;0,AY3,ROUND($A$3*AZ5/$B$3,2))</f>
        <v>0.45</v>
      </c>
      <c r="AZ6" s="13" t="s">
        <v>2</v>
      </c>
      <c r="BA6" s="13">
        <f>ROUND($AY$6*BA5/$AZ$5,2)</f>
        <v>0.45</v>
      </c>
      <c r="BB6" s="13">
        <f>ROUND($AY$6*BB5/$AZ$5,2)</f>
        <v>0.45</v>
      </c>
      <c r="BC6" s="13">
        <f t="shared" ref="BC6:BH6" si="4">ROUND($AY$6*BC5/$AZ$5,2)</f>
        <v>0</v>
      </c>
      <c r="BD6" s="13">
        <f t="shared" si="4"/>
        <v>0</v>
      </c>
      <c r="BE6" s="13">
        <f t="shared" si="4"/>
        <v>0</v>
      </c>
      <c r="BF6" s="13">
        <f t="shared" si="4"/>
        <v>0</v>
      </c>
      <c r="BG6" s="13">
        <f t="shared" si="4"/>
        <v>0</v>
      </c>
      <c r="BH6" s="13">
        <f t="shared" si="4"/>
        <v>0</v>
      </c>
      <c r="BI6" s="13">
        <f t="shared" ref="BI6:BT6" si="5">ROUND($AY$6*BI5/$AZ$5,2)</f>
        <v>0</v>
      </c>
      <c r="BJ6" s="13">
        <f t="shared" si="5"/>
        <v>0</v>
      </c>
      <c r="BK6" s="13">
        <f t="shared" si="5"/>
        <v>0</v>
      </c>
      <c r="BL6" s="13">
        <f t="shared" si="5"/>
        <v>0</v>
      </c>
      <c r="BM6" s="13">
        <f t="shared" si="5"/>
        <v>0</v>
      </c>
      <c r="BN6" s="13">
        <f t="shared" si="5"/>
        <v>0</v>
      </c>
      <c r="BO6" s="13">
        <f t="shared" si="5"/>
        <v>0</v>
      </c>
      <c r="BP6" s="13">
        <f t="shared" si="5"/>
        <v>0</v>
      </c>
      <c r="BQ6" s="13">
        <f t="shared" si="5"/>
        <v>0</v>
      </c>
      <c r="BR6" s="13">
        <f t="shared" si="5"/>
        <v>0</v>
      </c>
      <c r="BS6" s="13">
        <f t="shared" si="5"/>
        <v>0</v>
      </c>
      <c r="BT6" s="19">
        <f t="shared" si="5"/>
        <v>0</v>
      </c>
    </row>
    <row r="7" spans="1:72" s="1575" customFormat="1" ht="24.75">
      <c r="A7" s="1565" t="s">
        <v>1073</v>
      </c>
      <c r="B7" s="1565" t="s">
        <v>1074</v>
      </c>
      <c r="C7" s="1565" t="s">
        <v>1075</v>
      </c>
      <c r="D7" s="1565" t="s">
        <v>1076</v>
      </c>
      <c r="E7" s="1565" t="s">
        <v>1077</v>
      </c>
      <c r="F7" s="1565" t="s">
        <v>1078</v>
      </c>
      <c r="G7" s="1586" t="s">
        <v>1079</v>
      </c>
      <c r="H7" s="1587"/>
      <c r="I7" s="1587"/>
      <c r="J7" s="1587"/>
      <c r="K7" s="1587"/>
      <c r="L7" s="1587"/>
      <c r="M7" s="1587"/>
      <c r="N7" s="1587"/>
      <c r="O7" s="1587"/>
      <c r="P7" s="1587"/>
      <c r="Q7" s="1587"/>
      <c r="R7" s="1587"/>
      <c r="S7" s="1587"/>
      <c r="T7" s="1587"/>
      <c r="U7" s="1587"/>
      <c r="V7" s="1587"/>
      <c r="W7" s="1587"/>
      <c r="X7" s="1587"/>
      <c r="Y7" s="1587"/>
      <c r="Z7" s="1587"/>
      <c r="AA7" s="1587"/>
      <c r="AB7" s="1587"/>
      <c r="AC7" s="1587"/>
      <c r="AD7" s="1587"/>
      <c r="AE7" s="1587"/>
      <c r="AF7" s="1587"/>
      <c r="AG7" s="1587"/>
      <c r="AH7" s="1587"/>
      <c r="AI7" s="1587"/>
      <c r="AJ7" s="1587"/>
      <c r="AK7" s="1587"/>
      <c r="AL7" s="1587"/>
      <c r="AM7" s="1587"/>
      <c r="AN7" s="1587"/>
      <c r="AO7" s="1587"/>
      <c r="AP7" s="1587"/>
      <c r="AQ7" s="1587"/>
      <c r="AR7" s="1587"/>
      <c r="AS7" s="1587"/>
      <c r="AT7" s="1345"/>
      <c r="AU7" s="1587" t="s">
        <v>1080</v>
      </c>
      <c r="AV7" s="20" t="s">
        <v>1081</v>
      </c>
      <c r="AW7" s="1574" t="s">
        <v>1082</v>
      </c>
      <c r="AX7" s="20" t="s">
        <v>1075</v>
      </c>
      <c r="AY7" s="1343" t="s">
        <v>1083</v>
      </c>
      <c r="AZ7" s="1588"/>
      <c r="BA7" s="1587"/>
      <c r="BB7" s="1587"/>
      <c r="BC7" s="1587"/>
      <c r="BD7" s="1587"/>
      <c r="BE7" s="1587"/>
      <c r="BF7" s="1587"/>
      <c r="BG7" s="1587"/>
      <c r="BH7" s="1587"/>
      <c r="BI7" s="1587"/>
      <c r="BJ7" s="1587"/>
      <c r="BK7" s="1587"/>
      <c r="BL7" s="1587"/>
      <c r="BM7" s="1587"/>
      <c r="BN7" s="1587"/>
      <c r="BO7" s="1587"/>
      <c r="BP7" s="1587"/>
      <c r="BQ7" s="1587"/>
      <c r="BR7" s="1587"/>
      <c r="BS7" s="1587"/>
      <c r="BT7" s="1589"/>
    </row>
    <row r="8" spans="1:72" s="1597" customFormat="1" ht="24">
      <c r="A8" s="1590"/>
      <c r="B8" s="1590"/>
      <c r="C8" s="1590"/>
      <c r="D8" s="1590"/>
      <c r="E8" s="1590"/>
      <c r="F8" s="1590"/>
      <c r="G8" s="1591" t="s">
        <v>1084</v>
      </c>
      <c r="H8" s="1592" t="s">
        <v>1085</v>
      </c>
      <c r="I8" s="1593"/>
      <c r="J8" s="1356"/>
      <c r="K8" s="1356"/>
      <c r="L8" s="1356"/>
      <c r="M8" s="1356"/>
      <c r="N8" s="1356"/>
      <c r="O8" s="1356"/>
      <c r="P8" s="1356"/>
      <c r="Q8" s="1356"/>
      <c r="R8" s="1356"/>
      <c r="S8" s="1356"/>
      <c r="T8" s="1356"/>
      <c r="U8" s="1356"/>
      <c r="V8" s="1594"/>
      <c r="W8" s="1356"/>
      <c r="X8" s="1356"/>
      <c r="Y8" s="1356"/>
      <c r="Z8" s="1356"/>
      <c r="AA8" s="1594"/>
      <c r="AB8" s="1595"/>
      <c r="AC8" s="805" t="s">
        <v>1086</v>
      </c>
      <c r="AD8" s="1596"/>
      <c r="AE8" s="1588"/>
      <c r="AF8" s="1356"/>
      <c r="AG8" s="1356"/>
      <c r="AH8" s="1356"/>
      <c r="AI8" s="1356"/>
      <c r="AJ8" s="1356"/>
      <c r="AK8" s="1356"/>
      <c r="AL8" s="1356"/>
      <c r="AM8" s="1356"/>
      <c r="AN8" s="1356"/>
      <c r="AO8" s="1356"/>
      <c r="AP8" s="1356"/>
      <c r="AQ8" s="1356"/>
      <c r="AR8" s="1356"/>
      <c r="AS8" s="1356"/>
      <c r="AT8" s="1066" t="s">
        <v>1087</v>
      </c>
      <c r="AU8" s="1590" t="s">
        <v>1088</v>
      </c>
      <c r="AV8" s="1066"/>
      <c r="AW8" s="1573"/>
      <c r="AX8" s="1066"/>
      <c r="AY8" s="1574" t="s">
        <v>1089</v>
      </c>
      <c r="AZ8" s="1355" t="s">
        <v>1090</v>
      </c>
      <c r="BA8" s="1356"/>
      <c r="BB8" s="1356"/>
      <c r="BC8" s="1356"/>
      <c r="BD8" s="1356"/>
      <c r="BE8" s="1356"/>
      <c r="BF8" s="1356"/>
      <c r="BG8" s="1356"/>
      <c r="BH8" s="1356"/>
      <c r="BI8" s="1356"/>
      <c r="BJ8" s="1356"/>
      <c r="BK8" s="1356"/>
      <c r="BL8" s="1356"/>
      <c r="BM8" s="1356"/>
      <c r="BN8" s="1356"/>
      <c r="BO8" s="1356"/>
      <c r="BP8" s="1356"/>
      <c r="BQ8" s="1356"/>
      <c r="BR8" s="1356"/>
      <c r="BS8" s="1356"/>
      <c r="BT8" s="23"/>
    </row>
    <row r="9" spans="1:72" s="1597" customFormat="1" ht="12.75">
      <c r="A9" s="1590"/>
      <c r="B9" s="1590"/>
      <c r="C9" s="1590"/>
      <c r="D9" s="1590"/>
      <c r="E9" s="1590"/>
      <c r="F9" s="1590"/>
      <c r="G9" s="1066"/>
      <c r="H9" s="1598" t="s">
        <v>1091</v>
      </c>
      <c r="I9" s="1599" t="s">
        <v>3389</v>
      </c>
      <c r="J9" s="805"/>
      <c r="K9" s="1599"/>
      <c r="L9" s="805"/>
      <c r="M9" s="1599"/>
      <c r="N9" s="805"/>
      <c r="O9" s="1599"/>
      <c r="P9" s="805"/>
      <c r="Q9" s="1599"/>
      <c r="R9" s="805"/>
      <c r="S9" s="1599"/>
      <c r="T9" s="805"/>
      <c r="U9" s="1599"/>
      <c r="V9" s="805"/>
      <c r="W9" s="1599"/>
      <c r="X9" s="1600"/>
      <c r="Y9" s="1599"/>
      <c r="Z9" s="805"/>
      <c r="AA9" s="1599"/>
      <c r="AB9" s="805"/>
      <c r="AC9" s="1591" t="s">
        <v>1091</v>
      </c>
      <c r="AD9" s="12" t="s">
        <v>1092</v>
      </c>
      <c r="AE9" s="1072"/>
      <c r="AF9" s="12" t="s">
        <v>1093</v>
      </c>
      <c r="AG9" s="1072"/>
      <c r="AH9" s="12" t="s">
        <v>1092</v>
      </c>
      <c r="AI9" s="1072"/>
      <c r="AJ9" s="12" t="s">
        <v>1093</v>
      </c>
      <c r="AK9" s="1072"/>
      <c r="AL9" s="12" t="s">
        <v>1092</v>
      </c>
      <c r="AM9" s="1072"/>
      <c r="AN9" s="12" t="s">
        <v>1093</v>
      </c>
      <c r="AO9" s="1072"/>
      <c r="AP9" s="12" t="s">
        <v>1092</v>
      </c>
      <c r="AQ9" s="1072"/>
      <c r="AR9" s="12" t="s">
        <v>1093</v>
      </c>
      <c r="AS9" s="1601"/>
      <c r="AT9" s="1590"/>
      <c r="AU9" s="1590" t="s">
        <v>1094</v>
      </c>
      <c r="AV9" s="1066"/>
      <c r="AW9" s="1573"/>
      <c r="AX9" s="1066"/>
      <c r="AY9" s="25"/>
      <c r="AZ9" s="25" t="s">
        <v>1084</v>
      </c>
      <c r="BA9" s="1602" t="s">
        <v>1095</v>
      </c>
      <c r="BB9" s="1603"/>
      <c r="BC9" s="1084"/>
      <c r="BD9" s="1084"/>
      <c r="BE9" s="1084"/>
      <c r="BF9" s="1084"/>
      <c r="BG9" s="1084"/>
      <c r="BH9" s="1084"/>
      <c r="BI9" s="1084"/>
      <c r="BJ9" s="1084"/>
      <c r="BK9" s="1604"/>
      <c r="BL9" s="12" t="s">
        <v>1096</v>
      </c>
      <c r="BM9" s="1356"/>
      <c r="BN9" s="1593"/>
      <c r="BO9" s="1356"/>
      <c r="BP9" s="1356"/>
      <c r="BQ9" s="1356"/>
      <c r="BR9" s="1356"/>
      <c r="BS9" s="1356"/>
      <c r="BT9" s="23"/>
    </row>
    <row r="10" spans="1:72" s="1597" customFormat="1" ht="12.75">
      <c r="A10" s="1590"/>
      <c r="B10" s="1590"/>
      <c r="C10" s="1590"/>
      <c r="D10" s="1590"/>
      <c r="E10" s="1590"/>
      <c r="F10" s="1590"/>
      <c r="G10" s="1066"/>
      <c r="H10" s="25"/>
      <c r="I10" s="1599" t="s">
        <v>3390</v>
      </c>
      <c r="J10" s="805"/>
      <c r="K10" s="1605"/>
      <c r="L10" s="805"/>
      <c r="M10" s="1605"/>
      <c r="N10" s="805"/>
      <c r="O10" s="1605"/>
      <c r="P10" s="805"/>
      <c r="Q10" s="1605"/>
      <c r="R10" s="805"/>
      <c r="S10" s="1605"/>
      <c r="T10" s="805"/>
      <c r="U10" s="1605"/>
      <c r="V10" s="805"/>
      <c r="W10" s="1605"/>
      <c r="X10" s="805"/>
      <c r="Y10" s="1605"/>
      <c r="Z10" s="805"/>
      <c r="AA10" s="1605"/>
      <c r="AB10" s="805"/>
      <c r="AC10" s="1066"/>
      <c r="AD10" s="12" t="s">
        <v>1097</v>
      </c>
      <c r="AE10" s="1606"/>
      <c r="AF10" s="12" t="s">
        <v>1097</v>
      </c>
      <c r="AG10" s="1606"/>
      <c r="AH10" s="12" t="s">
        <v>1098</v>
      </c>
      <c r="AI10" s="1606"/>
      <c r="AJ10" s="12" t="s">
        <v>1098</v>
      </c>
      <c r="AK10" s="1606"/>
      <c r="AL10" s="12" t="s">
        <v>1099</v>
      </c>
      <c r="AM10" s="1072"/>
      <c r="AN10" s="12" t="s">
        <v>1099</v>
      </c>
      <c r="AO10" s="1072"/>
      <c r="AP10" s="12" t="s">
        <v>1100</v>
      </c>
      <c r="AQ10" s="1072"/>
      <c r="AR10" s="12" t="s">
        <v>1100</v>
      </c>
      <c r="AS10" s="1072"/>
      <c r="AT10" s="1590"/>
      <c r="AU10" s="1590"/>
      <c r="AV10" s="1066"/>
      <c r="AW10" s="1573"/>
      <c r="AX10" s="1066"/>
      <c r="AY10" s="25"/>
      <c r="AZ10" s="25"/>
      <c r="BA10" s="1607" t="s">
        <v>1091</v>
      </c>
      <c r="BB10" s="1608" t="str">
        <f>I9</f>
        <v>地上</v>
      </c>
      <c r="BC10" s="26">
        <f>K9</f>
        <v>0</v>
      </c>
      <c r="BD10" s="26">
        <f>M9</f>
        <v>0</v>
      </c>
      <c r="BE10" s="26">
        <f>O9</f>
        <v>0</v>
      </c>
      <c r="BF10" s="26">
        <f>Q9</f>
        <v>0</v>
      </c>
      <c r="BG10" s="26">
        <f>S9</f>
        <v>0</v>
      </c>
      <c r="BH10" s="26">
        <f>U9</f>
        <v>0</v>
      </c>
      <c r="BI10" s="26">
        <f>W9</f>
        <v>0</v>
      </c>
      <c r="BJ10" s="26">
        <f>Y9</f>
        <v>0</v>
      </c>
      <c r="BK10" s="26">
        <f>AA9</f>
        <v>0</v>
      </c>
      <c r="BL10" s="22" t="s">
        <v>1091</v>
      </c>
      <c r="BM10" s="1355" t="str">
        <f>AD9</f>
        <v>地上</v>
      </c>
      <c r="BN10" s="26" t="str">
        <f>AF9</f>
        <v>地下</v>
      </c>
      <c r="BO10" s="1355" t="str">
        <f>AH9</f>
        <v>地上</v>
      </c>
      <c r="BP10" s="26" t="str">
        <f>AJ9</f>
        <v>地下</v>
      </c>
      <c r="BQ10" s="1355" t="str">
        <f>AL9</f>
        <v>地上</v>
      </c>
      <c r="BR10" s="26" t="str">
        <f>AN9</f>
        <v>地下</v>
      </c>
      <c r="BS10" s="1355" t="str">
        <f>AP9</f>
        <v>地上</v>
      </c>
      <c r="BT10" s="1609" t="str">
        <f>AR9</f>
        <v>地下</v>
      </c>
    </row>
    <row r="11" spans="1:72" s="1597" customFormat="1" ht="12.75">
      <c r="A11" s="1590"/>
      <c r="B11" s="1590"/>
      <c r="C11" s="1590"/>
      <c r="D11" s="1590"/>
      <c r="E11" s="1590"/>
      <c r="F11" s="1590"/>
      <c r="G11" s="1066"/>
      <c r="H11" s="1607"/>
      <c r="I11" s="1610"/>
      <c r="J11" s="1611"/>
      <c r="K11" s="1610"/>
      <c r="L11" s="1611"/>
      <c r="M11" s="1610"/>
      <c r="N11" s="1611"/>
      <c r="O11" s="1610"/>
      <c r="P11" s="1611"/>
      <c r="Q11" s="1610"/>
      <c r="R11" s="1611"/>
      <c r="S11" s="1610"/>
      <c r="T11" s="1611"/>
      <c r="U11" s="1610"/>
      <c r="V11" s="1611"/>
      <c r="W11" s="1610"/>
      <c r="X11" s="1611"/>
      <c r="Y11" s="1610"/>
      <c r="Z11" s="1611"/>
      <c r="AA11" s="1610"/>
      <c r="AB11" s="1611"/>
      <c r="AC11" s="1066"/>
      <c r="AD11" s="1612" t="s">
        <v>1101</v>
      </c>
      <c r="AE11" s="1357"/>
      <c r="AF11" s="1612" t="s">
        <v>1101</v>
      </c>
      <c r="AG11" s="1357"/>
      <c r="AH11" s="1612" t="s">
        <v>1102</v>
      </c>
      <c r="AI11" s="1613"/>
      <c r="AJ11" s="1612" t="s">
        <v>1102</v>
      </c>
      <c r="AK11" s="1357"/>
      <c r="AL11" s="1355"/>
      <c r="AM11" s="1357"/>
      <c r="AN11" s="1355"/>
      <c r="AO11" s="1357"/>
      <c r="AP11" s="1355"/>
      <c r="AQ11" s="1357"/>
      <c r="AR11" s="1355"/>
      <c r="AS11" s="1357"/>
      <c r="AT11" s="1573"/>
      <c r="AU11" s="1590"/>
      <c r="AV11" s="1066"/>
      <c r="AW11" s="1573"/>
      <c r="AX11" s="1066"/>
      <c r="AY11" s="25"/>
      <c r="AZ11" s="25"/>
      <c r="BA11" s="25"/>
      <c r="BB11" s="1595" t="str">
        <f>I10</f>
        <v>住宅</v>
      </c>
      <c r="BC11" s="1595">
        <f>K10</f>
        <v>0</v>
      </c>
      <c r="BD11" s="1595">
        <f>M10</f>
        <v>0</v>
      </c>
      <c r="BE11" s="1595">
        <f>O10</f>
        <v>0</v>
      </c>
      <c r="BF11" s="1595">
        <f>Q10</f>
        <v>0</v>
      </c>
      <c r="BG11" s="1595">
        <f>S10</f>
        <v>0</v>
      </c>
      <c r="BH11" s="1595">
        <f>U10</f>
        <v>0</v>
      </c>
      <c r="BI11" s="1595">
        <f>W10</f>
        <v>0</v>
      </c>
      <c r="BJ11" s="1595">
        <f>Y10</f>
        <v>0</v>
      </c>
      <c r="BK11" s="1595">
        <f>AA10</f>
        <v>0</v>
      </c>
      <c r="BL11" s="1066"/>
      <c r="BM11" s="1355" t="str">
        <f>AD10</f>
        <v>公共配套设施</v>
      </c>
      <c r="BN11" s="1355" t="str">
        <f>AF10</f>
        <v>公共配套设施</v>
      </c>
      <c r="BO11" s="21" t="str">
        <f>AH10</f>
        <v>物业管理用房</v>
      </c>
      <c r="BP11" s="21" t="str">
        <f>AJ10</f>
        <v>物业管理用房</v>
      </c>
      <c r="BQ11" s="21" t="str">
        <f>AL10</f>
        <v>设备及其他</v>
      </c>
      <c r="BR11" s="21" t="str">
        <f>AN10</f>
        <v>设备及其他</v>
      </c>
      <c r="BS11" s="22" t="str">
        <f>AP10</f>
        <v>未注明</v>
      </c>
      <c r="BT11" s="1614" t="str">
        <f>AR10</f>
        <v>未注明</v>
      </c>
    </row>
    <row r="12" spans="1:72" s="1575" customFormat="1" ht="12.75">
      <c r="A12" s="1615"/>
      <c r="B12" s="1615"/>
      <c r="C12" s="1615"/>
      <c r="D12" s="1615"/>
      <c r="E12" s="1615"/>
      <c r="F12" s="1615"/>
      <c r="G12" s="27"/>
      <c r="H12" s="1616"/>
      <c r="I12" s="1345" t="s">
        <v>1103</v>
      </c>
      <c r="J12" s="8" t="s">
        <v>1104</v>
      </c>
      <c r="K12" s="8" t="s">
        <v>1103</v>
      </c>
      <c r="L12" s="8" t="s">
        <v>1104</v>
      </c>
      <c r="M12" s="8" t="s">
        <v>1103</v>
      </c>
      <c r="N12" s="8" t="s">
        <v>1104</v>
      </c>
      <c r="O12" s="8" t="s">
        <v>1103</v>
      </c>
      <c r="P12" s="8" t="s">
        <v>1104</v>
      </c>
      <c r="Q12" s="8" t="s">
        <v>1103</v>
      </c>
      <c r="R12" s="8" t="s">
        <v>1104</v>
      </c>
      <c r="S12" s="8" t="s">
        <v>1103</v>
      </c>
      <c r="T12" s="8" t="s">
        <v>1104</v>
      </c>
      <c r="U12" s="8" t="s">
        <v>1103</v>
      </c>
      <c r="V12" s="1342" t="s">
        <v>1104</v>
      </c>
      <c r="W12" s="8" t="s">
        <v>1103</v>
      </c>
      <c r="X12" s="8" t="s">
        <v>1104</v>
      </c>
      <c r="Y12" s="8" t="s">
        <v>1103</v>
      </c>
      <c r="Z12" s="8" t="s">
        <v>1104</v>
      </c>
      <c r="AA12" s="8" t="s">
        <v>1103</v>
      </c>
      <c r="AB12" s="8" t="s">
        <v>1104</v>
      </c>
      <c r="AC12" s="1617"/>
      <c r="AD12" s="1345" t="s">
        <v>1103</v>
      </c>
      <c r="AE12" s="8" t="s">
        <v>1104</v>
      </c>
      <c r="AF12" s="8" t="s">
        <v>1103</v>
      </c>
      <c r="AG12" s="8" t="s">
        <v>1104</v>
      </c>
      <c r="AH12" s="8" t="s">
        <v>1103</v>
      </c>
      <c r="AI12" s="8" t="s">
        <v>1104</v>
      </c>
      <c r="AJ12" s="8" t="s">
        <v>1103</v>
      </c>
      <c r="AK12" s="8" t="s">
        <v>1104</v>
      </c>
      <c r="AL12" s="8" t="s">
        <v>1103</v>
      </c>
      <c r="AM12" s="8" t="s">
        <v>1104</v>
      </c>
      <c r="AN12" s="8" t="s">
        <v>1103</v>
      </c>
      <c r="AO12" s="8" t="s">
        <v>1104</v>
      </c>
      <c r="AP12" s="8" t="s">
        <v>1103</v>
      </c>
      <c r="AQ12" s="8" t="s">
        <v>1104</v>
      </c>
      <c r="AR12" s="27" t="s">
        <v>1103</v>
      </c>
      <c r="AS12" s="1615" t="s">
        <v>1104</v>
      </c>
      <c r="AT12" s="1618"/>
      <c r="AU12" s="1615"/>
      <c r="AV12" s="28"/>
      <c r="AW12" s="1574"/>
      <c r="AX12" s="28"/>
      <c r="AY12" s="1619"/>
      <c r="AZ12" s="25"/>
      <c r="BA12" s="1607"/>
      <c r="BB12" s="21">
        <f>I11</f>
        <v>0</v>
      </c>
      <c r="BC12" s="1620">
        <f>K11</f>
        <v>0</v>
      </c>
      <c r="BD12" s="1620">
        <f>M11</f>
        <v>0</v>
      </c>
      <c r="BE12" s="1595">
        <f>O11</f>
        <v>0</v>
      </c>
      <c r="BF12" s="1595">
        <f>Q11</f>
        <v>0</v>
      </c>
      <c r="BG12" s="1595">
        <f>S11</f>
        <v>0</v>
      </c>
      <c r="BH12" s="1595">
        <f>U11</f>
        <v>0</v>
      </c>
      <c r="BI12" s="1595">
        <f>W11</f>
        <v>0</v>
      </c>
      <c r="BJ12" s="1595">
        <f>Y11</f>
        <v>0</v>
      </c>
      <c r="BK12" s="1595">
        <f>AA11</f>
        <v>0</v>
      </c>
      <c r="BL12" s="1066"/>
      <c r="BM12" s="1355" t="str">
        <f>AD11</f>
        <v>（住宅）</v>
      </c>
      <c r="BN12" s="1355" t="str">
        <f>AF11</f>
        <v>（住宅）</v>
      </c>
      <c r="BO12" s="21" t="str">
        <f>AH11</f>
        <v>（住宅、计出让金）</v>
      </c>
      <c r="BP12" s="21" t="str">
        <f>AJ11</f>
        <v>（住宅、计出让金）</v>
      </c>
      <c r="BQ12" s="21">
        <f>AL11</f>
        <v>0</v>
      </c>
      <c r="BR12" s="21">
        <f>AN11</f>
        <v>0</v>
      </c>
      <c r="BS12" s="22">
        <f>AP11</f>
        <v>0</v>
      </c>
      <c r="BT12" s="1614">
        <f>AR11</f>
        <v>0</v>
      </c>
    </row>
    <row r="13" spans="1:72" s="1575" customFormat="1" ht="12.75">
      <c r="A13" s="1047"/>
      <c r="B13" s="1047"/>
      <c r="C13" s="1047"/>
      <c r="D13" s="1621" t="s">
        <v>3391</v>
      </c>
      <c r="E13" s="13">
        <f>IF($C$3="是",ROUND($A$3*G13/$B$3,2),ROUND($A$3*(G13-AT13)/$B$3,2))</f>
        <v>0.45</v>
      </c>
      <c r="F13" s="29"/>
      <c r="G13" s="30">
        <f>H13+AC13+AT13</f>
        <v>1</v>
      </c>
      <c r="H13" s="17">
        <f>SUMIF(I$12:AB$12,"总值",I13:AB13)</f>
        <v>1</v>
      </c>
      <c r="I13" s="1622">
        <v>1</v>
      </c>
      <c r="J13" s="1622"/>
      <c r="K13" s="1622"/>
      <c r="L13" s="1622"/>
      <c r="M13" s="1622"/>
      <c r="N13" s="1622"/>
      <c r="O13" s="1622"/>
      <c r="P13" s="1622"/>
      <c r="Q13" s="1622"/>
      <c r="R13" s="1622"/>
      <c r="S13" s="1622"/>
      <c r="T13" s="1622"/>
      <c r="U13" s="1622"/>
      <c r="V13" s="1622"/>
      <c r="W13" s="1622"/>
      <c r="X13" s="1622"/>
      <c r="Y13" s="1622"/>
      <c r="Z13" s="1622"/>
      <c r="AA13" s="1622"/>
      <c r="AB13" s="1622"/>
      <c r="AC13" s="13">
        <f>SUMIF(AD$12:AS$12,"总值",AD13:AS13)</f>
        <v>0</v>
      </c>
      <c r="AD13" s="1623"/>
      <c r="AE13" s="1623"/>
      <c r="AF13" s="1623"/>
      <c r="AG13" s="1623"/>
      <c r="AH13" s="1623"/>
      <c r="AI13" s="1623"/>
      <c r="AJ13" s="1623"/>
      <c r="AK13" s="1623"/>
      <c r="AL13" s="1623"/>
      <c r="AM13" s="1623"/>
      <c r="AN13" s="1623"/>
      <c r="AO13" s="1623"/>
      <c r="AP13" s="1623"/>
      <c r="AQ13" s="1623"/>
      <c r="AR13" s="1623"/>
      <c r="AS13" s="1623"/>
      <c r="AT13" s="1624"/>
      <c r="AU13" s="1625"/>
      <c r="AV13" s="8">
        <f t="shared" ref="AV13:AX17" si="6">A13</f>
        <v>0</v>
      </c>
      <c r="AW13" s="8">
        <f t="shared" si="6"/>
        <v>0</v>
      </c>
      <c r="AX13" s="8">
        <f t="shared" si="6"/>
        <v>0</v>
      </c>
      <c r="AY13" s="1345">
        <f>ROUND($AY$6*AZ13/$AZ$5,2)</f>
        <v>0.45</v>
      </c>
      <c r="AZ13" s="13">
        <f>BA13+BL13</f>
        <v>1</v>
      </c>
      <c r="BA13" s="13">
        <f>SUM(BB13:BK13)</f>
        <v>1</v>
      </c>
      <c r="BB13" s="13">
        <f>IF($D13="是",I13-J13,0)</f>
        <v>1</v>
      </c>
      <c r="BC13" s="13">
        <f>IF($D13="是",K13-L13,0)</f>
        <v>0</v>
      </c>
      <c r="BD13" s="13">
        <f>IF($D13="是",M13-N13,0)</f>
        <v>0</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0</v>
      </c>
      <c r="BM13" s="13">
        <f>IF($D13="是",AD13-AE13,0)</f>
        <v>0</v>
      </c>
      <c r="BN13" s="13">
        <f>IF($D13="是",AF13-AG13,0)</f>
        <v>0</v>
      </c>
      <c r="BO13" s="13">
        <f>IF($D13="是",AH13-AI13,0)</f>
        <v>0</v>
      </c>
      <c r="BP13" s="13">
        <f>IF($D13="是",AJ13-AK13,0)</f>
        <v>0</v>
      </c>
      <c r="BQ13" s="13">
        <f>IF($D13="是",AL13-AM13,0)</f>
        <v>0</v>
      </c>
      <c r="BR13" s="13">
        <f>IF($D13="是",AN13-AO13,0)</f>
        <v>0</v>
      </c>
      <c r="BS13" s="13">
        <f>IF($D13="是",AP13-AQ13,0)</f>
        <v>0</v>
      </c>
      <c r="BT13" s="19">
        <f>IF($D13="是",AR13-AS13,0)</f>
        <v>0</v>
      </c>
    </row>
    <row r="14" spans="1:72" s="1575" customFormat="1" ht="12.75">
      <c r="A14" s="1047"/>
      <c r="B14" s="1047"/>
      <c r="C14" s="1566"/>
      <c r="D14" s="1621"/>
      <c r="E14" s="13">
        <f>IF($C$3="是",ROUND($A$3*G14/$B$3,2),ROUND($A$3*(G14-AT14)/$B$3,2))</f>
        <v>0</v>
      </c>
      <c r="F14" s="29"/>
      <c r="G14" s="30">
        <f>H14+AC14+AT14</f>
        <v>0</v>
      </c>
      <c r="H14" s="17">
        <f>SUMIF(I$12:AB$12,"总值",I14:AB14)</f>
        <v>0</v>
      </c>
      <c r="I14" s="1622"/>
      <c r="J14" s="1622"/>
      <c r="K14" s="1622"/>
      <c r="L14" s="1622"/>
      <c r="M14" s="1622"/>
      <c r="N14" s="1622"/>
      <c r="O14" s="1622"/>
      <c r="P14" s="1622"/>
      <c r="Q14" s="1622"/>
      <c r="R14" s="1622"/>
      <c r="S14" s="1622"/>
      <c r="T14" s="1622"/>
      <c r="U14" s="1622"/>
      <c r="V14" s="1622"/>
      <c r="W14" s="1622"/>
      <c r="X14" s="1622"/>
      <c r="Y14" s="1622"/>
      <c r="Z14" s="1622"/>
      <c r="AA14" s="1622"/>
      <c r="AB14" s="1622"/>
      <c r="AC14" s="13">
        <f>SUMIF(AD$12:AS$12,"总值",AD14:AS14)</f>
        <v>0</v>
      </c>
      <c r="AD14" s="1623"/>
      <c r="AE14" s="1623"/>
      <c r="AF14" s="1623"/>
      <c r="AG14" s="1623"/>
      <c r="AH14" s="1623"/>
      <c r="AI14" s="1623"/>
      <c r="AJ14" s="1623"/>
      <c r="AK14" s="1623"/>
      <c r="AL14" s="1623"/>
      <c r="AM14" s="1623"/>
      <c r="AN14" s="1623"/>
      <c r="AO14" s="1623"/>
      <c r="AP14" s="1623"/>
      <c r="AQ14" s="1623"/>
      <c r="AR14" s="1623"/>
      <c r="AS14" s="1623"/>
      <c r="AT14" s="1624"/>
      <c r="AU14" s="1625"/>
      <c r="AV14" s="8">
        <f t="shared" si="6"/>
        <v>0</v>
      </c>
      <c r="AW14" s="8">
        <f t="shared" si="6"/>
        <v>0</v>
      </c>
      <c r="AX14" s="8">
        <f t="shared" si="6"/>
        <v>0</v>
      </c>
      <c r="AY14" s="1345">
        <f>ROUND($AY$6*AZ14/$AZ$5,2)</f>
        <v>0</v>
      </c>
      <c r="AZ14" s="13">
        <f>BA14+BL14</f>
        <v>0</v>
      </c>
      <c r="BA14" s="13">
        <f>SUM(BB14:BK14)</f>
        <v>0</v>
      </c>
      <c r="BB14" s="13">
        <f>IF($D14="是",I14-J14,0)</f>
        <v>0</v>
      </c>
      <c r="BC14" s="13">
        <f>IF($D14="是",K14-L14,0)</f>
        <v>0</v>
      </c>
      <c r="BD14" s="13">
        <f>IF($D14="是",M14-N14,0)</f>
        <v>0</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575" customFormat="1" ht="12.75">
      <c r="A15" s="1047"/>
      <c r="B15" s="1047"/>
      <c r="C15" s="1566"/>
      <c r="D15" s="1621"/>
      <c r="E15" s="13">
        <f>IF($C$3="是",ROUND($A$3*G15/$B$3,2),ROUND($A$3*(G15-AT15)/$B$3,2))</f>
        <v>0</v>
      </c>
      <c r="F15" s="29"/>
      <c r="G15" s="30">
        <f>H15+AC15+AT15</f>
        <v>0</v>
      </c>
      <c r="H15" s="17">
        <f>SUMIF(I$12:AB$12,"总值",I15:AB15)</f>
        <v>0</v>
      </c>
      <c r="I15" s="1622"/>
      <c r="J15" s="1622"/>
      <c r="K15" s="1622"/>
      <c r="L15" s="1622"/>
      <c r="M15" s="1622"/>
      <c r="N15" s="1622"/>
      <c r="O15" s="1622"/>
      <c r="P15" s="1622"/>
      <c r="Q15" s="1622"/>
      <c r="R15" s="1622"/>
      <c r="S15" s="1622"/>
      <c r="T15" s="1622"/>
      <c r="U15" s="1622"/>
      <c r="V15" s="1622"/>
      <c r="W15" s="1622"/>
      <c r="X15" s="1622"/>
      <c r="Y15" s="1622"/>
      <c r="Z15" s="1622"/>
      <c r="AA15" s="1622"/>
      <c r="AB15" s="1622"/>
      <c r="AC15" s="13">
        <f>SUMIF(AD$12:AS$12,"总值",AD15:AS15)</f>
        <v>0</v>
      </c>
      <c r="AD15" s="1623"/>
      <c r="AE15" s="1623"/>
      <c r="AF15" s="1623"/>
      <c r="AG15" s="1623"/>
      <c r="AH15" s="1623"/>
      <c r="AI15" s="1623"/>
      <c r="AJ15" s="1623"/>
      <c r="AK15" s="1623"/>
      <c r="AL15" s="1623"/>
      <c r="AM15" s="1623"/>
      <c r="AN15" s="1623"/>
      <c r="AO15" s="1623"/>
      <c r="AP15" s="1623"/>
      <c r="AQ15" s="1623"/>
      <c r="AR15" s="1623"/>
      <c r="AS15" s="1623"/>
      <c r="AT15" s="1624"/>
      <c r="AU15" s="1625"/>
      <c r="AV15" s="8">
        <f t="shared" si="6"/>
        <v>0</v>
      </c>
      <c r="AW15" s="8">
        <f t="shared" si="6"/>
        <v>0</v>
      </c>
      <c r="AX15" s="8">
        <f t="shared" si="6"/>
        <v>0</v>
      </c>
      <c r="AY15" s="1345">
        <f>ROUND($AY$6*AZ15/$AZ$5,2)</f>
        <v>0</v>
      </c>
      <c r="AZ15" s="13">
        <f>BA15+BL15</f>
        <v>0</v>
      </c>
      <c r="BA15" s="13">
        <f>SUM(BB15:BK15)</f>
        <v>0</v>
      </c>
      <c r="BB15" s="13">
        <f>IF($D15="是",I15-J15,0)</f>
        <v>0</v>
      </c>
      <c r="BC15" s="13">
        <f>IF($D15="是",K15-L15,0)</f>
        <v>0</v>
      </c>
      <c r="BD15" s="13">
        <f>IF($D15="是",M15-N15,0)</f>
        <v>0</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0</v>
      </c>
      <c r="BM15" s="13">
        <f>IF($D15="是",AD15-AE15,0)</f>
        <v>0</v>
      </c>
      <c r="BN15" s="13">
        <f>IF($D15="是",AF15-AG15,0)</f>
        <v>0</v>
      </c>
      <c r="BO15" s="13">
        <f>IF($D15="是",AH15-AI15,0)</f>
        <v>0</v>
      </c>
      <c r="BP15" s="13">
        <f>IF($D15="是",AJ15-AK15,0)</f>
        <v>0</v>
      </c>
      <c r="BQ15" s="13">
        <f>IF($D15="是",AL15-AM15,0)</f>
        <v>0</v>
      </c>
      <c r="BR15" s="13">
        <f>IF($D15="是",AN15-AO15,0)</f>
        <v>0</v>
      </c>
      <c r="BS15" s="13">
        <f>IF($D15="是",AP15-AQ15,0)</f>
        <v>0</v>
      </c>
      <c r="BT15" s="19">
        <f>IF($D15="是",AR15-AS15,0)</f>
        <v>0</v>
      </c>
    </row>
    <row r="16" spans="1:72" s="1575" customFormat="1" ht="12.75">
      <c r="A16" s="1047"/>
      <c r="B16" s="1047"/>
      <c r="C16" s="1566"/>
      <c r="D16" s="1621"/>
      <c r="E16" s="13">
        <f>IF($C$3="是",ROUND($A$3*G16/$B$3,2),ROUND($A$3*(G16-AT16)/$B$3,2))</f>
        <v>0</v>
      </c>
      <c r="F16" s="29"/>
      <c r="G16" s="30">
        <f>H16+AC16+AT16</f>
        <v>0</v>
      </c>
      <c r="H16" s="17">
        <f>SUMIF(I$12:AB$12,"总值",I16:AB16)</f>
        <v>0</v>
      </c>
      <c r="I16" s="1622"/>
      <c r="J16" s="1622"/>
      <c r="K16" s="1622"/>
      <c r="L16" s="1622"/>
      <c r="M16" s="1622"/>
      <c r="N16" s="1622"/>
      <c r="O16" s="1622"/>
      <c r="P16" s="1622"/>
      <c r="Q16" s="1622"/>
      <c r="R16" s="1622"/>
      <c r="S16" s="1622"/>
      <c r="T16" s="1622"/>
      <c r="U16" s="1622"/>
      <c r="V16" s="1622"/>
      <c r="W16" s="1622"/>
      <c r="X16" s="1622"/>
      <c r="Y16" s="1622"/>
      <c r="Z16" s="1622"/>
      <c r="AA16" s="1622"/>
      <c r="AB16" s="1622"/>
      <c r="AC16" s="13">
        <f>SUMIF(AD$12:AS$12,"总值",AD16:AS16)</f>
        <v>0</v>
      </c>
      <c r="AD16" s="1623"/>
      <c r="AE16" s="1623"/>
      <c r="AF16" s="1623"/>
      <c r="AG16" s="1623"/>
      <c r="AH16" s="1623"/>
      <c r="AI16" s="1623"/>
      <c r="AJ16" s="1623"/>
      <c r="AK16" s="1623"/>
      <c r="AL16" s="1623"/>
      <c r="AM16" s="1623"/>
      <c r="AN16" s="1623"/>
      <c r="AO16" s="1623"/>
      <c r="AP16" s="1623"/>
      <c r="AQ16" s="1623"/>
      <c r="AR16" s="1623"/>
      <c r="AS16" s="1623"/>
      <c r="AT16" s="1624"/>
      <c r="AU16" s="1625"/>
      <c r="AV16" s="8">
        <f t="shared" si="6"/>
        <v>0</v>
      </c>
      <c r="AW16" s="8">
        <f t="shared" si="6"/>
        <v>0</v>
      </c>
      <c r="AX16" s="8">
        <f t="shared" si="6"/>
        <v>0</v>
      </c>
      <c r="AY16" s="1345">
        <f>ROUND($AY$6*AZ16/$AZ$5,2)</f>
        <v>0</v>
      </c>
      <c r="AZ16" s="13">
        <f>BA16+BL16</f>
        <v>0</v>
      </c>
      <c r="BA16" s="13">
        <f>SUM(BB16:BK16)</f>
        <v>0</v>
      </c>
      <c r="BB16" s="13">
        <f>IF($D16="是",I16-J16,0)</f>
        <v>0</v>
      </c>
      <c r="BC16" s="13">
        <f>IF($D16="是",K16-L16,0)</f>
        <v>0</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575" customFormat="1" ht="12.75">
      <c r="A17" s="1047"/>
      <c r="B17" s="1047"/>
      <c r="C17" s="1566"/>
      <c r="D17" s="1621"/>
      <c r="E17" s="13">
        <f>IF($C$3="是",ROUND($A$3*G17/$B$3,2),ROUND($A$3*(G17-AT17)/$B$3,2))</f>
        <v>0</v>
      </c>
      <c r="F17" s="29"/>
      <c r="G17" s="30">
        <f>H17+AC17+AT17</f>
        <v>0</v>
      </c>
      <c r="H17" s="17">
        <f>SUMIF(I$12:AB$12,"总值",I17:AB17)</f>
        <v>0</v>
      </c>
      <c r="I17" s="1622"/>
      <c r="J17" s="1622"/>
      <c r="K17" s="1622"/>
      <c r="L17" s="1622"/>
      <c r="M17" s="1622"/>
      <c r="N17" s="1622"/>
      <c r="O17" s="1622"/>
      <c r="P17" s="1622"/>
      <c r="Q17" s="1622"/>
      <c r="R17" s="1622"/>
      <c r="S17" s="1622"/>
      <c r="T17" s="1622"/>
      <c r="U17" s="1622"/>
      <c r="V17" s="1622"/>
      <c r="W17" s="1622"/>
      <c r="X17" s="1622"/>
      <c r="Y17" s="1622"/>
      <c r="Z17" s="1622"/>
      <c r="AA17" s="1622"/>
      <c r="AB17" s="1622"/>
      <c r="AC17" s="13">
        <f>SUMIF(AD$12:AS$12,"总值",AD17:AS17)</f>
        <v>0</v>
      </c>
      <c r="AD17" s="1623"/>
      <c r="AE17" s="1623"/>
      <c r="AF17" s="1623"/>
      <c r="AG17" s="1623"/>
      <c r="AH17" s="1623"/>
      <c r="AI17" s="1623"/>
      <c r="AJ17" s="1623"/>
      <c r="AK17" s="1623"/>
      <c r="AL17" s="1623"/>
      <c r="AM17" s="1623"/>
      <c r="AN17" s="1623"/>
      <c r="AO17" s="1623"/>
      <c r="AP17" s="1623"/>
      <c r="AQ17" s="1623"/>
      <c r="AR17" s="1623"/>
      <c r="AS17" s="1623"/>
      <c r="AT17" s="1624"/>
      <c r="AU17" s="1625"/>
      <c r="AV17" s="8">
        <f t="shared" si="6"/>
        <v>0</v>
      </c>
      <c r="AW17" s="8">
        <f t="shared" si="6"/>
        <v>0</v>
      </c>
      <c r="AX17" s="8">
        <f t="shared" si="6"/>
        <v>0</v>
      </c>
      <c r="AY17" s="1345">
        <f>ROUND($AY$6*AZ17/$AZ$5,2)</f>
        <v>0</v>
      </c>
      <c r="AZ17" s="13">
        <f>BA17+BL17</f>
        <v>0</v>
      </c>
      <c r="BA17" s="13">
        <f>SUM(BB17:BK17)</f>
        <v>0</v>
      </c>
      <c r="BB17" s="13">
        <f>IF($D17="是",I17-J17,0)</f>
        <v>0</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1"/>
      <c r="C18" s="31"/>
      <c r="D18" s="1626"/>
      <c r="E18" s="32">
        <f t="shared" ref="E18:E112" si="7">IF($C$3="是",ROUND($A$3*G18/$B$3,2),ROUND($A$3*(G18-AT18)/$B$3,2))</f>
        <v>0</v>
      </c>
      <c r="F18" s="33"/>
      <c r="G18" s="34">
        <f t="shared" ref="G18:G109" si="8">H18+AC18+AT18</f>
        <v>0</v>
      </c>
      <c r="H18" s="35">
        <f t="shared" ref="H18:H109" si="9">SUMIF(I$12:AB$12,"总值",I18:AB18)</f>
        <v>0</v>
      </c>
      <c r="I18" s="36"/>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8"/>
      <c r="AU18" s="1627"/>
      <c r="AV18" s="1339">
        <f t="shared" ref="AV18:AV112" si="11">A18</f>
        <v>0</v>
      </c>
      <c r="AW18" s="1339">
        <f t="shared" ref="AW18:AW112" si="12">B18</f>
        <v>0</v>
      </c>
      <c r="AX18" s="1339">
        <f t="shared" ref="AX18:AX112" si="13">C18</f>
        <v>0</v>
      </c>
      <c r="AY18" s="39">
        <f t="shared" ref="AY18:AY109" si="14">ROUND($AY$6*AZ18/$AZ$5,2)</f>
        <v>0</v>
      </c>
      <c r="AZ18" s="32">
        <f t="shared" ref="AZ18:AZ109" si="15">BA18+BL18</f>
        <v>0</v>
      </c>
      <c r="BA18" s="32">
        <f t="shared" ref="BA18:BA109" si="16">SUM(BB18:BK18)</f>
        <v>0</v>
      </c>
      <c r="BB18" s="32">
        <f t="shared" ref="BB18:BB109" si="17">IF($D18="是",I18-J18,0)</f>
        <v>0</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40">
        <f t="shared" ref="BT18:BT109" si="35">IF($D18="是",AR18-AS18,0)</f>
        <v>0</v>
      </c>
    </row>
    <row r="19" spans="1:72">
      <c r="A19" s="6"/>
      <c r="B19" s="31"/>
      <c r="C19" s="31"/>
      <c r="D19" s="1626"/>
      <c r="E19" s="32">
        <f t="shared" si="7"/>
        <v>0</v>
      </c>
      <c r="F19" s="33"/>
      <c r="G19" s="34">
        <f t="shared" si="8"/>
        <v>0</v>
      </c>
      <c r="H19" s="35">
        <f t="shared" si="9"/>
        <v>0</v>
      </c>
      <c r="I19" s="36"/>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8"/>
      <c r="AU19" s="1627"/>
      <c r="AV19" s="1339">
        <f t="shared" si="11"/>
        <v>0</v>
      </c>
      <c r="AW19" s="1339">
        <f t="shared" si="12"/>
        <v>0</v>
      </c>
      <c r="AX19" s="1339">
        <f t="shared" si="13"/>
        <v>0</v>
      </c>
      <c r="AY19" s="39">
        <f t="shared" si="14"/>
        <v>0</v>
      </c>
      <c r="AZ19" s="32">
        <f t="shared" si="15"/>
        <v>0</v>
      </c>
      <c r="BA19" s="32">
        <f t="shared" si="16"/>
        <v>0</v>
      </c>
      <c r="BB19" s="32">
        <f t="shared" si="17"/>
        <v>0</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40">
        <f t="shared" si="35"/>
        <v>0</v>
      </c>
    </row>
    <row r="20" spans="1:72">
      <c r="A20" s="6"/>
      <c r="B20" s="31"/>
      <c r="C20" s="31"/>
      <c r="D20" s="1626"/>
      <c r="E20" s="32">
        <f t="shared" si="7"/>
        <v>0</v>
      </c>
      <c r="F20" s="33"/>
      <c r="G20" s="34">
        <f t="shared" si="8"/>
        <v>0</v>
      </c>
      <c r="H20" s="35">
        <f t="shared" si="9"/>
        <v>0</v>
      </c>
      <c r="I20" s="36"/>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8"/>
      <c r="AU20" s="1627"/>
      <c r="AV20" s="1339">
        <f t="shared" si="11"/>
        <v>0</v>
      </c>
      <c r="AW20" s="1339">
        <f t="shared" si="12"/>
        <v>0</v>
      </c>
      <c r="AX20" s="1339">
        <f t="shared" si="13"/>
        <v>0</v>
      </c>
      <c r="AY20" s="39">
        <f t="shared" si="14"/>
        <v>0</v>
      </c>
      <c r="AZ20" s="32">
        <f t="shared" si="15"/>
        <v>0</v>
      </c>
      <c r="BA20" s="32">
        <f t="shared" si="16"/>
        <v>0</v>
      </c>
      <c r="BB20" s="32">
        <f t="shared" si="17"/>
        <v>0</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40">
        <f t="shared" si="35"/>
        <v>0</v>
      </c>
    </row>
    <row r="21" spans="1:72">
      <c r="A21" s="6"/>
      <c r="B21" s="31"/>
      <c r="C21" s="31"/>
      <c r="D21" s="1626"/>
      <c r="E21" s="32">
        <f t="shared" si="7"/>
        <v>0</v>
      </c>
      <c r="F21" s="33"/>
      <c r="G21" s="34">
        <f t="shared" si="8"/>
        <v>0</v>
      </c>
      <c r="H21" s="35">
        <f t="shared" si="9"/>
        <v>0</v>
      </c>
      <c r="I21" s="36"/>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8"/>
      <c r="AU21" s="1627"/>
      <c r="AV21" s="1339">
        <f t="shared" si="11"/>
        <v>0</v>
      </c>
      <c r="AW21" s="1339">
        <f t="shared" si="12"/>
        <v>0</v>
      </c>
      <c r="AX21" s="1339">
        <f t="shared" si="13"/>
        <v>0</v>
      </c>
      <c r="AY21" s="39">
        <f t="shared" si="14"/>
        <v>0</v>
      </c>
      <c r="AZ21" s="32">
        <f t="shared" si="15"/>
        <v>0</v>
      </c>
      <c r="BA21" s="32">
        <f t="shared" si="16"/>
        <v>0</v>
      </c>
      <c r="BB21" s="32">
        <f t="shared" si="17"/>
        <v>0</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40">
        <f t="shared" si="35"/>
        <v>0</v>
      </c>
    </row>
    <row r="22" spans="1:72">
      <c r="A22" s="6"/>
      <c r="B22" s="31"/>
      <c r="C22" s="31"/>
      <c r="D22" s="1626"/>
      <c r="E22" s="32">
        <f t="shared" si="7"/>
        <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8"/>
      <c r="AU22" s="1627"/>
      <c r="AV22" s="1339">
        <f t="shared" si="11"/>
        <v>0</v>
      </c>
      <c r="AW22" s="1339">
        <f t="shared" si="12"/>
        <v>0</v>
      </c>
      <c r="AX22" s="1339">
        <f t="shared" si="13"/>
        <v>0</v>
      </c>
      <c r="AY22" s="39">
        <f t="shared" si="14"/>
        <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40">
        <f t="shared" si="35"/>
        <v>0</v>
      </c>
    </row>
    <row r="23" spans="1:72">
      <c r="A23" s="6"/>
      <c r="B23" s="31"/>
      <c r="C23" s="31"/>
      <c r="D23" s="1626"/>
      <c r="E23" s="32">
        <f t="shared" si="7"/>
        <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8"/>
      <c r="AU23" s="1627"/>
      <c r="AV23" s="1339">
        <f t="shared" si="11"/>
        <v>0</v>
      </c>
      <c r="AW23" s="1339">
        <f t="shared" si="12"/>
        <v>0</v>
      </c>
      <c r="AX23" s="1339">
        <f t="shared" si="13"/>
        <v>0</v>
      </c>
      <c r="AY23" s="39">
        <f t="shared" si="14"/>
        <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40">
        <f t="shared" si="35"/>
        <v>0</v>
      </c>
    </row>
    <row r="24" spans="1:72">
      <c r="A24" s="6"/>
      <c r="B24" s="31"/>
      <c r="C24" s="31"/>
      <c r="D24" s="1626"/>
      <c r="E24" s="32">
        <f t="shared" si="7"/>
        <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8"/>
      <c r="AU24" s="1627"/>
      <c r="AV24" s="1339">
        <f t="shared" si="11"/>
        <v>0</v>
      </c>
      <c r="AW24" s="1339">
        <f t="shared" si="12"/>
        <v>0</v>
      </c>
      <c r="AX24" s="1339">
        <f t="shared" si="13"/>
        <v>0</v>
      </c>
      <c r="AY24" s="39">
        <f t="shared" si="14"/>
        <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40">
        <f t="shared" si="35"/>
        <v>0</v>
      </c>
    </row>
    <row r="25" spans="1:72">
      <c r="A25" s="6"/>
      <c r="B25" s="31"/>
      <c r="C25" s="31"/>
      <c r="D25" s="1626"/>
      <c r="E25" s="32">
        <f t="shared" si="7"/>
        <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8"/>
      <c r="AU25" s="1627"/>
      <c r="AV25" s="1339">
        <f t="shared" si="11"/>
        <v>0</v>
      </c>
      <c r="AW25" s="1339">
        <f t="shared" si="12"/>
        <v>0</v>
      </c>
      <c r="AX25" s="1339">
        <f t="shared" si="13"/>
        <v>0</v>
      </c>
      <c r="AY25" s="39">
        <f t="shared" si="14"/>
        <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40">
        <f t="shared" si="35"/>
        <v>0</v>
      </c>
    </row>
    <row r="26" spans="1:72">
      <c r="A26" s="6"/>
      <c r="B26" s="31"/>
      <c r="C26" s="31"/>
      <c r="D26" s="1626"/>
      <c r="E26" s="32">
        <f t="shared" si="7"/>
        <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8"/>
      <c r="AU26" s="1627"/>
      <c r="AV26" s="1339">
        <f t="shared" si="11"/>
        <v>0</v>
      </c>
      <c r="AW26" s="1339">
        <f t="shared" si="12"/>
        <v>0</v>
      </c>
      <c r="AX26" s="1339">
        <f t="shared" si="13"/>
        <v>0</v>
      </c>
      <c r="AY26" s="39">
        <f t="shared" si="14"/>
        <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40">
        <f t="shared" si="35"/>
        <v>0</v>
      </c>
    </row>
    <row r="27" spans="1:72">
      <c r="A27" s="6"/>
      <c r="B27" s="31"/>
      <c r="C27" s="31"/>
      <c r="D27" s="1626"/>
      <c r="E27" s="32">
        <f t="shared" si="7"/>
        <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8"/>
      <c r="AU27" s="1627"/>
      <c r="AV27" s="1339">
        <f t="shared" si="11"/>
        <v>0</v>
      </c>
      <c r="AW27" s="1339">
        <f t="shared" si="12"/>
        <v>0</v>
      </c>
      <c r="AX27" s="1339">
        <f t="shared" si="13"/>
        <v>0</v>
      </c>
      <c r="AY27" s="39">
        <f t="shared" si="14"/>
        <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40">
        <f t="shared" si="35"/>
        <v>0</v>
      </c>
    </row>
    <row r="28" spans="1:72">
      <c r="A28" s="6"/>
      <c r="B28" s="31"/>
      <c r="C28" s="31"/>
      <c r="D28" s="1626"/>
      <c r="E28" s="32">
        <f t="shared" si="7"/>
        <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8"/>
      <c r="AU28" s="1627"/>
      <c r="AV28" s="1339">
        <f t="shared" si="11"/>
        <v>0</v>
      </c>
      <c r="AW28" s="1339">
        <f t="shared" si="12"/>
        <v>0</v>
      </c>
      <c r="AX28" s="1339">
        <f t="shared" si="13"/>
        <v>0</v>
      </c>
      <c r="AY28" s="39">
        <f t="shared" si="14"/>
        <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40">
        <f t="shared" si="35"/>
        <v>0</v>
      </c>
    </row>
    <row r="29" spans="1:72">
      <c r="A29" s="6"/>
      <c r="B29" s="31"/>
      <c r="C29" s="31"/>
      <c r="D29" s="1626"/>
      <c r="E29" s="32">
        <f t="shared" si="7"/>
        <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8"/>
      <c r="AU29" s="1627"/>
      <c r="AV29" s="1339">
        <f t="shared" si="11"/>
        <v>0</v>
      </c>
      <c r="AW29" s="1339">
        <f t="shared" si="12"/>
        <v>0</v>
      </c>
      <c r="AX29" s="1339">
        <f t="shared" si="13"/>
        <v>0</v>
      </c>
      <c r="AY29" s="39">
        <f t="shared" si="14"/>
        <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40">
        <f t="shared" si="35"/>
        <v>0</v>
      </c>
    </row>
    <row r="30" spans="1:72">
      <c r="A30" s="6"/>
      <c r="B30" s="31"/>
      <c r="C30" s="31"/>
      <c r="D30" s="1626"/>
      <c r="E30" s="32">
        <f t="shared" si="7"/>
        <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8"/>
      <c r="AU30" s="1627"/>
      <c r="AV30" s="1339">
        <f t="shared" si="11"/>
        <v>0</v>
      </c>
      <c r="AW30" s="1339">
        <f t="shared" si="12"/>
        <v>0</v>
      </c>
      <c r="AX30" s="1339">
        <f t="shared" si="13"/>
        <v>0</v>
      </c>
      <c r="AY30" s="39">
        <f t="shared" si="14"/>
        <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40">
        <f t="shared" si="35"/>
        <v>0</v>
      </c>
    </row>
    <row r="31" spans="1:72">
      <c r="A31" s="6"/>
      <c r="B31" s="31"/>
      <c r="C31" s="31"/>
      <c r="D31" s="1626"/>
      <c r="E31" s="32">
        <f t="shared" si="7"/>
        <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8"/>
      <c r="AU31" s="1627"/>
      <c r="AV31" s="1339">
        <f t="shared" si="11"/>
        <v>0</v>
      </c>
      <c r="AW31" s="1339">
        <f t="shared" si="12"/>
        <v>0</v>
      </c>
      <c r="AX31" s="1339">
        <f t="shared" si="13"/>
        <v>0</v>
      </c>
      <c r="AY31" s="39">
        <f t="shared" si="14"/>
        <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40">
        <f t="shared" si="35"/>
        <v>0</v>
      </c>
    </row>
    <row r="32" spans="1:72">
      <c r="A32" s="6"/>
      <c r="B32" s="31"/>
      <c r="C32" s="31"/>
      <c r="D32" s="1626"/>
      <c r="E32" s="32">
        <f t="shared" si="7"/>
        <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8"/>
      <c r="AU32" s="1627"/>
      <c r="AV32" s="1339">
        <f t="shared" si="11"/>
        <v>0</v>
      </c>
      <c r="AW32" s="1339">
        <f t="shared" si="12"/>
        <v>0</v>
      </c>
      <c r="AX32" s="1339">
        <f t="shared" si="13"/>
        <v>0</v>
      </c>
      <c r="AY32" s="39">
        <f t="shared" si="14"/>
        <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40">
        <f t="shared" si="35"/>
        <v>0</v>
      </c>
    </row>
    <row r="33" spans="1:72">
      <c r="A33" s="6"/>
      <c r="B33" s="31"/>
      <c r="C33" s="31"/>
      <c r="D33" s="1626"/>
      <c r="E33" s="32">
        <f t="shared" si="7"/>
        <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8"/>
      <c r="AU33" s="1627"/>
      <c r="AV33" s="1339">
        <f t="shared" si="11"/>
        <v>0</v>
      </c>
      <c r="AW33" s="1339">
        <f t="shared" si="12"/>
        <v>0</v>
      </c>
      <c r="AX33" s="1339">
        <f t="shared" si="13"/>
        <v>0</v>
      </c>
      <c r="AY33" s="39">
        <f t="shared" si="14"/>
        <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40">
        <f t="shared" si="35"/>
        <v>0</v>
      </c>
    </row>
    <row r="34" spans="1:72">
      <c r="A34" s="6"/>
      <c r="B34" s="31"/>
      <c r="C34" s="31"/>
      <c r="D34" s="1626"/>
      <c r="E34" s="32">
        <f t="shared" si="7"/>
        <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8"/>
      <c r="AU34" s="1627"/>
      <c r="AV34" s="1339">
        <f t="shared" si="11"/>
        <v>0</v>
      </c>
      <c r="AW34" s="1339">
        <f t="shared" si="12"/>
        <v>0</v>
      </c>
      <c r="AX34" s="1339">
        <f t="shared" si="13"/>
        <v>0</v>
      </c>
      <c r="AY34" s="39">
        <f t="shared" si="14"/>
        <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40">
        <f t="shared" si="35"/>
        <v>0</v>
      </c>
    </row>
    <row r="35" spans="1:72">
      <c r="A35" s="6"/>
      <c r="B35" s="31"/>
      <c r="C35" s="31"/>
      <c r="D35" s="1626"/>
      <c r="E35" s="32">
        <f t="shared" si="7"/>
        <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8"/>
      <c r="AU35" s="1627"/>
      <c r="AV35" s="1339">
        <f t="shared" si="11"/>
        <v>0</v>
      </c>
      <c r="AW35" s="1339">
        <f t="shared" si="12"/>
        <v>0</v>
      </c>
      <c r="AX35" s="1339">
        <f t="shared" si="13"/>
        <v>0</v>
      </c>
      <c r="AY35" s="39">
        <f t="shared" si="14"/>
        <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40">
        <f t="shared" si="35"/>
        <v>0</v>
      </c>
    </row>
    <row r="36" spans="1:72">
      <c r="A36" s="6"/>
      <c r="B36" s="31"/>
      <c r="C36" s="31"/>
      <c r="D36" s="1626"/>
      <c r="E36" s="32">
        <f t="shared" si="7"/>
        <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8"/>
      <c r="AU36" s="1627"/>
      <c r="AV36" s="1339">
        <f t="shared" si="11"/>
        <v>0</v>
      </c>
      <c r="AW36" s="1339">
        <f t="shared" si="12"/>
        <v>0</v>
      </c>
      <c r="AX36" s="1339">
        <f t="shared" si="13"/>
        <v>0</v>
      </c>
      <c r="AY36" s="39">
        <f t="shared" si="14"/>
        <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40">
        <f t="shared" si="35"/>
        <v>0</v>
      </c>
    </row>
    <row r="37" spans="1:72">
      <c r="A37" s="6"/>
      <c r="B37" s="31"/>
      <c r="C37" s="31"/>
      <c r="D37" s="1626"/>
      <c r="E37" s="32">
        <f t="shared" si="7"/>
        <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8"/>
      <c r="AU37" s="1627"/>
      <c r="AV37" s="1339">
        <f t="shared" si="11"/>
        <v>0</v>
      </c>
      <c r="AW37" s="1339">
        <f t="shared" si="12"/>
        <v>0</v>
      </c>
      <c r="AX37" s="1339">
        <f t="shared" si="13"/>
        <v>0</v>
      </c>
      <c r="AY37" s="39">
        <f t="shared" si="14"/>
        <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40">
        <f t="shared" si="35"/>
        <v>0</v>
      </c>
    </row>
    <row r="38" spans="1:72">
      <c r="A38" s="6"/>
      <c r="B38" s="31"/>
      <c r="C38" s="31"/>
      <c r="D38" s="1626"/>
      <c r="E38" s="32">
        <f t="shared" si="7"/>
        <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8"/>
      <c r="AU38" s="1627"/>
      <c r="AV38" s="1339">
        <f t="shared" si="11"/>
        <v>0</v>
      </c>
      <c r="AW38" s="1339">
        <f t="shared" si="12"/>
        <v>0</v>
      </c>
      <c r="AX38" s="1339">
        <f t="shared" si="13"/>
        <v>0</v>
      </c>
      <c r="AY38" s="39">
        <f t="shared" si="14"/>
        <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40">
        <f t="shared" si="35"/>
        <v>0</v>
      </c>
    </row>
    <row r="39" spans="1:72">
      <c r="A39" s="6"/>
      <c r="B39" s="31"/>
      <c r="C39" s="31"/>
      <c r="D39" s="1626"/>
      <c r="E39" s="32">
        <f t="shared" si="7"/>
        <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8"/>
      <c r="AU39" s="1627"/>
      <c r="AV39" s="1339">
        <f t="shared" si="11"/>
        <v>0</v>
      </c>
      <c r="AW39" s="1339">
        <f t="shared" si="12"/>
        <v>0</v>
      </c>
      <c r="AX39" s="1339">
        <f t="shared" si="13"/>
        <v>0</v>
      </c>
      <c r="AY39" s="39">
        <f t="shared" si="14"/>
        <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40">
        <f t="shared" si="35"/>
        <v>0</v>
      </c>
    </row>
    <row r="40" spans="1:72">
      <c r="A40" s="6"/>
      <c r="B40" s="31"/>
      <c r="C40" s="31"/>
      <c r="D40" s="1626"/>
      <c r="E40" s="32">
        <f t="shared" si="7"/>
        <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8"/>
      <c r="AU40" s="1627"/>
      <c r="AV40" s="1339">
        <f t="shared" si="11"/>
        <v>0</v>
      </c>
      <c r="AW40" s="1339">
        <f t="shared" si="12"/>
        <v>0</v>
      </c>
      <c r="AX40" s="1339">
        <f t="shared" si="13"/>
        <v>0</v>
      </c>
      <c r="AY40" s="39">
        <f t="shared" si="14"/>
        <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40">
        <f t="shared" si="35"/>
        <v>0</v>
      </c>
    </row>
    <row r="41" spans="1:72">
      <c r="A41" s="6"/>
      <c r="B41" s="31"/>
      <c r="C41" s="31"/>
      <c r="D41" s="1626"/>
      <c r="E41" s="32">
        <f t="shared" si="7"/>
        <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8"/>
      <c r="AU41" s="1627"/>
      <c r="AV41" s="1339">
        <f t="shared" si="11"/>
        <v>0</v>
      </c>
      <c r="AW41" s="1339">
        <f t="shared" si="12"/>
        <v>0</v>
      </c>
      <c r="AX41" s="1339">
        <f t="shared" si="13"/>
        <v>0</v>
      </c>
      <c r="AY41" s="39">
        <f t="shared" si="14"/>
        <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40">
        <f t="shared" si="35"/>
        <v>0</v>
      </c>
    </row>
    <row r="42" spans="1:72">
      <c r="A42" s="6"/>
      <c r="B42" s="31"/>
      <c r="C42" s="31"/>
      <c r="D42" s="1626"/>
      <c r="E42" s="32">
        <f t="shared" si="7"/>
        <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8"/>
      <c r="AU42" s="1627"/>
      <c r="AV42" s="1339">
        <f t="shared" si="11"/>
        <v>0</v>
      </c>
      <c r="AW42" s="1339">
        <f t="shared" si="12"/>
        <v>0</v>
      </c>
      <c r="AX42" s="1339">
        <f t="shared" si="13"/>
        <v>0</v>
      </c>
      <c r="AY42" s="39">
        <f t="shared" si="14"/>
        <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40">
        <f t="shared" si="35"/>
        <v>0</v>
      </c>
    </row>
    <row r="43" spans="1:72">
      <c r="A43" s="6"/>
      <c r="B43" s="31"/>
      <c r="C43" s="31"/>
      <c r="D43" s="1626"/>
      <c r="E43" s="32">
        <f t="shared" si="7"/>
        <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8"/>
      <c r="AU43" s="1627"/>
      <c r="AV43" s="1339">
        <f t="shared" si="11"/>
        <v>0</v>
      </c>
      <c r="AW43" s="1339">
        <f t="shared" si="12"/>
        <v>0</v>
      </c>
      <c r="AX43" s="1339">
        <f t="shared" si="13"/>
        <v>0</v>
      </c>
      <c r="AY43" s="39">
        <f t="shared" si="14"/>
        <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40">
        <f t="shared" si="35"/>
        <v>0</v>
      </c>
    </row>
    <row r="44" spans="1:72">
      <c r="A44" s="6"/>
      <c r="B44" s="31"/>
      <c r="C44" s="31"/>
      <c r="D44" s="1626"/>
      <c r="E44" s="32">
        <f t="shared" si="7"/>
        <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8"/>
      <c r="AU44" s="1627"/>
      <c r="AV44" s="1339">
        <f t="shared" si="11"/>
        <v>0</v>
      </c>
      <c r="AW44" s="1339">
        <f t="shared" si="12"/>
        <v>0</v>
      </c>
      <c r="AX44" s="1339">
        <f t="shared" si="13"/>
        <v>0</v>
      </c>
      <c r="AY44" s="39">
        <f t="shared" si="14"/>
        <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40">
        <f t="shared" si="35"/>
        <v>0</v>
      </c>
    </row>
    <row r="45" spans="1:72">
      <c r="A45" s="6"/>
      <c r="B45" s="31"/>
      <c r="C45" s="31"/>
      <c r="D45" s="1626"/>
      <c r="E45" s="32">
        <f t="shared" si="7"/>
        <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8"/>
      <c r="AU45" s="1627"/>
      <c r="AV45" s="1339">
        <f t="shared" si="11"/>
        <v>0</v>
      </c>
      <c r="AW45" s="1339">
        <f t="shared" si="12"/>
        <v>0</v>
      </c>
      <c r="AX45" s="1339">
        <f t="shared" si="13"/>
        <v>0</v>
      </c>
      <c r="AY45" s="39">
        <f t="shared" si="14"/>
        <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40">
        <f t="shared" si="35"/>
        <v>0</v>
      </c>
    </row>
    <row r="46" spans="1:72">
      <c r="A46" s="6"/>
      <c r="B46" s="31"/>
      <c r="C46" s="31"/>
      <c r="D46" s="1626"/>
      <c r="E46" s="32">
        <f t="shared" si="7"/>
        <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8"/>
      <c r="AU46" s="1627"/>
      <c r="AV46" s="1339">
        <f t="shared" si="11"/>
        <v>0</v>
      </c>
      <c r="AW46" s="1339">
        <f t="shared" si="12"/>
        <v>0</v>
      </c>
      <c r="AX46" s="1339">
        <f t="shared" si="13"/>
        <v>0</v>
      </c>
      <c r="AY46" s="39">
        <f t="shared" si="14"/>
        <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40">
        <f t="shared" si="35"/>
        <v>0</v>
      </c>
    </row>
    <row r="47" spans="1:72">
      <c r="A47" s="6"/>
      <c r="B47" s="31"/>
      <c r="C47" s="31"/>
      <c r="D47" s="1626"/>
      <c r="E47" s="32">
        <f t="shared" si="7"/>
        <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8"/>
      <c r="AU47" s="1627"/>
      <c r="AV47" s="1339">
        <f t="shared" si="11"/>
        <v>0</v>
      </c>
      <c r="AW47" s="1339">
        <f t="shared" si="12"/>
        <v>0</v>
      </c>
      <c r="AX47" s="1339">
        <f t="shared" si="13"/>
        <v>0</v>
      </c>
      <c r="AY47" s="39">
        <f t="shared" si="14"/>
        <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40">
        <f t="shared" si="35"/>
        <v>0</v>
      </c>
    </row>
    <row r="48" spans="1:72">
      <c r="A48" s="6"/>
      <c r="B48" s="31"/>
      <c r="C48" s="31"/>
      <c r="D48" s="1626"/>
      <c r="E48" s="32">
        <f t="shared" si="7"/>
        <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8"/>
      <c r="AU48" s="1627"/>
      <c r="AV48" s="1339">
        <f t="shared" si="11"/>
        <v>0</v>
      </c>
      <c r="AW48" s="1339">
        <f t="shared" si="12"/>
        <v>0</v>
      </c>
      <c r="AX48" s="1339">
        <f t="shared" si="13"/>
        <v>0</v>
      </c>
      <c r="AY48" s="39">
        <f t="shared" si="14"/>
        <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40">
        <f t="shared" si="35"/>
        <v>0</v>
      </c>
    </row>
    <row r="49" spans="1:72">
      <c r="A49" s="6"/>
      <c r="B49" s="31"/>
      <c r="C49" s="31"/>
      <c r="D49" s="1626"/>
      <c r="E49" s="32">
        <f t="shared" si="7"/>
        <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8"/>
      <c r="AU49" s="1627"/>
      <c r="AV49" s="1339">
        <f t="shared" si="11"/>
        <v>0</v>
      </c>
      <c r="AW49" s="1339">
        <f t="shared" si="12"/>
        <v>0</v>
      </c>
      <c r="AX49" s="1339">
        <f t="shared" si="13"/>
        <v>0</v>
      </c>
      <c r="AY49" s="39">
        <f t="shared" si="14"/>
        <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40">
        <f t="shared" si="35"/>
        <v>0</v>
      </c>
    </row>
    <row r="50" spans="1:72">
      <c r="A50" s="6"/>
      <c r="B50" s="31"/>
      <c r="C50" s="31"/>
      <c r="D50" s="1626"/>
      <c r="E50" s="32">
        <f t="shared" si="7"/>
        <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8"/>
      <c r="AU50" s="1627"/>
      <c r="AV50" s="1339">
        <f t="shared" si="11"/>
        <v>0</v>
      </c>
      <c r="AW50" s="1339">
        <f t="shared" si="12"/>
        <v>0</v>
      </c>
      <c r="AX50" s="1339">
        <f t="shared" si="13"/>
        <v>0</v>
      </c>
      <c r="AY50" s="39">
        <f t="shared" si="14"/>
        <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40">
        <f t="shared" si="35"/>
        <v>0</v>
      </c>
    </row>
    <row r="51" spans="1:72">
      <c r="A51" s="6"/>
      <c r="B51" s="31"/>
      <c r="C51" s="31"/>
      <c r="D51" s="1626"/>
      <c r="E51" s="32">
        <f t="shared" si="7"/>
        <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8"/>
      <c r="AU51" s="1627"/>
      <c r="AV51" s="1339">
        <f t="shared" si="11"/>
        <v>0</v>
      </c>
      <c r="AW51" s="1339">
        <f t="shared" si="12"/>
        <v>0</v>
      </c>
      <c r="AX51" s="1339">
        <f t="shared" si="13"/>
        <v>0</v>
      </c>
      <c r="AY51" s="39">
        <f t="shared" si="14"/>
        <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40">
        <f t="shared" si="35"/>
        <v>0</v>
      </c>
    </row>
    <row r="52" spans="1:72">
      <c r="A52" s="6"/>
      <c r="B52" s="31"/>
      <c r="C52" s="31"/>
      <c r="D52" s="1626"/>
      <c r="E52" s="32">
        <f t="shared" si="7"/>
        <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8"/>
      <c r="AU52" s="1627"/>
      <c r="AV52" s="1339">
        <f t="shared" si="11"/>
        <v>0</v>
      </c>
      <c r="AW52" s="1339">
        <f t="shared" si="12"/>
        <v>0</v>
      </c>
      <c r="AX52" s="1339">
        <f t="shared" si="13"/>
        <v>0</v>
      </c>
      <c r="AY52" s="39">
        <f t="shared" si="14"/>
        <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40">
        <f t="shared" si="35"/>
        <v>0</v>
      </c>
    </row>
    <row r="53" spans="1:72">
      <c r="A53" s="6"/>
      <c r="B53" s="31"/>
      <c r="C53" s="31"/>
      <c r="D53" s="1626"/>
      <c r="E53" s="32">
        <f t="shared" si="7"/>
        <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8"/>
      <c r="AU53" s="1627"/>
      <c r="AV53" s="1339">
        <f t="shared" si="11"/>
        <v>0</v>
      </c>
      <c r="AW53" s="1339">
        <f t="shared" si="12"/>
        <v>0</v>
      </c>
      <c r="AX53" s="1339">
        <f t="shared" si="13"/>
        <v>0</v>
      </c>
      <c r="AY53" s="39">
        <f t="shared" si="14"/>
        <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40">
        <f t="shared" si="35"/>
        <v>0</v>
      </c>
    </row>
    <row r="54" spans="1:72">
      <c r="A54" s="6"/>
      <c r="B54" s="31"/>
      <c r="C54" s="31"/>
      <c r="D54" s="1626"/>
      <c r="E54" s="32">
        <f t="shared" si="7"/>
        <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8"/>
      <c r="AU54" s="1627"/>
      <c r="AV54" s="1339">
        <f t="shared" si="11"/>
        <v>0</v>
      </c>
      <c r="AW54" s="1339">
        <f t="shared" si="12"/>
        <v>0</v>
      </c>
      <c r="AX54" s="1339">
        <f t="shared" si="13"/>
        <v>0</v>
      </c>
      <c r="AY54" s="39">
        <f t="shared" si="14"/>
        <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40">
        <f t="shared" si="35"/>
        <v>0</v>
      </c>
    </row>
    <row r="55" spans="1:72">
      <c r="A55" s="6"/>
      <c r="B55" s="31"/>
      <c r="C55" s="31"/>
      <c r="D55" s="1626"/>
      <c r="E55" s="32">
        <f t="shared" si="7"/>
        <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8"/>
      <c r="AU55" s="1627"/>
      <c r="AV55" s="1339">
        <f t="shared" si="11"/>
        <v>0</v>
      </c>
      <c r="AW55" s="1339">
        <f t="shared" si="12"/>
        <v>0</v>
      </c>
      <c r="AX55" s="1339">
        <f t="shared" si="13"/>
        <v>0</v>
      </c>
      <c r="AY55" s="39">
        <f t="shared" si="14"/>
        <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40">
        <f t="shared" si="35"/>
        <v>0</v>
      </c>
    </row>
    <row r="56" spans="1:72">
      <c r="A56" s="6"/>
      <c r="B56" s="31"/>
      <c r="C56" s="31"/>
      <c r="D56" s="1626"/>
      <c r="E56" s="32">
        <f t="shared" si="7"/>
        <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8"/>
      <c r="AU56" s="1627"/>
      <c r="AV56" s="1339">
        <f t="shared" si="11"/>
        <v>0</v>
      </c>
      <c r="AW56" s="1339">
        <f t="shared" si="12"/>
        <v>0</v>
      </c>
      <c r="AX56" s="1339">
        <f t="shared" si="13"/>
        <v>0</v>
      </c>
      <c r="AY56" s="39">
        <f t="shared" si="14"/>
        <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40">
        <f t="shared" si="35"/>
        <v>0</v>
      </c>
    </row>
    <row r="57" spans="1:72">
      <c r="A57" s="6"/>
      <c r="B57" s="31"/>
      <c r="C57" s="31"/>
      <c r="D57" s="1626"/>
      <c r="E57" s="32">
        <f t="shared" si="7"/>
        <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8"/>
      <c r="AU57" s="1627"/>
      <c r="AV57" s="1339">
        <f t="shared" si="11"/>
        <v>0</v>
      </c>
      <c r="AW57" s="1339">
        <f t="shared" si="12"/>
        <v>0</v>
      </c>
      <c r="AX57" s="1339">
        <f t="shared" si="13"/>
        <v>0</v>
      </c>
      <c r="AY57" s="39">
        <f t="shared" si="14"/>
        <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40">
        <f t="shared" si="35"/>
        <v>0</v>
      </c>
    </row>
    <row r="58" spans="1:72">
      <c r="A58" s="6"/>
      <c r="B58" s="31"/>
      <c r="C58" s="31"/>
      <c r="D58" s="1626"/>
      <c r="E58" s="32">
        <f t="shared" si="7"/>
        <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8"/>
      <c r="AU58" s="1627"/>
      <c r="AV58" s="1339">
        <f t="shared" si="11"/>
        <v>0</v>
      </c>
      <c r="AW58" s="1339">
        <f t="shared" si="12"/>
        <v>0</v>
      </c>
      <c r="AX58" s="1339">
        <f t="shared" si="13"/>
        <v>0</v>
      </c>
      <c r="AY58" s="39">
        <f t="shared" si="14"/>
        <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40">
        <f t="shared" si="35"/>
        <v>0</v>
      </c>
    </row>
    <row r="59" spans="1:72">
      <c r="A59" s="6"/>
      <c r="B59" s="31"/>
      <c r="C59" s="31"/>
      <c r="D59" s="1626"/>
      <c r="E59" s="32">
        <f t="shared" si="7"/>
        <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8"/>
      <c r="AU59" s="1627"/>
      <c r="AV59" s="1339">
        <f t="shared" si="11"/>
        <v>0</v>
      </c>
      <c r="AW59" s="1339">
        <f t="shared" si="12"/>
        <v>0</v>
      </c>
      <c r="AX59" s="1339">
        <f t="shared" si="13"/>
        <v>0</v>
      </c>
      <c r="AY59" s="39">
        <f t="shared" si="14"/>
        <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40">
        <f t="shared" si="35"/>
        <v>0</v>
      </c>
    </row>
    <row r="60" spans="1:72">
      <c r="A60" s="6"/>
      <c r="B60" s="31"/>
      <c r="C60" s="31"/>
      <c r="D60" s="1626"/>
      <c r="E60" s="32">
        <f t="shared" si="7"/>
        <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8"/>
      <c r="AU60" s="1627"/>
      <c r="AV60" s="1339">
        <f t="shared" si="11"/>
        <v>0</v>
      </c>
      <c r="AW60" s="1339">
        <f t="shared" si="12"/>
        <v>0</v>
      </c>
      <c r="AX60" s="1339">
        <f t="shared" si="13"/>
        <v>0</v>
      </c>
      <c r="AY60" s="39">
        <f t="shared" si="14"/>
        <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40">
        <f t="shared" si="35"/>
        <v>0</v>
      </c>
    </row>
    <row r="61" spans="1:72">
      <c r="A61" s="6"/>
      <c r="B61" s="31"/>
      <c r="C61" s="31"/>
      <c r="D61" s="1626"/>
      <c r="E61" s="32">
        <f t="shared" si="7"/>
        <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8"/>
      <c r="AU61" s="1627"/>
      <c r="AV61" s="1339">
        <f t="shared" si="11"/>
        <v>0</v>
      </c>
      <c r="AW61" s="1339">
        <f t="shared" si="12"/>
        <v>0</v>
      </c>
      <c r="AX61" s="1339">
        <f t="shared" si="13"/>
        <v>0</v>
      </c>
      <c r="AY61" s="39">
        <f t="shared" si="14"/>
        <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40">
        <f t="shared" si="35"/>
        <v>0</v>
      </c>
    </row>
    <row r="62" spans="1:72">
      <c r="A62" s="6"/>
      <c r="B62" s="31"/>
      <c r="C62" s="31"/>
      <c r="D62" s="1626"/>
      <c r="E62" s="32">
        <f t="shared" si="7"/>
        <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8"/>
      <c r="AU62" s="1627"/>
      <c r="AV62" s="1339">
        <f t="shared" si="11"/>
        <v>0</v>
      </c>
      <c r="AW62" s="1339">
        <f t="shared" si="12"/>
        <v>0</v>
      </c>
      <c r="AX62" s="1339">
        <f t="shared" si="13"/>
        <v>0</v>
      </c>
      <c r="AY62" s="39">
        <f t="shared" si="14"/>
        <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40">
        <f t="shared" si="35"/>
        <v>0</v>
      </c>
    </row>
    <row r="63" spans="1:72">
      <c r="A63" s="6"/>
      <c r="B63" s="31"/>
      <c r="C63" s="31"/>
      <c r="D63" s="1626"/>
      <c r="E63" s="32">
        <f t="shared" si="7"/>
        <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8"/>
      <c r="AU63" s="1627"/>
      <c r="AV63" s="1339">
        <f t="shared" si="11"/>
        <v>0</v>
      </c>
      <c r="AW63" s="1339">
        <f t="shared" si="12"/>
        <v>0</v>
      </c>
      <c r="AX63" s="1339">
        <f t="shared" si="13"/>
        <v>0</v>
      </c>
      <c r="AY63" s="39">
        <f t="shared" si="14"/>
        <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40">
        <f t="shared" si="35"/>
        <v>0</v>
      </c>
    </row>
    <row r="64" spans="1:72">
      <c r="A64" s="6"/>
      <c r="B64" s="31"/>
      <c r="C64" s="31"/>
      <c r="D64" s="1626"/>
      <c r="E64" s="32">
        <f t="shared" si="7"/>
        <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8"/>
      <c r="AU64" s="1627"/>
      <c r="AV64" s="1339">
        <f t="shared" si="11"/>
        <v>0</v>
      </c>
      <c r="AW64" s="1339">
        <f t="shared" si="12"/>
        <v>0</v>
      </c>
      <c r="AX64" s="1339">
        <f t="shared" si="13"/>
        <v>0</v>
      </c>
      <c r="AY64" s="39">
        <f t="shared" si="14"/>
        <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40">
        <f t="shared" si="35"/>
        <v>0</v>
      </c>
    </row>
    <row r="65" spans="1:72">
      <c r="A65" s="6"/>
      <c r="B65" s="31"/>
      <c r="C65" s="31"/>
      <c r="D65" s="1626"/>
      <c r="E65" s="32">
        <f t="shared" si="7"/>
        <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8"/>
      <c r="AU65" s="1627"/>
      <c r="AV65" s="1339">
        <f t="shared" si="11"/>
        <v>0</v>
      </c>
      <c r="AW65" s="1339">
        <f t="shared" si="12"/>
        <v>0</v>
      </c>
      <c r="AX65" s="1339">
        <f t="shared" si="13"/>
        <v>0</v>
      </c>
      <c r="AY65" s="39">
        <f t="shared" si="14"/>
        <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40">
        <f t="shared" si="35"/>
        <v>0</v>
      </c>
    </row>
    <row r="66" spans="1:72">
      <c r="A66" s="6"/>
      <c r="B66" s="31"/>
      <c r="C66" s="31"/>
      <c r="D66" s="1626"/>
      <c r="E66" s="32">
        <f t="shared" si="7"/>
        <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8"/>
      <c r="AU66" s="1627"/>
      <c r="AV66" s="1339">
        <f t="shared" si="11"/>
        <v>0</v>
      </c>
      <c r="AW66" s="1339">
        <f t="shared" si="12"/>
        <v>0</v>
      </c>
      <c r="AX66" s="1339">
        <f t="shared" si="13"/>
        <v>0</v>
      </c>
      <c r="AY66" s="39">
        <f t="shared" si="14"/>
        <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40">
        <f t="shared" si="35"/>
        <v>0</v>
      </c>
    </row>
    <row r="67" spans="1:72">
      <c r="A67" s="6"/>
      <c r="B67" s="31"/>
      <c r="C67" s="31"/>
      <c r="D67" s="1626"/>
      <c r="E67" s="32">
        <f t="shared" si="7"/>
        <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8"/>
      <c r="AU67" s="1627"/>
      <c r="AV67" s="1339">
        <f t="shared" si="11"/>
        <v>0</v>
      </c>
      <c r="AW67" s="1339">
        <f t="shared" si="12"/>
        <v>0</v>
      </c>
      <c r="AX67" s="1339">
        <f t="shared" si="13"/>
        <v>0</v>
      </c>
      <c r="AY67" s="39">
        <f t="shared" si="14"/>
        <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40">
        <f t="shared" si="35"/>
        <v>0</v>
      </c>
    </row>
    <row r="68" spans="1:72">
      <c r="A68" s="6"/>
      <c r="B68" s="31"/>
      <c r="C68" s="31"/>
      <c r="D68" s="1626"/>
      <c r="E68" s="32">
        <f t="shared" si="7"/>
        <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8"/>
      <c r="AU68" s="1627"/>
      <c r="AV68" s="1339">
        <f t="shared" si="11"/>
        <v>0</v>
      </c>
      <c r="AW68" s="1339">
        <f t="shared" si="12"/>
        <v>0</v>
      </c>
      <c r="AX68" s="1339">
        <f t="shared" si="13"/>
        <v>0</v>
      </c>
      <c r="AY68" s="39">
        <f t="shared" si="14"/>
        <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40">
        <f t="shared" si="35"/>
        <v>0</v>
      </c>
    </row>
    <row r="69" spans="1:72">
      <c r="A69" s="6"/>
      <c r="B69" s="31"/>
      <c r="C69" s="31"/>
      <c r="D69" s="1626"/>
      <c r="E69" s="32">
        <f t="shared" si="7"/>
        <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8"/>
      <c r="AU69" s="1627"/>
      <c r="AV69" s="1339">
        <f t="shared" si="11"/>
        <v>0</v>
      </c>
      <c r="AW69" s="1339">
        <f t="shared" si="12"/>
        <v>0</v>
      </c>
      <c r="AX69" s="1339">
        <f t="shared" si="13"/>
        <v>0</v>
      </c>
      <c r="AY69" s="39">
        <f t="shared" si="14"/>
        <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40">
        <f t="shared" si="35"/>
        <v>0</v>
      </c>
    </row>
    <row r="70" spans="1:72">
      <c r="A70" s="6"/>
      <c r="B70" s="31"/>
      <c r="C70" s="31"/>
      <c r="D70" s="1626"/>
      <c r="E70" s="32">
        <f t="shared" si="7"/>
        <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8"/>
      <c r="AU70" s="1627"/>
      <c r="AV70" s="1339">
        <f t="shared" si="11"/>
        <v>0</v>
      </c>
      <c r="AW70" s="1339">
        <f t="shared" si="12"/>
        <v>0</v>
      </c>
      <c r="AX70" s="1339">
        <f t="shared" si="13"/>
        <v>0</v>
      </c>
      <c r="AY70" s="39">
        <f t="shared" si="14"/>
        <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40">
        <f t="shared" si="35"/>
        <v>0</v>
      </c>
    </row>
    <row r="71" spans="1:72">
      <c r="A71" s="6"/>
      <c r="B71" s="31"/>
      <c r="C71" s="31"/>
      <c r="D71" s="1626"/>
      <c r="E71" s="32">
        <f t="shared" si="7"/>
        <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8"/>
      <c r="AU71" s="1627"/>
      <c r="AV71" s="1339">
        <f t="shared" si="11"/>
        <v>0</v>
      </c>
      <c r="AW71" s="1339">
        <f t="shared" si="12"/>
        <v>0</v>
      </c>
      <c r="AX71" s="1339">
        <f t="shared" si="13"/>
        <v>0</v>
      </c>
      <c r="AY71" s="39">
        <f t="shared" si="14"/>
        <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40">
        <f t="shared" si="35"/>
        <v>0</v>
      </c>
    </row>
    <row r="72" spans="1:72">
      <c r="A72" s="6"/>
      <c r="B72" s="31"/>
      <c r="C72" s="31"/>
      <c r="D72" s="1626"/>
      <c r="E72" s="32">
        <f t="shared" si="7"/>
        <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8"/>
      <c r="AU72" s="1627"/>
      <c r="AV72" s="1339">
        <f t="shared" si="11"/>
        <v>0</v>
      </c>
      <c r="AW72" s="1339">
        <f t="shared" si="12"/>
        <v>0</v>
      </c>
      <c r="AX72" s="1339">
        <f t="shared" si="13"/>
        <v>0</v>
      </c>
      <c r="AY72" s="39">
        <f t="shared" si="14"/>
        <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40">
        <f t="shared" si="35"/>
        <v>0</v>
      </c>
    </row>
    <row r="73" spans="1:72">
      <c r="A73" s="6"/>
      <c r="B73" s="31"/>
      <c r="C73" s="31"/>
      <c r="D73" s="1626"/>
      <c r="E73" s="32">
        <f t="shared" si="7"/>
        <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8"/>
      <c r="AU73" s="1627"/>
      <c r="AV73" s="1339">
        <f t="shared" si="11"/>
        <v>0</v>
      </c>
      <c r="AW73" s="1339">
        <f t="shared" si="12"/>
        <v>0</v>
      </c>
      <c r="AX73" s="1339">
        <f t="shared" si="13"/>
        <v>0</v>
      </c>
      <c r="AY73" s="39">
        <f t="shared" si="14"/>
        <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40">
        <f t="shared" si="35"/>
        <v>0</v>
      </c>
    </row>
    <row r="74" spans="1:72">
      <c r="A74" s="6"/>
      <c r="B74" s="31"/>
      <c r="C74" s="31"/>
      <c r="D74" s="1626"/>
      <c r="E74" s="32">
        <f t="shared" si="7"/>
        <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8"/>
      <c r="AU74" s="1627"/>
      <c r="AV74" s="1339">
        <f t="shared" si="11"/>
        <v>0</v>
      </c>
      <c r="AW74" s="1339">
        <f t="shared" si="12"/>
        <v>0</v>
      </c>
      <c r="AX74" s="1339">
        <f t="shared" si="13"/>
        <v>0</v>
      </c>
      <c r="AY74" s="39">
        <f t="shared" si="14"/>
        <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40">
        <f t="shared" si="35"/>
        <v>0</v>
      </c>
    </row>
    <row r="75" spans="1:72">
      <c r="A75" s="6"/>
      <c r="B75" s="31"/>
      <c r="C75" s="31"/>
      <c r="D75" s="1626"/>
      <c r="E75" s="32">
        <f t="shared" si="7"/>
        <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8"/>
      <c r="AU75" s="1627"/>
      <c r="AV75" s="1339">
        <f t="shared" si="11"/>
        <v>0</v>
      </c>
      <c r="AW75" s="1339">
        <f t="shared" si="12"/>
        <v>0</v>
      </c>
      <c r="AX75" s="1339">
        <f t="shared" si="13"/>
        <v>0</v>
      </c>
      <c r="AY75" s="39">
        <f t="shared" si="14"/>
        <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40">
        <f t="shared" si="35"/>
        <v>0</v>
      </c>
    </row>
    <row r="76" spans="1:72">
      <c r="A76" s="6"/>
      <c r="B76" s="31"/>
      <c r="C76" s="31"/>
      <c r="D76" s="1626"/>
      <c r="E76" s="32">
        <f t="shared" si="7"/>
        <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8"/>
      <c r="AU76" s="1627"/>
      <c r="AV76" s="1339">
        <f t="shared" si="11"/>
        <v>0</v>
      </c>
      <c r="AW76" s="1339">
        <f t="shared" si="12"/>
        <v>0</v>
      </c>
      <c r="AX76" s="1339">
        <f t="shared" si="13"/>
        <v>0</v>
      </c>
      <c r="AY76" s="39">
        <f t="shared" si="14"/>
        <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40">
        <f t="shared" si="35"/>
        <v>0</v>
      </c>
    </row>
    <row r="77" spans="1:72">
      <c r="A77" s="6"/>
      <c r="B77" s="31"/>
      <c r="C77" s="31"/>
      <c r="D77" s="1626"/>
      <c r="E77" s="32">
        <f t="shared" si="7"/>
        <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8"/>
      <c r="AU77" s="1627"/>
      <c r="AV77" s="1339">
        <f t="shared" si="11"/>
        <v>0</v>
      </c>
      <c r="AW77" s="1339">
        <f t="shared" si="12"/>
        <v>0</v>
      </c>
      <c r="AX77" s="1339">
        <f t="shared" si="13"/>
        <v>0</v>
      </c>
      <c r="AY77" s="39">
        <f t="shared" si="14"/>
        <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40">
        <f t="shared" si="35"/>
        <v>0</v>
      </c>
    </row>
    <row r="78" spans="1:72">
      <c r="A78" s="6"/>
      <c r="B78" s="31"/>
      <c r="C78" s="31"/>
      <c r="D78" s="1626"/>
      <c r="E78" s="32">
        <f t="shared" si="7"/>
        <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8"/>
      <c r="AU78" s="1627"/>
      <c r="AV78" s="1339">
        <f t="shared" si="11"/>
        <v>0</v>
      </c>
      <c r="AW78" s="1339">
        <f t="shared" si="12"/>
        <v>0</v>
      </c>
      <c r="AX78" s="1339">
        <f t="shared" si="13"/>
        <v>0</v>
      </c>
      <c r="AY78" s="39">
        <f t="shared" si="14"/>
        <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40">
        <f t="shared" si="35"/>
        <v>0</v>
      </c>
    </row>
    <row r="79" spans="1:72">
      <c r="A79" s="6"/>
      <c r="B79" s="31"/>
      <c r="C79" s="31"/>
      <c r="D79" s="1626"/>
      <c r="E79" s="32">
        <f t="shared" si="7"/>
        <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8"/>
      <c r="AU79" s="1627"/>
      <c r="AV79" s="1339">
        <f t="shared" si="11"/>
        <v>0</v>
      </c>
      <c r="AW79" s="1339">
        <f t="shared" si="12"/>
        <v>0</v>
      </c>
      <c r="AX79" s="1339">
        <f t="shared" si="13"/>
        <v>0</v>
      </c>
      <c r="AY79" s="39">
        <f t="shared" si="14"/>
        <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40">
        <f t="shared" si="35"/>
        <v>0</v>
      </c>
    </row>
    <row r="80" spans="1:72">
      <c r="A80" s="6"/>
      <c r="B80" s="31"/>
      <c r="C80" s="31"/>
      <c r="D80" s="1626"/>
      <c r="E80" s="32">
        <f t="shared" si="7"/>
        <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8"/>
      <c r="AU80" s="1627"/>
      <c r="AV80" s="1339">
        <f t="shared" si="11"/>
        <v>0</v>
      </c>
      <c r="AW80" s="1339">
        <f t="shared" si="12"/>
        <v>0</v>
      </c>
      <c r="AX80" s="1339">
        <f t="shared" si="13"/>
        <v>0</v>
      </c>
      <c r="AY80" s="39">
        <f t="shared" si="14"/>
        <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40">
        <f t="shared" si="35"/>
        <v>0</v>
      </c>
    </row>
    <row r="81" spans="1:72">
      <c r="A81" s="6"/>
      <c r="B81" s="31"/>
      <c r="C81" s="31"/>
      <c r="D81" s="1626"/>
      <c r="E81" s="32">
        <f t="shared" si="7"/>
        <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8"/>
      <c r="AU81" s="1627"/>
      <c r="AV81" s="1339">
        <f t="shared" si="11"/>
        <v>0</v>
      </c>
      <c r="AW81" s="1339">
        <f t="shared" si="12"/>
        <v>0</v>
      </c>
      <c r="AX81" s="1339">
        <f t="shared" si="13"/>
        <v>0</v>
      </c>
      <c r="AY81" s="39">
        <f t="shared" si="14"/>
        <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40">
        <f t="shared" si="35"/>
        <v>0</v>
      </c>
    </row>
    <row r="82" spans="1:72">
      <c r="A82" s="6"/>
      <c r="B82" s="31"/>
      <c r="C82" s="31"/>
      <c r="D82" s="1626"/>
      <c r="E82" s="32">
        <f t="shared" si="7"/>
        <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8"/>
      <c r="AU82" s="1627"/>
      <c r="AV82" s="1339">
        <f t="shared" si="11"/>
        <v>0</v>
      </c>
      <c r="AW82" s="1339">
        <f t="shared" si="12"/>
        <v>0</v>
      </c>
      <c r="AX82" s="1339">
        <f t="shared" si="13"/>
        <v>0</v>
      </c>
      <c r="AY82" s="39">
        <f t="shared" si="14"/>
        <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40">
        <f t="shared" si="35"/>
        <v>0</v>
      </c>
    </row>
    <row r="83" spans="1:72">
      <c r="A83" s="6"/>
      <c r="B83" s="31"/>
      <c r="C83" s="31"/>
      <c r="D83" s="1626"/>
      <c r="E83" s="32">
        <f t="shared" si="7"/>
        <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8"/>
      <c r="AU83" s="1627"/>
      <c r="AV83" s="1339">
        <f t="shared" si="11"/>
        <v>0</v>
      </c>
      <c r="AW83" s="1339">
        <f t="shared" si="12"/>
        <v>0</v>
      </c>
      <c r="AX83" s="1339">
        <f t="shared" si="13"/>
        <v>0</v>
      </c>
      <c r="AY83" s="39">
        <f t="shared" si="14"/>
        <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40">
        <f t="shared" si="35"/>
        <v>0</v>
      </c>
    </row>
    <row r="84" spans="1:72">
      <c r="A84" s="6"/>
      <c r="B84" s="31"/>
      <c r="C84" s="31"/>
      <c r="D84" s="1626"/>
      <c r="E84" s="32">
        <f t="shared" si="7"/>
        <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8"/>
      <c r="AU84" s="1627"/>
      <c r="AV84" s="1339">
        <f t="shared" si="11"/>
        <v>0</v>
      </c>
      <c r="AW84" s="1339">
        <f t="shared" si="12"/>
        <v>0</v>
      </c>
      <c r="AX84" s="1339">
        <f t="shared" si="13"/>
        <v>0</v>
      </c>
      <c r="AY84" s="39">
        <f t="shared" si="14"/>
        <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40">
        <f t="shared" si="35"/>
        <v>0</v>
      </c>
    </row>
    <row r="85" spans="1:72">
      <c r="A85" s="6"/>
      <c r="B85" s="31"/>
      <c r="C85" s="31"/>
      <c r="D85" s="1626"/>
      <c r="E85" s="32">
        <f t="shared" si="7"/>
        <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8"/>
      <c r="AU85" s="1627"/>
      <c r="AV85" s="1339">
        <f t="shared" si="11"/>
        <v>0</v>
      </c>
      <c r="AW85" s="1339">
        <f t="shared" si="12"/>
        <v>0</v>
      </c>
      <c r="AX85" s="1339">
        <f t="shared" si="13"/>
        <v>0</v>
      </c>
      <c r="AY85" s="39">
        <f t="shared" si="14"/>
        <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40">
        <f t="shared" si="35"/>
        <v>0</v>
      </c>
    </row>
    <row r="86" spans="1:72">
      <c r="A86" s="6"/>
      <c r="B86" s="31"/>
      <c r="C86" s="31"/>
      <c r="D86" s="1626"/>
      <c r="E86" s="32">
        <f t="shared" si="7"/>
        <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8"/>
      <c r="AU86" s="1627"/>
      <c r="AV86" s="1339">
        <f t="shared" si="11"/>
        <v>0</v>
      </c>
      <c r="AW86" s="1339">
        <f t="shared" si="12"/>
        <v>0</v>
      </c>
      <c r="AX86" s="1339">
        <f t="shared" si="13"/>
        <v>0</v>
      </c>
      <c r="AY86" s="39">
        <f t="shared" si="14"/>
        <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40">
        <f t="shared" si="35"/>
        <v>0</v>
      </c>
    </row>
    <row r="87" spans="1:72">
      <c r="A87" s="6"/>
      <c r="B87" s="31"/>
      <c r="C87" s="31"/>
      <c r="D87" s="1626"/>
      <c r="E87" s="32">
        <f t="shared" si="7"/>
        <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8"/>
      <c r="AU87" s="1627"/>
      <c r="AV87" s="1339">
        <f t="shared" si="11"/>
        <v>0</v>
      </c>
      <c r="AW87" s="1339">
        <f t="shared" si="12"/>
        <v>0</v>
      </c>
      <c r="AX87" s="1339">
        <f t="shared" si="13"/>
        <v>0</v>
      </c>
      <c r="AY87" s="39">
        <f t="shared" si="14"/>
        <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40">
        <f t="shared" si="35"/>
        <v>0</v>
      </c>
    </row>
    <row r="88" spans="1:72">
      <c r="A88" s="6"/>
      <c r="B88" s="31"/>
      <c r="C88" s="31"/>
      <c r="D88" s="1626"/>
      <c r="E88" s="32">
        <f t="shared" si="7"/>
        <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8"/>
      <c r="AU88" s="1627"/>
      <c r="AV88" s="1339">
        <f t="shared" si="11"/>
        <v>0</v>
      </c>
      <c r="AW88" s="1339">
        <f t="shared" si="12"/>
        <v>0</v>
      </c>
      <c r="AX88" s="1339">
        <f t="shared" si="13"/>
        <v>0</v>
      </c>
      <c r="AY88" s="39">
        <f t="shared" si="14"/>
        <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40">
        <f t="shared" si="35"/>
        <v>0</v>
      </c>
    </row>
    <row r="89" spans="1:72">
      <c r="A89" s="6"/>
      <c r="B89" s="31"/>
      <c r="C89" s="31"/>
      <c r="D89" s="1626"/>
      <c r="E89" s="32">
        <f t="shared" si="7"/>
        <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8"/>
      <c r="AU89" s="1627"/>
      <c r="AV89" s="1339">
        <f t="shared" si="11"/>
        <v>0</v>
      </c>
      <c r="AW89" s="1339">
        <f t="shared" si="12"/>
        <v>0</v>
      </c>
      <c r="AX89" s="1339">
        <f t="shared" si="13"/>
        <v>0</v>
      </c>
      <c r="AY89" s="39">
        <f t="shared" si="14"/>
        <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40">
        <f t="shared" si="35"/>
        <v>0</v>
      </c>
    </row>
    <row r="90" spans="1:72">
      <c r="A90" s="6"/>
      <c r="B90" s="31"/>
      <c r="C90" s="31"/>
      <c r="D90" s="1626"/>
      <c r="E90" s="32">
        <f t="shared" si="7"/>
        <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8"/>
      <c r="AU90" s="1627"/>
      <c r="AV90" s="1339">
        <f t="shared" si="11"/>
        <v>0</v>
      </c>
      <c r="AW90" s="1339">
        <f t="shared" si="12"/>
        <v>0</v>
      </c>
      <c r="AX90" s="1339">
        <f t="shared" si="13"/>
        <v>0</v>
      </c>
      <c r="AY90" s="39">
        <f t="shared" si="14"/>
        <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40">
        <f t="shared" si="35"/>
        <v>0</v>
      </c>
    </row>
    <row r="91" spans="1:72">
      <c r="A91" s="6"/>
      <c r="B91" s="31"/>
      <c r="C91" s="31"/>
      <c r="D91" s="1626"/>
      <c r="E91" s="32">
        <f t="shared" si="7"/>
        <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8"/>
      <c r="AU91" s="1627"/>
      <c r="AV91" s="1339">
        <f t="shared" si="11"/>
        <v>0</v>
      </c>
      <c r="AW91" s="1339">
        <f t="shared" si="12"/>
        <v>0</v>
      </c>
      <c r="AX91" s="1339">
        <f t="shared" si="13"/>
        <v>0</v>
      </c>
      <c r="AY91" s="39">
        <f t="shared" si="14"/>
        <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40">
        <f t="shared" si="35"/>
        <v>0</v>
      </c>
    </row>
    <row r="92" spans="1:72">
      <c r="A92" s="6"/>
      <c r="B92" s="31"/>
      <c r="C92" s="31"/>
      <c r="D92" s="1626"/>
      <c r="E92" s="32">
        <f t="shared" si="7"/>
        <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8"/>
      <c r="AU92" s="1627"/>
      <c r="AV92" s="1339">
        <f t="shared" si="11"/>
        <v>0</v>
      </c>
      <c r="AW92" s="1339">
        <f t="shared" si="12"/>
        <v>0</v>
      </c>
      <c r="AX92" s="1339">
        <f t="shared" si="13"/>
        <v>0</v>
      </c>
      <c r="AY92" s="39">
        <f t="shared" si="14"/>
        <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40">
        <f t="shared" si="35"/>
        <v>0</v>
      </c>
    </row>
    <row r="93" spans="1:72">
      <c r="A93" s="6"/>
      <c r="B93" s="31"/>
      <c r="C93" s="31"/>
      <c r="D93" s="1626"/>
      <c r="E93" s="32">
        <f t="shared" si="7"/>
        <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8"/>
      <c r="AU93" s="1627"/>
      <c r="AV93" s="1339">
        <f t="shared" si="11"/>
        <v>0</v>
      </c>
      <c r="AW93" s="1339">
        <f t="shared" si="12"/>
        <v>0</v>
      </c>
      <c r="AX93" s="1339">
        <f t="shared" si="13"/>
        <v>0</v>
      </c>
      <c r="AY93" s="39">
        <f t="shared" si="14"/>
        <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40">
        <f t="shared" si="35"/>
        <v>0</v>
      </c>
    </row>
    <row r="94" spans="1:72">
      <c r="A94" s="6"/>
      <c r="B94" s="31"/>
      <c r="C94" s="31"/>
      <c r="D94" s="1626"/>
      <c r="E94" s="32">
        <f t="shared" si="7"/>
        <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8"/>
      <c r="AU94" s="1627"/>
      <c r="AV94" s="1339">
        <f t="shared" si="11"/>
        <v>0</v>
      </c>
      <c r="AW94" s="1339">
        <f t="shared" si="12"/>
        <v>0</v>
      </c>
      <c r="AX94" s="1339">
        <f t="shared" si="13"/>
        <v>0</v>
      </c>
      <c r="AY94" s="39">
        <f t="shared" si="14"/>
        <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40">
        <f t="shared" si="35"/>
        <v>0</v>
      </c>
    </row>
    <row r="95" spans="1:72">
      <c r="A95" s="6"/>
      <c r="B95" s="31"/>
      <c r="C95" s="31"/>
      <c r="D95" s="1626"/>
      <c r="E95" s="32">
        <f t="shared" si="7"/>
        <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8"/>
      <c r="AU95" s="1627"/>
      <c r="AV95" s="1339">
        <f t="shared" si="11"/>
        <v>0</v>
      </c>
      <c r="AW95" s="1339">
        <f t="shared" si="12"/>
        <v>0</v>
      </c>
      <c r="AX95" s="1339">
        <f t="shared" si="13"/>
        <v>0</v>
      </c>
      <c r="AY95" s="39">
        <f t="shared" si="14"/>
        <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40">
        <f t="shared" si="35"/>
        <v>0</v>
      </c>
    </row>
    <row r="96" spans="1:72">
      <c r="A96" s="6"/>
      <c r="B96" s="31"/>
      <c r="C96" s="31"/>
      <c r="D96" s="1626"/>
      <c r="E96" s="32">
        <f t="shared" si="7"/>
        <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8"/>
      <c r="AU96" s="1627"/>
      <c r="AV96" s="1339">
        <f t="shared" si="11"/>
        <v>0</v>
      </c>
      <c r="AW96" s="1339">
        <f t="shared" si="12"/>
        <v>0</v>
      </c>
      <c r="AX96" s="1339">
        <f t="shared" si="13"/>
        <v>0</v>
      </c>
      <c r="AY96" s="39">
        <f t="shared" si="14"/>
        <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40">
        <f t="shared" si="35"/>
        <v>0</v>
      </c>
    </row>
    <row r="97" spans="1:72">
      <c r="A97" s="6"/>
      <c r="B97" s="31"/>
      <c r="C97" s="31"/>
      <c r="D97" s="1626"/>
      <c r="E97" s="32">
        <f t="shared" si="7"/>
        <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8"/>
      <c r="AU97" s="1627"/>
      <c r="AV97" s="1339">
        <f t="shared" si="11"/>
        <v>0</v>
      </c>
      <c r="AW97" s="1339">
        <f t="shared" si="12"/>
        <v>0</v>
      </c>
      <c r="AX97" s="1339">
        <f t="shared" si="13"/>
        <v>0</v>
      </c>
      <c r="AY97" s="39">
        <f t="shared" si="14"/>
        <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40">
        <f t="shared" si="35"/>
        <v>0</v>
      </c>
    </row>
    <row r="98" spans="1:72">
      <c r="A98" s="6"/>
      <c r="B98" s="31"/>
      <c r="C98" s="31"/>
      <c r="D98" s="1626"/>
      <c r="E98" s="32">
        <f t="shared" si="7"/>
        <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8"/>
      <c r="AU98" s="1627"/>
      <c r="AV98" s="1339">
        <f t="shared" si="11"/>
        <v>0</v>
      </c>
      <c r="AW98" s="1339">
        <f t="shared" si="12"/>
        <v>0</v>
      </c>
      <c r="AX98" s="1339">
        <f t="shared" si="13"/>
        <v>0</v>
      </c>
      <c r="AY98" s="39">
        <f t="shared" si="14"/>
        <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40">
        <f t="shared" si="35"/>
        <v>0</v>
      </c>
    </row>
    <row r="99" spans="1:72">
      <c r="A99" s="6"/>
      <c r="B99" s="31"/>
      <c r="C99" s="31"/>
      <c r="D99" s="1626"/>
      <c r="E99" s="32">
        <f t="shared" si="7"/>
        <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8"/>
      <c r="AU99" s="1627"/>
      <c r="AV99" s="1339">
        <f t="shared" si="11"/>
        <v>0</v>
      </c>
      <c r="AW99" s="1339">
        <f t="shared" si="12"/>
        <v>0</v>
      </c>
      <c r="AX99" s="1339">
        <f t="shared" si="13"/>
        <v>0</v>
      </c>
      <c r="AY99" s="39">
        <f t="shared" si="14"/>
        <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40">
        <f t="shared" si="35"/>
        <v>0</v>
      </c>
    </row>
    <row r="100" spans="1:72">
      <c r="A100" s="6"/>
      <c r="B100" s="31"/>
      <c r="C100" s="31"/>
      <c r="D100" s="1626"/>
      <c r="E100" s="32">
        <f t="shared" si="7"/>
        <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8"/>
      <c r="AU100" s="1627"/>
      <c r="AV100" s="1339">
        <f t="shared" si="11"/>
        <v>0</v>
      </c>
      <c r="AW100" s="1339">
        <f t="shared" si="12"/>
        <v>0</v>
      </c>
      <c r="AX100" s="1339">
        <f t="shared" si="13"/>
        <v>0</v>
      </c>
      <c r="AY100" s="39">
        <f t="shared" si="14"/>
        <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40">
        <f t="shared" si="35"/>
        <v>0</v>
      </c>
    </row>
    <row r="101" spans="1:72">
      <c r="A101" s="6"/>
      <c r="B101" s="31"/>
      <c r="C101" s="31"/>
      <c r="D101" s="1626"/>
      <c r="E101" s="32">
        <f t="shared" si="7"/>
        <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8"/>
      <c r="AU101" s="1627"/>
      <c r="AV101" s="1339">
        <f t="shared" si="11"/>
        <v>0</v>
      </c>
      <c r="AW101" s="1339">
        <f t="shared" si="12"/>
        <v>0</v>
      </c>
      <c r="AX101" s="1339">
        <f t="shared" si="13"/>
        <v>0</v>
      </c>
      <c r="AY101" s="39">
        <f t="shared" si="14"/>
        <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40">
        <f t="shared" si="35"/>
        <v>0</v>
      </c>
    </row>
    <row r="102" spans="1:72">
      <c r="A102" s="6"/>
      <c r="B102" s="31"/>
      <c r="C102" s="31"/>
      <c r="D102" s="1626"/>
      <c r="E102" s="32">
        <f t="shared" si="7"/>
        <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8"/>
      <c r="AU102" s="1627"/>
      <c r="AV102" s="1339">
        <f t="shared" si="11"/>
        <v>0</v>
      </c>
      <c r="AW102" s="1339">
        <f t="shared" si="12"/>
        <v>0</v>
      </c>
      <c r="AX102" s="1339">
        <f t="shared" si="13"/>
        <v>0</v>
      </c>
      <c r="AY102" s="39">
        <f t="shared" si="14"/>
        <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40">
        <f t="shared" si="35"/>
        <v>0</v>
      </c>
    </row>
    <row r="103" spans="1:72">
      <c r="A103" s="6"/>
      <c r="B103" s="31"/>
      <c r="C103" s="31"/>
      <c r="D103" s="1626"/>
      <c r="E103" s="32">
        <f t="shared" si="7"/>
        <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8"/>
      <c r="AU103" s="1627"/>
      <c r="AV103" s="1339">
        <f t="shared" si="11"/>
        <v>0</v>
      </c>
      <c r="AW103" s="1339">
        <f t="shared" si="12"/>
        <v>0</v>
      </c>
      <c r="AX103" s="1339">
        <f t="shared" si="13"/>
        <v>0</v>
      </c>
      <c r="AY103" s="39">
        <f t="shared" si="14"/>
        <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40">
        <f t="shared" si="35"/>
        <v>0</v>
      </c>
    </row>
    <row r="104" spans="1:72">
      <c r="A104" s="6"/>
      <c r="B104" s="31"/>
      <c r="C104" s="31"/>
      <c r="D104" s="1626"/>
      <c r="E104" s="32">
        <f t="shared" si="7"/>
        <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8"/>
      <c r="AU104" s="1627"/>
      <c r="AV104" s="1339">
        <f t="shared" si="11"/>
        <v>0</v>
      </c>
      <c r="AW104" s="1339">
        <f t="shared" si="12"/>
        <v>0</v>
      </c>
      <c r="AX104" s="1339">
        <f t="shared" si="13"/>
        <v>0</v>
      </c>
      <c r="AY104" s="39">
        <f t="shared" si="14"/>
        <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40">
        <f t="shared" si="35"/>
        <v>0</v>
      </c>
    </row>
    <row r="105" spans="1:72">
      <c r="A105" s="6"/>
      <c r="B105" s="31"/>
      <c r="C105" s="31"/>
      <c r="D105" s="1626"/>
      <c r="E105" s="32">
        <f t="shared" si="7"/>
        <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8"/>
      <c r="AU105" s="1627"/>
      <c r="AV105" s="1339">
        <f t="shared" si="11"/>
        <v>0</v>
      </c>
      <c r="AW105" s="1339">
        <f t="shared" si="12"/>
        <v>0</v>
      </c>
      <c r="AX105" s="1339">
        <f t="shared" si="13"/>
        <v>0</v>
      </c>
      <c r="AY105" s="39">
        <f t="shared" si="14"/>
        <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40">
        <f t="shared" si="35"/>
        <v>0</v>
      </c>
    </row>
    <row r="106" spans="1:72">
      <c r="A106" s="6"/>
      <c r="B106" s="31"/>
      <c r="C106" s="31"/>
      <c r="D106" s="1626"/>
      <c r="E106" s="32">
        <f t="shared" si="7"/>
        <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8"/>
      <c r="AU106" s="1627"/>
      <c r="AV106" s="1339">
        <f t="shared" si="11"/>
        <v>0</v>
      </c>
      <c r="AW106" s="1339">
        <f t="shared" si="12"/>
        <v>0</v>
      </c>
      <c r="AX106" s="1339">
        <f t="shared" si="13"/>
        <v>0</v>
      </c>
      <c r="AY106" s="39">
        <f t="shared" si="14"/>
        <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40">
        <f t="shared" si="35"/>
        <v>0</v>
      </c>
    </row>
    <row r="107" spans="1:72">
      <c r="A107" s="6"/>
      <c r="B107" s="31"/>
      <c r="C107" s="31"/>
      <c r="D107" s="1626"/>
      <c r="E107" s="32">
        <f t="shared" si="7"/>
        <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8"/>
      <c r="AU107" s="1627"/>
      <c r="AV107" s="1339">
        <f t="shared" si="11"/>
        <v>0</v>
      </c>
      <c r="AW107" s="1339">
        <f t="shared" si="12"/>
        <v>0</v>
      </c>
      <c r="AX107" s="1339">
        <f t="shared" si="13"/>
        <v>0</v>
      </c>
      <c r="AY107" s="39">
        <f t="shared" si="14"/>
        <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40">
        <f t="shared" si="35"/>
        <v>0</v>
      </c>
    </row>
    <row r="108" spans="1:72">
      <c r="A108" s="6"/>
      <c r="B108" s="31"/>
      <c r="C108" s="31"/>
      <c r="D108" s="1626"/>
      <c r="E108" s="32">
        <f t="shared" si="7"/>
        <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8"/>
      <c r="AU108" s="1627"/>
      <c r="AV108" s="1339">
        <f t="shared" si="11"/>
        <v>0</v>
      </c>
      <c r="AW108" s="1339">
        <f t="shared" si="12"/>
        <v>0</v>
      </c>
      <c r="AX108" s="1339">
        <f t="shared" si="13"/>
        <v>0</v>
      </c>
      <c r="AY108" s="39">
        <f t="shared" si="14"/>
        <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40">
        <f t="shared" si="35"/>
        <v>0</v>
      </c>
    </row>
    <row r="109" spans="1:72">
      <c r="A109" s="6"/>
      <c r="B109" s="31"/>
      <c r="C109" s="31"/>
      <c r="D109" s="1626"/>
      <c r="E109" s="32">
        <f t="shared" si="7"/>
        <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8"/>
      <c r="AU109" s="1627"/>
      <c r="AV109" s="1339">
        <f t="shared" si="11"/>
        <v>0</v>
      </c>
      <c r="AW109" s="1339">
        <f t="shared" si="12"/>
        <v>0</v>
      </c>
      <c r="AX109" s="1339">
        <f t="shared" si="13"/>
        <v>0</v>
      </c>
      <c r="AY109" s="39">
        <f t="shared" si="14"/>
        <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40">
        <f t="shared" si="35"/>
        <v>0</v>
      </c>
    </row>
    <row r="110" spans="1:72">
      <c r="A110" s="6"/>
      <c r="B110" s="6"/>
      <c r="C110" s="6"/>
      <c r="D110" s="1626"/>
      <c r="E110" s="32">
        <f t="shared" si="7"/>
        <v>0</v>
      </c>
      <c r="F110" s="41"/>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1567"/>
      <c r="AV110" s="1339">
        <f t="shared" si="11"/>
        <v>0</v>
      </c>
      <c r="AW110" s="1339">
        <f t="shared" si="12"/>
        <v>0</v>
      </c>
      <c r="AX110" s="1339">
        <f t="shared" si="13"/>
        <v>0</v>
      </c>
      <c r="AY110" s="39">
        <f t="shared" ref="AY110:AY141" si="39">ROUND($AY$6*AZ110/$AZ$5,2)</f>
        <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40">
        <f t="shared" ref="BT110:BT141" si="60">IF($D110="是",AR110-AS110,0)</f>
        <v>0</v>
      </c>
    </row>
    <row r="111" spans="1:72">
      <c r="A111" s="6"/>
      <c r="B111" s="6"/>
      <c r="C111" s="6"/>
      <c r="D111" s="1626"/>
      <c r="E111" s="32">
        <f t="shared" si="7"/>
        <v>0</v>
      </c>
      <c r="F111" s="41"/>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1567"/>
      <c r="AV111" s="1339">
        <f t="shared" si="11"/>
        <v>0</v>
      </c>
      <c r="AW111" s="1339">
        <f t="shared" si="12"/>
        <v>0</v>
      </c>
      <c r="AX111" s="1339">
        <f t="shared" si="13"/>
        <v>0</v>
      </c>
      <c r="AY111" s="39">
        <f t="shared" si="39"/>
        <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40">
        <f t="shared" si="60"/>
        <v>0</v>
      </c>
    </row>
    <row r="112" spans="1:72">
      <c r="A112" s="6"/>
      <c r="B112" s="6"/>
      <c r="C112" s="6"/>
      <c r="D112" s="1626"/>
      <c r="E112" s="32">
        <f t="shared" si="7"/>
        <v>0</v>
      </c>
      <c r="F112" s="41"/>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1567"/>
      <c r="AV112" s="1339">
        <f t="shared" si="11"/>
        <v>0</v>
      </c>
      <c r="AW112" s="1339">
        <f t="shared" si="12"/>
        <v>0</v>
      </c>
      <c r="AX112" s="1339">
        <f t="shared" si="13"/>
        <v>0</v>
      </c>
      <c r="AY112" s="39">
        <f t="shared" si="39"/>
        <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40">
        <f t="shared" si="60"/>
        <v>0</v>
      </c>
    </row>
    <row r="113" spans="1:72">
      <c r="A113" s="6"/>
      <c r="B113" s="31"/>
      <c r="C113" s="31"/>
      <c r="D113" s="1626"/>
      <c r="E113" s="32">
        <f t="shared" ref="E113:E144" si="61">IF($C$3="是",ROUND($A$3*G113/$B$3,2),ROUND($A$3*(G113-AT113)/$B$3,2))</f>
        <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8"/>
      <c r="AU113" s="1627"/>
      <c r="AV113" s="1339">
        <f t="shared" ref="AV113:AV144" si="62">A113</f>
        <v>0</v>
      </c>
      <c r="AW113" s="1339">
        <f t="shared" ref="AW113:AW144" si="63">B113</f>
        <v>0</v>
      </c>
      <c r="AX113" s="1339">
        <f t="shared" ref="AX113:AX144" si="64">C113</f>
        <v>0</v>
      </c>
      <c r="AY113" s="39">
        <f t="shared" si="39"/>
        <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40">
        <f t="shared" si="60"/>
        <v>0</v>
      </c>
    </row>
    <row r="114" spans="1:72">
      <c r="A114" s="6"/>
      <c r="B114" s="31"/>
      <c r="C114" s="31"/>
      <c r="D114" s="1626"/>
      <c r="E114" s="32">
        <f t="shared" si="61"/>
        <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8"/>
      <c r="AU114" s="1627"/>
      <c r="AV114" s="1339">
        <f t="shared" si="62"/>
        <v>0</v>
      </c>
      <c r="AW114" s="1339">
        <f t="shared" si="63"/>
        <v>0</v>
      </c>
      <c r="AX114" s="1339">
        <f t="shared" si="64"/>
        <v>0</v>
      </c>
      <c r="AY114" s="39">
        <f t="shared" si="39"/>
        <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40">
        <f t="shared" si="60"/>
        <v>0</v>
      </c>
    </row>
    <row r="115" spans="1:72">
      <c r="A115" s="6"/>
      <c r="B115" s="31"/>
      <c r="C115" s="31"/>
      <c r="D115" s="1626"/>
      <c r="E115" s="32">
        <f t="shared" si="61"/>
        <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8"/>
      <c r="AU115" s="1627"/>
      <c r="AV115" s="1339">
        <f t="shared" si="62"/>
        <v>0</v>
      </c>
      <c r="AW115" s="1339">
        <f t="shared" si="63"/>
        <v>0</v>
      </c>
      <c r="AX115" s="1339">
        <f t="shared" si="64"/>
        <v>0</v>
      </c>
      <c r="AY115" s="39">
        <f t="shared" si="39"/>
        <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40">
        <f t="shared" si="60"/>
        <v>0</v>
      </c>
    </row>
    <row r="116" spans="1:72">
      <c r="A116" s="6"/>
      <c r="B116" s="31"/>
      <c r="C116" s="31"/>
      <c r="D116" s="1626"/>
      <c r="E116" s="32">
        <f t="shared" si="61"/>
        <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8"/>
      <c r="AU116" s="1627"/>
      <c r="AV116" s="1339">
        <f t="shared" si="62"/>
        <v>0</v>
      </c>
      <c r="AW116" s="1339">
        <f t="shared" si="63"/>
        <v>0</v>
      </c>
      <c r="AX116" s="1339">
        <f t="shared" si="64"/>
        <v>0</v>
      </c>
      <c r="AY116" s="39">
        <f t="shared" si="39"/>
        <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40">
        <f t="shared" si="60"/>
        <v>0</v>
      </c>
    </row>
    <row r="117" spans="1:72">
      <c r="A117" s="6"/>
      <c r="B117" s="31"/>
      <c r="C117" s="31"/>
      <c r="D117" s="1626"/>
      <c r="E117" s="32">
        <f t="shared" si="61"/>
        <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8"/>
      <c r="AU117" s="1627"/>
      <c r="AV117" s="1339">
        <f t="shared" si="62"/>
        <v>0</v>
      </c>
      <c r="AW117" s="1339">
        <f t="shared" si="63"/>
        <v>0</v>
      </c>
      <c r="AX117" s="1339">
        <f t="shared" si="64"/>
        <v>0</v>
      </c>
      <c r="AY117" s="39">
        <f t="shared" si="39"/>
        <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40">
        <f t="shared" si="60"/>
        <v>0</v>
      </c>
    </row>
    <row r="118" spans="1:72">
      <c r="A118" s="6"/>
      <c r="B118" s="31"/>
      <c r="C118" s="31"/>
      <c r="D118" s="1626"/>
      <c r="E118" s="32">
        <f t="shared" si="61"/>
        <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8"/>
      <c r="AU118" s="1627"/>
      <c r="AV118" s="1339">
        <f t="shared" si="62"/>
        <v>0</v>
      </c>
      <c r="AW118" s="1339">
        <f t="shared" si="63"/>
        <v>0</v>
      </c>
      <c r="AX118" s="1339">
        <f t="shared" si="64"/>
        <v>0</v>
      </c>
      <c r="AY118" s="39">
        <f t="shared" si="39"/>
        <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40">
        <f t="shared" si="60"/>
        <v>0</v>
      </c>
    </row>
    <row r="119" spans="1:72">
      <c r="A119" s="6"/>
      <c r="B119" s="31"/>
      <c r="C119" s="31"/>
      <c r="D119" s="1626"/>
      <c r="E119" s="32">
        <f t="shared" si="61"/>
        <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8"/>
      <c r="AU119" s="1627"/>
      <c r="AV119" s="1339">
        <f t="shared" si="62"/>
        <v>0</v>
      </c>
      <c r="AW119" s="1339">
        <f t="shared" si="63"/>
        <v>0</v>
      </c>
      <c r="AX119" s="1339">
        <f t="shared" si="64"/>
        <v>0</v>
      </c>
      <c r="AY119" s="39">
        <f t="shared" si="39"/>
        <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40">
        <f t="shared" si="60"/>
        <v>0</v>
      </c>
    </row>
    <row r="120" spans="1:72">
      <c r="A120" s="6"/>
      <c r="B120" s="31"/>
      <c r="C120" s="31"/>
      <c r="D120" s="1626"/>
      <c r="E120" s="32">
        <f t="shared" si="61"/>
        <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8"/>
      <c r="AU120" s="1627"/>
      <c r="AV120" s="1339">
        <f t="shared" si="62"/>
        <v>0</v>
      </c>
      <c r="AW120" s="1339">
        <f t="shared" si="63"/>
        <v>0</v>
      </c>
      <c r="AX120" s="1339">
        <f t="shared" si="64"/>
        <v>0</v>
      </c>
      <c r="AY120" s="39">
        <f t="shared" si="39"/>
        <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40">
        <f t="shared" si="60"/>
        <v>0</v>
      </c>
    </row>
    <row r="121" spans="1:72">
      <c r="A121" s="6"/>
      <c r="B121" s="31"/>
      <c r="C121" s="31"/>
      <c r="D121" s="1626"/>
      <c r="E121" s="32">
        <f t="shared" si="61"/>
        <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8"/>
      <c r="AU121" s="1627"/>
      <c r="AV121" s="1339">
        <f t="shared" si="62"/>
        <v>0</v>
      </c>
      <c r="AW121" s="1339">
        <f t="shared" si="63"/>
        <v>0</v>
      </c>
      <c r="AX121" s="1339">
        <f t="shared" si="64"/>
        <v>0</v>
      </c>
      <c r="AY121" s="39">
        <f t="shared" si="39"/>
        <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40">
        <f t="shared" si="60"/>
        <v>0</v>
      </c>
    </row>
    <row r="122" spans="1:72">
      <c r="A122" s="6"/>
      <c r="B122" s="31"/>
      <c r="C122" s="31"/>
      <c r="D122" s="1626"/>
      <c r="E122" s="32">
        <f t="shared" si="61"/>
        <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8"/>
      <c r="AU122" s="1627"/>
      <c r="AV122" s="1339">
        <f t="shared" si="62"/>
        <v>0</v>
      </c>
      <c r="AW122" s="1339">
        <f t="shared" si="63"/>
        <v>0</v>
      </c>
      <c r="AX122" s="1339">
        <f t="shared" si="64"/>
        <v>0</v>
      </c>
      <c r="AY122" s="39">
        <f t="shared" si="39"/>
        <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40">
        <f t="shared" si="60"/>
        <v>0</v>
      </c>
    </row>
    <row r="123" spans="1:72">
      <c r="A123" s="6"/>
      <c r="B123" s="31"/>
      <c r="C123" s="31"/>
      <c r="D123" s="1626"/>
      <c r="E123" s="32">
        <f t="shared" si="61"/>
        <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8"/>
      <c r="AU123" s="1627"/>
      <c r="AV123" s="1339">
        <f t="shared" si="62"/>
        <v>0</v>
      </c>
      <c r="AW123" s="1339">
        <f t="shared" si="63"/>
        <v>0</v>
      </c>
      <c r="AX123" s="1339">
        <f t="shared" si="64"/>
        <v>0</v>
      </c>
      <c r="AY123" s="39">
        <f t="shared" si="39"/>
        <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40">
        <f t="shared" si="60"/>
        <v>0</v>
      </c>
    </row>
    <row r="124" spans="1:72">
      <c r="A124" s="6"/>
      <c r="B124" s="31"/>
      <c r="C124" s="31"/>
      <c r="D124" s="1626"/>
      <c r="E124" s="32">
        <f t="shared" si="61"/>
        <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8"/>
      <c r="AU124" s="1627"/>
      <c r="AV124" s="1339">
        <f t="shared" si="62"/>
        <v>0</v>
      </c>
      <c r="AW124" s="1339">
        <f t="shared" si="63"/>
        <v>0</v>
      </c>
      <c r="AX124" s="1339">
        <f t="shared" si="64"/>
        <v>0</v>
      </c>
      <c r="AY124" s="39">
        <f t="shared" si="39"/>
        <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40">
        <f t="shared" si="60"/>
        <v>0</v>
      </c>
    </row>
    <row r="125" spans="1:72">
      <c r="A125" s="6"/>
      <c r="B125" s="31"/>
      <c r="C125" s="31"/>
      <c r="D125" s="1626"/>
      <c r="E125" s="32">
        <f t="shared" si="61"/>
        <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8"/>
      <c r="AU125" s="1627"/>
      <c r="AV125" s="1339">
        <f t="shared" si="62"/>
        <v>0</v>
      </c>
      <c r="AW125" s="1339">
        <f t="shared" si="63"/>
        <v>0</v>
      </c>
      <c r="AX125" s="1339">
        <f t="shared" si="64"/>
        <v>0</v>
      </c>
      <c r="AY125" s="39">
        <f t="shared" si="39"/>
        <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40">
        <f t="shared" si="60"/>
        <v>0</v>
      </c>
    </row>
    <row r="126" spans="1:72">
      <c r="A126" s="6"/>
      <c r="B126" s="31"/>
      <c r="C126" s="31"/>
      <c r="D126" s="1626"/>
      <c r="E126" s="32">
        <f t="shared" si="61"/>
        <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8"/>
      <c r="AU126" s="1627"/>
      <c r="AV126" s="1339">
        <f t="shared" si="62"/>
        <v>0</v>
      </c>
      <c r="AW126" s="1339">
        <f t="shared" si="63"/>
        <v>0</v>
      </c>
      <c r="AX126" s="1339">
        <f t="shared" si="64"/>
        <v>0</v>
      </c>
      <c r="AY126" s="39">
        <f t="shared" si="39"/>
        <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40">
        <f t="shared" si="60"/>
        <v>0</v>
      </c>
    </row>
    <row r="127" spans="1:72">
      <c r="A127" s="6"/>
      <c r="B127" s="31"/>
      <c r="C127" s="31"/>
      <c r="D127" s="1626"/>
      <c r="E127" s="32">
        <f t="shared" si="61"/>
        <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8"/>
      <c r="AU127" s="1627"/>
      <c r="AV127" s="1339">
        <f t="shared" si="62"/>
        <v>0</v>
      </c>
      <c r="AW127" s="1339">
        <f t="shared" si="63"/>
        <v>0</v>
      </c>
      <c r="AX127" s="1339">
        <f t="shared" si="64"/>
        <v>0</v>
      </c>
      <c r="AY127" s="39">
        <f t="shared" si="39"/>
        <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40">
        <f t="shared" si="60"/>
        <v>0</v>
      </c>
    </row>
    <row r="128" spans="1:72">
      <c r="A128" s="6"/>
      <c r="B128" s="31"/>
      <c r="C128" s="31"/>
      <c r="D128" s="1626"/>
      <c r="E128" s="32">
        <f t="shared" si="61"/>
        <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8"/>
      <c r="AU128" s="1627"/>
      <c r="AV128" s="1339">
        <f t="shared" si="62"/>
        <v>0</v>
      </c>
      <c r="AW128" s="1339">
        <f t="shared" si="63"/>
        <v>0</v>
      </c>
      <c r="AX128" s="1339">
        <f t="shared" si="64"/>
        <v>0</v>
      </c>
      <c r="AY128" s="39">
        <f t="shared" si="39"/>
        <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40">
        <f t="shared" si="60"/>
        <v>0</v>
      </c>
    </row>
    <row r="129" spans="1:72">
      <c r="A129" s="6"/>
      <c r="B129" s="31"/>
      <c r="C129" s="31"/>
      <c r="D129" s="1626"/>
      <c r="E129" s="32">
        <f t="shared" si="61"/>
        <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8"/>
      <c r="AU129" s="1627"/>
      <c r="AV129" s="1339">
        <f t="shared" si="62"/>
        <v>0</v>
      </c>
      <c r="AW129" s="1339">
        <f t="shared" si="63"/>
        <v>0</v>
      </c>
      <c r="AX129" s="1339">
        <f t="shared" si="64"/>
        <v>0</v>
      </c>
      <c r="AY129" s="39">
        <f t="shared" si="39"/>
        <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40">
        <f t="shared" si="60"/>
        <v>0</v>
      </c>
    </row>
    <row r="130" spans="1:72">
      <c r="A130" s="6"/>
      <c r="B130" s="31"/>
      <c r="C130" s="31"/>
      <c r="D130" s="1626"/>
      <c r="E130" s="32">
        <f t="shared" si="61"/>
        <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8"/>
      <c r="AU130" s="1627"/>
      <c r="AV130" s="1339">
        <f t="shared" si="62"/>
        <v>0</v>
      </c>
      <c r="AW130" s="1339">
        <f t="shared" si="63"/>
        <v>0</v>
      </c>
      <c r="AX130" s="1339">
        <f t="shared" si="64"/>
        <v>0</v>
      </c>
      <c r="AY130" s="39">
        <f t="shared" si="39"/>
        <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40">
        <f t="shared" si="60"/>
        <v>0</v>
      </c>
    </row>
    <row r="131" spans="1:72">
      <c r="A131" s="6"/>
      <c r="B131" s="31"/>
      <c r="C131" s="31"/>
      <c r="D131" s="1626"/>
      <c r="E131" s="32">
        <f t="shared" si="61"/>
        <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8"/>
      <c r="AU131" s="1627"/>
      <c r="AV131" s="1339">
        <f t="shared" si="62"/>
        <v>0</v>
      </c>
      <c r="AW131" s="1339">
        <f t="shared" si="63"/>
        <v>0</v>
      </c>
      <c r="AX131" s="1339">
        <f t="shared" si="64"/>
        <v>0</v>
      </c>
      <c r="AY131" s="39">
        <f t="shared" si="39"/>
        <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40">
        <f t="shared" si="60"/>
        <v>0</v>
      </c>
    </row>
    <row r="132" spans="1:72">
      <c r="A132" s="6"/>
      <c r="B132" s="31"/>
      <c r="C132" s="31"/>
      <c r="D132" s="1626"/>
      <c r="E132" s="32">
        <f t="shared" si="61"/>
        <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8"/>
      <c r="AU132" s="1627"/>
      <c r="AV132" s="1339">
        <f t="shared" si="62"/>
        <v>0</v>
      </c>
      <c r="AW132" s="1339">
        <f t="shared" si="63"/>
        <v>0</v>
      </c>
      <c r="AX132" s="1339">
        <f t="shared" si="64"/>
        <v>0</v>
      </c>
      <c r="AY132" s="39">
        <f t="shared" si="39"/>
        <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40">
        <f t="shared" si="60"/>
        <v>0</v>
      </c>
    </row>
    <row r="133" spans="1:72">
      <c r="A133" s="6"/>
      <c r="B133" s="31"/>
      <c r="C133" s="31"/>
      <c r="D133" s="1626"/>
      <c r="E133" s="32">
        <f t="shared" si="61"/>
        <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8"/>
      <c r="AU133" s="1627"/>
      <c r="AV133" s="1339">
        <f t="shared" si="62"/>
        <v>0</v>
      </c>
      <c r="AW133" s="1339">
        <f t="shared" si="63"/>
        <v>0</v>
      </c>
      <c r="AX133" s="1339">
        <f t="shared" si="64"/>
        <v>0</v>
      </c>
      <c r="AY133" s="39">
        <f t="shared" si="39"/>
        <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40">
        <f t="shared" si="60"/>
        <v>0</v>
      </c>
    </row>
    <row r="134" spans="1:72">
      <c r="A134" s="6"/>
      <c r="B134" s="31"/>
      <c r="C134" s="31"/>
      <c r="D134" s="1626"/>
      <c r="E134" s="32">
        <f t="shared" si="61"/>
        <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8"/>
      <c r="AU134" s="1627"/>
      <c r="AV134" s="1339">
        <f t="shared" si="62"/>
        <v>0</v>
      </c>
      <c r="AW134" s="1339">
        <f t="shared" si="63"/>
        <v>0</v>
      </c>
      <c r="AX134" s="1339">
        <f t="shared" si="64"/>
        <v>0</v>
      </c>
      <c r="AY134" s="39">
        <f t="shared" si="39"/>
        <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40">
        <f t="shared" si="60"/>
        <v>0</v>
      </c>
    </row>
    <row r="135" spans="1:72">
      <c r="A135" s="6"/>
      <c r="B135" s="31"/>
      <c r="C135" s="31"/>
      <c r="D135" s="1626"/>
      <c r="E135" s="32">
        <f t="shared" si="61"/>
        <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8"/>
      <c r="AU135" s="1627"/>
      <c r="AV135" s="1339">
        <f t="shared" si="62"/>
        <v>0</v>
      </c>
      <c r="AW135" s="1339">
        <f t="shared" si="63"/>
        <v>0</v>
      </c>
      <c r="AX135" s="1339">
        <f t="shared" si="64"/>
        <v>0</v>
      </c>
      <c r="AY135" s="39">
        <f t="shared" si="39"/>
        <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40">
        <f t="shared" si="60"/>
        <v>0</v>
      </c>
    </row>
    <row r="136" spans="1:72">
      <c r="A136" s="6"/>
      <c r="B136" s="31"/>
      <c r="C136" s="31"/>
      <c r="D136" s="1626"/>
      <c r="E136" s="32">
        <f t="shared" si="61"/>
        <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8"/>
      <c r="AU136" s="1627"/>
      <c r="AV136" s="1339">
        <f t="shared" si="62"/>
        <v>0</v>
      </c>
      <c r="AW136" s="1339">
        <f t="shared" si="63"/>
        <v>0</v>
      </c>
      <c r="AX136" s="1339">
        <f t="shared" si="64"/>
        <v>0</v>
      </c>
      <c r="AY136" s="39">
        <f t="shared" si="39"/>
        <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40">
        <f t="shared" si="60"/>
        <v>0</v>
      </c>
    </row>
    <row r="137" spans="1:72">
      <c r="A137" s="6"/>
      <c r="B137" s="31"/>
      <c r="C137" s="31"/>
      <c r="D137" s="1626"/>
      <c r="E137" s="32">
        <f t="shared" si="61"/>
        <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8"/>
      <c r="AU137" s="1627"/>
      <c r="AV137" s="1339">
        <f t="shared" si="62"/>
        <v>0</v>
      </c>
      <c r="AW137" s="1339">
        <f t="shared" si="63"/>
        <v>0</v>
      </c>
      <c r="AX137" s="1339">
        <f t="shared" si="64"/>
        <v>0</v>
      </c>
      <c r="AY137" s="39">
        <f t="shared" si="39"/>
        <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40">
        <f t="shared" si="60"/>
        <v>0</v>
      </c>
    </row>
    <row r="138" spans="1:72">
      <c r="A138" s="6"/>
      <c r="B138" s="31"/>
      <c r="C138" s="31"/>
      <c r="D138" s="1626"/>
      <c r="E138" s="32">
        <f t="shared" si="61"/>
        <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8"/>
      <c r="AU138" s="1627"/>
      <c r="AV138" s="1339">
        <f t="shared" si="62"/>
        <v>0</v>
      </c>
      <c r="AW138" s="1339">
        <f t="shared" si="63"/>
        <v>0</v>
      </c>
      <c r="AX138" s="1339">
        <f t="shared" si="64"/>
        <v>0</v>
      </c>
      <c r="AY138" s="39">
        <f t="shared" si="39"/>
        <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40">
        <f t="shared" si="60"/>
        <v>0</v>
      </c>
    </row>
    <row r="139" spans="1:72">
      <c r="A139" s="6"/>
      <c r="B139" s="31"/>
      <c r="C139" s="31"/>
      <c r="D139" s="1626"/>
      <c r="E139" s="32">
        <f t="shared" si="61"/>
        <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8"/>
      <c r="AU139" s="1627"/>
      <c r="AV139" s="1339">
        <f t="shared" si="62"/>
        <v>0</v>
      </c>
      <c r="AW139" s="1339">
        <f t="shared" si="63"/>
        <v>0</v>
      </c>
      <c r="AX139" s="1339">
        <f t="shared" si="64"/>
        <v>0</v>
      </c>
      <c r="AY139" s="39">
        <f t="shared" si="39"/>
        <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40">
        <f t="shared" si="60"/>
        <v>0</v>
      </c>
    </row>
    <row r="140" spans="1:72">
      <c r="A140" s="6"/>
      <c r="B140" s="31"/>
      <c r="C140" s="31"/>
      <c r="D140" s="1626"/>
      <c r="E140" s="32">
        <f t="shared" si="61"/>
        <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8"/>
      <c r="AU140" s="1627"/>
      <c r="AV140" s="1339">
        <f t="shared" si="62"/>
        <v>0</v>
      </c>
      <c r="AW140" s="1339">
        <f t="shared" si="63"/>
        <v>0</v>
      </c>
      <c r="AX140" s="1339">
        <f t="shared" si="64"/>
        <v>0</v>
      </c>
      <c r="AY140" s="39">
        <f t="shared" si="39"/>
        <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40">
        <f t="shared" si="60"/>
        <v>0</v>
      </c>
    </row>
    <row r="141" spans="1:72">
      <c r="A141" s="6"/>
      <c r="B141" s="31"/>
      <c r="C141" s="31"/>
      <c r="D141" s="1626"/>
      <c r="E141" s="32">
        <f t="shared" si="61"/>
        <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8"/>
      <c r="AU141" s="1627"/>
      <c r="AV141" s="1339">
        <f t="shared" si="62"/>
        <v>0</v>
      </c>
      <c r="AW141" s="1339">
        <f t="shared" si="63"/>
        <v>0</v>
      </c>
      <c r="AX141" s="1339">
        <f t="shared" si="64"/>
        <v>0</v>
      </c>
      <c r="AY141" s="39">
        <f t="shared" si="39"/>
        <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40">
        <f t="shared" si="60"/>
        <v>0</v>
      </c>
    </row>
    <row r="142" spans="1:72">
      <c r="A142" s="6"/>
      <c r="B142" s="31"/>
      <c r="C142" s="31"/>
      <c r="D142" s="1626"/>
      <c r="E142" s="32">
        <f t="shared" si="61"/>
        <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8"/>
      <c r="AU142" s="1627"/>
      <c r="AV142" s="1339">
        <f t="shared" si="62"/>
        <v>0</v>
      </c>
      <c r="AW142" s="1339">
        <f t="shared" si="63"/>
        <v>0</v>
      </c>
      <c r="AX142" s="1339">
        <f t="shared" si="64"/>
        <v>0</v>
      </c>
      <c r="AY142" s="39">
        <f t="shared" ref="AY142:AY173" si="68">ROUND($AY$6*AZ142/$AZ$5,2)</f>
        <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40">
        <f t="shared" ref="BT142:BT173" si="89">IF($D142="是",AR142-AS142,0)</f>
        <v>0</v>
      </c>
    </row>
    <row r="143" spans="1:72">
      <c r="A143" s="6"/>
      <c r="B143" s="31"/>
      <c r="C143" s="31"/>
      <c r="D143" s="1626"/>
      <c r="E143" s="32">
        <f t="shared" si="61"/>
        <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8"/>
      <c r="AU143" s="1627"/>
      <c r="AV143" s="1339">
        <f t="shared" si="62"/>
        <v>0</v>
      </c>
      <c r="AW143" s="1339">
        <f t="shared" si="63"/>
        <v>0</v>
      </c>
      <c r="AX143" s="1339">
        <f t="shared" si="64"/>
        <v>0</v>
      </c>
      <c r="AY143" s="39">
        <f t="shared" si="68"/>
        <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40">
        <f t="shared" si="89"/>
        <v>0</v>
      </c>
    </row>
    <row r="144" spans="1:72">
      <c r="A144" s="6"/>
      <c r="B144" s="31"/>
      <c r="C144" s="31"/>
      <c r="D144" s="1626"/>
      <c r="E144" s="32">
        <f t="shared" si="61"/>
        <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8"/>
      <c r="AU144" s="1627"/>
      <c r="AV144" s="1339">
        <f t="shared" si="62"/>
        <v>0</v>
      </c>
      <c r="AW144" s="1339">
        <f t="shared" si="63"/>
        <v>0</v>
      </c>
      <c r="AX144" s="1339">
        <f t="shared" si="64"/>
        <v>0</v>
      </c>
      <c r="AY144" s="39">
        <f t="shared" si="68"/>
        <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40">
        <f t="shared" si="89"/>
        <v>0</v>
      </c>
    </row>
    <row r="145" spans="1:72">
      <c r="A145" s="6"/>
      <c r="B145" s="31"/>
      <c r="C145" s="31"/>
      <c r="D145" s="1626"/>
      <c r="E145" s="32">
        <f t="shared" ref="E145:E176" si="90">IF($C$3="是",ROUND($A$3*G145/$B$3,2),ROUND($A$3*(G145-AT145)/$B$3,2))</f>
        <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8"/>
      <c r="AU145" s="1627"/>
      <c r="AV145" s="1339">
        <f t="shared" ref="AV145:AV176" si="91">A145</f>
        <v>0</v>
      </c>
      <c r="AW145" s="1339">
        <f t="shared" ref="AW145:AW176" si="92">B145</f>
        <v>0</v>
      </c>
      <c r="AX145" s="1339">
        <f t="shared" ref="AX145:AX176" si="93">C145</f>
        <v>0</v>
      </c>
      <c r="AY145" s="39">
        <f t="shared" si="68"/>
        <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40">
        <f t="shared" si="89"/>
        <v>0</v>
      </c>
    </row>
    <row r="146" spans="1:72">
      <c r="A146" s="6"/>
      <c r="B146" s="31"/>
      <c r="C146" s="31"/>
      <c r="D146" s="1626"/>
      <c r="E146" s="32">
        <f t="shared" si="90"/>
        <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8"/>
      <c r="AU146" s="1627"/>
      <c r="AV146" s="1339">
        <f t="shared" si="91"/>
        <v>0</v>
      </c>
      <c r="AW146" s="1339">
        <f t="shared" si="92"/>
        <v>0</v>
      </c>
      <c r="AX146" s="1339">
        <f t="shared" si="93"/>
        <v>0</v>
      </c>
      <c r="AY146" s="39">
        <f t="shared" si="68"/>
        <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40">
        <f t="shared" si="89"/>
        <v>0</v>
      </c>
    </row>
    <row r="147" spans="1:72">
      <c r="A147" s="6"/>
      <c r="B147" s="31"/>
      <c r="C147" s="31"/>
      <c r="D147" s="1626"/>
      <c r="E147" s="32">
        <f t="shared" si="90"/>
        <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8"/>
      <c r="AU147" s="1627"/>
      <c r="AV147" s="1339">
        <f t="shared" si="91"/>
        <v>0</v>
      </c>
      <c r="AW147" s="1339">
        <f t="shared" si="92"/>
        <v>0</v>
      </c>
      <c r="AX147" s="1339">
        <f t="shared" si="93"/>
        <v>0</v>
      </c>
      <c r="AY147" s="39">
        <f t="shared" si="68"/>
        <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40">
        <f t="shared" si="89"/>
        <v>0</v>
      </c>
    </row>
    <row r="148" spans="1:72">
      <c r="A148" s="6"/>
      <c r="B148" s="31"/>
      <c r="C148" s="31"/>
      <c r="D148" s="1626"/>
      <c r="E148" s="32">
        <f t="shared" si="90"/>
        <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8"/>
      <c r="AU148" s="1627"/>
      <c r="AV148" s="1339">
        <f t="shared" si="91"/>
        <v>0</v>
      </c>
      <c r="AW148" s="1339">
        <f t="shared" si="92"/>
        <v>0</v>
      </c>
      <c r="AX148" s="1339">
        <f t="shared" si="93"/>
        <v>0</v>
      </c>
      <c r="AY148" s="39">
        <f t="shared" si="68"/>
        <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40">
        <f t="shared" si="89"/>
        <v>0</v>
      </c>
    </row>
    <row r="149" spans="1:72">
      <c r="A149" s="6"/>
      <c r="B149" s="31"/>
      <c r="C149" s="31"/>
      <c r="D149" s="1626"/>
      <c r="E149" s="32">
        <f t="shared" si="90"/>
        <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8"/>
      <c r="AU149" s="1627"/>
      <c r="AV149" s="1339">
        <f t="shared" si="91"/>
        <v>0</v>
      </c>
      <c r="AW149" s="1339">
        <f t="shared" si="92"/>
        <v>0</v>
      </c>
      <c r="AX149" s="1339">
        <f t="shared" si="93"/>
        <v>0</v>
      </c>
      <c r="AY149" s="39">
        <f t="shared" si="68"/>
        <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40">
        <f t="shared" si="89"/>
        <v>0</v>
      </c>
    </row>
    <row r="150" spans="1:72">
      <c r="A150" s="6"/>
      <c r="B150" s="31"/>
      <c r="C150" s="31"/>
      <c r="D150" s="1626"/>
      <c r="E150" s="32">
        <f t="shared" si="90"/>
        <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8"/>
      <c r="AU150" s="1627"/>
      <c r="AV150" s="1339">
        <f t="shared" si="91"/>
        <v>0</v>
      </c>
      <c r="AW150" s="1339">
        <f t="shared" si="92"/>
        <v>0</v>
      </c>
      <c r="AX150" s="1339">
        <f t="shared" si="93"/>
        <v>0</v>
      </c>
      <c r="AY150" s="39">
        <f t="shared" si="68"/>
        <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40">
        <f t="shared" si="89"/>
        <v>0</v>
      </c>
    </row>
    <row r="151" spans="1:72">
      <c r="A151" s="6"/>
      <c r="B151" s="31"/>
      <c r="C151" s="31"/>
      <c r="D151" s="1626"/>
      <c r="E151" s="32">
        <f t="shared" si="90"/>
        <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8"/>
      <c r="AU151" s="1627"/>
      <c r="AV151" s="1339">
        <f t="shared" si="91"/>
        <v>0</v>
      </c>
      <c r="AW151" s="1339">
        <f t="shared" si="92"/>
        <v>0</v>
      </c>
      <c r="AX151" s="1339">
        <f t="shared" si="93"/>
        <v>0</v>
      </c>
      <c r="AY151" s="39">
        <f t="shared" si="68"/>
        <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40">
        <f t="shared" si="89"/>
        <v>0</v>
      </c>
    </row>
    <row r="152" spans="1:72">
      <c r="A152" s="6"/>
      <c r="B152" s="31"/>
      <c r="C152" s="31"/>
      <c r="D152" s="1626"/>
      <c r="E152" s="32">
        <f t="shared" si="90"/>
        <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8"/>
      <c r="AU152" s="1627"/>
      <c r="AV152" s="1339">
        <f t="shared" si="91"/>
        <v>0</v>
      </c>
      <c r="AW152" s="1339">
        <f t="shared" si="92"/>
        <v>0</v>
      </c>
      <c r="AX152" s="1339">
        <f t="shared" si="93"/>
        <v>0</v>
      </c>
      <c r="AY152" s="39">
        <f t="shared" si="68"/>
        <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40">
        <f t="shared" si="89"/>
        <v>0</v>
      </c>
    </row>
    <row r="153" spans="1:72">
      <c r="A153" s="6"/>
      <c r="B153" s="31"/>
      <c r="C153" s="31"/>
      <c r="D153" s="1626"/>
      <c r="E153" s="32">
        <f t="shared" si="90"/>
        <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8"/>
      <c r="AU153" s="1627"/>
      <c r="AV153" s="1339">
        <f t="shared" si="91"/>
        <v>0</v>
      </c>
      <c r="AW153" s="1339">
        <f t="shared" si="92"/>
        <v>0</v>
      </c>
      <c r="AX153" s="1339">
        <f t="shared" si="93"/>
        <v>0</v>
      </c>
      <c r="AY153" s="39">
        <f t="shared" si="68"/>
        <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40">
        <f t="shared" si="89"/>
        <v>0</v>
      </c>
    </row>
    <row r="154" spans="1:72">
      <c r="A154" s="6"/>
      <c r="B154" s="31"/>
      <c r="C154" s="31"/>
      <c r="D154" s="1626"/>
      <c r="E154" s="32">
        <f t="shared" si="90"/>
        <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8"/>
      <c r="AU154" s="1627"/>
      <c r="AV154" s="1339">
        <f t="shared" si="91"/>
        <v>0</v>
      </c>
      <c r="AW154" s="1339">
        <f t="shared" si="92"/>
        <v>0</v>
      </c>
      <c r="AX154" s="1339">
        <f t="shared" si="93"/>
        <v>0</v>
      </c>
      <c r="AY154" s="39">
        <f t="shared" si="68"/>
        <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40">
        <f t="shared" si="89"/>
        <v>0</v>
      </c>
    </row>
    <row r="155" spans="1:72">
      <c r="A155" s="6"/>
      <c r="B155" s="31"/>
      <c r="C155" s="31"/>
      <c r="D155" s="1626"/>
      <c r="E155" s="32">
        <f t="shared" si="90"/>
        <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8"/>
      <c r="AU155" s="1627"/>
      <c r="AV155" s="1339">
        <f t="shared" si="91"/>
        <v>0</v>
      </c>
      <c r="AW155" s="1339">
        <f t="shared" si="92"/>
        <v>0</v>
      </c>
      <c r="AX155" s="1339">
        <f t="shared" si="93"/>
        <v>0</v>
      </c>
      <c r="AY155" s="39">
        <f t="shared" si="68"/>
        <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40">
        <f t="shared" si="89"/>
        <v>0</v>
      </c>
    </row>
    <row r="156" spans="1:72">
      <c r="A156" s="6"/>
      <c r="B156" s="31"/>
      <c r="C156" s="31"/>
      <c r="D156" s="1626"/>
      <c r="E156" s="32">
        <f t="shared" si="90"/>
        <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8"/>
      <c r="AU156" s="1627"/>
      <c r="AV156" s="1339">
        <f t="shared" si="91"/>
        <v>0</v>
      </c>
      <c r="AW156" s="1339">
        <f t="shared" si="92"/>
        <v>0</v>
      </c>
      <c r="AX156" s="1339">
        <f t="shared" si="93"/>
        <v>0</v>
      </c>
      <c r="AY156" s="39">
        <f t="shared" si="68"/>
        <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40">
        <f t="shared" si="89"/>
        <v>0</v>
      </c>
    </row>
    <row r="157" spans="1:72">
      <c r="A157" s="6"/>
      <c r="B157" s="31"/>
      <c r="C157" s="31"/>
      <c r="D157" s="1626"/>
      <c r="E157" s="32">
        <f t="shared" si="90"/>
        <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8"/>
      <c r="AU157" s="1627"/>
      <c r="AV157" s="1339">
        <f t="shared" si="91"/>
        <v>0</v>
      </c>
      <c r="AW157" s="1339">
        <f t="shared" si="92"/>
        <v>0</v>
      </c>
      <c r="AX157" s="1339">
        <f t="shared" si="93"/>
        <v>0</v>
      </c>
      <c r="AY157" s="39">
        <f t="shared" si="68"/>
        <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40">
        <f t="shared" si="89"/>
        <v>0</v>
      </c>
    </row>
    <row r="158" spans="1:72">
      <c r="A158" s="6"/>
      <c r="B158" s="31"/>
      <c r="C158" s="31"/>
      <c r="D158" s="1626"/>
      <c r="E158" s="32">
        <f t="shared" si="90"/>
        <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8"/>
      <c r="AU158" s="1627"/>
      <c r="AV158" s="1339">
        <f t="shared" si="91"/>
        <v>0</v>
      </c>
      <c r="AW158" s="1339">
        <f t="shared" si="92"/>
        <v>0</v>
      </c>
      <c r="AX158" s="1339">
        <f t="shared" si="93"/>
        <v>0</v>
      </c>
      <c r="AY158" s="39">
        <f t="shared" si="68"/>
        <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40">
        <f t="shared" si="89"/>
        <v>0</v>
      </c>
    </row>
    <row r="159" spans="1:72">
      <c r="A159" s="6"/>
      <c r="B159" s="31"/>
      <c r="C159" s="31"/>
      <c r="D159" s="1626"/>
      <c r="E159" s="32">
        <f t="shared" si="90"/>
        <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8"/>
      <c r="AU159" s="1627"/>
      <c r="AV159" s="1339">
        <f t="shared" si="91"/>
        <v>0</v>
      </c>
      <c r="AW159" s="1339">
        <f t="shared" si="92"/>
        <v>0</v>
      </c>
      <c r="AX159" s="1339">
        <f t="shared" si="93"/>
        <v>0</v>
      </c>
      <c r="AY159" s="39">
        <f t="shared" si="68"/>
        <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40">
        <f t="shared" si="89"/>
        <v>0</v>
      </c>
    </row>
    <row r="160" spans="1:72">
      <c r="A160" s="6"/>
      <c r="B160" s="31"/>
      <c r="C160" s="31"/>
      <c r="D160" s="1626"/>
      <c r="E160" s="32">
        <f t="shared" si="90"/>
        <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8"/>
      <c r="AU160" s="1627"/>
      <c r="AV160" s="1339">
        <f t="shared" si="91"/>
        <v>0</v>
      </c>
      <c r="AW160" s="1339">
        <f t="shared" si="92"/>
        <v>0</v>
      </c>
      <c r="AX160" s="1339">
        <f t="shared" si="93"/>
        <v>0</v>
      </c>
      <c r="AY160" s="39">
        <f t="shared" si="68"/>
        <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40">
        <f t="shared" si="89"/>
        <v>0</v>
      </c>
    </row>
    <row r="161" spans="1:72">
      <c r="A161" s="6"/>
      <c r="B161" s="31"/>
      <c r="C161" s="31"/>
      <c r="D161" s="1626"/>
      <c r="E161" s="32">
        <f t="shared" si="90"/>
        <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8"/>
      <c r="AU161" s="1627"/>
      <c r="AV161" s="1339">
        <f t="shared" si="91"/>
        <v>0</v>
      </c>
      <c r="AW161" s="1339">
        <f t="shared" si="92"/>
        <v>0</v>
      </c>
      <c r="AX161" s="1339">
        <f t="shared" si="93"/>
        <v>0</v>
      </c>
      <c r="AY161" s="39">
        <f t="shared" si="68"/>
        <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40">
        <f t="shared" si="89"/>
        <v>0</v>
      </c>
    </row>
    <row r="162" spans="1:72">
      <c r="A162" s="6"/>
      <c r="B162" s="31"/>
      <c r="C162" s="31"/>
      <c r="D162" s="1626"/>
      <c r="E162" s="32">
        <f t="shared" si="90"/>
        <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8"/>
      <c r="AU162" s="1627"/>
      <c r="AV162" s="1339">
        <f t="shared" si="91"/>
        <v>0</v>
      </c>
      <c r="AW162" s="1339">
        <f t="shared" si="92"/>
        <v>0</v>
      </c>
      <c r="AX162" s="1339">
        <f t="shared" si="93"/>
        <v>0</v>
      </c>
      <c r="AY162" s="39">
        <f t="shared" si="68"/>
        <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40">
        <f t="shared" si="89"/>
        <v>0</v>
      </c>
    </row>
    <row r="163" spans="1:72">
      <c r="A163" s="6"/>
      <c r="B163" s="31"/>
      <c r="C163" s="31"/>
      <c r="D163" s="1626"/>
      <c r="E163" s="32">
        <f t="shared" si="90"/>
        <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8"/>
      <c r="AU163" s="1627"/>
      <c r="AV163" s="1339">
        <f t="shared" si="91"/>
        <v>0</v>
      </c>
      <c r="AW163" s="1339">
        <f t="shared" si="92"/>
        <v>0</v>
      </c>
      <c r="AX163" s="1339">
        <f t="shared" si="93"/>
        <v>0</v>
      </c>
      <c r="AY163" s="39">
        <f t="shared" si="68"/>
        <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40">
        <f t="shared" si="89"/>
        <v>0</v>
      </c>
    </row>
    <row r="164" spans="1:72">
      <c r="A164" s="6"/>
      <c r="B164" s="31"/>
      <c r="C164" s="31"/>
      <c r="D164" s="1626"/>
      <c r="E164" s="32">
        <f t="shared" si="90"/>
        <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8"/>
      <c r="AU164" s="1627"/>
      <c r="AV164" s="1339">
        <f t="shared" si="91"/>
        <v>0</v>
      </c>
      <c r="AW164" s="1339">
        <f t="shared" si="92"/>
        <v>0</v>
      </c>
      <c r="AX164" s="1339">
        <f t="shared" si="93"/>
        <v>0</v>
      </c>
      <c r="AY164" s="39">
        <f t="shared" si="68"/>
        <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40">
        <f t="shared" si="89"/>
        <v>0</v>
      </c>
    </row>
    <row r="165" spans="1:72">
      <c r="A165" s="6"/>
      <c r="B165" s="31"/>
      <c r="C165" s="31"/>
      <c r="D165" s="1626"/>
      <c r="E165" s="32">
        <f t="shared" si="90"/>
        <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8"/>
      <c r="AU165" s="1627"/>
      <c r="AV165" s="1339">
        <f t="shared" si="91"/>
        <v>0</v>
      </c>
      <c r="AW165" s="1339">
        <f t="shared" si="92"/>
        <v>0</v>
      </c>
      <c r="AX165" s="1339">
        <f t="shared" si="93"/>
        <v>0</v>
      </c>
      <c r="AY165" s="39">
        <f t="shared" si="68"/>
        <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40">
        <f t="shared" si="89"/>
        <v>0</v>
      </c>
    </row>
    <row r="166" spans="1:72">
      <c r="A166" s="6"/>
      <c r="B166" s="31"/>
      <c r="C166" s="31"/>
      <c r="D166" s="1626"/>
      <c r="E166" s="32">
        <f t="shared" si="90"/>
        <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8"/>
      <c r="AU166" s="1627"/>
      <c r="AV166" s="1339">
        <f t="shared" si="91"/>
        <v>0</v>
      </c>
      <c r="AW166" s="1339">
        <f t="shared" si="92"/>
        <v>0</v>
      </c>
      <c r="AX166" s="1339">
        <f t="shared" si="93"/>
        <v>0</v>
      </c>
      <c r="AY166" s="39">
        <f t="shared" si="68"/>
        <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40">
        <f t="shared" si="89"/>
        <v>0</v>
      </c>
    </row>
    <row r="167" spans="1:72">
      <c r="A167" s="6"/>
      <c r="B167" s="31"/>
      <c r="C167" s="31"/>
      <c r="D167" s="1626"/>
      <c r="E167" s="32">
        <f t="shared" si="90"/>
        <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8"/>
      <c r="AU167" s="1627"/>
      <c r="AV167" s="1339">
        <f t="shared" si="91"/>
        <v>0</v>
      </c>
      <c r="AW167" s="1339">
        <f t="shared" si="92"/>
        <v>0</v>
      </c>
      <c r="AX167" s="1339">
        <f t="shared" si="93"/>
        <v>0</v>
      </c>
      <c r="AY167" s="39">
        <f t="shared" si="68"/>
        <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40">
        <f t="shared" si="89"/>
        <v>0</v>
      </c>
    </row>
    <row r="168" spans="1:72">
      <c r="A168" s="6"/>
      <c r="B168" s="31"/>
      <c r="C168" s="31"/>
      <c r="D168" s="1626"/>
      <c r="E168" s="32">
        <f t="shared" si="90"/>
        <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8"/>
      <c r="AU168" s="1627"/>
      <c r="AV168" s="1339">
        <f t="shared" si="91"/>
        <v>0</v>
      </c>
      <c r="AW168" s="1339">
        <f t="shared" si="92"/>
        <v>0</v>
      </c>
      <c r="AX168" s="1339">
        <f t="shared" si="93"/>
        <v>0</v>
      </c>
      <c r="AY168" s="39">
        <f t="shared" si="68"/>
        <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40">
        <f t="shared" si="89"/>
        <v>0</v>
      </c>
    </row>
    <row r="169" spans="1:72">
      <c r="A169" s="6"/>
      <c r="B169" s="31"/>
      <c r="C169" s="31"/>
      <c r="D169" s="1626"/>
      <c r="E169" s="32">
        <f t="shared" si="90"/>
        <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8"/>
      <c r="AU169" s="1627"/>
      <c r="AV169" s="1339">
        <f t="shared" si="91"/>
        <v>0</v>
      </c>
      <c r="AW169" s="1339">
        <f t="shared" si="92"/>
        <v>0</v>
      </c>
      <c r="AX169" s="1339">
        <f t="shared" si="93"/>
        <v>0</v>
      </c>
      <c r="AY169" s="39">
        <f t="shared" si="68"/>
        <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40">
        <f t="shared" si="89"/>
        <v>0</v>
      </c>
    </row>
    <row r="170" spans="1:72">
      <c r="A170" s="6"/>
      <c r="B170" s="31"/>
      <c r="C170" s="31"/>
      <c r="D170" s="1626"/>
      <c r="E170" s="32">
        <f t="shared" si="90"/>
        <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8"/>
      <c r="AU170" s="1627"/>
      <c r="AV170" s="1339">
        <f t="shared" si="91"/>
        <v>0</v>
      </c>
      <c r="AW170" s="1339">
        <f t="shared" si="92"/>
        <v>0</v>
      </c>
      <c r="AX170" s="1339">
        <f t="shared" si="93"/>
        <v>0</v>
      </c>
      <c r="AY170" s="39">
        <f t="shared" si="68"/>
        <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40">
        <f t="shared" si="89"/>
        <v>0</v>
      </c>
    </row>
    <row r="171" spans="1:72">
      <c r="A171" s="6"/>
      <c r="B171" s="31"/>
      <c r="C171" s="31"/>
      <c r="D171" s="1626"/>
      <c r="E171" s="32">
        <f t="shared" si="90"/>
        <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8"/>
      <c r="AU171" s="1627"/>
      <c r="AV171" s="1339">
        <f t="shared" si="91"/>
        <v>0</v>
      </c>
      <c r="AW171" s="1339">
        <f t="shared" si="92"/>
        <v>0</v>
      </c>
      <c r="AX171" s="1339">
        <f t="shared" si="93"/>
        <v>0</v>
      </c>
      <c r="AY171" s="39">
        <f t="shared" si="68"/>
        <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40">
        <f t="shared" si="89"/>
        <v>0</v>
      </c>
    </row>
    <row r="172" spans="1:72">
      <c r="A172" s="6"/>
      <c r="B172" s="31"/>
      <c r="C172" s="31"/>
      <c r="D172" s="1626"/>
      <c r="E172" s="32">
        <f t="shared" si="90"/>
        <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8"/>
      <c r="AU172" s="1627"/>
      <c r="AV172" s="1339">
        <f t="shared" si="91"/>
        <v>0</v>
      </c>
      <c r="AW172" s="1339">
        <f t="shared" si="92"/>
        <v>0</v>
      </c>
      <c r="AX172" s="1339">
        <f t="shared" si="93"/>
        <v>0</v>
      </c>
      <c r="AY172" s="39">
        <f t="shared" si="68"/>
        <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40">
        <f t="shared" si="89"/>
        <v>0</v>
      </c>
    </row>
    <row r="173" spans="1:72">
      <c r="A173" s="6"/>
      <c r="B173" s="31"/>
      <c r="C173" s="31"/>
      <c r="D173" s="1626"/>
      <c r="E173" s="32">
        <f t="shared" si="90"/>
        <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8"/>
      <c r="AU173" s="1627"/>
      <c r="AV173" s="1339">
        <f t="shared" si="91"/>
        <v>0</v>
      </c>
      <c r="AW173" s="1339">
        <f t="shared" si="92"/>
        <v>0</v>
      </c>
      <c r="AX173" s="1339">
        <f t="shared" si="93"/>
        <v>0</v>
      </c>
      <c r="AY173" s="39">
        <f t="shared" si="68"/>
        <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40">
        <f t="shared" si="89"/>
        <v>0</v>
      </c>
    </row>
    <row r="174" spans="1:72">
      <c r="A174" s="6"/>
      <c r="B174" s="31"/>
      <c r="C174" s="31"/>
      <c r="D174" s="1626"/>
      <c r="E174" s="32">
        <f t="shared" si="90"/>
        <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8"/>
      <c r="AU174" s="1627"/>
      <c r="AV174" s="1339">
        <f t="shared" si="91"/>
        <v>0</v>
      </c>
      <c r="AW174" s="1339">
        <f t="shared" si="92"/>
        <v>0</v>
      </c>
      <c r="AX174" s="1339">
        <f t="shared" si="93"/>
        <v>0</v>
      </c>
      <c r="AY174" s="39">
        <f t="shared" ref="AY174:AY205" si="97">ROUND($AY$6*AZ174/$AZ$5,2)</f>
        <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40">
        <f t="shared" ref="BT174:BT207" si="118">IF($D174="是",AR174-AS174,0)</f>
        <v>0</v>
      </c>
    </row>
    <row r="175" spans="1:72">
      <c r="A175" s="6"/>
      <c r="B175" s="31"/>
      <c r="C175" s="31"/>
      <c r="D175" s="1626"/>
      <c r="E175" s="32">
        <f t="shared" si="90"/>
        <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8"/>
      <c r="AU175" s="1627"/>
      <c r="AV175" s="1339">
        <f t="shared" si="91"/>
        <v>0</v>
      </c>
      <c r="AW175" s="1339">
        <f t="shared" si="92"/>
        <v>0</v>
      </c>
      <c r="AX175" s="1339">
        <f t="shared" si="93"/>
        <v>0</v>
      </c>
      <c r="AY175" s="39">
        <f t="shared" si="97"/>
        <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40">
        <f t="shared" si="118"/>
        <v>0</v>
      </c>
    </row>
    <row r="176" spans="1:72">
      <c r="A176" s="6"/>
      <c r="B176" s="31"/>
      <c r="C176" s="31"/>
      <c r="D176" s="1626"/>
      <c r="E176" s="32">
        <f t="shared" si="90"/>
        <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8"/>
      <c r="AU176" s="1627"/>
      <c r="AV176" s="1339">
        <f t="shared" si="91"/>
        <v>0</v>
      </c>
      <c r="AW176" s="1339">
        <f t="shared" si="92"/>
        <v>0</v>
      </c>
      <c r="AX176" s="1339">
        <f t="shared" si="93"/>
        <v>0</v>
      </c>
      <c r="AY176" s="39">
        <f t="shared" si="97"/>
        <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40">
        <f t="shared" si="118"/>
        <v>0</v>
      </c>
    </row>
    <row r="177" spans="1:72">
      <c r="A177" s="6"/>
      <c r="B177" s="31"/>
      <c r="C177" s="31"/>
      <c r="D177" s="1626"/>
      <c r="E177" s="32">
        <f t="shared" ref="E177:E207" si="119">IF($C$3="是",ROUND($A$3*G177/$B$3,2),ROUND($A$3*(G177-AT177)/$B$3,2))</f>
        <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8"/>
      <c r="AU177" s="1627"/>
      <c r="AV177" s="1339">
        <f t="shared" ref="AV177:AV207" si="120">A177</f>
        <v>0</v>
      </c>
      <c r="AW177" s="1339">
        <f t="shared" ref="AW177:AW207" si="121">B177</f>
        <v>0</v>
      </c>
      <c r="AX177" s="1339">
        <f t="shared" ref="AX177:AX207" si="122">C177</f>
        <v>0</v>
      </c>
      <c r="AY177" s="39">
        <f t="shared" si="97"/>
        <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40">
        <f t="shared" si="118"/>
        <v>0</v>
      </c>
    </row>
    <row r="178" spans="1:72">
      <c r="A178" s="6"/>
      <c r="B178" s="31"/>
      <c r="C178" s="31"/>
      <c r="D178" s="1626"/>
      <c r="E178" s="32">
        <f t="shared" si="119"/>
        <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8"/>
      <c r="AU178" s="1627"/>
      <c r="AV178" s="1339">
        <f t="shared" si="120"/>
        <v>0</v>
      </c>
      <c r="AW178" s="1339">
        <f t="shared" si="121"/>
        <v>0</v>
      </c>
      <c r="AX178" s="1339">
        <f t="shared" si="122"/>
        <v>0</v>
      </c>
      <c r="AY178" s="39">
        <f t="shared" si="97"/>
        <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40">
        <f t="shared" si="118"/>
        <v>0</v>
      </c>
    </row>
    <row r="179" spans="1:72">
      <c r="A179" s="6"/>
      <c r="B179" s="31"/>
      <c r="C179" s="31"/>
      <c r="D179" s="1626"/>
      <c r="E179" s="32">
        <f t="shared" si="119"/>
        <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8"/>
      <c r="AU179" s="1627"/>
      <c r="AV179" s="1339">
        <f t="shared" si="120"/>
        <v>0</v>
      </c>
      <c r="AW179" s="1339">
        <f t="shared" si="121"/>
        <v>0</v>
      </c>
      <c r="AX179" s="1339">
        <f t="shared" si="122"/>
        <v>0</v>
      </c>
      <c r="AY179" s="39">
        <f t="shared" si="97"/>
        <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40">
        <f t="shared" si="118"/>
        <v>0</v>
      </c>
    </row>
    <row r="180" spans="1:72">
      <c r="A180" s="6"/>
      <c r="B180" s="31"/>
      <c r="C180" s="31"/>
      <c r="D180" s="1626"/>
      <c r="E180" s="32">
        <f t="shared" si="119"/>
        <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8"/>
      <c r="AU180" s="1627"/>
      <c r="AV180" s="1339">
        <f t="shared" si="120"/>
        <v>0</v>
      </c>
      <c r="AW180" s="1339">
        <f t="shared" si="121"/>
        <v>0</v>
      </c>
      <c r="AX180" s="1339">
        <f t="shared" si="122"/>
        <v>0</v>
      </c>
      <c r="AY180" s="39">
        <f t="shared" si="97"/>
        <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40">
        <f t="shared" si="118"/>
        <v>0</v>
      </c>
    </row>
    <row r="181" spans="1:72">
      <c r="A181" s="6"/>
      <c r="B181" s="31"/>
      <c r="C181" s="31"/>
      <c r="D181" s="1626"/>
      <c r="E181" s="32">
        <f t="shared" si="119"/>
        <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8"/>
      <c r="AU181" s="1627"/>
      <c r="AV181" s="1339">
        <f t="shared" si="120"/>
        <v>0</v>
      </c>
      <c r="AW181" s="1339">
        <f t="shared" si="121"/>
        <v>0</v>
      </c>
      <c r="AX181" s="1339">
        <f t="shared" si="122"/>
        <v>0</v>
      </c>
      <c r="AY181" s="39">
        <f t="shared" si="97"/>
        <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40">
        <f t="shared" si="118"/>
        <v>0</v>
      </c>
    </row>
    <row r="182" spans="1:72">
      <c r="A182" s="6"/>
      <c r="B182" s="31"/>
      <c r="C182" s="31"/>
      <c r="D182" s="1626"/>
      <c r="E182" s="32">
        <f t="shared" si="119"/>
        <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8"/>
      <c r="AU182" s="1627"/>
      <c r="AV182" s="1339">
        <f t="shared" si="120"/>
        <v>0</v>
      </c>
      <c r="AW182" s="1339">
        <f t="shared" si="121"/>
        <v>0</v>
      </c>
      <c r="AX182" s="1339">
        <f t="shared" si="122"/>
        <v>0</v>
      </c>
      <c r="AY182" s="39">
        <f t="shared" si="97"/>
        <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40">
        <f t="shared" si="118"/>
        <v>0</v>
      </c>
    </row>
    <row r="183" spans="1:72">
      <c r="A183" s="6"/>
      <c r="B183" s="31"/>
      <c r="C183" s="31"/>
      <c r="D183" s="1626"/>
      <c r="E183" s="32">
        <f t="shared" si="119"/>
        <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8"/>
      <c r="AU183" s="1627"/>
      <c r="AV183" s="1339">
        <f t="shared" si="120"/>
        <v>0</v>
      </c>
      <c r="AW183" s="1339">
        <f t="shared" si="121"/>
        <v>0</v>
      </c>
      <c r="AX183" s="1339">
        <f t="shared" si="122"/>
        <v>0</v>
      </c>
      <c r="AY183" s="39">
        <f t="shared" si="97"/>
        <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40">
        <f t="shared" si="118"/>
        <v>0</v>
      </c>
    </row>
    <row r="184" spans="1:72">
      <c r="A184" s="6"/>
      <c r="B184" s="31"/>
      <c r="C184" s="31"/>
      <c r="D184" s="1626"/>
      <c r="E184" s="32">
        <f t="shared" si="119"/>
        <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8"/>
      <c r="AU184" s="1627"/>
      <c r="AV184" s="1339">
        <f t="shared" si="120"/>
        <v>0</v>
      </c>
      <c r="AW184" s="1339">
        <f t="shared" si="121"/>
        <v>0</v>
      </c>
      <c r="AX184" s="1339">
        <f t="shared" si="122"/>
        <v>0</v>
      </c>
      <c r="AY184" s="39">
        <f t="shared" si="97"/>
        <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40">
        <f t="shared" si="118"/>
        <v>0</v>
      </c>
    </row>
    <row r="185" spans="1:72">
      <c r="A185" s="6"/>
      <c r="B185" s="31"/>
      <c r="C185" s="31"/>
      <c r="D185" s="1626"/>
      <c r="E185" s="32">
        <f t="shared" si="119"/>
        <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8"/>
      <c r="AU185" s="1627"/>
      <c r="AV185" s="1339">
        <f t="shared" si="120"/>
        <v>0</v>
      </c>
      <c r="AW185" s="1339">
        <f t="shared" si="121"/>
        <v>0</v>
      </c>
      <c r="AX185" s="1339">
        <f t="shared" si="122"/>
        <v>0</v>
      </c>
      <c r="AY185" s="39">
        <f t="shared" si="97"/>
        <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40">
        <f t="shared" si="118"/>
        <v>0</v>
      </c>
    </row>
    <row r="186" spans="1:72">
      <c r="A186" s="6"/>
      <c r="B186" s="31"/>
      <c r="C186" s="31"/>
      <c r="D186" s="1626"/>
      <c r="E186" s="32">
        <f t="shared" si="119"/>
        <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8"/>
      <c r="AU186" s="1627"/>
      <c r="AV186" s="1339">
        <f t="shared" si="120"/>
        <v>0</v>
      </c>
      <c r="AW186" s="1339">
        <f t="shared" si="121"/>
        <v>0</v>
      </c>
      <c r="AX186" s="1339">
        <f t="shared" si="122"/>
        <v>0</v>
      </c>
      <c r="AY186" s="39">
        <f t="shared" si="97"/>
        <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40">
        <f t="shared" si="118"/>
        <v>0</v>
      </c>
    </row>
    <row r="187" spans="1:72">
      <c r="A187" s="6"/>
      <c r="B187" s="31"/>
      <c r="C187" s="31"/>
      <c r="D187" s="1626"/>
      <c r="E187" s="32">
        <f t="shared" si="119"/>
        <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8"/>
      <c r="AU187" s="1627"/>
      <c r="AV187" s="1339">
        <f t="shared" si="120"/>
        <v>0</v>
      </c>
      <c r="AW187" s="1339">
        <f t="shared" si="121"/>
        <v>0</v>
      </c>
      <c r="AX187" s="1339">
        <f t="shared" si="122"/>
        <v>0</v>
      </c>
      <c r="AY187" s="39">
        <f t="shared" si="97"/>
        <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40">
        <f t="shared" si="118"/>
        <v>0</v>
      </c>
    </row>
    <row r="188" spans="1:72">
      <c r="A188" s="6"/>
      <c r="B188" s="31"/>
      <c r="C188" s="31"/>
      <c r="D188" s="1626"/>
      <c r="E188" s="32">
        <f t="shared" si="119"/>
        <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8"/>
      <c r="AU188" s="1627"/>
      <c r="AV188" s="1339">
        <f t="shared" si="120"/>
        <v>0</v>
      </c>
      <c r="AW188" s="1339">
        <f t="shared" si="121"/>
        <v>0</v>
      </c>
      <c r="AX188" s="1339">
        <f t="shared" si="122"/>
        <v>0</v>
      </c>
      <c r="AY188" s="39">
        <f t="shared" si="97"/>
        <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40">
        <f t="shared" si="118"/>
        <v>0</v>
      </c>
    </row>
    <row r="189" spans="1:72">
      <c r="A189" s="6"/>
      <c r="B189" s="31"/>
      <c r="C189" s="31"/>
      <c r="D189" s="1626"/>
      <c r="E189" s="32">
        <f t="shared" si="119"/>
        <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8"/>
      <c r="AU189" s="1627"/>
      <c r="AV189" s="1339">
        <f t="shared" si="120"/>
        <v>0</v>
      </c>
      <c r="AW189" s="1339">
        <f t="shared" si="121"/>
        <v>0</v>
      </c>
      <c r="AX189" s="1339">
        <f t="shared" si="122"/>
        <v>0</v>
      </c>
      <c r="AY189" s="39">
        <f t="shared" si="97"/>
        <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40">
        <f t="shared" si="118"/>
        <v>0</v>
      </c>
    </row>
    <row r="190" spans="1:72">
      <c r="A190" s="6"/>
      <c r="B190" s="31"/>
      <c r="C190" s="31"/>
      <c r="D190" s="1626"/>
      <c r="E190" s="32">
        <f t="shared" si="119"/>
        <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8"/>
      <c r="AU190" s="1627"/>
      <c r="AV190" s="1339">
        <f t="shared" si="120"/>
        <v>0</v>
      </c>
      <c r="AW190" s="1339">
        <f t="shared" si="121"/>
        <v>0</v>
      </c>
      <c r="AX190" s="1339">
        <f t="shared" si="122"/>
        <v>0</v>
      </c>
      <c r="AY190" s="39">
        <f t="shared" si="97"/>
        <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40">
        <f t="shared" si="118"/>
        <v>0</v>
      </c>
    </row>
    <row r="191" spans="1:72">
      <c r="A191" s="6"/>
      <c r="B191" s="31"/>
      <c r="C191" s="31"/>
      <c r="D191" s="1626"/>
      <c r="E191" s="32">
        <f t="shared" si="119"/>
        <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8"/>
      <c r="AU191" s="1627"/>
      <c r="AV191" s="1339">
        <f t="shared" si="120"/>
        <v>0</v>
      </c>
      <c r="AW191" s="1339">
        <f t="shared" si="121"/>
        <v>0</v>
      </c>
      <c r="AX191" s="1339">
        <f t="shared" si="122"/>
        <v>0</v>
      </c>
      <c r="AY191" s="39">
        <f t="shared" si="97"/>
        <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40">
        <f t="shared" si="118"/>
        <v>0</v>
      </c>
    </row>
    <row r="192" spans="1:72">
      <c r="A192" s="6"/>
      <c r="B192" s="31"/>
      <c r="C192" s="31"/>
      <c r="D192" s="1626"/>
      <c r="E192" s="32">
        <f t="shared" si="119"/>
        <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8"/>
      <c r="AU192" s="1627"/>
      <c r="AV192" s="1339">
        <f t="shared" si="120"/>
        <v>0</v>
      </c>
      <c r="AW192" s="1339">
        <f t="shared" si="121"/>
        <v>0</v>
      </c>
      <c r="AX192" s="1339">
        <f t="shared" si="122"/>
        <v>0</v>
      </c>
      <c r="AY192" s="39">
        <f t="shared" si="97"/>
        <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40">
        <f t="shared" si="118"/>
        <v>0</v>
      </c>
    </row>
    <row r="193" spans="1:72">
      <c r="A193" s="6"/>
      <c r="B193" s="31"/>
      <c r="C193" s="31"/>
      <c r="D193" s="1626"/>
      <c r="E193" s="32">
        <f t="shared" si="119"/>
        <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8"/>
      <c r="AU193" s="1627"/>
      <c r="AV193" s="1339">
        <f t="shared" si="120"/>
        <v>0</v>
      </c>
      <c r="AW193" s="1339">
        <f t="shared" si="121"/>
        <v>0</v>
      </c>
      <c r="AX193" s="1339">
        <f t="shared" si="122"/>
        <v>0</v>
      </c>
      <c r="AY193" s="39">
        <f t="shared" si="97"/>
        <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40">
        <f t="shared" si="118"/>
        <v>0</v>
      </c>
    </row>
    <row r="194" spans="1:72">
      <c r="A194" s="6"/>
      <c r="B194" s="31"/>
      <c r="C194" s="31"/>
      <c r="D194" s="1626"/>
      <c r="E194" s="32">
        <f t="shared" si="119"/>
        <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8"/>
      <c r="AU194" s="1627"/>
      <c r="AV194" s="1339">
        <f t="shared" si="120"/>
        <v>0</v>
      </c>
      <c r="AW194" s="1339">
        <f t="shared" si="121"/>
        <v>0</v>
      </c>
      <c r="AX194" s="1339">
        <f t="shared" si="122"/>
        <v>0</v>
      </c>
      <c r="AY194" s="39">
        <f t="shared" si="97"/>
        <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40">
        <f t="shared" si="118"/>
        <v>0</v>
      </c>
    </row>
    <row r="195" spans="1:72">
      <c r="A195" s="6"/>
      <c r="B195" s="31"/>
      <c r="C195" s="31"/>
      <c r="D195" s="1626"/>
      <c r="E195" s="32">
        <f t="shared" si="119"/>
        <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8"/>
      <c r="AU195" s="1627"/>
      <c r="AV195" s="1339">
        <f t="shared" si="120"/>
        <v>0</v>
      </c>
      <c r="AW195" s="1339">
        <f t="shared" si="121"/>
        <v>0</v>
      </c>
      <c r="AX195" s="1339">
        <f t="shared" si="122"/>
        <v>0</v>
      </c>
      <c r="AY195" s="39">
        <f t="shared" si="97"/>
        <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40">
        <f t="shared" si="118"/>
        <v>0</v>
      </c>
    </row>
    <row r="196" spans="1:72">
      <c r="A196" s="6"/>
      <c r="B196" s="31"/>
      <c r="C196" s="31"/>
      <c r="D196" s="1626"/>
      <c r="E196" s="32">
        <f t="shared" si="119"/>
        <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8"/>
      <c r="AU196" s="1627"/>
      <c r="AV196" s="1339">
        <f t="shared" si="120"/>
        <v>0</v>
      </c>
      <c r="AW196" s="1339">
        <f t="shared" si="121"/>
        <v>0</v>
      </c>
      <c r="AX196" s="1339">
        <f t="shared" si="122"/>
        <v>0</v>
      </c>
      <c r="AY196" s="39">
        <f t="shared" si="97"/>
        <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40">
        <f t="shared" si="118"/>
        <v>0</v>
      </c>
    </row>
    <row r="197" spans="1:72">
      <c r="A197" s="6"/>
      <c r="B197" s="31"/>
      <c r="C197" s="31"/>
      <c r="D197" s="1626"/>
      <c r="E197" s="32">
        <f t="shared" si="119"/>
        <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8"/>
      <c r="AU197" s="1627"/>
      <c r="AV197" s="1339">
        <f t="shared" si="120"/>
        <v>0</v>
      </c>
      <c r="AW197" s="1339">
        <f t="shared" si="121"/>
        <v>0</v>
      </c>
      <c r="AX197" s="1339">
        <f t="shared" si="122"/>
        <v>0</v>
      </c>
      <c r="AY197" s="39">
        <f t="shared" si="97"/>
        <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40">
        <f t="shared" si="118"/>
        <v>0</v>
      </c>
    </row>
    <row r="198" spans="1:72">
      <c r="A198" s="6"/>
      <c r="B198" s="31"/>
      <c r="C198" s="31"/>
      <c r="D198" s="1626"/>
      <c r="E198" s="32">
        <f t="shared" si="119"/>
        <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8"/>
      <c r="AU198" s="1627"/>
      <c r="AV198" s="1339">
        <f t="shared" si="120"/>
        <v>0</v>
      </c>
      <c r="AW198" s="1339">
        <f t="shared" si="121"/>
        <v>0</v>
      </c>
      <c r="AX198" s="1339">
        <f t="shared" si="122"/>
        <v>0</v>
      </c>
      <c r="AY198" s="39">
        <f t="shared" si="97"/>
        <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40">
        <f t="shared" si="118"/>
        <v>0</v>
      </c>
    </row>
    <row r="199" spans="1:72">
      <c r="A199" s="6"/>
      <c r="B199" s="31"/>
      <c r="C199" s="31"/>
      <c r="D199" s="1626"/>
      <c r="E199" s="32">
        <f t="shared" si="119"/>
        <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8"/>
      <c r="AU199" s="1627"/>
      <c r="AV199" s="1339">
        <f t="shared" si="120"/>
        <v>0</v>
      </c>
      <c r="AW199" s="1339">
        <f t="shared" si="121"/>
        <v>0</v>
      </c>
      <c r="AX199" s="1339">
        <f t="shared" si="122"/>
        <v>0</v>
      </c>
      <c r="AY199" s="39">
        <f t="shared" si="97"/>
        <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40">
        <f t="shared" si="118"/>
        <v>0</v>
      </c>
    </row>
    <row r="200" spans="1:72">
      <c r="A200" s="6"/>
      <c r="B200" s="31"/>
      <c r="C200" s="31"/>
      <c r="D200" s="1626"/>
      <c r="E200" s="32">
        <f t="shared" si="119"/>
        <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8"/>
      <c r="AU200" s="1627"/>
      <c r="AV200" s="1339">
        <f t="shared" si="120"/>
        <v>0</v>
      </c>
      <c r="AW200" s="1339">
        <f t="shared" si="121"/>
        <v>0</v>
      </c>
      <c r="AX200" s="1339">
        <f t="shared" si="122"/>
        <v>0</v>
      </c>
      <c r="AY200" s="39">
        <f t="shared" si="97"/>
        <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40">
        <f t="shared" si="118"/>
        <v>0</v>
      </c>
    </row>
    <row r="201" spans="1:72">
      <c r="A201" s="6"/>
      <c r="B201" s="31"/>
      <c r="C201" s="31"/>
      <c r="D201" s="1626"/>
      <c r="E201" s="32">
        <f t="shared" si="119"/>
        <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8"/>
      <c r="AU201" s="1627"/>
      <c r="AV201" s="1339">
        <f t="shared" si="120"/>
        <v>0</v>
      </c>
      <c r="AW201" s="1339">
        <f t="shared" si="121"/>
        <v>0</v>
      </c>
      <c r="AX201" s="1339">
        <f t="shared" si="122"/>
        <v>0</v>
      </c>
      <c r="AY201" s="39">
        <f t="shared" si="97"/>
        <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40">
        <f t="shared" si="118"/>
        <v>0</v>
      </c>
    </row>
    <row r="202" spans="1:72">
      <c r="A202" s="6"/>
      <c r="B202" s="31"/>
      <c r="C202" s="31"/>
      <c r="D202" s="1626"/>
      <c r="E202" s="32">
        <f t="shared" si="119"/>
        <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8"/>
      <c r="AU202" s="1627"/>
      <c r="AV202" s="1339">
        <f t="shared" si="120"/>
        <v>0</v>
      </c>
      <c r="AW202" s="1339">
        <f t="shared" si="121"/>
        <v>0</v>
      </c>
      <c r="AX202" s="1339">
        <f t="shared" si="122"/>
        <v>0</v>
      </c>
      <c r="AY202" s="39">
        <f t="shared" si="97"/>
        <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40">
        <f t="shared" si="118"/>
        <v>0</v>
      </c>
    </row>
    <row r="203" spans="1:72">
      <c r="A203" s="6"/>
      <c r="B203" s="31"/>
      <c r="C203" s="31"/>
      <c r="D203" s="1626"/>
      <c r="E203" s="32">
        <f t="shared" si="119"/>
        <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8"/>
      <c r="AU203" s="1627"/>
      <c r="AV203" s="1339">
        <f t="shared" si="120"/>
        <v>0</v>
      </c>
      <c r="AW203" s="1339">
        <f t="shared" si="121"/>
        <v>0</v>
      </c>
      <c r="AX203" s="1339">
        <f t="shared" si="122"/>
        <v>0</v>
      </c>
      <c r="AY203" s="39">
        <f t="shared" si="97"/>
        <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40">
        <f t="shared" si="118"/>
        <v>0</v>
      </c>
    </row>
    <row r="204" spans="1:72">
      <c r="A204" s="6"/>
      <c r="B204" s="31"/>
      <c r="C204" s="31"/>
      <c r="D204" s="1626"/>
      <c r="E204" s="32">
        <f t="shared" si="119"/>
        <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8"/>
      <c r="AU204" s="1627"/>
      <c r="AV204" s="1339">
        <f t="shared" si="120"/>
        <v>0</v>
      </c>
      <c r="AW204" s="1339">
        <f t="shared" si="121"/>
        <v>0</v>
      </c>
      <c r="AX204" s="1339">
        <f t="shared" si="122"/>
        <v>0</v>
      </c>
      <c r="AY204" s="39">
        <f t="shared" si="97"/>
        <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40">
        <f t="shared" si="118"/>
        <v>0</v>
      </c>
    </row>
    <row r="205" spans="1:72">
      <c r="A205" s="6"/>
      <c r="B205" s="6"/>
      <c r="C205" s="6"/>
      <c r="D205" s="1626"/>
      <c r="E205" s="32">
        <f t="shared" si="119"/>
        <v>0</v>
      </c>
      <c r="F205" s="41"/>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1567"/>
      <c r="AV205" s="1339">
        <f t="shared" si="120"/>
        <v>0</v>
      </c>
      <c r="AW205" s="1339">
        <f t="shared" si="121"/>
        <v>0</v>
      </c>
      <c r="AX205" s="1339">
        <f t="shared" si="122"/>
        <v>0</v>
      </c>
      <c r="AY205" s="39">
        <f t="shared" si="97"/>
        <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40">
        <f t="shared" si="118"/>
        <v>0</v>
      </c>
    </row>
    <row r="206" spans="1:72">
      <c r="A206" s="6"/>
      <c r="B206" s="6"/>
      <c r="C206" s="6"/>
      <c r="D206" s="1626"/>
      <c r="E206" s="32">
        <f t="shared" si="119"/>
        <v>0</v>
      </c>
      <c r="F206" s="41"/>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1567"/>
      <c r="AV206" s="1339">
        <f t="shared" si="120"/>
        <v>0</v>
      </c>
      <c r="AW206" s="1339">
        <f t="shared" si="121"/>
        <v>0</v>
      </c>
      <c r="AX206" s="1339">
        <f t="shared" si="122"/>
        <v>0</v>
      </c>
      <c r="AY206" s="39">
        <f>ROUND($AY$6*AZ206/$AZ$5,2)</f>
        <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40">
        <f t="shared" si="118"/>
        <v>0</v>
      </c>
    </row>
    <row r="207" spans="1:72">
      <c r="A207" s="6"/>
      <c r="B207" s="6"/>
      <c r="C207" s="6"/>
      <c r="D207" s="1626"/>
      <c r="E207" s="32">
        <f t="shared" si="119"/>
        <v>0</v>
      </c>
      <c r="F207" s="41"/>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1567"/>
      <c r="AV207" s="1339">
        <f t="shared" si="120"/>
        <v>0</v>
      </c>
      <c r="AW207" s="1339">
        <f t="shared" si="121"/>
        <v>0</v>
      </c>
      <c r="AX207" s="1339">
        <f t="shared" si="122"/>
        <v>0</v>
      </c>
      <c r="AY207" s="39">
        <f>ROUND($AY$6*AZ207/$AZ$5,2)</f>
        <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40">
        <f t="shared" si="118"/>
        <v>0</v>
      </c>
    </row>
    <row r="208" spans="1:72">
      <c r="A208" s="6"/>
      <c r="B208" s="31"/>
      <c r="C208" s="31"/>
      <c r="D208" s="1626"/>
      <c r="E208" s="32">
        <f t="shared" ref="E208:E302" si="123">IF($C$3="是",ROUND($A$3*G208/$B$3,2),ROUND($A$3*(G208-AT208)/$B$3,2))</f>
        <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8"/>
      <c r="AU208" s="1627"/>
      <c r="AV208" s="1339">
        <f t="shared" ref="AV208:AV302" si="127">A208</f>
        <v>0</v>
      </c>
      <c r="AW208" s="1339">
        <f t="shared" ref="AW208:AW302" si="128">B208</f>
        <v>0</v>
      </c>
      <c r="AX208" s="1339">
        <f t="shared" ref="AX208:AX302" si="129">C208</f>
        <v>0</v>
      </c>
      <c r="AY208" s="39">
        <f t="shared" ref="AY208:AY299" si="130">ROUND($AY$6*AZ208/$AZ$5,2)</f>
        <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40">
        <f t="shared" ref="BT208:BT299" si="151">IF($D208="是",AR208-AS208,0)</f>
        <v>0</v>
      </c>
    </row>
    <row r="209" spans="1:72">
      <c r="A209" s="6"/>
      <c r="B209" s="31"/>
      <c r="C209" s="31"/>
      <c r="D209" s="1626"/>
      <c r="E209" s="32">
        <f t="shared" si="123"/>
        <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8"/>
      <c r="AU209" s="1627"/>
      <c r="AV209" s="1339">
        <f t="shared" si="127"/>
        <v>0</v>
      </c>
      <c r="AW209" s="1339">
        <f t="shared" si="128"/>
        <v>0</v>
      </c>
      <c r="AX209" s="1339">
        <f t="shared" si="129"/>
        <v>0</v>
      </c>
      <c r="AY209" s="39">
        <f t="shared" si="130"/>
        <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40">
        <f t="shared" si="151"/>
        <v>0</v>
      </c>
    </row>
    <row r="210" spans="1:72">
      <c r="A210" s="6"/>
      <c r="B210" s="31"/>
      <c r="C210" s="31"/>
      <c r="D210" s="1626"/>
      <c r="E210" s="32">
        <f t="shared" si="123"/>
        <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8"/>
      <c r="AU210" s="1627"/>
      <c r="AV210" s="1339">
        <f t="shared" si="127"/>
        <v>0</v>
      </c>
      <c r="AW210" s="1339">
        <f t="shared" si="128"/>
        <v>0</v>
      </c>
      <c r="AX210" s="1339">
        <f t="shared" si="129"/>
        <v>0</v>
      </c>
      <c r="AY210" s="39">
        <f t="shared" si="130"/>
        <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40">
        <f t="shared" si="151"/>
        <v>0</v>
      </c>
    </row>
    <row r="211" spans="1:72">
      <c r="A211" s="6"/>
      <c r="B211" s="31"/>
      <c r="C211" s="31"/>
      <c r="D211" s="1626"/>
      <c r="E211" s="32">
        <f t="shared" si="123"/>
        <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8"/>
      <c r="AU211" s="1627"/>
      <c r="AV211" s="1339">
        <f t="shared" si="127"/>
        <v>0</v>
      </c>
      <c r="AW211" s="1339">
        <f t="shared" si="128"/>
        <v>0</v>
      </c>
      <c r="AX211" s="1339">
        <f t="shared" si="129"/>
        <v>0</v>
      </c>
      <c r="AY211" s="39">
        <f t="shared" si="130"/>
        <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40">
        <f t="shared" si="151"/>
        <v>0</v>
      </c>
    </row>
    <row r="212" spans="1:72">
      <c r="A212" s="6"/>
      <c r="B212" s="31"/>
      <c r="C212" s="31"/>
      <c r="D212" s="1626"/>
      <c r="E212" s="32">
        <f t="shared" si="123"/>
        <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8"/>
      <c r="AU212" s="1627"/>
      <c r="AV212" s="1339">
        <f t="shared" si="127"/>
        <v>0</v>
      </c>
      <c r="AW212" s="1339">
        <f t="shared" si="128"/>
        <v>0</v>
      </c>
      <c r="AX212" s="1339">
        <f t="shared" si="129"/>
        <v>0</v>
      </c>
      <c r="AY212" s="39">
        <f t="shared" si="130"/>
        <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40">
        <f t="shared" si="151"/>
        <v>0</v>
      </c>
    </row>
    <row r="213" spans="1:72">
      <c r="A213" s="6"/>
      <c r="B213" s="31"/>
      <c r="C213" s="31"/>
      <c r="D213" s="1626"/>
      <c r="E213" s="32">
        <f t="shared" si="123"/>
        <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8"/>
      <c r="AU213" s="1627"/>
      <c r="AV213" s="1339">
        <f t="shared" si="127"/>
        <v>0</v>
      </c>
      <c r="AW213" s="1339">
        <f t="shared" si="128"/>
        <v>0</v>
      </c>
      <c r="AX213" s="1339">
        <f t="shared" si="129"/>
        <v>0</v>
      </c>
      <c r="AY213" s="39">
        <f t="shared" si="130"/>
        <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40">
        <f t="shared" si="151"/>
        <v>0</v>
      </c>
    </row>
    <row r="214" spans="1:72">
      <c r="A214" s="6"/>
      <c r="B214" s="31"/>
      <c r="C214" s="31"/>
      <c r="D214" s="1626"/>
      <c r="E214" s="32">
        <f t="shared" si="123"/>
        <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8"/>
      <c r="AU214" s="1627"/>
      <c r="AV214" s="1339">
        <f t="shared" si="127"/>
        <v>0</v>
      </c>
      <c r="AW214" s="1339">
        <f t="shared" si="128"/>
        <v>0</v>
      </c>
      <c r="AX214" s="1339">
        <f t="shared" si="129"/>
        <v>0</v>
      </c>
      <c r="AY214" s="39">
        <f t="shared" si="130"/>
        <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40">
        <f t="shared" si="151"/>
        <v>0</v>
      </c>
    </row>
    <row r="215" spans="1:72">
      <c r="A215" s="6"/>
      <c r="B215" s="31"/>
      <c r="C215" s="31"/>
      <c r="D215" s="1626"/>
      <c r="E215" s="32">
        <f t="shared" si="123"/>
        <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8"/>
      <c r="AU215" s="1627"/>
      <c r="AV215" s="1339">
        <f t="shared" si="127"/>
        <v>0</v>
      </c>
      <c r="AW215" s="1339">
        <f t="shared" si="128"/>
        <v>0</v>
      </c>
      <c r="AX215" s="1339">
        <f t="shared" si="129"/>
        <v>0</v>
      </c>
      <c r="AY215" s="39">
        <f t="shared" si="130"/>
        <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40">
        <f t="shared" si="151"/>
        <v>0</v>
      </c>
    </row>
    <row r="216" spans="1:72">
      <c r="A216" s="6"/>
      <c r="B216" s="31"/>
      <c r="C216" s="31"/>
      <c r="D216" s="1626"/>
      <c r="E216" s="32">
        <f t="shared" si="123"/>
        <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8"/>
      <c r="AU216" s="1627"/>
      <c r="AV216" s="1339">
        <f t="shared" si="127"/>
        <v>0</v>
      </c>
      <c r="AW216" s="1339">
        <f t="shared" si="128"/>
        <v>0</v>
      </c>
      <c r="AX216" s="1339">
        <f t="shared" si="129"/>
        <v>0</v>
      </c>
      <c r="AY216" s="39">
        <f t="shared" si="130"/>
        <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40">
        <f t="shared" si="151"/>
        <v>0</v>
      </c>
    </row>
    <row r="217" spans="1:72">
      <c r="A217" s="6"/>
      <c r="B217" s="31"/>
      <c r="C217" s="31"/>
      <c r="D217" s="1626"/>
      <c r="E217" s="32">
        <f t="shared" si="123"/>
        <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8"/>
      <c r="AU217" s="1627"/>
      <c r="AV217" s="1339">
        <f t="shared" si="127"/>
        <v>0</v>
      </c>
      <c r="AW217" s="1339">
        <f t="shared" si="128"/>
        <v>0</v>
      </c>
      <c r="AX217" s="1339">
        <f t="shared" si="129"/>
        <v>0</v>
      </c>
      <c r="AY217" s="39">
        <f t="shared" si="130"/>
        <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40">
        <f t="shared" si="151"/>
        <v>0</v>
      </c>
    </row>
    <row r="218" spans="1:72">
      <c r="A218" s="6"/>
      <c r="B218" s="31"/>
      <c r="C218" s="31"/>
      <c r="D218" s="1626"/>
      <c r="E218" s="32">
        <f t="shared" si="123"/>
        <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8"/>
      <c r="AU218" s="1627"/>
      <c r="AV218" s="1339">
        <f t="shared" si="127"/>
        <v>0</v>
      </c>
      <c r="AW218" s="1339">
        <f t="shared" si="128"/>
        <v>0</v>
      </c>
      <c r="AX218" s="1339">
        <f t="shared" si="129"/>
        <v>0</v>
      </c>
      <c r="AY218" s="39">
        <f t="shared" si="130"/>
        <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40">
        <f t="shared" si="151"/>
        <v>0</v>
      </c>
    </row>
    <row r="219" spans="1:72">
      <c r="A219" s="6"/>
      <c r="B219" s="31"/>
      <c r="C219" s="31"/>
      <c r="D219" s="1626"/>
      <c r="E219" s="32">
        <f t="shared" si="123"/>
        <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8"/>
      <c r="AU219" s="1627"/>
      <c r="AV219" s="1339">
        <f t="shared" si="127"/>
        <v>0</v>
      </c>
      <c r="AW219" s="1339">
        <f t="shared" si="128"/>
        <v>0</v>
      </c>
      <c r="AX219" s="1339">
        <f t="shared" si="129"/>
        <v>0</v>
      </c>
      <c r="AY219" s="39">
        <f t="shared" si="130"/>
        <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40">
        <f t="shared" si="151"/>
        <v>0</v>
      </c>
    </row>
    <row r="220" spans="1:72">
      <c r="A220" s="6"/>
      <c r="B220" s="31"/>
      <c r="C220" s="31"/>
      <c r="D220" s="1626"/>
      <c r="E220" s="32">
        <f t="shared" si="123"/>
        <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8"/>
      <c r="AU220" s="1627"/>
      <c r="AV220" s="1339">
        <f t="shared" si="127"/>
        <v>0</v>
      </c>
      <c r="AW220" s="1339">
        <f t="shared" si="128"/>
        <v>0</v>
      </c>
      <c r="AX220" s="1339">
        <f t="shared" si="129"/>
        <v>0</v>
      </c>
      <c r="AY220" s="39">
        <f t="shared" si="130"/>
        <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40">
        <f t="shared" si="151"/>
        <v>0</v>
      </c>
    </row>
    <row r="221" spans="1:72">
      <c r="A221" s="6"/>
      <c r="B221" s="31"/>
      <c r="C221" s="31"/>
      <c r="D221" s="1626"/>
      <c r="E221" s="32">
        <f t="shared" si="123"/>
        <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8"/>
      <c r="AU221" s="1627"/>
      <c r="AV221" s="1339">
        <f t="shared" si="127"/>
        <v>0</v>
      </c>
      <c r="AW221" s="1339">
        <f t="shared" si="128"/>
        <v>0</v>
      </c>
      <c r="AX221" s="1339">
        <f t="shared" si="129"/>
        <v>0</v>
      </c>
      <c r="AY221" s="39">
        <f t="shared" si="130"/>
        <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40">
        <f t="shared" si="151"/>
        <v>0</v>
      </c>
    </row>
    <row r="222" spans="1:72">
      <c r="A222" s="6"/>
      <c r="B222" s="31"/>
      <c r="C222" s="31"/>
      <c r="D222" s="1626"/>
      <c r="E222" s="32">
        <f t="shared" si="123"/>
        <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8"/>
      <c r="AU222" s="1627"/>
      <c r="AV222" s="1339">
        <f t="shared" si="127"/>
        <v>0</v>
      </c>
      <c r="AW222" s="1339">
        <f t="shared" si="128"/>
        <v>0</v>
      </c>
      <c r="AX222" s="1339">
        <f t="shared" si="129"/>
        <v>0</v>
      </c>
      <c r="AY222" s="39">
        <f t="shared" si="130"/>
        <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40">
        <f t="shared" si="151"/>
        <v>0</v>
      </c>
    </row>
    <row r="223" spans="1:72">
      <c r="A223" s="6"/>
      <c r="B223" s="31"/>
      <c r="C223" s="31"/>
      <c r="D223" s="1626"/>
      <c r="E223" s="32">
        <f t="shared" si="123"/>
        <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8"/>
      <c r="AU223" s="1627"/>
      <c r="AV223" s="1339">
        <f t="shared" si="127"/>
        <v>0</v>
      </c>
      <c r="AW223" s="1339">
        <f t="shared" si="128"/>
        <v>0</v>
      </c>
      <c r="AX223" s="1339">
        <f t="shared" si="129"/>
        <v>0</v>
      </c>
      <c r="AY223" s="39">
        <f t="shared" si="130"/>
        <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40">
        <f t="shared" si="151"/>
        <v>0</v>
      </c>
    </row>
    <row r="224" spans="1:72">
      <c r="A224" s="6"/>
      <c r="B224" s="31"/>
      <c r="C224" s="31"/>
      <c r="D224" s="1626"/>
      <c r="E224" s="32">
        <f t="shared" si="123"/>
        <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8"/>
      <c r="AU224" s="1627"/>
      <c r="AV224" s="1339">
        <f t="shared" si="127"/>
        <v>0</v>
      </c>
      <c r="AW224" s="1339">
        <f t="shared" si="128"/>
        <v>0</v>
      </c>
      <c r="AX224" s="1339">
        <f t="shared" si="129"/>
        <v>0</v>
      </c>
      <c r="AY224" s="39">
        <f t="shared" si="130"/>
        <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40">
        <f t="shared" si="151"/>
        <v>0</v>
      </c>
    </row>
    <row r="225" spans="1:72">
      <c r="A225" s="6"/>
      <c r="B225" s="31"/>
      <c r="C225" s="31"/>
      <c r="D225" s="1626"/>
      <c r="E225" s="32">
        <f t="shared" si="123"/>
        <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8"/>
      <c r="AU225" s="1627"/>
      <c r="AV225" s="1339">
        <f t="shared" si="127"/>
        <v>0</v>
      </c>
      <c r="AW225" s="1339">
        <f t="shared" si="128"/>
        <v>0</v>
      </c>
      <c r="AX225" s="1339">
        <f t="shared" si="129"/>
        <v>0</v>
      </c>
      <c r="AY225" s="39">
        <f t="shared" si="130"/>
        <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40">
        <f t="shared" si="151"/>
        <v>0</v>
      </c>
    </row>
    <row r="226" spans="1:72">
      <c r="A226" s="6"/>
      <c r="B226" s="31"/>
      <c r="C226" s="31"/>
      <c r="D226" s="1626"/>
      <c r="E226" s="32">
        <f t="shared" si="123"/>
        <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8"/>
      <c r="AU226" s="1627"/>
      <c r="AV226" s="1339">
        <f t="shared" si="127"/>
        <v>0</v>
      </c>
      <c r="AW226" s="1339">
        <f t="shared" si="128"/>
        <v>0</v>
      </c>
      <c r="AX226" s="1339">
        <f t="shared" si="129"/>
        <v>0</v>
      </c>
      <c r="AY226" s="39">
        <f t="shared" si="130"/>
        <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40">
        <f t="shared" si="151"/>
        <v>0</v>
      </c>
    </row>
    <row r="227" spans="1:72">
      <c r="A227" s="6"/>
      <c r="B227" s="31"/>
      <c r="C227" s="31"/>
      <c r="D227" s="1626"/>
      <c r="E227" s="32">
        <f t="shared" si="123"/>
        <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8"/>
      <c r="AU227" s="1627"/>
      <c r="AV227" s="1339">
        <f t="shared" si="127"/>
        <v>0</v>
      </c>
      <c r="AW227" s="1339">
        <f t="shared" si="128"/>
        <v>0</v>
      </c>
      <c r="AX227" s="1339">
        <f t="shared" si="129"/>
        <v>0</v>
      </c>
      <c r="AY227" s="39">
        <f t="shared" si="130"/>
        <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40">
        <f t="shared" si="151"/>
        <v>0</v>
      </c>
    </row>
    <row r="228" spans="1:72">
      <c r="A228" s="6"/>
      <c r="B228" s="31"/>
      <c r="C228" s="31"/>
      <c r="D228" s="1626"/>
      <c r="E228" s="32">
        <f t="shared" si="123"/>
        <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8"/>
      <c r="AU228" s="1627"/>
      <c r="AV228" s="1339">
        <f t="shared" si="127"/>
        <v>0</v>
      </c>
      <c r="AW228" s="1339">
        <f t="shared" si="128"/>
        <v>0</v>
      </c>
      <c r="AX228" s="1339">
        <f t="shared" si="129"/>
        <v>0</v>
      </c>
      <c r="AY228" s="39">
        <f t="shared" si="130"/>
        <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40">
        <f t="shared" si="151"/>
        <v>0</v>
      </c>
    </row>
    <row r="229" spans="1:72">
      <c r="A229" s="6"/>
      <c r="B229" s="31"/>
      <c r="C229" s="31"/>
      <c r="D229" s="1626"/>
      <c r="E229" s="32">
        <f t="shared" si="123"/>
        <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8"/>
      <c r="AU229" s="1627"/>
      <c r="AV229" s="1339">
        <f t="shared" si="127"/>
        <v>0</v>
      </c>
      <c r="AW229" s="1339">
        <f t="shared" si="128"/>
        <v>0</v>
      </c>
      <c r="AX229" s="1339">
        <f t="shared" si="129"/>
        <v>0</v>
      </c>
      <c r="AY229" s="39">
        <f t="shared" si="130"/>
        <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40">
        <f t="shared" si="151"/>
        <v>0</v>
      </c>
    </row>
    <row r="230" spans="1:72">
      <c r="A230" s="6"/>
      <c r="B230" s="31"/>
      <c r="C230" s="31"/>
      <c r="D230" s="1626"/>
      <c r="E230" s="32">
        <f t="shared" si="123"/>
        <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8"/>
      <c r="AU230" s="1627"/>
      <c r="AV230" s="1339">
        <f t="shared" si="127"/>
        <v>0</v>
      </c>
      <c r="AW230" s="1339">
        <f t="shared" si="128"/>
        <v>0</v>
      </c>
      <c r="AX230" s="1339">
        <f t="shared" si="129"/>
        <v>0</v>
      </c>
      <c r="AY230" s="39">
        <f t="shared" si="130"/>
        <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40">
        <f t="shared" si="151"/>
        <v>0</v>
      </c>
    </row>
    <row r="231" spans="1:72">
      <c r="A231" s="6"/>
      <c r="B231" s="31"/>
      <c r="C231" s="31"/>
      <c r="D231" s="1626"/>
      <c r="E231" s="32">
        <f t="shared" si="123"/>
        <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8"/>
      <c r="AU231" s="1627"/>
      <c r="AV231" s="1339">
        <f t="shared" si="127"/>
        <v>0</v>
      </c>
      <c r="AW231" s="1339">
        <f t="shared" si="128"/>
        <v>0</v>
      </c>
      <c r="AX231" s="1339">
        <f t="shared" si="129"/>
        <v>0</v>
      </c>
      <c r="AY231" s="39">
        <f t="shared" si="130"/>
        <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40">
        <f t="shared" si="151"/>
        <v>0</v>
      </c>
    </row>
    <row r="232" spans="1:72">
      <c r="A232" s="6"/>
      <c r="B232" s="31"/>
      <c r="C232" s="31"/>
      <c r="D232" s="1626"/>
      <c r="E232" s="32">
        <f t="shared" si="123"/>
        <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8"/>
      <c r="AU232" s="1627"/>
      <c r="AV232" s="1339">
        <f t="shared" si="127"/>
        <v>0</v>
      </c>
      <c r="AW232" s="1339">
        <f t="shared" si="128"/>
        <v>0</v>
      </c>
      <c r="AX232" s="1339">
        <f t="shared" si="129"/>
        <v>0</v>
      </c>
      <c r="AY232" s="39">
        <f t="shared" si="130"/>
        <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40">
        <f t="shared" si="151"/>
        <v>0</v>
      </c>
    </row>
    <row r="233" spans="1:72">
      <c r="A233" s="6"/>
      <c r="B233" s="31"/>
      <c r="C233" s="31"/>
      <c r="D233" s="1626"/>
      <c r="E233" s="32">
        <f t="shared" si="123"/>
        <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8"/>
      <c r="AU233" s="1627"/>
      <c r="AV233" s="1339">
        <f t="shared" si="127"/>
        <v>0</v>
      </c>
      <c r="AW233" s="1339">
        <f t="shared" si="128"/>
        <v>0</v>
      </c>
      <c r="AX233" s="1339">
        <f t="shared" si="129"/>
        <v>0</v>
      </c>
      <c r="AY233" s="39">
        <f t="shared" si="130"/>
        <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40">
        <f t="shared" si="151"/>
        <v>0</v>
      </c>
    </row>
    <row r="234" spans="1:72">
      <c r="A234" s="6"/>
      <c r="B234" s="31"/>
      <c r="C234" s="31"/>
      <c r="D234" s="1626"/>
      <c r="E234" s="32">
        <f t="shared" si="123"/>
        <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8"/>
      <c r="AU234" s="1627"/>
      <c r="AV234" s="1339">
        <f t="shared" si="127"/>
        <v>0</v>
      </c>
      <c r="AW234" s="1339">
        <f t="shared" si="128"/>
        <v>0</v>
      </c>
      <c r="AX234" s="1339">
        <f t="shared" si="129"/>
        <v>0</v>
      </c>
      <c r="AY234" s="39">
        <f t="shared" si="130"/>
        <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40">
        <f t="shared" si="151"/>
        <v>0</v>
      </c>
    </row>
    <row r="235" spans="1:72">
      <c r="A235" s="6"/>
      <c r="B235" s="31"/>
      <c r="C235" s="31"/>
      <c r="D235" s="1626"/>
      <c r="E235" s="32">
        <f t="shared" si="123"/>
        <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8"/>
      <c r="AU235" s="1627"/>
      <c r="AV235" s="1339">
        <f t="shared" si="127"/>
        <v>0</v>
      </c>
      <c r="AW235" s="1339">
        <f t="shared" si="128"/>
        <v>0</v>
      </c>
      <c r="AX235" s="1339">
        <f t="shared" si="129"/>
        <v>0</v>
      </c>
      <c r="AY235" s="39">
        <f t="shared" si="130"/>
        <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40">
        <f t="shared" si="151"/>
        <v>0</v>
      </c>
    </row>
    <row r="236" spans="1:72">
      <c r="A236" s="6"/>
      <c r="B236" s="31"/>
      <c r="C236" s="31"/>
      <c r="D236" s="1626"/>
      <c r="E236" s="32">
        <f t="shared" si="123"/>
        <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8"/>
      <c r="AU236" s="1627"/>
      <c r="AV236" s="1339">
        <f t="shared" si="127"/>
        <v>0</v>
      </c>
      <c r="AW236" s="1339">
        <f t="shared" si="128"/>
        <v>0</v>
      </c>
      <c r="AX236" s="1339">
        <f t="shared" si="129"/>
        <v>0</v>
      </c>
      <c r="AY236" s="39">
        <f t="shared" si="130"/>
        <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40">
        <f t="shared" si="151"/>
        <v>0</v>
      </c>
    </row>
    <row r="237" spans="1:72">
      <c r="A237" s="6"/>
      <c r="B237" s="31"/>
      <c r="C237" s="31"/>
      <c r="D237" s="1626"/>
      <c r="E237" s="32">
        <f t="shared" si="123"/>
        <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8"/>
      <c r="AU237" s="1627"/>
      <c r="AV237" s="1339">
        <f t="shared" si="127"/>
        <v>0</v>
      </c>
      <c r="AW237" s="1339">
        <f t="shared" si="128"/>
        <v>0</v>
      </c>
      <c r="AX237" s="1339">
        <f t="shared" si="129"/>
        <v>0</v>
      </c>
      <c r="AY237" s="39">
        <f t="shared" si="130"/>
        <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40">
        <f t="shared" si="151"/>
        <v>0</v>
      </c>
    </row>
    <row r="238" spans="1:72">
      <c r="A238" s="6"/>
      <c r="B238" s="31"/>
      <c r="C238" s="31"/>
      <c r="D238" s="1626"/>
      <c r="E238" s="32">
        <f t="shared" si="123"/>
        <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8"/>
      <c r="AU238" s="1627"/>
      <c r="AV238" s="1339">
        <f t="shared" si="127"/>
        <v>0</v>
      </c>
      <c r="AW238" s="1339">
        <f t="shared" si="128"/>
        <v>0</v>
      </c>
      <c r="AX238" s="1339">
        <f t="shared" si="129"/>
        <v>0</v>
      </c>
      <c r="AY238" s="39">
        <f t="shared" si="130"/>
        <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40">
        <f t="shared" si="151"/>
        <v>0</v>
      </c>
    </row>
    <row r="239" spans="1:72">
      <c r="A239" s="6"/>
      <c r="B239" s="31"/>
      <c r="C239" s="31"/>
      <c r="D239" s="1626"/>
      <c r="E239" s="32">
        <f t="shared" si="123"/>
        <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8"/>
      <c r="AU239" s="1627"/>
      <c r="AV239" s="1339">
        <f t="shared" si="127"/>
        <v>0</v>
      </c>
      <c r="AW239" s="1339">
        <f t="shared" si="128"/>
        <v>0</v>
      </c>
      <c r="AX239" s="1339">
        <f t="shared" si="129"/>
        <v>0</v>
      </c>
      <c r="AY239" s="39">
        <f t="shared" si="130"/>
        <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40">
        <f t="shared" si="151"/>
        <v>0</v>
      </c>
    </row>
    <row r="240" spans="1:72">
      <c r="A240" s="6"/>
      <c r="B240" s="31"/>
      <c r="C240" s="31"/>
      <c r="D240" s="1626"/>
      <c r="E240" s="32">
        <f t="shared" si="123"/>
        <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8"/>
      <c r="AU240" s="1627"/>
      <c r="AV240" s="1339">
        <f t="shared" si="127"/>
        <v>0</v>
      </c>
      <c r="AW240" s="1339">
        <f t="shared" si="128"/>
        <v>0</v>
      </c>
      <c r="AX240" s="1339">
        <f t="shared" si="129"/>
        <v>0</v>
      </c>
      <c r="AY240" s="39">
        <f t="shared" si="130"/>
        <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40">
        <f t="shared" si="151"/>
        <v>0</v>
      </c>
    </row>
    <row r="241" spans="1:72">
      <c r="A241" s="6"/>
      <c r="B241" s="31"/>
      <c r="C241" s="31"/>
      <c r="D241" s="1626"/>
      <c r="E241" s="32">
        <f t="shared" si="123"/>
        <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8"/>
      <c r="AU241" s="1627"/>
      <c r="AV241" s="1339">
        <f t="shared" si="127"/>
        <v>0</v>
      </c>
      <c r="AW241" s="1339">
        <f t="shared" si="128"/>
        <v>0</v>
      </c>
      <c r="AX241" s="1339">
        <f t="shared" si="129"/>
        <v>0</v>
      </c>
      <c r="AY241" s="39">
        <f t="shared" si="130"/>
        <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40">
        <f t="shared" si="151"/>
        <v>0</v>
      </c>
    </row>
    <row r="242" spans="1:72">
      <c r="A242" s="6"/>
      <c r="B242" s="31"/>
      <c r="C242" s="31"/>
      <c r="D242" s="1626"/>
      <c r="E242" s="32">
        <f t="shared" si="123"/>
        <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8"/>
      <c r="AU242" s="1627"/>
      <c r="AV242" s="1339">
        <f t="shared" si="127"/>
        <v>0</v>
      </c>
      <c r="AW242" s="1339">
        <f t="shared" si="128"/>
        <v>0</v>
      </c>
      <c r="AX242" s="1339">
        <f t="shared" si="129"/>
        <v>0</v>
      </c>
      <c r="AY242" s="39">
        <f t="shared" si="130"/>
        <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40">
        <f t="shared" si="151"/>
        <v>0</v>
      </c>
    </row>
    <row r="243" spans="1:72">
      <c r="A243" s="6"/>
      <c r="B243" s="31"/>
      <c r="C243" s="31"/>
      <c r="D243" s="1626"/>
      <c r="E243" s="32">
        <f t="shared" si="123"/>
        <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8"/>
      <c r="AU243" s="1627"/>
      <c r="AV243" s="1339">
        <f t="shared" si="127"/>
        <v>0</v>
      </c>
      <c r="AW243" s="1339">
        <f t="shared" si="128"/>
        <v>0</v>
      </c>
      <c r="AX243" s="1339">
        <f t="shared" si="129"/>
        <v>0</v>
      </c>
      <c r="AY243" s="39">
        <f t="shared" si="130"/>
        <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40">
        <f t="shared" si="151"/>
        <v>0</v>
      </c>
    </row>
    <row r="244" spans="1:72">
      <c r="A244" s="6"/>
      <c r="B244" s="31"/>
      <c r="C244" s="31"/>
      <c r="D244" s="1626"/>
      <c r="E244" s="32">
        <f t="shared" si="123"/>
        <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8"/>
      <c r="AU244" s="1627"/>
      <c r="AV244" s="1339">
        <f t="shared" si="127"/>
        <v>0</v>
      </c>
      <c r="AW244" s="1339">
        <f t="shared" si="128"/>
        <v>0</v>
      </c>
      <c r="AX244" s="1339">
        <f t="shared" si="129"/>
        <v>0</v>
      </c>
      <c r="AY244" s="39">
        <f t="shared" si="130"/>
        <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40">
        <f t="shared" si="151"/>
        <v>0</v>
      </c>
    </row>
    <row r="245" spans="1:72">
      <c r="A245" s="6"/>
      <c r="B245" s="31"/>
      <c r="C245" s="31"/>
      <c r="D245" s="1626"/>
      <c r="E245" s="32">
        <f t="shared" si="123"/>
        <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8"/>
      <c r="AU245" s="1627"/>
      <c r="AV245" s="1339">
        <f t="shared" si="127"/>
        <v>0</v>
      </c>
      <c r="AW245" s="1339">
        <f t="shared" si="128"/>
        <v>0</v>
      </c>
      <c r="AX245" s="1339">
        <f t="shared" si="129"/>
        <v>0</v>
      </c>
      <c r="AY245" s="39">
        <f t="shared" si="130"/>
        <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40">
        <f t="shared" si="151"/>
        <v>0</v>
      </c>
    </row>
    <row r="246" spans="1:72">
      <c r="A246" s="6"/>
      <c r="B246" s="31"/>
      <c r="C246" s="31"/>
      <c r="D246" s="1626"/>
      <c r="E246" s="32">
        <f t="shared" si="123"/>
        <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8"/>
      <c r="AU246" s="1627"/>
      <c r="AV246" s="1339">
        <f t="shared" si="127"/>
        <v>0</v>
      </c>
      <c r="AW246" s="1339">
        <f t="shared" si="128"/>
        <v>0</v>
      </c>
      <c r="AX246" s="1339">
        <f t="shared" si="129"/>
        <v>0</v>
      </c>
      <c r="AY246" s="39">
        <f t="shared" si="130"/>
        <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40">
        <f t="shared" si="151"/>
        <v>0</v>
      </c>
    </row>
    <row r="247" spans="1:72">
      <c r="A247" s="6"/>
      <c r="B247" s="31"/>
      <c r="C247" s="31"/>
      <c r="D247" s="1626"/>
      <c r="E247" s="32">
        <f t="shared" si="123"/>
        <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8"/>
      <c r="AU247" s="1627"/>
      <c r="AV247" s="1339">
        <f t="shared" si="127"/>
        <v>0</v>
      </c>
      <c r="AW247" s="1339">
        <f t="shared" si="128"/>
        <v>0</v>
      </c>
      <c r="AX247" s="1339">
        <f t="shared" si="129"/>
        <v>0</v>
      </c>
      <c r="AY247" s="39">
        <f t="shared" si="130"/>
        <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40">
        <f t="shared" si="151"/>
        <v>0</v>
      </c>
    </row>
    <row r="248" spans="1:72">
      <c r="A248" s="6"/>
      <c r="B248" s="31"/>
      <c r="C248" s="31"/>
      <c r="D248" s="1626"/>
      <c r="E248" s="32">
        <f t="shared" si="123"/>
        <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8"/>
      <c r="AU248" s="1627"/>
      <c r="AV248" s="1339">
        <f t="shared" si="127"/>
        <v>0</v>
      </c>
      <c r="AW248" s="1339">
        <f t="shared" si="128"/>
        <v>0</v>
      </c>
      <c r="AX248" s="1339">
        <f t="shared" si="129"/>
        <v>0</v>
      </c>
      <c r="AY248" s="39">
        <f t="shared" si="130"/>
        <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40">
        <f t="shared" si="151"/>
        <v>0</v>
      </c>
    </row>
    <row r="249" spans="1:72">
      <c r="A249" s="6"/>
      <c r="B249" s="31"/>
      <c r="C249" s="31"/>
      <c r="D249" s="1626"/>
      <c r="E249" s="32">
        <f t="shared" si="123"/>
        <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8"/>
      <c r="AU249" s="1627"/>
      <c r="AV249" s="1339">
        <f t="shared" si="127"/>
        <v>0</v>
      </c>
      <c r="AW249" s="1339">
        <f t="shared" si="128"/>
        <v>0</v>
      </c>
      <c r="AX249" s="1339">
        <f t="shared" si="129"/>
        <v>0</v>
      </c>
      <c r="AY249" s="39">
        <f t="shared" si="130"/>
        <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40">
        <f t="shared" si="151"/>
        <v>0</v>
      </c>
    </row>
    <row r="250" spans="1:72">
      <c r="A250" s="6"/>
      <c r="B250" s="31"/>
      <c r="C250" s="31"/>
      <c r="D250" s="1626"/>
      <c r="E250" s="32">
        <f t="shared" si="123"/>
        <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8"/>
      <c r="AU250" s="1627"/>
      <c r="AV250" s="1339">
        <f t="shared" si="127"/>
        <v>0</v>
      </c>
      <c r="AW250" s="1339">
        <f t="shared" si="128"/>
        <v>0</v>
      </c>
      <c r="AX250" s="1339">
        <f t="shared" si="129"/>
        <v>0</v>
      </c>
      <c r="AY250" s="39">
        <f t="shared" si="130"/>
        <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40">
        <f t="shared" si="151"/>
        <v>0</v>
      </c>
    </row>
    <row r="251" spans="1:72">
      <c r="A251" s="6"/>
      <c r="B251" s="31"/>
      <c r="C251" s="31"/>
      <c r="D251" s="1626"/>
      <c r="E251" s="32">
        <f t="shared" si="123"/>
        <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8"/>
      <c r="AU251" s="1627"/>
      <c r="AV251" s="1339">
        <f t="shared" si="127"/>
        <v>0</v>
      </c>
      <c r="AW251" s="1339">
        <f t="shared" si="128"/>
        <v>0</v>
      </c>
      <c r="AX251" s="1339">
        <f t="shared" si="129"/>
        <v>0</v>
      </c>
      <c r="AY251" s="39">
        <f t="shared" si="130"/>
        <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40">
        <f t="shared" si="151"/>
        <v>0</v>
      </c>
    </row>
    <row r="252" spans="1:72">
      <c r="A252" s="6"/>
      <c r="B252" s="31"/>
      <c r="C252" s="31"/>
      <c r="D252" s="1626"/>
      <c r="E252" s="32">
        <f t="shared" si="123"/>
        <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8"/>
      <c r="AU252" s="1627"/>
      <c r="AV252" s="1339">
        <f t="shared" si="127"/>
        <v>0</v>
      </c>
      <c r="AW252" s="1339">
        <f t="shared" si="128"/>
        <v>0</v>
      </c>
      <c r="AX252" s="1339">
        <f t="shared" si="129"/>
        <v>0</v>
      </c>
      <c r="AY252" s="39">
        <f t="shared" si="130"/>
        <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40">
        <f t="shared" si="151"/>
        <v>0</v>
      </c>
    </row>
    <row r="253" spans="1:72">
      <c r="A253" s="6"/>
      <c r="B253" s="31"/>
      <c r="C253" s="31"/>
      <c r="D253" s="1626"/>
      <c r="E253" s="32">
        <f t="shared" si="123"/>
        <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8"/>
      <c r="AU253" s="1627"/>
      <c r="AV253" s="1339">
        <f t="shared" si="127"/>
        <v>0</v>
      </c>
      <c r="AW253" s="1339">
        <f t="shared" si="128"/>
        <v>0</v>
      </c>
      <c r="AX253" s="1339">
        <f t="shared" si="129"/>
        <v>0</v>
      </c>
      <c r="AY253" s="39">
        <f t="shared" si="130"/>
        <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40">
        <f t="shared" si="151"/>
        <v>0</v>
      </c>
    </row>
    <row r="254" spans="1:72">
      <c r="A254" s="6"/>
      <c r="B254" s="31"/>
      <c r="C254" s="31"/>
      <c r="D254" s="1626"/>
      <c r="E254" s="32">
        <f t="shared" si="123"/>
        <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8"/>
      <c r="AU254" s="1627"/>
      <c r="AV254" s="1339">
        <f t="shared" si="127"/>
        <v>0</v>
      </c>
      <c r="AW254" s="1339">
        <f t="shared" si="128"/>
        <v>0</v>
      </c>
      <c r="AX254" s="1339">
        <f t="shared" si="129"/>
        <v>0</v>
      </c>
      <c r="AY254" s="39">
        <f t="shared" si="130"/>
        <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40">
        <f t="shared" si="151"/>
        <v>0</v>
      </c>
    </row>
    <row r="255" spans="1:72">
      <c r="A255" s="6"/>
      <c r="B255" s="31"/>
      <c r="C255" s="31"/>
      <c r="D255" s="1626"/>
      <c r="E255" s="32">
        <f t="shared" si="123"/>
        <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8"/>
      <c r="AU255" s="1627"/>
      <c r="AV255" s="1339">
        <f t="shared" si="127"/>
        <v>0</v>
      </c>
      <c r="AW255" s="1339">
        <f t="shared" si="128"/>
        <v>0</v>
      </c>
      <c r="AX255" s="1339">
        <f t="shared" si="129"/>
        <v>0</v>
      </c>
      <c r="AY255" s="39">
        <f t="shared" si="130"/>
        <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40">
        <f t="shared" si="151"/>
        <v>0</v>
      </c>
    </row>
    <row r="256" spans="1:72">
      <c r="A256" s="6"/>
      <c r="B256" s="31"/>
      <c r="C256" s="31"/>
      <c r="D256" s="1626"/>
      <c r="E256" s="32">
        <f t="shared" si="123"/>
        <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8"/>
      <c r="AU256" s="1627"/>
      <c r="AV256" s="1339">
        <f t="shared" si="127"/>
        <v>0</v>
      </c>
      <c r="AW256" s="1339">
        <f t="shared" si="128"/>
        <v>0</v>
      </c>
      <c r="AX256" s="1339">
        <f t="shared" si="129"/>
        <v>0</v>
      </c>
      <c r="AY256" s="39">
        <f t="shared" si="130"/>
        <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40">
        <f t="shared" si="151"/>
        <v>0</v>
      </c>
    </row>
    <row r="257" spans="1:72">
      <c r="A257" s="6"/>
      <c r="B257" s="31"/>
      <c r="C257" s="31"/>
      <c r="D257" s="1626"/>
      <c r="E257" s="32">
        <f t="shared" si="123"/>
        <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8"/>
      <c r="AU257" s="1627"/>
      <c r="AV257" s="1339">
        <f t="shared" si="127"/>
        <v>0</v>
      </c>
      <c r="AW257" s="1339">
        <f t="shared" si="128"/>
        <v>0</v>
      </c>
      <c r="AX257" s="1339">
        <f t="shared" si="129"/>
        <v>0</v>
      </c>
      <c r="AY257" s="39">
        <f t="shared" si="130"/>
        <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40">
        <f t="shared" si="151"/>
        <v>0</v>
      </c>
    </row>
    <row r="258" spans="1:72">
      <c r="A258" s="6"/>
      <c r="B258" s="31"/>
      <c r="C258" s="31"/>
      <c r="D258" s="1626"/>
      <c r="E258" s="32">
        <f t="shared" si="123"/>
        <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8"/>
      <c r="AU258" s="1627"/>
      <c r="AV258" s="1339">
        <f t="shared" si="127"/>
        <v>0</v>
      </c>
      <c r="AW258" s="1339">
        <f t="shared" si="128"/>
        <v>0</v>
      </c>
      <c r="AX258" s="1339">
        <f t="shared" si="129"/>
        <v>0</v>
      </c>
      <c r="AY258" s="39">
        <f t="shared" si="130"/>
        <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40">
        <f t="shared" si="151"/>
        <v>0</v>
      </c>
    </row>
    <row r="259" spans="1:72">
      <c r="A259" s="6"/>
      <c r="B259" s="31"/>
      <c r="C259" s="31"/>
      <c r="D259" s="1626"/>
      <c r="E259" s="32">
        <f t="shared" si="123"/>
        <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8"/>
      <c r="AU259" s="1627"/>
      <c r="AV259" s="1339">
        <f t="shared" si="127"/>
        <v>0</v>
      </c>
      <c r="AW259" s="1339">
        <f t="shared" si="128"/>
        <v>0</v>
      </c>
      <c r="AX259" s="1339">
        <f t="shared" si="129"/>
        <v>0</v>
      </c>
      <c r="AY259" s="39">
        <f t="shared" si="130"/>
        <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40">
        <f t="shared" si="151"/>
        <v>0</v>
      </c>
    </row>
    <row r="260" spans="1:72">
      <c r="A260" s="6"/>
      <c r="B260" s="31"/>
      <c r="C260" s="31"/>
      <c r="D260" s="1626"/>
      <c r="E260" s="32">
        <f t="shared" si="123"/>
        <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8"/>
      <c r="AU260" s="1627"/>
      <c r="AV260" s="1339">
        <f t="shared" si="127"/>
        <v>0</v>
      </c>
      <c r="AW260" s="1339">
        <f t="shared" si="128"/>
        <v>0</v>
      </c>
      <c r="AX260" s="1339">
        <f t="shared" si="129"/>
        <v>0</v>
      </c>
      <c r="AY260" s="39">
        <f t="shared" si="130"/>
        <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40">
        <f t="shared" si="151"/>
        <v>0</v>
      </c>
    </row>
    <row r="261" spans="1:72">
      <c r="A261" s="6"/>
      <c r="B261" s="31"/>
      <c r="C261" s="31"/>
      <c r="D261" s="1626"/>
      <c r="E261" s="32">
        <f t="shared" si="123"/>
        <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8"/>
      <c r="AU261" s="1627"/>
      <c r="AV261" s="1339">
        <f t="shared" si="127"/>
        <v>0</v>
      </c>
      <c r="AW261" s="1339">
        <f t="shared" si="128"/>
        <v>0</v>
      </c>
      <c r="AX261" s="1339">
        <f t="shared" si="129"/>
        <v>0</v>
      </c>
      <c r="AY261" s="39">
        <f t="shared" si="130"/>
        <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40">
        <f t="shared" si="151"/>
        <v>0</v>
      </c>
    </row>
    <row r="262" spans="1:72">
      <c r="A262" s="6"/>
      <c r="B262" s="31"/>
      <c r="C262" s="31"/>
      <c r="D262" s="1626"/>
      <c r="E262" s="32">
        <f t="shared" si="123"/>
        <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8"/>
      <c r="AU262" s="1627"/>
      <c r="AV262" s="1339">
        <f t="shared" si="127"/>
        <v>0</v>
      </c>
      <c r="AW262" s="1339">
        <f t="shared" si="128"/>
        <v>0</v>
      </c>
      <c r="AX262" s="1339">
        <f t="shared" si="129"/>
        <v>0</v>
      </c>
      <c r="AY262" s="39">
        <f t="shared" si="130"/>
        <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40">
        <f t="shared" si="151"/>
        <v>0</v>
      </c>
    </row>
    <row r="263" spans="1:72">
      <c r="A263" s="6"/>
      <c r="B263" s="31"/>
      <c r="C263" s="31"/>
      <c r="D263" s="1626"/>
      <c r="E263" s="32">
        <f t="shared" si="123"/>
        <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8"/>
      <c r="AU263" s="1627"/>
      <c r="AV263" s="1339">
        <f t="shared" si="127"/>
        <v>0</v>
      </c>
      <c r="AW263" s="1339">
        <f t="shared" si="128"/>
        <v>0</v>
      </c>
      <c r="AX263" s="1339">
        <f t="shared" si="129"/>
        <v>0</v>
      </c>
      <c r="AY263" s="39">
        <f t="shared" si="130"/>
        <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40">
        <f t="shared" si="151"/>
        <v>0</v>
      </c>
    </row>
    <row r="264" spans="1:72">
      <c r="A264" s="6"/>
      <c r="B264" s="31"/>
      <c r="C264" s="31"/>
      <c r="D264" s="1626"/>
      <c r="E264" s="32">
        <f t="shared" si="123"/>
        <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8"/>
      <c r="AU264" s="1627"/>
      <c r="AV264" s="1339">
        <f t="shared" si="127"/>
        <v>0</v>
      </c>
      <c r="AW264" s="1339">
        <f t="shared" si="128"/>
        <v>0</v>
      </c>
      <c r="AX264" s="1339">
        <f t="shared" si="129"/>
        <v>0</v>
      </c>
      <c r="AY264" s="39">
        <f t="shared" si="130"/>
        <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40">
        <f t="shared" si="151"/>
        <v>0</v>
      </c>
    </row>
    <row r="265" spans="1:72">
      <c r="A265" s="6"/>
      <c r="B265" s="31"/>
      <c r="C265" s="31"/>
      <c r="D265" s="1626"/>
      <c r="E265" s="32">
        <f t="shared" si="123"/>
        <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8"/>
      <c r="AU265" s="1627"/>
      <c r="AV265" s="1339">
        <f t="shared" si="127"/>
        <v>0</v>
      </c>
      <c r="AW265" s="1339">
        <f t="shared" si="128"/>
        <v>0</v>
      </c>
      <c r="AX265" s="1339">
        <f t="shared" si="129"/>
        <v>0</v>
      </c>
      <c r="AY265" s="39">
        <f t="shared" si="130"/>
        <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40">
        <f t="shared" si="151"/>
        <v>0</v>
      </c>
    </row>
    <row r="266" spans="1:72">
      <c r="A266" s="6"/>
      <c r="B266" s="31"/>
      <c r="C266" s="31"/>
      <c r="D266" s="1626"/>
      <c r="E266" s="32">
        <f t="shared" si="123"/>
        <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8"/>
      <c r="AU266" s="1627"/>
      <c r="AV266" s="1339">
        <f t="shared" si="127"/>
        <v>0</v>
      </c>
      <c r="AW266" s="1339">
        <f t="shared" si="128"/>
        <v>0</v>
      </c>
      <c r="AX266" s="1339">
        <f t="shared" si="129"/>
        <v>0</v>
      </c>
      <c r="AY266" s="39">
        <f t="shared" si="130"/>
        <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40">
        <f t="shared" si="151"/>
        <v>0</v>
      </c>
    </row>
    <row r="267" spans="1:72">
      <c r="A267" s="6"/>
      <c r="B267" s="31"/>
      <c r="C267" s="31"/>
      <c r="D267" s="1626"/>
      <c r="E267" s="32">
        <f t="shared" si="123"/>
        <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8"/>
      <c r="AU267" s="1627"/>
      <c r="AV267" s="1339">
        <f t="shared" si="127"/>
        <v>0</v>
      </c>
      <c r="AW267" s="1339">
        <f t="shared" si="128"/>
        <v>0</v>
      </c>
      <c r="AX267" s="1339">
        <f t="shared" si="129"/>
        <v>0</v>
      </c>
      <c r="AY267" s="39">
        <f t="shared" si="130"/>
        <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40">
        <f t="shared" si="151"/>
        <v>0</v>
      </c>
    </row>
    <row r="268" spans="1:72">
      <c r="A268" s="6"/>
      <c r="B268" s="31"/>
      <c r="C268" s="31"/>
      <c r="D268" s="1626"/>
      <c r="E268" s="32">
        <f t="shared" si="123"/>
        <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8"/>
      <c r="AU268" s="1627"/>
      <c r="AV268" s="1339">
        <f t="shared" si="127"/>
        <v>0</v>
      </c>
      <c r="AW268" s="1339">
        <f t="shared" si="128"/>
        <v>0</v>
      </c>
      <c r="AX268" s="1339">
        <f t="shared" si="129"/>
        <v>0</v>
      </c>
      <c r="AY268" s="39">
        <f t="shared" si="130"/>
        <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40">
        <f t="shared" si="151"/>
        <v>0</v>
      </c>
    </row>
    <row r="269" spans="1:72">
      <c r="A269" s="6"/>
      <c r="B269" s="31"/>
      <c r="C269" s="31"/>
      <c r="D269" s="1626"/>
      <c r="E269" s="32">
        <f t="shared" si="123"/>
        <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8"/>
      <c r="AU269" s="1627"/>
      <c r="AV269" s="1339">
        <f t="shared" si="127"/>
        <v>0</v>
      </c>
      <c r="AW269" s="1339">
        <f t="shared" si="128"/>
        <v>0</v>
      </c>
      <c r="AX269" s="1339">
        <f t="shared" si="129"/>
        <v>0</v>
      </c>
      <c r="AY269" s="39">
        <f t="shared" si="130"/>
        <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40">
        <f t="shared" si="151"/>
        <v>0</v>
      </c>
    </row>
    <row r="270" spans="1:72">
      <c r="A270" s="6"/>
      <c r="B270" s="31"/>
      <c r="C270" s="31"/>
      <c r="D270" s="1626"/>
      <c r="E270" s="32">
        <f t="shared" si="123"/>
        <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8"/>
      <c r="AU270" s="1627"/>
      <c r="AV270" s="1339">
        <f t="shared" si="127"/>
        <v>0</v>
      </c>
      <c r="AW270" s="1339">
        <f t="shared" si="128"/>
        <v>0</v>
      </c>
      <c r="AX270" s="1339">
        <f t="shared" si="129"/>
        <v>0</v>
      </c>
      <c r="AY270" s="39">
        <f t="shared" si="130"/>
        <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40">
        <f t="shared" si="151"/>
        <v>0</v>
      </c>
    </row>
    <row r="271" spans="1:72">
      <c r="A271" s="6"/>
      <c r="B271" s="31"/>
      <c r="C271" s="31"/>
      <c r="D271" s="1626"/>
      <c r="E271" s="32">
        <f t="shared" si="123"/>
        <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8"/>
      <c r="AU271" s="1627"/>
      <c r="AV271" s="1339">
        <f t="shared" si="127"/>
        <v>0</v>
      </c>
      <c r="AW271" s="1339">
        <f t="shared" si="128"/>
        <v>0</v>
      </c>
      <c r="AX271" s="1339">
        <f t="shared" si="129"/>
        <v>0</v>
      </c>
      <c r="AY271" s="39">
        <f t="shared" si="130"/>
        <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40">
        <f t="shared" si="151"/>
        <v>0</v>
      </c>
    </row>
    <row r="272" spans="1:72">
      <c r="A272" s="6"/>
      <c r="B272" s="31"/>
      <c r="C272" s="31"/>
      <c r="D272" s="1626"/>
      <c r="E272" s="32">
        <f t="shared" si="123"/>
        <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8"/>
      <c r="AU272" s="1627"/>
      <c r="AV272" s="1339">
        <f t="shared" si="127"/>
        <v>0</v>
      </c>
      <c r="AW272" s="1339">
        <f t="shared" si="128"/>
        <v>0</v>
      </c>
      <c r="AX272" s="1339">
        <f t="shared" si="129"/>
        <v>0</v>
      </c>
      <c r="AY272" s="39">
        <f t="shared" si="130"/>
        <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40">
        <f t="shared" si="151"/>
        <v>0</v>
      </c>
    </row>
    <row r="273" spans="1:72">
      <c r="A273" s="6"/>
      <c r="B273" s="31"/>
      <c r="C273" s="31"/>
      <c r="D273" s="1626"/>
      <c r="E273" s="32">
        <f t="shared" si="123"/>
        <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8"/>
      <c r="AU273" s="1627"/>
      <c r="AV273" s="1339">
        <f t="shared" si="127"/>
        <v>0</v>
      </c>
      <c r="AW273" s="1339">
        <f t="shared" si="128"/>
        <v>0</v>
      </c>
      <c r="AX273" s="1339">
        <f t="shared" si="129"/>
        <v>0</v>
      </c>
      <c r="AY273" s="39">
        <f t="shared" si="130"/>
        <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40">
        <f t="shared" si="151"/>
        <v>0</v>
      </c>
    </row>
    <row r="274" spans="1:72">
      <c r="A274" s="6"/>
      <c r="B274" s="31"/>
      <c r="C274" s="31"/>
      <c r="D274" s="1626"/>
      <c r="E274" s="32">
        <f t="shared" si="123"/>
        <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8"/>
      <c r="AU274" s="1627"/>
      <c r="AV274" s="1339">
        <f t="shared" si="127"/>
        <v>0</v>
      </c>
      <c r="AW274" s="1339">
        <f t="shared" si="128"/>
        <v>0</v>
      </c>
      <c r="AX274" s="1339">
        <f t="shared" si="129"/>
        <v>0</v>
      </c>
      <c r="AY274" s="39">
        <f t="shared" si="130"/>
        <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40">
        <f t="shared" si="151"/>
        <v>0</v>
      </c>
    </row>
    <row r="275" spans="1:72">
      <c r="A275" s="6"/>
      <c r="B275" s="31"/>
      <c r="C275" s="31"/>
      <c r="D275" s="1626"/>
      <c r="E275" s="32">
        <f t="shared" si="123"/>
        <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8"/>
      <c r="AU275" s="1627"/>
      <c r="AV275" s="1339">
        <f t="shared" si="127"/>
        <v>0</v>
      </c>
      <c r="AW275" s="1339">
        <f t="shared" si="128"/>
        <v>0</v>
      </c>
      <c r="AX275" s="1339">
        <f t="shared" si="129"/>
        <v>0</v>
      </c>
      <c r="AY275" s="39">
        <f t="shared" si="130"/>
        <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40">
        <f t="shared" si="151"/>
        <v>0</v>
      </c>
    </row>
    <row r="276" spans="1:72">
      <c r="A276" s="6"/>
      <c r="B276" s="31"/>
      <c r="C276" s="31"/>
      <c r="D276" s="1626"/>
      <c r="E276" s="32">
        <f t="shared" si="123"/>
        <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8"/>
      <c r="AU276" s="1627"/>
      <c r="AV276" s="1339">
        <f t="shared" si="127"/>
        <v>0</v>
      </c>
      <c r="AW276" s="1339">
        <f t="shared" si="128"/>
        <v>0</v>
      </c>
      <c r="AX276" s="1339">
        <f t="shared" si="129"/>
        <v>0</v>
      </c>
      <c r="AY276" s="39">
        <f t="shared" si="130"/>
        <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40">
        <f t="shared" si="151"/>
        <v>0</v>
      </c>
    </row>
    <row r="277" spans="1:72">
      <c r="A277" s="6"/>
      <c r="B277" s="31"/>
      <c r="C277" s="31"/>
      <c r="D277" s="1626"/>
      <c r="E277" s="32">
        <f t="shared" si="123"/>
        <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8"/>
      <c r="AU277" s="1627"/>
      <c r="AV277" s="1339">
        <f t="shared" si="127"/>
        <v>0</v>
      </c>
      <c r="AW277" s="1339">
        <f t="shared" si="128"/>
        <v>0</v>
      </c>
      <c r="AX277" s="1339">
        <f t="shared" si="129"/>
        <v>0</v>
      </c>
      <c r="AY277" s="39">
        <f t="shared" si="130"/>
        <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40">
        <f t="shared" si="151"/>
        <v>0</v>
      </c>
    </row>
    <row r="278" spans="1:72">
      <c r="A278" s="6"/>
      <c r="B278" s="31"/>
      <c r="C278" s="31"/>
      <c r="D278" s="1626"/>
      <c r="E278" s="32">
        <f t="shared" si="123"/>
        <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8"/>
      <c r="AU278" s="1627"/>
      <c r="AV278" s="1339">
        <f t="shared" si="127"/>
        <v>0</v>
      </c>
      <c r="AW278" s="1339">
        <f t="shared" si="128"/>
        <v>0</v>
      </c>
      <c r="AX278" s="1339">
        <f t="shared" si="129"/>
        <v>0</v>
      </c>
      <c r="AY278" s="39">
        <f t="shared" si="130"/>
        <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40">
        <f t="shared" si="151"/>
        <v>0</v>
      </c>
    </row>
    <row r="279" spans="1:72">
      <c r="A279" s="6"/>
      <c r="B279" s="31"/>
      <c r="C279" s="31"/>
      <c r="D279" s="1626"/>
      <c r="E279" s="32">
        <f t="shared" si="123"/>
        <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8"/>
      <c r="AU279" s="1627"/>
      <c r="AV279" s="1339">
        <f t="shared" si="127"/>
        <v>0</v>
      </c>
      <c r="AW279" s="1339">
        <f t="shared" si="128"/>
        <v>0</v>
      </c>
      <c r="AX279" s="1339">
        <f t="shared" si="129"/>
        <v>0</v>
      </c>
      <c r="AY279" s="39">
        <f t="shared" si="130"/>
        <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40">
        <f t="shared" si="151"/>
        <v>0</v>
      </c>
    </row>
    <row r="280" spans="1:72">
      <c r="A280" s="6"/>
      <c r="B280" s="31"/>
      <c r="C280" s="31"/>
      <c r="D280" s="1626"/>
      <c r="E280" s="32">
        <f t="shared" si="123"/>
        <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8"/>
      <c r="AU280" s="1627"/>
      <c r="AV280" s="1339">
        <f t="shared" si="127"/>
        <v>0</v>
      </c>
      <c r="AW280" s="1339">
        <f t="shared" si="128"/>
        <v>0</v>
      </c>
      <c r="AX280" s="1339">
        <f t="shared" si="129"/>
        <v>0</v>
      </c>
      <c r="AY280" s="39">
        <f t="shared" si="130"/>
        <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40">
        <f t="shared" si="151"/>
        <v>0</v>
      </c>
    </row>
    <row r="281" spans="1:72">
      <c r="A281" s="6"/>
      <c r="B281" s="31"/>
      <c r="C281" s="31"/>
      <c r="D281" s="1626"/>
      <c r="E281" s="32">
        <f t="shared" si="123"/>
        <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8"/>
      <c r="AU281" s="1627"/>
      <c r="AV281" s="1339">
        <f t="shared" si="127"/>
        <v>0</v>
      </c>
      <c r="AW281" s="1339">
        <f t="shared" si="128"/>
        <v>0</v>
      </c>
      <c r="AX281" s="1339">
        <f t="shared" si="129"/>
        <v>0</v>
      </c>
      <c r="AY281" s="39">
        <f t="shared" si="130"/>
        <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40">
        <f t="shared" si="151"/>
        <v>0</v>
      </c>
    </row>
    <row r="282" spans="1:72">
      <c r="A282" s="6"/>
      <c r="B282" s="31"/>
      <c r="C282" s="31"/>
      <c r="D282" s="1626"/>
      <c r="E282" s="32">
        <f t="shared" si="123"/>
        <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8"/>
      <c r="AU282" s="1627"/>
      <c r="AV282" s="1339">
        <f t="shared" si="127"/>
        <v>0</v>
      </c>
      <c r="AW282" s="1339">
        <f t="shared" si="128"/>
        <v>0</v>
      </c>
      <c r="AX282" s="1339">
        <f t="shared" si="129"/>
        <v>0</v>
      </c>
      <c r="AY282" s="39">
        <f t="shared" si="130"/>
        <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40">
        <f t="shared" si="151"/>
        <v>0</v>
      </c>
    </row>
    <row r="283" spans="1:72">
      <c r="A283" s="6"/>
      <c r="B283" s="31"/>
      <c r="C283" s="31"/>
      <c r="D283" s="1626"/>
      <c r="E283" s="32">
        <f t="shared" si="123"/>
        <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8"/>
      <c r="AU283" s="1627"/>
      <c r="AV283" s="1339">
        <f t="shared" si="127"/>
        <v>0</v>
      </c>
      <c r="AW283" s="1339">
        <f t="shared" si="128"/>
        <v>0</v>
      </c>
      <c r="AX283" s="1339">
        <f t="shared" si="129"/>
        <v>0</v>
      </c>
      <c r="AY283" s="39">
        <f t="shared" si="130"/>
        <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40">
        <f t="shared" si="151"/>
        <v>0</v>
      </c>
    </row>
    <row r="284" spans="1:72">
      <c r="A284" s="6"/>
      <c r="B284" s="31"/>
      <c r="C284" s="31"/>
      <c r="D284" s="1626"/>
      <c r="E284" s="32">
        <f t="shared" si="123"/>
        <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8"/>
      <c r="AU284" s="1627"/>
      <c r="AV284" s="1339">
        <f t="shared" si="127"/>
        <v>0</v>
      </c>
      <c r="AW284" s="1339">
        <f t="shared" si="128"/>
        <v>0</v>
      </c>
      <c r="AX284" s="1339">
        <f t="shared" si="129"/>
        <v>0</v>
      </c>
      <c r="AY284" s="39">
        <f t="shared" si="130"/>
        <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40">
        <f t="shared" si="151"/>
        <v>0</v>
      </c>
    </row>
    <row r="285" spans="1:72">
      <c r="A285" s="6"/>
      <c r="B285" s="31"/>
      <c r="C285" s="31"/>
      <c r="D285" s="1626"/>
      <c r="E285" s="32">
        <f t="shared" si="123"/>
        <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8"/>
      <c r="AU285" s="1627"/>
      <c r="AV285" s="1339">
        <f t="shared" si="127"/>
        <v>0</v>
      </c>
      <c r="AW285" s="1339">
        <f t="shared" si="128"/>
        <v>0</v>
      </c>
      <c r="AX285" s="1339">
        <f t="shared" si="129"/>
        <v>0</v>
      </c>
      <c r="AY285" s="39">
        <f t="shared" si="130"/>
        <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40">
        <f t="shared" si="151"/>
        <v>0</v>
      </c>
    </row>
    <row r="286" spans="1:72">
      <c r="A286" s="6"/>
      <c r="B286" s="31"/>
      <c r="C286" s="31"/>
      <c r="D286" s="1626"/>
      <c r="E286" s="32">
        <f t="shared" si="123"/>
        <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8"/>
      <c r="AU286" s="1627"/>
      <c r="AV286" s="1339">
        <f t="shared" si="127"/>
        <v>0</v>
      </c>
      <c r="AW286" s="1339">
        <f t="shared" si="128"/>
        <v>0</v>
      </c>
      <c r="AX286" s="1339">
        <f t="shared" si="129"/>
        <v>0</v>
      </c>
      <c r="AY286" s="39">
        <f t="shared" si="130"/>
        <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40">
        <f t="shared" si="151"/>
        <v>0</v>
      </c>
    </row>
    <row r="287" spans="1:72">
      <c r="A287" s="6"/>
      <c r="B287" s="31"/>
      <c r="C287" s="31"/>
      <c r="D287" s="1626"/>
      <c r="E287" s="32">
        <f t="shared" si="123"/>
        <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8"/>
      <c r="AU287" s="1627"/>
      <c r="AV287" s="1339">
        <f t="shared" si="127"/>
        <v>0</v>
      </c>
      <c r="AW287" s="1339">
        <f t="shared" si="128"/>
        <v>0</v>
      </c>
      <c r="AX287" s="1339">
        <f t="shared" si="129"/>
        <v>0</v>
      </c>
      <c r="AY287" s="39">
        <f t="shared" si="130"/>
        <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40">
        <f t="shared" si="151"/>
        <v>0</v>
      </c>
    </row>
    <row r="288" spans="1:72">
      <c r="A288" s="6"/>
      <c r="B288" s="31"/>
      <c r="C288" s="31"/>
      <c r="D288" s="1626"/>
      <c r="E288" s="32">
        <f t="shared" si="123"/>
        <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8"/>
      <c r="AU288" s="1627"/>
      <c r="AV288" s="1339">
        <f t="shared" si="127"/>
        <v>0</v>
      </c>
      <c r="AW288" s="1339">
        <f t="shared" si="128"/>
        <v>0</v>
      </c>
      <c r="AX288" s="1339">
        <f t="shared" si="129"/>
        <v>0</v>
      </c>
      <c r="AY288" s="39">
        <f t="shared" si="130"/>
        <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40">
        <f t="shared" si="151"/>
        <v>0</v>
      </c>
    </row>
    <row r="289" spans="1:72">
      <c r="A289" s="6"/>
      <c r="B289" s="31"/>
      <c r="C289" s="31"/>
      <c r="D289" s="1626"/>
      <c r="E289" s="32">
        <f t="shared" si="123"/>
        <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8"/>
      <c r="AU289" s="1627"/>
      <c r="AV289" s="1339">
        <f t="shared" si="127"/>
        <v>0</v>
      </c>
      <c r="AW289" s="1339">
        <f t="shared" si="128"/>
        <v>0</v>
      </c>
      <c r="AX289" s="1339">
        <f t="shared" si="129"/>
        <v>0</v>
      </c>
      <c r="AY289" s="39">
        <f t="shared" si="130"/>
        <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40">
        <f t="shared" si="151"/>
        <v>0</v>
      </c>
    </row>
    <row r="290" spans="1:72">
      <c r="A290" s="6"/>
      <c r="B290" s="31"/>
      <c r="C290" s="31"/>
      <c r="D290" s="1626"/>
      <c r="E290" s="32">
        <f t="shared" si="123"/>
        <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8"/>
      <c r="AU290" s="1627"/>
      <c r="AV290" s="1339">
        <f t="shared" si="127"/>
        <v>0</v>
      </c>
      <c r="AW290" s="1339">
        <f t="shared" si="128"/>
        <v>0</v>
      </c>
      <c r="AX290" s="1339">
        <f t="shared" si="129"/>
        <v>0</v>
      </c>
      <c r="AY290" s="39">
        <f t="shared" si="130"/>
        <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40">
        <f t="shared" si="151"/>
        <v>0</v>
      </c>
    </row>
    <row r="291" spans="1:72">
      <c r="A291" s="6"/>
      <c r="B291" s="31"/>
      <c r="C291" s="31"/>
      <c r="D291" s="1626"/>
      <c r="E291" s="32">
        <f t="shared" si="123"/>
        <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8"/>
      <c r="AU291" s="1627"/>
      <c r="AV291" s="1339">
        <f t="shared" si="127"/>
        <v>0</v>
      </c>
      <c r="AW291" s="1339">
        <f t="shared" si="128"/>
        <v>0</v>
      </c>
      <c r="AX291" s="1339">
        <f t="shared" si="129"/>
        <v>0</v>
      </c>
      <c r="AY291" s="39">
        <f t="shared" si="130"/>
        <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40">
        <f t="shared" si="151"/>
        <v>0</v>
      </c>
    </row>
    <row r="292" spans="1:72">
      <c r="A292" s="6"/>
      <c r="B292" s="31"/>
      <c r="C292" s="31"/>
      <c r="D292" s="1626"/>
      <c r="E292" s="32">
        <f t="shared" si="123"/>
        <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8"/>
      <c r="AU292" s="1627"/>
      <c r="AV292" s="1339">
        <f t="shared" si="127"/>
        <v>0</v>
      </c>
      <c r="AW292" s="1339">
        <f t="shared" si="128"/>
        <v>0</v>
      </c>
      <c r="AX292" s="1339">
        <f t="shared" si="129"/>
        <v>0</v>
      </c>
      <c r="AY292" s="39">
        <f t="shared" si="130"/>
        <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40">
        <f t="shared" si="151"/>
        <v>0</v>
      </c>
    </row>
    <row r="293" spans="1:72">
      <c r="A293" s="6"/>
      <c r="B293" s="31"/>
      <c r="C293" s="31"/>
      <c r="D293" s="1626"/>
      <c r="E293" s="32">
        <f t="shared" si="123"/>
        <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8"/>
      <c r="AU293" s="1627"/>
      <c r="AV293" s="1339">
        <f t="shared" si="127"/>
        <v>0</v>
      </c>
      <c r="AW293" s="1339">
        <f t="shared" si="128"/>
        <v>0</v>
      </c>
      <c r="AX293" s="1339">
        <f t="shared" si="129"/>
        <v>0</v>
      </c>
      <c r="AY293" s="39">
        <f t="shared" si="130"/>
        <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40">
        <f t="shared" si="151"/>
        <v>0</v>
      </c>
    </row>
    <row r="294" spans="1:72">
      <c r="A294" s="6"/>
      <c r="B294" s="31"/>
      <c r="C294" s="31"/>
      <c r="D294" s="1626"/>
      <c r="E294" s="32">
        <f t="shared" si="123"/>
        <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8"/>
      <c r="AU294" s="1627"/>
      <c r="AV294" s="1339">
        <f t="shared" si="127"/>
        <v>0</v>
      </c>
      <c r="AW294" s="1339">
        <f t="shared" si="128"/>
        <v>0</v>
      </c>
      <c r="AX294" s="1339">
        <f t="shared" si="129"/>
        <v>0</v>
      </c>
      <c r="AY294" s="39">
        <f t="shared" si="130"/>
        <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40">
        <f t="shared" si="151"/>
        <v>0</v>
      </c>
    </row>
    <row r="295" spans="1:72">
      <c r="A295" s="6"/>
      <c r="B295" s="31"/>
      <c r="C295" s="31"/>
      <c r="D295" s="1626"/>
      <c r="E295" s="32">
        <f t="shared" si="123"/>
        <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8"/>
      <c r="AU295" s="1627"/>
      <c r="AV295" s="1339">
        <f t="shared" si="127"/>
        <v>0</v>
      </c>
      <c r="AW295" s="1339">
        <f t="shared" si="128"/>
        <v>0</v>
      </c>
      <c r="AX295" s="1339">
        <f t="shared" si="129"/>
        <v>0</v>
      </c>
      <c r="AY295" s="39">
        <f t="shared" si="130"/>
        <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40">
        <f t="shared" si="151"/>
        <v>0</v>
      </c>
    </row>
    <row r="296" spans="1:72">
      <c r="A296" s="6"/>
      <c r="B296" s="31"/>
      <c r="C296" s="31"/>
      <c r="D296" s="1626"/>
      <c r="E296" s="32">
        <f t="shared" si="123"/>
        <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8"/>
      <c r="AU296" s="1627"/>
      <c r="AV296" s="1339">
        <f t="shared" si="127"/>
        <v>0</v>
      </c>
      <c r="AW296" s="1339">
        <f t="shared" si="128"/>
        <v>0</v>
      </c>
      <c r="AX296" s="1339">
        <f t="shared" si="129"/>
        <v>0</v>
      </c>
      <c r="AY296" s="39">
        <f t="shared" si="130"/>
        <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40">
        <f t="shared" si="151"/>
        <v>0</v>
      </c>
    </row>
    <row r="297" spans="1:72">
      <c r="A297" s="6"/>
      <c r="B297" s="31"/>
      <c r="C297" s="31"/>
      <c r="D297" s="1626"/>
      <c r="E297" s="32">
        <f t="shared" si="123"/>
        <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8"/>
      <c r="AU297" s="1627"/>
      <c r="AV297" s="1339">
        <f t="shared" si="127"/>
        <v>0</v>
      </c>
      <c r="AW297" s="1339">
        <f t="shared" si="128"/>
        <v>0</v>
      </c>
      <c r="AX297" s="1339">
        <f t="shared" si="129"/>
        <v>0</v>
      </c>
      <c r="AY297" s="39">
        <f t="shared" si="130"/>
        <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40">
        <f t="shared" si="151"/>
        <v>0</v>
      </c>
    </row>
    <row r="298" spans="1:72">
      <c r="A298" s="6"/>
      <c r="B298" s="31"/>
      <c r="C298" s="31"/>
      <c r="D298" s="1626"/>
      <c r="E298" s="32">
        <f t="shared" si="123"/>
        <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8"/>
      <c r="AU298" s="1627"/>
      <c r="AV298" s="1339">
        <f t="shared" si="127"/>
        <v>0</v>
      </c>
      <c r="AW298" s="1339">
        <f t="shared" si="128"/>
        <v>0</v>
      </c>
      <c r="AX298" s="1339">
        <f t="shared" si="129"/>
        <v>0</v>
      </c>
      <c r="AY298" s="39">
        <f t="shared" si="130"/>
        <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40">
        <f t="shared" si="151"/>
        <v>0</v>
      </c>
    </row>
    <row r="299" spans="1:72">
      <c r="A299" s="6"/>
      <c r="B299" s="31"/>
      <c r="C299" s="31"/>
      <c r="D299" s="1626"/>
      <c r="E299" s="32">
        <f t="shared" si="123"/>
        <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8"/>
      <c r="AU299" s="1627"/>
      <c r="AV299" s="1339">
        <f t="shared" si="127"/>
        <v>0</v>
      </c>
      <c r="AW299" s="1339">
        <f t="shared" si="128"/>
        <v>0</v>
      </c>
      <c r="AX299" s="1339">
        <f t="shared" si="129"/>
        <v>0</v>
      </c>
      <c r="AY299" s="39">
        <f t="shared" si="130"/>
        <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40">
        <f t="shared" si="151"/>
        <v>0</v>
      </c>
    </row>
    <row r="300" spans="1:72">
      <c r="A300" s="6"/>
      <c r="B300" s="6"/>
      <c r="C300" s="6"/>
      <c r="D300" s="1626"/>
      <c r="E300" s="32">
        <f t="shared" si="123"/>
        <v>0</v>
      </c>
      <c r="F300" s="41"/>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1567"/>
      <c r="AV300" s="1339">
        <f t="shared" si="127"/>
        <v>0</v>
      </c>
      <c r="AW300" s="1339">
        <f t="shared" si="128"/>
        <v>0</v>
      </c>
      <c r="AX300" s="1339">
        <f t="shared" si="129"/>
        <v>0</v>
      </c>
      <c r="AY300" s="39">
        <f t="shared" ref="AY300:AY331" si="155">ROUND($AY$6*AZ300/$AZ$5,2)</f>
        <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40">
        <f t="shared" ref="BT300:BT331" si="176">IF($D300="是",AR300-AS300,0)</f>
        <v>0</v>
      </c>
    </row>
    <row r="301" spans="1:72">
      <c r="A301" s="6"/>
      <c r="B301" s="6"/>
      <c r="C301" s="6"/>
      <c r="D301" s="1626"/>
      <c r="E301" s="32">
        <f t="shared" si="123"/>
        <v>0</v>
      </c>
      <c r="F301" s="41"/>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1567"/>
      <c r="AV301" s="1339">
        <f t="shared" si="127"/>
        <v>0</v>
      </c>
      <c r="AW301" s="1339">
        <f t="shared" si="128"/>
        <v>0</v>
      </c>
      <c r="AX301" s="1339">
        <f t="shared" si="129"/>
        <v>0</v>
      </c>
      <c r="AY301" s="39">
        <f t="shared" si="155"/>
        <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40">
        <f t="shared" si="176"/>
        <v>0</v>
      </c>
    </row>
    <row r="302" spans="1:72">
      <c r="A302" s="6"/>
      <c r="B302" s="6"/>
      <c r="C302" s="6"/>
      <c r="D302" s="1626"/>
      <c r="E302" s="32">
        <f t="shared" si="123"/>
        <v>0</v>
      </c>
      <c r="F302" s="41"/>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1567"/>
      <c r="AV302" s="1339">
        <f t="shared" si="127"/>
        <v>0</v>
      </c>
      <c r="AW302" s="1339">
        <f t="shared" si="128"/>
        <v>0</v>
      </c>
      <c r="AX302" s="1339">
        <f t="shared" si="129"/>
        <v>0</v>
      </c>
      <c r="AY302" s="39">
        <f t="shared" si="155"/>
        <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40">
        <f t="shared" si="176"/>
        <v>0</v>
      </c>
    </row>
    <row r="303" spans="1:72">
      <c r="A303" s="6"/>
      <c r="B303" s="31"/>
      <c r="C303" s="31"/>
      <c r="D303" s="1626"/>
      <c r="E303" s="32">
        <f t="shared" ref="E303:E334" si="177">IF($C$3="是",ROUND($A$3*G303/$B$3,2),ROUND($A$3*(G303-AT303)/$B$3,2))</f>
        <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8"/>
      <c r="AU303" s="1627"/>
      <c r="AV303" s="1339">
        <f t="shared" ref="AV303:AV334" si="178">A303</f>
        <v>0</v>
      </c>
      <c r="AW303" s="1339">
        <f t="shared" ref="AW303:AW334" si="179">B303</f>
        <v>0</v>
      </c>
      <c r="AX303" s="1339">
        <f t="shared" ref="AX303:AX334" si="180">C303</f>
        <v>0</v>
      </c>
      <c r="AY303" s="39">
        <f t="shared" si="155"/>
        <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40">
        <f t="shared" si="176"/>
        <v>0</v>
      </c>
    </row>
    <row r="304" spans="1:72">
      <c r="A304" s="6"/>
      <c r="B304" s="31"/>
      <c r="C304" s="31"/>
      <c r="D304" s="1626"/>
      <c r="E304" s="32">
        <f t="shared" si="177"/>
        <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8"/>
      <c r="AU304" s="1627"/>
      <c r="AV304" s="1339">
        <f t="shared" si="178"/>
        <v>0</v>
      </c>
      <c r="AW304" s="1339">
        <f t="shared" si="179"/>
        <v>0</v>
      </c>
      <c r="AX304" s="1339">
        <f t="shared" si="180"/>
        <v>0</v>
      </c>
      <c r="AY304" s="39">
        <f t="shared" si="155"/>
        <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40">
        <f t="shared" si="176"/>
        <v>0</v>
      </c>
    </row>
    <row r="305" spans="1:72">
      <c r="A305" s="6"/>
      <c r="B305" s="31"/>
      <c r="C305" s="31"/>
      <c r="D305" s="1626"/>
      <c r="E305" s="32">
        <f t="shared" si="177"/>
        <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8"/>
      <c r="AU305" s="1627"/>
      <c r="AV305" s="1339">
        <f t="shared" si="178"/>
        <v>0</v>
      </c>
      <c r="AW305" s="1339">
        <f t="shared" si="179"/>
        <v>0</v>
      </c>
      <c r="AX305" s="1339">
        <f t="shared" si="180"/>
        <v>0</v>
      </c>
      <c r="AY305" s="39">
        <f t="shared" si="155"/>
        <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40">
        <f t="shared" si="176"/>
        <v>0</v>
      </c>
    </row>
    <row r="306" spans="1:72">
      <c r="A306" s="6"/>
      <c r="B306" s="31"/>
      <c r="C306" s="31"/>
      <c r="D306" s="1626"/>
      <c r="E306" s="32">
        <f t="shared" si="177"/>
        <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8"/>
      <c r="AU306" s="1627"/>
      <c r="AV306" s="1339">
        <f t="shared" si="178"/>
        <v>0</v>
      </c>
      <c r="AW306" s="1339">
        <f t="shared" si="179"/>
        <v>0</v>
      </c>
      <c r="AX306" s="1339">
        <f t="shared" si="180"/>
        <v>0</v>
      </c>
      <c r="AY306" s="39">
        <f t="shared" si="155"/>
        <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40">
        <f t="shared" si="176"/>
        <v>0</v>
      </c>
    </row>
    <row r="307" spans="1:72">
      <c r="A307" s="6"/>
      <c r="B307" s="31"/>
      <c r="C307" s="31"/>
      <c r="D307" s="1626"/>
      <c r="E307" s="32">
        <f t="shared" si="177"/>
        <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8"/>
      <c r="AU307" s="1627"/>
      <c r="AV307" s="1339">
        <f t="shared" si="178"/>
        <v>0</v>
      </c>
      <c r="AW307" s="1339">
        <f t="shared" si="179"/>
        <v>0</v>
      </c>
      <c r="AX307" s="1339">
        <f t="shared" si="180"/>
        <v>0</v>
      </c>
      <c r="AY307" s="39">
        <f t="shared" si="155"/>
        <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40">
        <f t="shared" si="176"/>
        <v>0</v>
      </c>
    </row>
    <row r="308" spans="1:72">
      <c r="A308" s="6"/>
      <c r="B308" s="31"/>
      <c r="C308" s="31"/>
      <c r="D308" s="1626"/>
      <c r="E308" s="32">
        <f t="shared" si="177"/>
        <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8"/>
      <c r="AU308" s="1627"/>
      <c r="AV308" s="1339">
        <f t="shared" si="178"/>
        <v>0</v>
      </c>
      <c r="AW308" s="1339">
        <f t="shared" si="179"/>
        <v>0</v>
      </c>
      <c r="AX308" s="1339">
        <f t="shared" si="180"/>
        <v>0</v>
      </c>
      <c r="AY308" s="39">
        <f t="shared" si="155"/>
        <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40">
        <f t="shared" si="176"/>
        <v>0</v>
      </c>
    </row>
    <row r="309" spans="1:72">
      <c r="A309" s="6"/>
      <c r="B309" s="31"/>
      <c r="C309" s="31"/>
      <c r="D309" s="1626"/>
      <c r="E309" s="32">
        <f t="shared" si="177"/>
        <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8"/>
      <c r="AU309" s="1627"/>
      <c r="AV309" s="1339">
        <f t="shared" si="178"/>
        <v>0</v>
      </c>
      <c r="AW309" s="1339">
        <f t="shared" si="179"/>
        <v>0</v>
      </c>
      <c r="AX309" s="1339">
        <f t="shared" si="180"/>
        <v>0</v>
      </c>
      <c r="AY309" s="39">
        <f t="shared" si="155"/>
        <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40">
        <f t="shared" si="176"/>
        <v>0</v>
      </c>
    </row>
    <row r="310" spans="1:72">
      <c r="A310" s="6"/>
      <c r="B310" s="31"/>
      <c r="C310" s="31"/>
      <c r="D310" s="1626"/>
      <c r="E310" s="32">
        <f t="shared" si="177"/>
        <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8"/>
      <c r="AU310" s="1627"/>
      <c r="AV310" s="1339">
        <f t="shared" si="178"/>
        <v>0</v>
      </c>
      <c r="AW310" s="1339">
        <f t="shared" si="179"/>
        <v>0</v>
      </c>
      <c r="AX310" s="1339">
        <f t="shared" si="180"/>
        <v>0</v>
      </c>
      <c r="AY310" s="39">
        <f t="shared" si="155"/>
        <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40">
        <f t="shared" si="176"/>
        <v>0</v>
      </c>
    </row>
    <row r="311" spans="1:72">
      <c r="A311" s="6"/>
      <c r="B311" s="31"/>
      <c r="C311" s="31"/>
      <c r="D311" s="1626"/>
      <c r="E311" s="32">
        <f t="shared" si="177"/>
        <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8"/>
      <c r="AU311" s="1627"/>
      <c r="AV311" s="1339">
        <f t="shared" si="178"/>
        <v>0</v>
      </c>
      <c r="AW311" s="1339">
        <f t="shared" si="179"/>
        <v>0</v>
      </c>
      <c r="AX311" s="1339">
        <f t="shared" si="180"/>
        <v>0</v>
      </c>
      <c r="AY311" s="39">
        <f t="shared" si="155"/>
        <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40">
        <f t="shared" si="176"/>
        <v>0</v>
      </c>
    </row>
    <row r="312" spans="1:72">
      <c r="A312" s="6"/>
      <c r="B312" s="31"/>
      <c r="C312" s="31"/>
      <c r="D312" s="1626"/>
      <c r="E312" s="32">
        <f t="shared" si="177"/>
        <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8"/>
      <c r="AU312" s="1627"/>
      <c r="AV312" s="1339">
        <f t="shared" si="178"/>
        <v>0</v>
      </c>
      <c r="AW312" s="1339">
        <f t="shared" si="179"/>
        <v>0</v>
      </c>
      <c r="AX312" s="1339">
        <f t="shared" si="180"/>
        <v>0</v>
      </c>
      <c r="AY312" s="39">
        <f t="shared" si="155"/>
        <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40">
        <f t="shared" si="176"/>
        <v>0</v>
      </c>
    </row>
    <row r="313" spans="1:72">
      <c r="A313" s="6"/>
      <c r="B313" s="31"/>
      <c r="C313" s="31"/>
      <c r="D313" s="1626"/>
      <c r="E313" s="32">
        <f t="shared" si="177"/>
        <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8"/>
      <c r="AU313" s="1627"/>
      <c r="AV313" s="1339">
        <f t="shared" si="178"/>
        <v>0</v>
      </c>
      <c r="AW313" s="1339">
        <f t="shared" si="179"/>
        <v>0</v>
      </c>
      <c r="AX313" s="1339">
        <f t="shared" si="180"/>
        <v>0</v>
      </c>
      <c r="AY313" s="39">
        <f t="shared" si="155"/>
        <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40">
        <f t="shared" si="176"/>
        <v>0</v>
      </c>
    </row>
    <row r="314" spans="1:72">
      <c r="A314" s="6"/>
      <c r="B314" s="31"/>
      <c r="C314" s="31"/>
      <c r="D314" s="1626"/>
      <c r="E314" s="32">
        <f t="shared" si="177"/>
        <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8"/>
      <c r="AU314" s="1627"/>
      <c r="AV314" s="1339">
        <f t="shared" si="178"/>
        <v>0</v>
      </c>
      <c r="AW314" s="1339">
        <f t="shared" si="179"/>
        <v>0</v>
      </c>
      <c r="AX314" s="1339">
        <f t="shared" si="180"/>
        <v>0</v>
      </c>
      <c r="AY314" s="39">
        <f t="shared" si="155"/>
        <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40">
        <f t="shared" si="176"/>
        <v>0</v>
      </c>
    </row>
    <row r="315" spans="1:72">
      <c r="A315" s="6"/>
      <c r="B315" s="31"/>
      <c r="C315" s="31"/>
      <c r="D315" s="1626"/>
      <c r="E315" s="32">
        <f t="shared" si="177"/>
        <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8"/>
      <c r="AU315" s="1627"/>
      <c r="AV315" s="1339">
        <f t="shared" si="178"/>
        <v>0</v>
      </c>
      <c r="AW315" s="1339">
        <f t="shared" si="179"/>
        <v>0</v>
      </c>
      <c r="AX315" s="1339">
        <f t="shared" si="180"/>
        <v>0</v>
      </c>
      <c r="AY315" s="39">
        <f t="shared" si="155"/>
        <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40">
        <f t="shared" si="176"/>
        <v>0</v>
      </c>
    </row>
    <row r="316" spans="1:72">
      <c r="A316" s="6"/>
      <c r="B316" s="31"/>
      <c r="C316" s="31"/>
      <c r="D316" s="1626"/>
      <c r="E316" s="32">
        <f t="shared" si="177"/>
        <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8"/>
      <c r="AU316" s="1627"/>
      <c r="AV316" s="1339">
        <f t="shared" si="178"/>
        <v>0</v>
      </c>
      <c r="AW316" s="1339">
        <f t="shared" si="179"/>
        <v>0</v>
      </c>
      <c r="AX316" s="1339">
        <f t="shared" si="180"/>
        <v>0</v>
      </c>
      <c r="AY316" s="39">
        <f t="shared" si="155"/>
        <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40">
        <f t="shared" si="176"/>
        <v>0</v>
      </c>
    </row>
    <row r="317" spans="1:72">
      <c r="A317" s="6"/>
      <c r="B317" s="31"/>
      <c r="C317" s="31"/>
      <c r="D317" s="1626"/>
      <c r="E317" s="32">
        <f t="shared" si="177"/>
        <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8"/>
      <c r="AU317" s="1627"/>
      <c r="AV317" s="1339">
        <f t="shared" si="178"/>
        <v>0</v>
      </c>
      <c r="AW317" s="1339">
        <f t="shared" si="179"/>
        <v>0</v>
      </c>
      <c r="AX317" s="1339">
        <f t="shared" si="180"/>
        <v>0</v>
      </c>
      <c r="AY317" s="39">
        <f t="shared" si="155"/>
        <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40">
        <f t="shared" si="176"/>
        <v>0</v>
      </c>
    </row>
    <row r="318" spans="1:72">
      <c r="A318" s="6"/>
      <c r="B318" s="31"/>
      <c r="C318" s="31"/>
      <c r="D318" s="1626"/>
      <c r="E318" s="32">
        <f t="shared" si="177"/>
        <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8"/>
      <c r="AU318" s="1627"/>
      <c r="AV318" s="1339">
        <f t="shared" si="178"/>
        <v>0</v>
      </c>
      <c r="AW318" s="1339">
        <f t="shared" si="179"/>
        <v>0</v>
      </c>
      <c r="AX318" s="1339">
        <f t="shared" si="180"/>
        <v>0</v>
      </c>
      <c r="AY318" s="39">
        <f t="shared" si="155"/>
        <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40">
        <f t="shared" si="176"/>
        <v>0</v>
      </c>
    </row>
    <row r="319" spans="1:72">
      <c r="A319" s="6"/>
      <c r="B319" s="31"/>
      <c r="C319" s="31"/>
      <c r="D319" s="1626"/>
      <c r="E319" s="32">
        <f t="shared" si="177"/>
        <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8"/>
      <c r="AU319" s="1627"/>
      <c r="AV319" s="1339">
        <f t="shared" si="178"/>
        <v>0</v>
      </c>
      <c r="AW319" s="1339">
        <f t="shared" si="179"/>
        <v>0</v>
      </c>
      <c r="AX319" s="1339">
        <f t="shared" si="180"/>
        <v>0</v>
      </c>
      <c r="AY319" s="39">
        <f t="shared" si="155"/>
        <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40">
        <f t="shared" si="176"/>
        <v>0</v>
      </c>
    </row>
    <row r="320" spans="1:72">
      <c r="A320" s="6"/>
      <c r="B320" s="31"/>
      <c r="C320" s="31"/>
      <c r="D320" s="1626"/>
      <c r="E320" s="32">
        <f t="shared" si="177"/>
        <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8"/>
      <c r="AU320" s="1627"/>
      <c r="AV320" s="1339">
        <f t="shared" si="178"/>
        <v>0</v>
      </c>
      <c r="AW320" s="1339">
        <f t="shared" si="179"/>
        <v>0</v>
      </c>
      <c r="AX320" s="1339">
        <f t="shared" si="180"/>
        <v>0</v>
      </c>
      <c r="AY320" s="39">
        <f t="shared" si="155"/>
        <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40">
        <f t="shared" si="176"/>
        <v>0</v>
      </c>
    </row>
    <row r="321" spans="1:72">
      <c r="A321" s="6"/>
      <c r="B321" s="31"/>
      <c r="C321" s="31"/>
      <c r="D321" s="1626"/>
      <c r="E321" s="32">
        <f t="shared" si="177"/>
        <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8"/>
      <c r="AU321" s="1627"/>
      <c r="AV321" s="1339">
        <f t="shared" si="178"/>
        <v>0</v>
      </c>
      <c r="AW321" s="1339">
        <f t="shared" si="179"/>
        <v>0</v>
      </c>
      <c r="AX321" s="1339">
        <f t="shared" si="180"/>
        <v>0</v>
      </c>
      <c r="AY321" s="39">
        <f t="shared" si="155"/>
        <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40">
        <f t="shared" si="176"/>
        <v>0</v>
      </c>
    </row>
    <row r="322" spans="1:72">
      <c r="A322" s="6"/>
      <c r="B322" s="31"/>
      <c r="C322" s="31"/>
      <c r="D322" s="1626"/>
      <c r="E322" s="32">
        <f t="shared" si="177"/>
        <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8"/>
      <c r="AU322" s="1627"/>
      <c r="AV322" s="1339">
        <f t="shared" si="178"/>
        <v>0</v>
      </c>
      <c r="AW322" s="1339">
        <f t="shared" si="179"/>
        <v>0</v>
      </c>
      <c r="AX322" s="1339">
        <f t="shared" si="180"/>
        <v>0</v>
      </c>
      <c r="AY322" s="39">
        <f t="shared" si="155"/>
        <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40">
        <f t="shared" si="176"/>
        <v>0</v>
      </c>
    </row>
    <row r="323" spans="1:72">
      <c r="A323" s="6"/>
      <c r="B323" s="31"/>
      <c r="C323" s="31"/>
      <c r="D323" s="1626"/>
      <c r="E323" s="32">
        <f t="shared" si="177"/>
        <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8"/>
      <c r="AU323" s="1627"/>
      <c r="AV323" s="1339">
        <f t="shared" si="178"/>
        <v>0</v>
      </c>
      <c r="AW323" s="1339">
        <f t="shared" si="179"/>
        <v>0</v>
      </c>
      <c r="AX323" s="1339">
        <f t="shared" si="180"/>
        <v>0</v>
      </c>
      <c r="AY323" s="39">
        <f t="shared" si="155"/>
        <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40">
        <f t="shared" si="176"/>
        <v>0</v>
      </c>
    </row>
    <row r="324" spans="1:72">
      <c r="A324" s="6"/>
      <c r="B324" s="31"/>
      <c r="C324" s="31"/>
      <c r="D324" s="1626"/>
      <c r="E324" s="32">
        <f t="shared" si="177"/>
        <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8"/>
      <c r="AU324" s="1627"/>
      <c r="AV324" s="1339">
        <f t="shared" si="178"/>
        <v>0</v>
      </c>
      <c r="AW324" s="1339">
        <f t="shared" si="179"/>
        <v>0</v>
      </c>
      <c r="AX324" s="1339">
        <f t="shared" si="180"/>
        <v>0</v>
      </c>
      <c r="AY324" s="39">
        <f t="shared" si="155"/>
        <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40">
        <f t="shared" si="176"/>
        <v>0</v>
      </c>
    </row>
    <row r="325" spans="1:72">
      <c r="A325" s="6"/>
      <c r="B325" s="31"/>
      <c r="C325" s="31"/>
      <c r="D325" s="1626"/>
      <c r="E325" s="32">
        <f t="shared" si="177"/>
        <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8"/>
      <c r="AU325" s="1627"/>
      <c r="AV325" s="1339">
        <f t="shared" si="178"/>
        <v>0</v>
      </c>
      <c r="AW325" s="1339">
        <f t="shared" si="179"/>
        <v>0</v>
      </c>
      <c r="AX325" s="1339">
        <f t="shared" si="180"/>
        <v>0</v>
      </c>
      <c r="AY325" s="39">
        <f t="shared" si="155"/>
        <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40">
        <f t="shared" si="176"/>
        <v>0</v>
      </c>
    </row>
    <row r="326" spans="1:72">
      <c r="A326" s="6"/>
      <c r="B326" s="31"/>
      <c r="C326" s="31"/>
      <c r="D326" s="1626"/>
      <c r="E326" s="32">
        <f t="shared" si="177"/>
        <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8"/>
      <c r="AU326" s="1627"/>
      <c r="AV326" s="1339">
        <f t="shared" si="178"/>
        <v>0</v>
      </c>
      <c r="AW326" s="1339">
        <f t="shared" si="179"/>
        <v>0</v>
      </c>
      <c r="AX326" s="1339">
        <f t="shared" si="180"/>
        <v>0</v>
      </c>
      <c r="AY326" s="39">
        <f t="shared" si="155"/>
        <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40">
        <f t="shared" si="176"/>
        <v>0</v>
      </c>
    </row>
    <row r="327" spans="1:72">
      <c r="A327" s="6"/>
      <c r="B327" s="31"/>
      <c r="C327" s="31"/>
      <c r="D327" s="1626"/>
      <c r="E327" s="32">
        <f t="shared" si="177"/>
        <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8"/>
      <c r="AU327" s="1627"/>
      <c r="AV327" s="1339">
        <f t="shared" si="178"/>
        <v>0</v>
      </c>
      <c r="AW327" s="1339">
        <f t="shared" si="179"/>
        <v>0</v>
      </c>
      <c r="AX327" s="1339">
        <f t="shared" si="180"/>
        <v>0</v>
      </c>
      <c r="AY327" s="39">
        <f t="shared" si="155"/>
        <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40">
        <f t="shared" si="176"/>
        <v>0</v>
      </c>
    </row>
    <row r="328" spans="1:72">
      <c r="A328" s="6"/>
      <c r="B328" s="31"/>
      <c r="C328" s="31"/>
      <c r="D328" s="1626"/>
      <c r="E328" s="32">
        <f t="shared" si="177"/>
        <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8"/>
      <c r="AU328" s="1627"/>
      <c r="AV328" s="1339">
        <f t="shared" si="178"/>
        <v>0</v>
      </c>
      <c r="AW328" s="1339">
        <f t="shared" si="179"/>
        <v>0</v>
      </c>
      <c r="AX328" s="1339">
        <f t="shared" si="180"/>
        <v>0</v>
      </c>
      <c r="AY328" s="39">
        <f t="shared" si="155"/>
        <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40">
        <f t="shared" si="176"/>
        <v>0</v>
      </c>
    </row>
    <row r="329" spans="1:72">
      <c r="A329" s="6"/>
      <c r="B329" s="31"/>
      <c r="C329" s="31"/>
      <c r="D329" s="1626"/>
      <c r="E329" s="32">
        <f t="shared" si="177"/>
        <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8"/>
      <c r="AU329" s="1627"/>
      <c r="AV329" s="1339">
        <f t="shared" si="178"/>
        <v>0</v>
      </c>
      <c r="AW329" s="1339">
        <f t="shared" si="179"/>
        <v>0</v>
      </c>
      <c r="AX329" s="1339">
        <f t="shared" si="180"/>
        <v>0</v>
      </c>
      <c r="AY329" s="39">
        <f t="shared" si="155"/>
        <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40">
        <f t="shared" si="176"/>
        <v>0</v>
      </c>
    </row>
    <row r="330" spans="1:72">
      <c r="A330" s="6"/>
      <c r="B330" s="31"/>
      <c r="C330" s="31"/>
      <c r="D330" s="1626"/>
      <c r="E330" s="32">
        <f t="shared" si="177"/>
        <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8"/>
      <c r="AU330" s="1627"/>
      <c r="AV330" s="1339">
        <f t="shared" si="178"/>
        <v>0</v>
      </c>
      <c r="AW330" s="1339">
        <f t="shared" si="179"/>
        <v>0</v>
      </c>
      <c r="AX330" s="1339">
        <f t="shared" si="180"/>
        <v>0</v>
      </c>
      <c r="AY330" s="39">
        <f t="shared" si="155"/>
        <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40">
        <f t="shared" si="176"/>
        <v>0</v>
      </c>
    </row>
    <row r="331" spans="1:72">
      <c r="A331" s="6"/>
      <c r="B331" s="31"/>
      <c r="C331" s="31"/>
      <c r="D331" s="1626"/>
      <c r="E331" s="32">
        <f t="shared" si="177"/>
        <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8"/>
      <c r="AU331" s="1627"/>
      <c r="AV331" s="1339">
        <f t="shared" si="178"/>
        <v>0</v>
      </c>
      <c r="AW331" s="1339">
        <f t="shared" si="179"/>
        <v>0</v>
      </c>
      <c r="AX331" s="1339">
        <f t="shared" si="180"/>
        <v>0</v>
      </c>
      <c r="AY331" s="39">
        <f t="shared" si="155"/>
        <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40">
        <f t="shared" si="176"/>
        <v>0</v>
      </c>
    </row>
    <row r="332" spans="1:72">
      <c r="A332" s="6"/>
      <c r="B332" s="31"/>
      <c r="C332" s="31"/>
      <c r="D332" s="1626"/>
      <c r="E332" s="32">
        <f t="shared" si="177"/>
        <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8"/>
      <c r="AU332" s="1627"/>
      <c r="AV332" s="1339">
        <f t="shared" si="178"/>
        <v>0</v>
      </c>
      <c r="AW332" s="1339">
        <f t="shared" si="179"/>
        <v>0</v>
      </c>
      <c r="AX332" s="1339">
        <f t="shared" si="180"/>
        <v>0</v>
      </c>
      <c r="AY332" s="39">
        <f t="shared" ref="AY332:AY363" si="184">ROUND($AY$6*AZ332/$AZ$5,2)</f>
        <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40">
        <f t="shared" ref="BT332:BT363" si="205">IF($D332="是",AR332-AS332,0)</f>
        <v>0</v>
      </c>
    </row>
    <row r="333" spans="1:72">
      <c r="A333" s="6"/>
      <c r="B333" s="31"/>
      <c r="C333" s="31"/>
      <c r="D333" s="1626"/>
      <c r="E333" s="32">
        <f t="shared" si="177"/>
        <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8"/>
      <c r="AU333" s="1627"/>
      <c r="AV333" s="1339">
        <f t="shared" si="178"/>
        <v>0</v>
      </c>
      <c r="AW333" s="1339">
        <f t="shared" si="179"/>
        <v>0</v>
      </c>
      <c r="AX333" s="1339">
        <f t="shared" si="180"/>
        <v>0</v>
      </c>
      <c r="AY333" s="39">
        <f t="shared" si="184"/>
        <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40">
        <f t="shared" si="205"/>
        <v>0</v>
      </c>
    </row>
    <row r="334" spans="1:72">
      <c r="A334" s="6"/>
      <c r="B334" s="31"/>
      <c r="C334" s="31"/>
      <c r="D334" s="1626"/>
      <c r="E334" s="32">
        <f t="shared" si="177"/>
        <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8"/>
      <c r="AU334" s="1627"/>
      <c r="AV334" s="1339">
        <f t="shared" si="178"/>
        <v>0</v>
      </c>
      <c r="AW334" s="1339">
        <f t="shared" si="179"/>
        <v>0</v>
      </c>
      <c r="AX334" s="1339">
        <f t="shared" si="180"/>
        <v>0</v>
      </c>
      <c r="AY334" s="39">
        <f t="shared" si="184"/>
        <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40">
        <f t="shared" si="205"/>
        <v>0</v>
      </c>
    </row>
    <row r="335" spans="1:72">
      <c r="A335" s="6"/>
      <c r="B335" s="31"/>
      <c r="C335" s="31"/>
      <c r="D335" s="1626"/>
      <c r="E335" s="32">
        <f t="shared" ref="E335:E366" si="206">IF($C$3="是",ROUND($A$3*G335/$B$3,2),ROUND($A$3*(G335-AT335)/$B$3,2))</f>
        <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8"/>
      <c r="AU335" s="1627"/>
      <c r="AV335" s="1339">
        <f t="shared" ref="AV335:AV366" si="207">A335</f>
        <v>0</v>
      </c>
      <c r="AW335" s="1339">
        <f t="shared" ref="AW335:AW366" si="208">B335</f>
        <v>0</v>
      </c>
      <c r="AX335" s="1339">
        <f t="shared" ref="AX335:AX366" si="209">C335</f>
        <v>0</v>
      </c>
      <c r="AY335" s="39">
        <f t="shared" si="184"/>
        <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40">
        <f t="shared" si="205"/>
        <v>0</v>
      </c>
    </row>
    <row r="336" spans="1:72">
      <c r="A336" s="6"/>
      <c r="B336" s="31"/>
      <c r="C336" s="31"/>
      <c r="D336" s="1626"/>
      <c r="E336" s="32">
        <f t="shared" si="206"/>
        <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8"/>
      <c r="AU336" s="1627"/>
      <c r="AV336" s="1339">
        <f t="shared" si="207"/>
        <v>0</v>
      </c>
      <c r="AW336" s="1339">
        <f t="shared" si="208"/>
        <v>0</v>
      </c>
      <c r="AX336" s="1339">
        <f t="shared" si="209"/>
        <v>0</v>
      </c>
      <c r="AY336" s="39">
        <f t="shared" si="184"/>
        <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40">
        <f t="shared" si="205"/>
        <v>0</v>
      </c>
    </row>
    <row r="337" spans="1:72">
      <c r="A337" s="6"/>
      <c r="B337" s="31"/>
      <c r="C337" s="31"/>
      <c r="D337" s="1626"/>
      <c r="E337" s="32">
        <f t="shared" si="206"/>
        <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8"/>
      <c r="AU337" s="1627"/>
      <c r="AV337" s="1339">
        <f t="shared" si="207"/>
        <v>0</v>
      </c>
      <c r="AW337" s="1339">
        <f t="shared" si="208"/>
        <v>0</v>
      </c>
      <c r="AX337" s="1339">
        <f t="shared" si="209"/>
        <v>0</v>
      </c>
      <c r="AY337" s="39">
        <f t="shared" si="184"/>
        <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40">
        <f t="shared" si="205"/>
        <v>0</v>
      </c>
    </row>
    <row r="338" spans="1:72">
      <c r="A338" s="6"/>
      <c r="B338" s="31"/>
      <c r="C338" s="31"/>
      <c r="D338" s="1626"/>
      <c r="E338" s="32">
        <f t="shared" si="206"/>
        <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8"/>
      <c r="AU338" s="1627"/>
      <c r="AV338" s="1339">
        <f t="shared" si="207"/>
        <v>0</v>
      </c>
      <c r="AW338" s="1339">
        <f t="shared" si="208"/>
        <v>0</v>
      </c>
      <c r="AX338" s="1339">
        <f t="shared" si="209"/>
        <v>0</v>
      </c>
      <c r="AY338" s="39">
        <f t="shared" si="184"/>
        <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40">
        <f t="shared" si="205"/>
        <v>0</v>
      </c>
    </row>
    <row r="339" spans="1:72">
      <c r="A339" s="6"/>
      <c r="B339" s="31"/>
      <c r="C339" s="31"/>
      <c r="D339" s="1626"/>
      <c r="E339" s="32">
        <f t="shared" si="206"/>
        <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8"/>
      <c r="AU339" s="1627"/>
      <c r="AV339" s="1339">
        <f t="shared" si="207"/>
        <v>0</v>
      </c>
      <c r="AW339" s="1339">
        <f t="shared" si="208"/>
        <v>0</v>
      </c>
      <c r="AX339" s="1339">
        <f t="shared" si="209"/>
        <v>0</v>
      </c>
      <c r="AY339" s="39">
        <f t="shared" si="184"/>
        <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40">
        <f t="shared" si="205"/>
        <v>0</v>
      </c>
    </row>
    <row r="340" spans="1:72">
      <c r="A340" s="6"/>
      <c r="B340" s="31"/>
      <c r="C340" s="31"/>
      <c r="D340" s="1626"/>
      <c r="E340" s="32">
        <f t="shared" si="206"/>
        <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8"/>
      <c r="AU340" s="1627"/>
      <c r="AV340" s="1339">
        <f t="shared" si="207"/>
        <v>0</v>
      </c>
      <c r="AW340" s="1339">
        <f t="shared" si="208"/>
        <v>0</v>
      </c>
      <c r="AX340" s="1339">
        <f t="shared" si="209"/>
        <v>0</v>
      </c>
      <c r="AY340" s="39">
        <f t="shared" si="184"/>
        <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40">
        <f t="shared" si="205"/>
        <v>0</v>
      </c>
    </row>
    <row r="341" spans="1:72">
      <c r="A341" s="6"/>
      <c r="B341" s="31"/>
      <c r="C341" s="31"/>
      <c r="D341" s="1626"/>
      <c r="E341" s="32">
        <f t="shared" si="206"/>
        <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8"/>
      <c r="AU341" s="1627"/>
      <c r="AV341" s="1339">
        <f t="shared" si="207"/>
        <v>0</v>
      </c>
      <c r="AW341" s="1339">
        <f t="shared" si="208"/>
        <v>0</v>
      </c>
      <c r="AX341" s="1339">
        <f t="shared" si="209"/>
        <v>0</v>
      </c>
      <c r="AY341" s="39">
        <f t="shared" si="184"/>
        <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40">
        <f t="shared" si="205"/>
        <v>0</v>
      </c>
    </row>
    <row r="342" spans="1:72">
      <c r="A342" s="6"/>
      <c r="B342" s="31"/>
      <c r="C342" s="31"/>
      <c r="D342" s="1626"/>
      <c r="E342" s="32">
        <f t="shared" si="206"/>
        <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8"/>
      <c r="AU342" s="1627"/>
      <c r="AV342" s="1339">
        <f t="shared" si="207"/>
        <v>0</v>
      </c>
      <c r="AW342" s="1339">
        <f t="shared" si="208"/>
        <v>0</v>
      </c>
      <c r="AX342" s="1339">
        <f t="shared" si="209"/>
        <v>0</v>
      </c>
      <c r="AY342" s="39">
        <f t="shared" si="184"/>
        <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40">
        <f t="shared" si="205"/>
        <v>0</v>
      </c>
    </row>
    <row r="343" spans="1:72">
      <c r="A343" s="6"/>
      <c r="B343" s="31"/>
      <c r="C343" s="31"/>
      <c r="D343" s="1626"/>
      <c r="E343" s="32">
        <f t="shared" si="206"/>
        <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8"/>
      <c r="AU343" s="1627"/>
      <c r="AV343" s="1339">
        <f t="shared" si="207"/>
        <v>0</v>
      </c>
      <c r="AW343" s="1339">
        <f t="shared" si="208"/>
        <v>0</v>
      </c>
      <c r="AX343" s="1339">
        <f t="shared" si="209"/>
        <v>0</v>
      </c>
      <c r="AY343" s="39">
        <f t="shared" si="184"/>
        <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40">
        <f t="shared" si="205"/>
        <v>0</v>
      </c>
    </row>
    <row r="344" spans="1:72">
      <c r="A344" s="6"/>
      <c r="B344" s="31"/>
      <c r="C344" s="31"/>
      <c r="D344" s="1626"/>
      <c r="E344" s="32">
        <f t="shared" si="206"/>
        <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8"/>
      <c r="AU344" s="1627"/>
      <c r="AV344" s="1339">
        <f t="shared" si="207"/>
        <v>0</v>
      </c>
      <c r="AW344" s="1339">
        <f t="shared" si="208"/>
        <v>0</v>
      </c>
      <c r="AX344" s="1339">
        <f t="shared" si="209"/>
        <v>0</v>
      </c>
      <c r="AY344" s="39">
        <f t="shared" si="184"/>
        <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40">
        <f t="shared" si="205"/>
        <v>0</v>
      </c>
    </row>
    <row r="345" spans="1:72">
      <c r="A345" s="6"/>
      <c r="B345" s="31"/>
      <c r="C345" s="31"/>
      <c r="D345" s="1626"/>
      <c r="E345" s="32">
        <f t="shared" si="206"/>
        <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8"/>
      <c r="AU345" s="1627"/>
      <c r="AV345" s="1339">
        <f t="shared" si="207"/>
        <v>0</v>
      </c>
      <c r="AW345" s="1339">
        <f t="shared" si="208"/>
        <v>0</v>
      </c>
      <c r="AX345" s="1339">
        <f t="shared" si="209"/>
        <v>0</v>
      </c>
      <c r="AY345" s="39">
        <f t="shared" si="184"/>
        <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40">
        <f t="shared" si="205"/>
        <v>0</v>
      </c>
    </row>
    <row r="346" spans="1:72">
      <c r="A346" s="6"/>
      <c r="B346" s="31"/>
      <c r="C346" s="31"/>
      <c r="D346" s="1626"/>
      <c r="E346" s="32">
        <f t="shared" si="206"/>
        <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8"/>
      <c r="AU346" s="1627"/>
      <c r="AV346" s="1339">
        <f t="shared" si="207"/>
        <v>0</v>
      </c>
      <c r="AW346" s="1339">
        <f t="shared" si="208"/>
        <v>0</v>
      </c>
      <c r="AX346" s="1339">
        <f t="shared" si="209"/>
        <v>0</v>
      </c>
      <c r="AY346" s="39">
        <f t="shared" si="184"/>
        <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40">
        <f t="shared" si="205"/>
        <v>0</v>
      </c>
    </row>
    <row r="347" spans="1:72">
      <c r="A347" s="6"/>
      <c r="B347" s="31"/>
      <c r="C347" s="31"/>
      <c r="D347" s="1626"/>
      <c r="E347" s="32">
        <f t="shared" si="206"/>
        <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8"/>
      <c r="AU347" s="1627"/>
      <c r="AV347" s="1339">
        <f t="shared" si="207"/>
        <v>0</v>
      </c>
      <c r="AW347" s="1339">
        <f t="shared" si="208"/>
        <v>0</v>
      </c>
      <c r="AX347" s="1339">
        <f t="shared" si="209"/>
        <v>0</v>
      </c>
      <c r="AY347" s="39">
        <f t="shared" si="184"/>
        <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40">
        <f t="shared" si="205"/>
        <v>0</v>
      </c>
    </row>
    <row r="348" spans="1:72">
      <c r="A348" s="6"/>
      <c r="B348" s="31"/>
      <c r="C348" s="31"/>
      <c r="D348" s="1626"/>
      <c r="E348" s="32">
        <f t="shared" si="206"/>
        <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8"/>
      <c r="AU348" s="1627"/>
      <c r="AV348" s="1339">
        <f t="shared" si="207"/>
        <v>0</v>
      </c>
      <c r="AW348" s="1339">
        <f t="shared" si="208"/>
        <v>0</v>
      </c>
      <c r="AX348" s="1339">
        <f t="shared" si="209"/>
        <v>0</v>
      </c>
      <c r="AY348" s="39">
        <f t="shared" si="184"/>
        <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40">
        <f t="shared" si="205"/>
        <v>0</v>
      </c>
    </row>
    <row r="349" spans="1:72">
      <c r="A349" s="6"/>
      <c r="B349" s="31"/>
      <c r="C349" s="31"/>
      <c r="D349" s="1626"/>
      <c r="E349" s="32">
        <f t="shared" si="206"/>
        <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8"/>
      <c r="AU349" s="1627"/>
      <c r="AV349" s="1339">
        <f t="shared" si="207"/>
        <v>0</v>
      </c>
      <c r="AW349" s="1339">
        <f t="shared" si="208"/>
        <v>0</v>
      </c>
      <c r="AX349" s="1339">
        <f t="shared" si="209"/>
        <v>0</v>
      </c>
      <c r="AY349" s="39">
        <f t="shared" si="184"/>
        <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40">
        <f t="shared" si="205"/>
        <v>0</v>
      </c>
    </row>
    <row r="350" spans="1:72">
      <c r="A350" s="6"/>
      <c r="B350" s="31"/>
      <c r="C350" s="31"/>
      <c r="D350" s="1626"/>
      <c r="E350" s="32">
        <f t="shared" si="206"/>
        <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8"/>
      <c r="AU350" s="1627"/>
      <c r="AV350" s="1339">
        <f t="shared" si="207"/>
        <v>0</v>
      </c>
      <c r="AW350" s="1339">
        <f t="shared" si="208"/>
        <v>0</v>
      </c>
      <c r="AX350" s="1339">
        <f t="shared" si="209"/>
        <v>0</v>
      </c>
      <c r="AY350" s="39">
        <f t="shared" si="184"/>
        <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40">
        <f t="shared" si="205"/>
        <v>0</v>
      </c>
    </row>
    <row r="351" spans="1:72">
      <c r="A351" s="6"/>
      <c r="B351" s="31"/>
      <c r="C351" s="31"/>
      <c r="D351" s="1626"/>
      <c r="E351" s="32">
        <f t="shared" si="206"/>
        <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8"/>
      <c r="AU351" s="1627"/>
      <c r="AV351" s="1339">
        <f t="shared" si="207"/>
        <v>0</v>
      </c>
      <c r="AW351" s="1339">
        <f t="shared" si="208"/>
        <v>0</v>
      </c>
      <c r="AX351" s="1339">
        <f t="shared" si="209"/>
        <v>0</v>
      </c>
      <c r="AY351" s="39">
        <f t="shared" si="184"/>
        <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40">
        <f t="shared" si="205"/>
        <v>0</v>
      </c>
    </row>
    <row r="352" spans="1:72">
      <c r="A352" s="6"/>
      <c r="B352" s="31"/>
      <c r="C352" s="31"/>
      <c r="D352" s="1626"/>
      <c r="E352" s="32">
        <f t="shared" si="206"/>
        <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8"/>
      <c r="AU352" s="1627"/>
      <c r="AV352" s="1339">
        <f t="shared" si="207"/>
        <v>0</v>
      </c>
      <c r="AW352" s="1339">
        <f t="shared" si="208"/>
        <v>0</v>
      </c>
      <c r="AX352" s="1339">
        <f t="shared" si="209"/>
        <v>0</v>
      </c>
      <c r="AY352" s="39">
        <f t="shared" si="184"/>
        <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40">
        <f t="shared" si="205"/>
        <v>0</v>
      </c>
    </row>
    <row r="353" spans="1:72">
      <c r="A353" s="6"/>
      <c r="B353" s="31"/>
      <c r="C353" s="31"/>
      <c r="D353" s="1626"/>
      <c r="E353" s="32">
        <f t="shared" si="206"/>
        <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8"/>
      <c r="AU353" s="1627"/>
      <c r="AV353" s="1339">
        <f t="shared" si="207"/>
        <v>0</v>
      </c>
      <c r="AW353" s="1339">
        <f t="shared" si="208"/>
        <v>0</v>
      </c>
      <c r="AX353" s="1339">
        <f t="shared" si="209"/>
        <v>0</v>
      </c>
      <c r="AY353" s="39">
        <f t="shared" si="184"/>
        <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40">
        <f t="shared" si="205"/>
        <v>0</v>
      </c>
    </row>
    <row r="354" spans="1:72">
      <c r="A354" s="6"/>
      <c r="B354" s="31"/>
      <c r="C354" s="31"/>
      <c r="D354" s="1626"/>
      <c r="E354" s="32">
        <f t="shared" si="206"/>
        <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8"/>
      <c r="AU354" s="1627"/>
      <c r="AV354" s="1339">
        <f t="shared" si="207"/>
        <v>0</v>
      </c>
      <c r="AW354" s="1339">
        <f t="shared" si="208"/>
        <v>0</v>
      </c>
      <c r="AX354" s="1339">
        <f t="shared" si="209"/>
        <v>0</v>
      </c>
      <c r="AY354" s="39">
        <f t="shared" si="184"/>
        <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40">
        <f t="shared" si="205"/>
        <v>0</v>
      </c>
    </row>
    <row r="355" spans="1:72">
      <c r="A355" s="6"/>
      <c r="B355" s="31"/>
      <c r="C355" s="31"/>
      <c r="D355" s="1626"/>
      <c r="E355" s="32">
        <f t="shared" si="206"/>
        <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8"/>
      <c r="AU355" s="1627"/>
      <c r="AV355" s="1339">
        <f t="shared" si="207"/>
        <v>0</v>
      </c>
      <c r="AW355" s="1339">
        <f t="shared" si="208"/>
        <v>0</v>
      </c>
      <c r="AX355" s="1339">
        <f t="shared" si="209"/>
        <v>0</v>
      </c>
      <c r="AY355" s="39">
        <f t="shared" si="184"/>
        <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40">
        <f t="shared" si="205"/>
        <v>0</v>
      </c>
    </row>
    <row r="356" spans="1:72">
      <c r="A356" s="6"/>
      <c r="B356" s="31"/>
      <c r="C356" s="31"/>
      <c r="D356" s="1626"/>
      <c r="E356" s="32">
        <f t="shared" si="206"/>
        <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8"/>
      <c r="AU356" s="1627"/>
      <c r="AV356" s="1339">
        <f t="shared" si="207"/>
        <v>0</v>
      </c>
      <c r="AW356" s="1339">
        <f t="shared" si="208"/>
        <v>0</v>
      </c>
      <c r="AX356" s="1339">
        <f t="shared" si="209"/>
        <v>0</v>
      </c>
      <c r="AY356" s="39">
        <f t="shared" si="184"/>
        <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40">
        <f t="shared" si="205"/>
        <v>0</v>
      </c>
    </row>
    <row r="357" spans="1:72">
      <c r="A357" s="6"/>
      <c r="B357" s="31"/>
      <c r="C357" s="31"/>
      <c r="D357" s="1626"/>
      <c r="E357" s="32">
        <f t="shared" si="206"/>
        <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8"/>
      <c r="AU357" s="1627"/>
      <c r="AV357" s="1339">
        <f t="shared" si="207"/>
        <v>0</v>
      </c>
      <c r="AW357" s="1339">
        <f t="shared" si="208"/>
        <v>0</v>
      </c>
      <c r="AX357" s="1339">
        <f t="shared" si="209"/>
        <v>0</v>
      </c>
      <c r="AY357" s="39">
        <f t="shared" si="184"/>
        <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40">
        <f t="shared" si="205"/>
        <v>0</v>
      </c>
    </row>
    <row r="358" spans="1:72">
      <c r="A358" s="6"/>
      <c r="B358" s="31"/>
      <c r="C358" s="31"/>
      <c r="D358" s="1626"/>
      <c r="E358" s="32">
        <f t="shared" si="206"/>
        <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8"/>
      <c r="AU358" s="1627"/>
      <c r="AV358" s="1339">
        <f t="shared" si="207"/>
        <v>0</v>
      </c>
      <c r="AW358" s="1339">
        <f t="shared" si="208"/>
        <v>0</v>
      </c>
      <c r="AX358" s="1339">
        <f t="shared" si="209"/>
        <v>0</v>
      </c>
      <c r="AY358" s="39">
        <f t="shared" si="184"/>
        <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40">
        <f t="shared" si="205"/>
        <v>0</v>
      </c>
    </row>
    <row r="359" spans="1:72">
      <c r="A359" s="6"/>
      <c r="B359" s="31"/>
      <c r="C359" s="31"/>
      <c r="D359" s="1626"/>
      <c r="E359" s="32">
        <f t="shared" si="206"/>
        <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8"/>
      <c r="AU359" s="1627"/>
      <c r="AV359" s="1339">
        <f t="shared" si="207"/>
        <v>0</v>
      </c>
      <c r="AW359" s="1339">
        <f t="shared" si="208"/>
        <v>0</v>
      </c>
      <c r="AX359" s="1339">
        <f t="shared" si="209"/>
        <v>0</v>
      </c>
      <c r="AY359" s="39">
        <f t="shared" si="184"/>
        <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40">
        <f t="shared" si="205"/>
        <v>0</v>
      </c>
    </row>
    <row r="360" spans="1:72">
      <c r="A360" s="6"/>
      <c r="B360" s="31"/>
      <c r="C360" s="31"/>
      <c r="D360" s="1626"/>
      <c r="E360" s="32">
        <f t="shared" si="206"/>
        <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8"/>
      <c r="AU360" s="1627"/>
      <c r="AV360" s="1339">
        <f t="shared" si="207"/>
        <v>0</v>
      </c>
      <c r="AW360" s="1339">
        <f t="shared" si="208"/>
        <v>0</v>
      </c>
      <c r="AX360" s="1339">
        <f t="shared" si="209"/>
        <v>0</v>
      </c>
      <c r="AY360" s="39">
        <f t="shared" si="184"/>
        <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40">
        <f t="shared" si="205"/>
        <v>0</v>
      </c>
    </row>
    <row r="361" spans="1:72">
      <c r="A361" s="6"/>
      <c r="B361" s="31"/>
      <c r="C361" s="31"/>
      <c r="D361" s="1626"/>
      <c r="E361" s="32">
        <f t="shared" si="206"/>
        <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8"/>
      <c r="AU361" s="1627"/>
      <c r="AV361" s="1339">
        <f t="shared" si="207"/>
        <v>0</v>
      </c>
      <c r="AW361" s="1339">
        <f t="shared" si="208"/>
        <v>0</v>
      </c>
      <c r="AX361" s="1339">
        <f t="shared" si="209"/>
        <v>0</v>
      </c>
      <c r="AY361" s="39">
        <f t="shared" si="184"/>
        <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40">
        <f t="shared" si="205"/>
        <v>0</v>
      </c>
    </row>
    <row r="362" spans="1:72">
      <c r="A362" s="6"/>
      <c r="B362" s="31"/>
      <c r="C362" s="31"/>
      <c r="D362" s="1626"/>
      <c r="E362" s="32">
        <f t="shared" si="206"/>
        <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8"/>
      <c r="AU362" s="1627"/>
      <c r="AV362" s="1339">
        <f t="shared" si="207"/>
        <v>0</v>
      </c>
      <c r="AW362" s="1339">
        <f t="shared" si="208"/>
        <v>0</v>
      </c>
      <c r="AX362" s="1339">
        <f t="shared" si="209"/>
        <v>0</v>
      </c>
      <c r="AY362" s="39">
        <f t="shared" si="184"/>
        <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40">
        <f t="shared" si="205"/>
        <v>0</v>
      </c>
    </row>
    <row r="363" spans="1:72">
      <c r="A363" s="6"/>
      <c r="B363" s="31"/>
      <c r="C363" s="31"/>
      <c r="D363" s="1626"/>
      <c r="E363" s="32">
        <f t="shared" si="206"/>
        <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8"/>
      <c r="AU363" s="1627"/>
      <c r="AV363" s="1339">
        <f t="shared" si="207"/>
        <v>0</v>
      </c>
      <c r="AW363" s="1339">
        <f t="shared" si="208"/>
        <v>0</v>
      </c>
      <c r="AX363" s="1339">
        <f t="shared" si="209"/>
        <v>0</v>
      </c>
      <c r="AY363" s="39">
        <f t="shared" si="184"/>
        <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40">
        <f t="shared" si="205"/>
        <v>0</v>
      </c>
    </row>
    <row r="364" spans="1:72">
      <c r="A364" s="6"/>
      <c r="B364" s="31"/>
      <c r="C364" s="31"/>
      <c r="D364" s="1626"/>
      <c r="E364" s="32">
        <f t="shared" si="206"/>
        <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8"/>
      <c r="AU364" s="1627"/>
      <c r="AV364" s="1339">
        <f t="shared" si="207"/>
        <v>0</v>
      </c>
      <c r="AW364" s="1339">
        <f t="shared" si="208"/>
        <v>0</v>
      </c>
      <c r="AX364" s="1339">
        <f t="shared" si="209"/>
        <v>0</v>
      </c>
      <c r="AY364" s="39">
        <f t="shared" ref="AY364:AY395" si="213">ROUND($AY$6*AZ364/$AZ$5,2)</f>
        <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40">
        <f t="shared" ref="BT364:BT397" si="234">IF($D364="是",AR364-AS364,0)</f>
        <v>0</v>
      </c>
    </row>
    <row r="365" spans="1:72">
      <c r="A365" s="6"/>
      <c r="B365" s="31"/>
      <c r="C365" s="31"/>
      <c r="D365" s="1626"/>
      <c r="E365" s="32">
        <f t="shared" si="206"/>
        <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8"/>
      <c r="AU365" s="1627"/>
      <c r="AV365" s="1339">
        <f t="shared" si="207"/>
        <v>0</v>
      </c>
      <c r="AW365" s="1339">
        <f t="shared" si="208"/>
        <v>0</v>
      </c>
      <c r="AX365" s="1339">
        <f t="shared" si="209"/>
        <v>0</v>
      </c>
      <c r="AY365" s="39">
        <f t="shared" si="213"/>
        <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40">
        <f t="shared" si="234"/>
        <v>0</v>
      </c>
    </row>
    <row r="366" spans="1:72">
      <c r="A366" s="6"/>
      <c r="B366" s="31"/>
      <c r="C366" s="31"/>
      <c r="D366" s="1626"/>
      <c r="E366" s="32">
        <f t="shared" si="206"/>
        <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8"/>
      <c r="AU366" s="1627"/>
      <c r="AV366" s="1339">
        <f t="shared" si="207"/>
        <v>0</v>
      </c>
      <c r="AW366" s="1339">
        <f t="shared" si="208"/>
        <v>0</v>
      </c>
      <c r="AX366" s="1339">
        <f t="shared" si="209"/>
        <v>0</v>
      </c>
      <c r="AY366" s="39">
        <f t="shared" si="213"/>
        <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40">
        <f t="shared" si="234"/>
        <v>0</v>
      </c>
    </row>
    <row r="367" spans="1:72">
      <c r="A367" s="6"/>
      <c r="B367" s="31"/>
      <c r="C367" s="31"/>
      <c r="D367" s="1626"/>
      <c r="E367" s="32">
        <f t="shared" ref="E367:E397" si="235">IF($C$3="是",ROUND($A$3*G367/$B$3,2),ROUND($A$3*(G367-AT367)/$B$3,2))</f>
        <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8"/>
      <c r="AU367" s="1627"/>
      <c r="AV367" s="1339">
        <f t="shared" ref="AV367:AV397" si="236">A367</f>
        <v>0</v>
      </c>
      <c r="AW367" s="1339">
        <f t="shared" ref="AW367:AW397" si="237">B367</f>
        <v>0</v>
      </c>
      <c r="AX367" s="1339">
        <f t="shared" ref="AX367:AX397" si="238">C367</f>
        <v>0</v>
      </c>
      <c r="AY367" s="39">
        <f t="shared" si="213"/>
        <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40">
        <f t="shared" si="234"/>
        <v>0</v>
      </c>
    </row>
    <row r="368" spans="1:72">
      <c r="A368" s="6"/>
      <c r="B368" s="31"/>
      <c r="C368" s="31"/>
      <c r="D368" s="1626"/>
      <c r="E368" s="32">
        <f t="shared" si="235"/>
        <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8"/>
      <c r="AU368" s="1627"/>
      <c r="AV368" s="1339">
        <f t="shared" si="236"/>
        <v>0</v>
      </c>
      <c r="AW368" s="1339">
        <f t="shared" si="237"/>
        <v>0</v>
      </c>
      <c r="AX368" s="1339">
        <f t="shared" si="238"/>
        <v>0</v>
      </c>
      <c r="AY368" s="39">
        <f t="shared" si="213"/>
        <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40">
        <f t="shared" si="234"/>
        <v>0</v>
      </c>
    </row>
    <row r="369" spans="1:72">
      <c r="A369" s="6"/>
      <c r="B369" s="31"/>
      <c r="C369" s="31"/>
      <c r="D369" s="1626"/>
      <c r="E369" s="32">
        <f t="shared" si="235"/>
        <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8"/>
      <c r="AU369" s="1627"/>
      <c r="AV369" s="1339">
        <f t="shared" si="236"/>
        <v>0</v>
      </c>
      <c r="AW369" s="1339">
        <f t="shared" si="237"/>
        <v>0</v>
      </c>
      <c r="AX369" s="1339">
        <f t="shared" si="238"/>
        <v>0</v>
      </c>
      <c r="AY369" s="39">
        <f t="shared" si="213"/>
        <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40">
        <f t="shared" si="234"/>
        <v>0</v>
      </c>
    </row>
    <row r="370" spans="1:72">
      <c r="A370" s="6"/>
      <c r="B370" s="31"/>
      <c r="C370" s="31"/>
      <c r="D370" s="1626"/>
      <c r="E370" s="32">
        <f t="shared" si="235"/>
        <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8"/>
      <c r="AU370" s="1627"/>
      <c r="AV370" s="1339">
        <f t="shared" si="236"/>
        <v>0</v>
      </c>
      <c r="AW370" s="1339">
        <f t="shared" si="237"/>
        <v>0</v>
      </c>
      <c r="AX370" s="1339">
        <f t="shared" si="238"/>
        <v>0</v>
      </c>
      <c r="AY370" s="39">
        <f t="shared" si="213"/>
        <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40">
        <f t="shared" si="234"/>
        <v>0</v>
      </c>
    </row>
    <row r="371" spans="1:72">
      <c r="A371" s="6"/>
      <c r="B371" s="31"/>
      <c r="C371" s="31"/>
      <c r="D371" s="1626"/>
      <c r="E371" s="32">
        <f t="shared" si="235"/>
        <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8"/>
      <c r="AU371" s="1627"/>
      <c r="AV371" s="1339">
        <f t="shared" si="236"/>
        <v>0</v>
      </c>
      <c r="AW371" s="1339">
        <f t="shared" si="237"/>
        <v>0</v>
      </c>
      <c r="AX371" s="1339">
        <f t="shared" si="238"/>
        <v>0</v>
      </c>
      <c r="AY371" s="39">
        <f t="shared" si="213"/>
        <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40">
        <f t="shared" si="234"/>
        <v>0</v>
      </c>
    </row>
    <row r="372" spans="1:72">
      <c r="A372" s="6"/>
      <c r="B372" s="31"/>
      <c r="C372" s="31"/>
      <c r="D372" s="1626"/>
      <c r="E372" s="32">
        <f t="shared" si="235"/>
        <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8"/>
      <c r="AU372" s="1627"/>
      <c r="AV372" s="1339">
        <f t="shared" si="236"/>
        <v>0</v>
      </c>
      <c r="AW372" s="1339">
        <f t="shared" si="237"/>
        <v>0</v>
      </c>
      <c r="AX372" s="1339">
        <f t="shared" si="238"/>
        <v>0</v>
      </c>
      <c r="AY372" s="39">
        <f t="shared" si="213"/>
        <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40">
        <f t="shared" si="234"/>
        <v>0</v>
      </c>
    </row>
    <row r="373" spans="1:72">
      <c r="A373" s="6"/>
      <c r="B373" s="31"/>
      <c r="C373" s="31"/>
      <c r="D373" s="1626"/>
      <c r="E373" s="32">
        <f t="shared" si="235"/>
        <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8"/>
      <c r="AU373" s="1627"/>
      <c r="AV373" s="1339">
        <f t="shared" si="236"/>
        <v>0</v>
      </c>
      <c r="AW373" s="1339">
        <f t="shared" si="237"/>
        <v>0</v>
      </c>
      <c r="AX373" s="1339">
        <f t="shared" si="238"/>
        <v>0</v>
      </c>
      <c r="AY373" s="39">
        <f t="shared" si="213"/>
        <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40">
        <f t="shared" si="234"/>
        <v>0</v>
      </c>
    </row>
    <row r="374" spans="1:72">
      <c r="A374" s="6"/>
      <c r="B374" s="31"/>
      <c r="C374" s="31"/>
      <c r="D374" s="1626"/>
      <c r="E374" s="32">
        <f t="shared" si="235"/>
        <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8"/>
      <c r="AU374" s="1627"/>
      <c r="AV374" s="1339">
        <f t="shared" si="236"/>
        <v>0</v>
      </c>
      <c r="AW374" s="1339">
        <f t="shared" si="237"/>
        <v>0</v>
      </c>
      <c r="AX374" s="1339">
        <f t="shared" si="238"/>
        <v>0</v>
      </c>
      <c r="AY374" s="39">
        <f t="shared" si="213"/>
        <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40">
        <f t="shared" si="234"/>
        <v>0</v>
      </c>
    </row>
    <row r="375" spans="1:72">
      <c r="A375" s="6"/>
      <c r="B375" s="31"/>
      <c r="C375" s="31"/>
      <c r="D375" s="1626"/>
      <c r="E375" s="32">
        <f t="shared" si="235"/>
        <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8"/>
      <c r="AU375" s="1627"/>
      <c r="AV375" s="1339">
        <f t="shared" si="236"/>
        <v>0</v>
      </c>
      <c r="AW375" s="1339">
        <f t="shared" si="237"/>
        <v>0</v>
      </c>
      <c r="AX375" s="1339">
        <f t="shared" si="238"/>
        <v>0</v>
      </c>
      <c r="AY375" s="39">
        <f t="shared" si="213"/>
        <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40">
        <f t="shared" si="234"/>
        <v>0</v>
      </c>
    </row>
    <row r="376" spans="1:72">
      <c r="A376" s="6"/>
      <c r="B376" s="31"/>
      <c r="C376" s="31"/>
      <c r="D376" s="1626"/>
      <c r="E376" s="32">
        <f t="shared" si="235"/>
        <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8"/>
      <c r="AU376" s="1627"/>
      <c r="AV376" s="1339">
        <f t="shared" si="236"/>
        <v>0</v>
      </c>
      <c r="AW376" s="1339">
        <f t="shared" si="237"/>
        <v>0</v>
      </c>
      <c r="AX376" s="1339">
        <f t="shared" si="238"/>
        <v>0</v>
      </c>
      <c r="AY376" s="39">
        <f t="shared" si="213"/>
        <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40">
        <f t="shared" si="234"/>
        <v>0</v>
      </c>
    </row>
    <row r="377" spans="1:72">
      <c r="A377" s="6"/>
      <c r="B377" s="31"/>
      <c r="C377" s="31"/>
      <c r="D377" s="1626"/>
      <c r="E377" s="32">
        <f t="shared" si="235"/>
        <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8"/>
      <c r="AU377" s="1627"/>
      <c r="AV377" s="1339">
        <f t="shared" si="236"/>
        <v>0</v>
      </c>
      <c r="AW377" s="1339">
        <f t="shared" si="237"/>
        <v>0</v>
      </c>
      <c r="AX377" s="1339">
        <f t="shared" si="238"/>
        <v>0</v>
      </c>
      <c r="AY377" s="39">
        <f t="shared" si="213"/>
        <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40">
        <f t="shared" si="234"/>
        <v>0</v>
      </c>
    </row>
    <row r="378" spans="1:72">
      <c r="A378" s="6"/>
      <c r="B378" s="31"/>
      <c r="C378" s="31"/>
      <c r="D378" s="1626"/>
      <c r="E378" s="32">
        <f t="shared" si="235"/>
        <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8"/>
      <c r="AU378" s="1627"/>
      <c r="AV378" s="1339">
        <f t="shared" si="236"/>
        <v>0</v>
      </c>
      <c r="AW378" s="1339">
        <f t="shared" si="237"/>
        <v>0</v>
      </c>
      <c r="AX378" s="1339">
        <f t="shared" si="238"/>
        <v>0</v>
      </c>
      <c r="AY378" s="39">
        <f t="shared" si="213"/>
        <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40">
        <f t="shared" si="234"/>
        <v>0</v>
      </c>
    </row>
    <row r="379" spans="1:72">
      <c r="A379" s="6"/>
      <c r="B379" s="31"/>
      <c r="C379" s="31"/>
      <c r="D379" s="1626"/>
      <c r="E379" s="32">
        <f t="shared" si="235"/>
        <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8"/>
      <c r="AU379" s="1627"/>
      <c r="AV379" s="1339">
        <f t="shared" si="236"/>
        <v>0</v>
      </c>
      <c r="AW379" s="1339">
        <f t="shared" si="237"/>
        <v>0</v>
      </c>
      <c r="AX379" s="1339">
        <f t="shared" si="238"/>
        <v>0</v>
      </c>
      <c r="AY379" s="39">
        <f t="shared" si="213"/>
        <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40">
        <f t="shared" si="234"/>
        <v>0</v>
      </c>
    </row>
    <row r="380" spans="1:72">
      <c r="A380" s="6"/>
      <c r="B380" s="31"/>
      <c r="C380" s="31"/>
      <c r="D380" s="1626"/>
      <c r="E380" s="32">
        <f t="shared" si="235"/>
        <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8"/>
      <c r="AU380" s="1627"/>
      <c r="AV380" s="1339">
        <f t="shared" si="236"/>
        <v>0</v>
      </c>
      <c r="AW380" s="1339">
        <f t="shared" si="237"/>
        <v>0</v>
      </c>
      <c r="AX380" s="1339">
        <f t="shared" si="238"/>
        <v>0</v>
      </c>
      <c r="AY380" s="39">
        <f t="shared" si="213"/>
        <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40">
        <f t="shared" si="234"/>
        <v>0</v>
      </c>
    </row>
    <row r="381" spans="1:72">
      <c r="A381" s="6"/>
      <c r="B381" s="31"/>
      <c r="C381" s="31"/>
      <c r="D381" s="1626"/>
      <c r="E381" s="32">
        <f t="shared" si="235"/>
        <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8"/>
      <c r="AU381" s="1627"/>
      <c r="AV381" s="1339">
        <f t="shared" si="236"/>
        <v>0</v>
      </c>
      <c r="AW381" s="1339">
        <f t="shared" si="237"/>
        <v>0</v>
      </c>
      <c r="AX381" s="1339">
        <f t="shared" si="238"/>
        <v>0</v>
      </c>
      <c r="AY381" s="39">
        <f t="shared" si="213"/>
        <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40">
        <f t="shared" si="234"/>
        <v>0</v>
      </c>
    </row>
    <row r="382" spans="1:72">
      <c r="A382" s="6"/>
      <c r="B382" s="31"/>
      <c r="C382" s="31"/>
      <c r="D382" s="1626"/>
      <c r="E382" s="32">
        <f t="shared" si="235"/>
        <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8"/>
      <c r="AU382" s="1627"/>
      <c r="AV382" s="1339">
        <f t="shared" si="236"/>
        <v>0</v>
      </c>
      <c r="AW382" s="1339">
        <f t="shared" si="237"/>
        <v>0</v>
      </c>
      <c r="AX382" s="1339">
        <f t="shared" si="238"/>
        <v>0</v>
      </c>
      <c r="AY382" s="39">
        <f t="shared" si="213"/>
        <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40">
        <f t="shared" si="234"/>
        <v>0</v>
      </c>
    </row>
    <row r="383" spans="1:72">
      <c r="A383" s="6"/>
      <c r="B383" s="31"/>
      <c r="C383" s="31"/>
      <c r="D383" s="1626"/>
      <c r="E383" s="32">
        <f t="shared" si="235"/>
        <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8"/>
      <c r="AU383" s="1627"/>
      <c r="AV383" s="1339">
        <f t="shared" si="236"/>
        <v>0</v>
      </c>
      <c r="AW383" s="1339">
        <f t="shared" si="237"/>
        <v>0</v>
      </c>
      <c r="AX383" s="1339">
        <f t="shared" si="238"/>
        <v>0</v>
      </c>
      <c r="AY383" s="39">
        <f t="shared" si="213"/>
        <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40">
        <f t="shared" si="234"/>
        <v>0</v>
      </c>
    </row>
    <row r="384" spans="1:72">
      <c r="A384" s="6"/>
      <c r="B384" s="31"/>
      <c r="C384" s="31"/>
      <c r="D384" s="1626"/>
      <c r="E384" s="32">
        <f t="shared" si="235"/>
        <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8"/>
      <c r="AU384" s="1627"/>
      <c r="AV384" s="1339">
        <f t="shared" si="236"/>
        <v>0</v>
      </c>
      <c r="AW384" s="1339">
        <f t="shared" si="237"/>
        <v>0</v>
      </c>
      <c r="AX384" s="1339">
        <f t="shared" si="238"/>
        <v>0</v>
      </c>
      <c r="AY384" s="39">
        <f t="shared" si="213"/>
        <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40">
        <f t="shared" si="234"/>
        <v>0</v>
      </c>
    </row>
    <row r="385" spans="1:72">
      <c r="A385" s="6"/>
      <c r="B385" s="31"/>
      <c r="C385" s="31"/>
      <c r="D385" s="1626"/>
      <c r="E385" s="32">
        <f t="shared" si="235"/>
        <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8"/>
      <c r="AU385" s="1627"/>
      <c r="AV385" s="1339">
        <f t="shared" si="236"/>
        <v>0</v>
      </c>
      <c r="AW385" s="1339">
        <f t="shared" si="237"/>
        <v>0</v>
      </c>
      <c r="AX385" s="1339">
        <f t="shared" si="238"/>
        <v>0</v>
      </c>
      <c r="AY385" s="39">
        <f t="shared" si="213"/>
        <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40">
        <f t="shared" si="234"/>
        <v>0</v>
      </c>
    </row>
    <row r="386" spans="1:72">
      <c r="A386" s="6"/>
      <c r="B386" s="31"/>
      <c r="C386" s="31"/>
      <c r="D386" s="1626"/>
      <c r="E386" s="32">
        <f t="shared" si="235"/>
        <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8"/>
      <c r="AU386" s="1627"/>
      <c r="AV386" s="1339">
        <f t="shared" si="236"/>
        <v>0</v>
      </c>
      <c r="AW386" s="1339">
        <f t="shared" si="237"/>
        <v>0</v>
      </c>
      <c r="AX386" s="1339">
        <f t="shared" si="238"/>
        <v>0</v>
      </c>
      <c r="AY386" s="39">
        <f t="shared" si="213"/>
        <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40">
        <f t="shared" si="234"/>
        <v>0</v>
      </c>
    </row>
    <row r="387" spans="1:72">
      <c r="A387" s="6"/>
      <c r="B387" s="31"/>
      <c r="C387" s="31"/>
      <c r="D387" s="1626"/>
      <c r="E387" s="32">
        <f t="shared" si="235"/>
        <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8"/>
      <c r="AU387" s="1627"/>
      <c r="AV387" s="1339">
        <f t="shared" si="236"/>
        <v>0</v>
      </c>
      <c r="AW387" s="1339">
        <f t="shared" si="237"/>
        <v>0</v>
      </c>
      <c r="AX387" s="1339">
        <f t="shared" si="238"/>
        <v>0</v>
      </c>
      <c r="AY387" s="39">
        <f t="shared" si="213"/>
        <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40">
        <f t="shared" si="234"/>
        <v>0</v>
      </c>
    </row>
    <row r="388" spans="1:72">
      <c r="A388" s="6"/>
      <c r="B388" s="31"/>
      <c r="C388" s="31"/>
      <c r="D388" s="1626"/>
      <c r="E388" s="32">
        <f t="shared" si="235"/>
        <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8"/>
      <c r="AU388" s="1627"/>
      <c r="AV388" s="1339">
        <f t="shared" si="236"/>
        <v>0</v>
      </c>
      <c r="AW388" s="1339">
        <f t="shared" si="237"/>
        <v>0</v>
      </c>
      <c r="AX388" s="1339">
        <f t="shared" si="238"/>
        <v>0</v>
      </c>
      <c r="AY388" s="39">
        <f t="shared" si="213"/>
        <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40">
        <f t="shared" si="234"/>
        <v>0</v>
      </c>
    </row>
    <row r="389" spans="1:72">
      <c r="A389" s="6"/>
      <c r="B389" s="31"/>
      <c r="C389" s="31"/>
      <c r="D389" s="1626"/>
      <c r="E389" s="32">
        <f t="shared" si="235"/>
        <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8"/>
      <c r="AU389" s="1627"/>
      <c r="AV389" s="1339">
        <f t="shared" si="236"/>
        <v>0</v>
      </c>
      <c r="AW389" s="1339">
        <f t="shared" si="237"/>
        <v>0</v>
      </c>
      <c r="AX389" s="1339">
        <f t="shared" si="238"/>
        <v>0</v>
      </c>
      <c r="AY389" s="39">
        <f t="shared" si="213"/>
        <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40">
        <f t="shared" si="234"/>
        <v>0</v>
      </c>
    </row>
    <row r="390" spans="1:72">
      <c r="A390" s="6"/>
      <c r="B390" s="31"/>
      <c r="C390" s="31"/>
      <c r="D390" s="1626"/>
      <c r="E390" s="32">
        <f t="shared" si="235"/>
        <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8"/>
      <c r="AU390" s="1627"/>
      <c r="AV390" s="1339">
        <f t="shared" si="236"/>
        <v>0</v>
      </c>
      <c r="AW390" s="1339">
        <f t="shared" si="237"/>
        <v>0</v>
      </c>
      <c r="AX390" s="1339">
        <f t="shared" si="238"/>
        <v>0</v>
      </c>
      <c r="AY390" s="39">
        <f t="shared" si="213"/>
        <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40">
        <f t="shared" si="234"/>
        <v>0</v>
      </c>
    </row>
    <row r="391" spans="1:72">
      <c r="A391" s="6"/>
      <c r="B391" s="31"/>
      <c r="C391" s="31"/>
      <c r="D391" s="1626"/>
      <c r="E391" s="32">
        <f t="shared" si="235"/>
        <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8"/>
      <c r="AU391" s="1627"/>
      <c r="AV391" s="1339">
        <f t="shared" si="236"/>
        <v>0</v>
      </c>
      <c r="AW391" s="1339">
        <f t="shared" si="237"/>
        <v>0</v>
      </c>
      <c r="AX391" s="1339">
        <f t="shared" si="238"/>
        <v>0</v>
      </c>
      <c r="AY391" s="39">
        <f t="shared" si="213"/>
        <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40">
        <f t="shared" si="234"/>
        <v>0</v>
      </c>
    </row>
    <row r="392" spans="1:72">
      <c r="A392" s="6"/>
      <c r="B392" s="31"/>
      <c r="C392" s="31"/>
      <c r="D392" s="1626"/>
      <c r="E392" s="32">
        <f t="shared" si="235"/>
        <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8"/>
      <c r="AU392" s="1627"/>
      <c r="AV392" s="1339">
        <f t="shared" si="236"/>
        <v>0</v>
      </c>
      <c r="AW392" s="1339">
        <f t="shared" si="237"/>
        <v>0</v>
      </c>
      <c r="AX392" s="1339">
        <f t="shared" si="238"/>
        <v>0</v>
      </c>
      <c r="AY392" s="39">
        <f t="shared" si="213"/>
        <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40">
        <f t="shared" si="234"/>
        <v>0</v>
      </c>
    </row>
    <row r="393" spans="1:72">
      <c r="A393" s="6"/>
      <c r="B393" s="31"/>
      <c r="C393" s="31"/>
      <c r="D393" s="1626"/>
      <c r="E393" s="32">
        <f t="shared" si="235"/>
        <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8"/>
      <c r="AU393" s="1627"/>
      <c r="AV393" s="1339">
        <f t="shared" si="236"/>
        <v>0</v>
      </c>
      <c r="AW393" s="1339">
        <f t="shared" si="237"/>
        <v>0</v>
      </c>
      <c r="AX393" s="1339">
        <f t="shared" si="238"/>
        <v>0</v>
      </c>
      <c r="AY393" s="39">
        <f t="shared" si="213"/>
        <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40">
        <f t="shared" si="234"/>
        <v>0</v>
      </c>
    </row>
    <row r="394" spans="1:72">
      <c r="A394" s="6"/>
      <c r="B394" s="31"/>
      <c r="C394" s="31"/>
      <c r="D394" s="1626"/>
      <c r="E394" s="32">
        <f t="shared" si="235"/>
        <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8"/>
      <c r="AU394" s="1627"/>
      <c r="AV394" s="1339">
        <f t="shared" si="236"/>
        <v>0</v>
      </c>
      <c r="AW394" s="1339">
        <f t="shared" si="237"/>
        <v>0</v>
      </c>
      <c r="AX394" s="1339">
        <f t="shared" si="238"/>
        <v>0</v>
      </c>
      <c r="AY394" s="39">
        <f t="shared" si="213"/>
        <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40">
        <f t="shared" si="234"/>
        <v>0</v>
      </c>
    </row>
    <row r="395" spans="1:72">
      <c r="A395" s="6"/>
      <c r="B395" s="6"/>
      <c r="C395" s="6"/>
      <c r="D395" s="1626"/>
      <c r="E395" s="32">
        <f t="shared" si="235"/>
        <v>0</v>
      </c>
      <c r="F395" s="41"/>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1567"/>
      <c r="AV395" s="1339">
        <f t="shared" si="236"/>
        <v>0</v>
      </c>
      <c r="AW395" s="1339">
        <f t="shared" si="237"/>
        <v>0</v>
      </c>
      <c r="AX395" s="1339">
        <f t="shared" si="238"/>
        <v>0</v>
      </c>
      <c r="AY395" s="39">
        <f t="shared" si="213"/>
        <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40">
        <f t="shared" si="234"/>
        <v>0</v>
      </c>
    </row>
    <row r="396" spans="1:72">
      <c r="A396" s="6"/>
      <c r="B396" s="6"/>
      <c r="C396" s="6"/>
      <c r="D396" s="1626"/>
      <c r="E396" s="32">
        <f t="shared" si="235"/>
        <v>0</v>
      </c>
      <c r="F396" s="41"/>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1567"/>
      <c r="AV396" s="1339">
        <f t="shared" si="236"/>
        <v>0</v>
      </c>
      <c r="AW396" s="1339">
        <f t="shared" si="237"/>
        <v>0</v>
      </c>
      <c r="AX396" s="1339">
        <f t="shared" si="238"/>
        <v>0</v>
      </c>
      <c r="AY396" s="39">
        <f>ROUND($AY$6*AZ396/$AZ$5,2)</f>
        <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40">
        <f t="shared" si="234"/>
        <v>0</v>
      </c>
    </row>
    <row r="397" spans="1:72">
      <c r="A397" s="6"/>
      <c r="B397" s="6"/>
      <c r="C397" s="6"/>
      <c r="D397" s="1626"/>
      <c r="E397" s="32">
        <f t="shared" si="235"/>
        <v>0</v>
      </c>
      <c r="F397" s="41"/>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1567"/>
      <c r="AV397" s="1339">
        <f t="shared" si="236"/>
        <v>0</v>
      </c>
      <c r="AW397" s="1339">
        <f t="shared" si="237"/>
        <v>0</v>
      </c>
      <c r="AX397" s="1339">
        <f t="shared" si="238"/>
        <v>0</v>
      </c>
      <c r="AY397" s="39">
        <f>ROUND($AY$6*AZ397/$AZ$5,2)</f>
        <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40">
        <f t="shared" si="234"/>
        <v>0</v>
      </c>
    </row>
    <row r="398" spans="1:72">
      <c r="A398" s="6"/>
      <c r="B398" s="31"/>
      <c r="C398" s="31"/>
      <c r="D398" s="1626"/>
      <c r="E398" s="32">
        <f t="shared" ref="E398:E492" si="239">IF($C$3="是",ROUND($A$3*G398/$B$3,2),ROUND($A$3*(G398-AT398)/$B$3,2))</f>
        <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8"/>
      <c r="AU398" s="1627"/>
      <c r="AV398" s="1339">
        <f t="shared" ref="AV398:AV492" si="243">A398</f>
        <v>0</v>
      </c>
      <c r="AW398" s="1339">
        <f t="shared" ref="AW398:AW492" si="244">B398</f>
        <v>0</v>
      </c>
      <c r="AX398" s="1339">
        <f t="shared" ref="AX398:AX492" si="245">C398</f>
        <v>0</v>
      </c>
      <c r="AY398" s="39">
        <f t="shared" ref="AY398:AY489" si="246">ROUND($AY$6*AZ398/$AZ$5,2)</f>
        <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40">
        <f t="shared" ref="BT398:BT489" si="267">IF($D398="是",AR398-AS398,0)</f>
        <v>0</v>
      </c>
    </row>
    <row r="399" spans="1:72">
      <c r="A399" s="6"/>
      <c r="B399" s="31"/>
      <c r="C399" s="31"/>
      <c r="D399" s="1626"/>
      <c r="E399" s="32">
        <f t="shared" si="239"/>
        <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8"/>
      <c r="AU399" s="1627"/>
      <c r="AV399" s="1339">
        <f t="shared" si="243"/>
        <v>0</v>
      </c>
      <c r="AW399" s="1339">
        <f t="shared" si="244"/>
        <v>0</v>
      </c>
      <c r="AX399" s="1339">
        <f t="shared" si="245"/>
        <v>0</v>
      </c>
      <c r="AY399" s="39">
        <f t="shared" si="246"/>
        <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40">
        <f t="shared" si="267"/>
        <v>0</v>
      </c>
    </row>
    <row r="400" spans="1:72">
      <c r="A400" s="6"/>
      <c r="B400" s="31"/>
      <c r="C400" s="31"/>
      <c r="D400" s="1626"/>
      <c r="E400" s="32">
        <f t="shared" si="239"/>
        <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8"/>
      <c r="AU400" s="1627"/>
      <c r="AV400" s="1339">
        <f t="shared" si="243"/>
        <v>0</v>
      </c>
      <c r="AW400" s="1339">
        <f t="shared" si="244"/>
        <v>0</v>
      </c>
      <c r="AX400" s="1339">
        <f t="shared" si="245"/>
        <v>0</v>
      </c>
      <c r="AY400" s="39">
        <f t="shared" si="246"/>
        <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40">
        <f t="shared" si="267"/>
        <v>0</v>
      </c>
    </row>
    <row r="401" spans="1:72">
      <c r="A401" s="6"/>
      <c r="B401" s="31"/>
      <c r="C401" s="31"/>
      <c r="D401" s="1626"/>
      <c r="E401" s="32">
        <f t="shared" si="239"/>
        <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8"/>
      <c r="AU401" s="1627"/>
      <c r="AV401" s="1339">
        <f t="shared" si="243"/>
        <v>0</v>
      </c>
      <c r="AW401" s="1339">
        <f t="shared" si="244"/>
        <v>0</v>
      </c>
      <c r="AX401" s="1339">
        <f t="shared" si="245"/>
        <v>0</v>
      </c>
      <c r="AY401" s="39">
        <f t="shared" si="246"/>
        <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40">
        <f t="shared" si="267"/>
        <v>0</v>
      </c>
    </row>
    <row r="402" spans="1:72">
      <c r="A402" s="6"/>
      <c r="B402" s="31"/>
      <c r="C402" s="31"/>
      <c r="D402" s="1626"/>
      <c r="E402" s="32">
        <f t="shared" si="239"/>
        <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8"/>
      <c r="AU402" s="1627"/>
      <c r="AV402" s="1339">
        <f t="shared" si="243"/>
        <v>0</v>
      </c>
      <c r="AW402" s="1339">
        <f t="shared" si="244"/>
        <v>0</v>
      </c>
      <c r="AX402" s="1339">
        <f t="shared" si="245"/>
        <v>0</v>
      </c>
      <c r="AY402" s="39">
        <f t="shared" si="246"/>
        <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40">
        <f t="shared" si="267"/>
        <v>0</v>
      </c>
    </row>
    <row r="403" spans="1:72">
      <c r="A403" s="6"/>
      <c r="B403" s="31"/>
      <c r="C403" s="31"/>
      <c r="D403" s="1626"/>
      <c r="E403" s="32">
        <f t="shared" si="239"/>
        <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8"/>
      <c r="AU403" s="1627"/>
      <c r="AV403" s="1339">
        <f t="shared" si="243"/>
        <v>0</v>
      </c>
      <c r="AW403" s="1339">
        <f t="shared" si="244"/>
        <v>0</v>
      </c>
      <c r="AX403" s="1339">
        <f t="shared" si="245"/>
        <v>0</v>
      </c>
      <c r="AY403" s="39">
        <f t="shared" si="246"/>
        <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40">
        <f t="shared" si="267"/>
        <v>0</v>
      </c>
    </row>
    <row r="404" spans="1:72">
      <c r="A404" s="6"/>
      <c r="B404" s="31"/>
      <c r="C404" s="31"/>
      <c r="D404" s="1626"/>
      <c r="E404" s="32">
        <f t="shared" si="239"/>
        <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8"/>
      <c r="AU404" s="1627"/>
      <c r="AV404" s="1339">
        <f t="shared" si="243"/>
        <v>0</v>
      </c>
      <c r="AW404" s="1339">
        <f t="shared" si="244"/>
        <v>0</v>
      </c>
      <c r="AX404" s="1339">
        <f t="shared" si="245"/>
        <v>0</v>
      </c>
      <c r="AY404" s="39">
        <f t="shared" si="246"/>
        <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40">
        <f t="shared" si="267"/>
        <v>0</v>
      </c>
    </row>
    <row r="405" spans="1:72">
      <c r="A405" s="6"/>
      <c r="B405" s="31"/>
      <c r="C405" s="31"/>
      <c r="D405" s="1626"/>
      <c r="E405" s="32">
        <f t="shared" si="239"/>
        <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8"/>
      <c r="AU405" s="1627"/>
      <c r="AV405" s="1339">
        <f t="shared" si="243"/>
        <v>0</v>
      </c>
      <c r="AW405" s="1339">
        <f t="shared" si="244"/>
        <v>0</v>
      </c>
      <c r="AX405" s="1339">
        <f t="shared" si="245"/>
        <v>0</v>
      </c>
      <c r="AY405" s="39">
        <f t="shared" si="246"/>
        <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40">
        <f t="shared" si="267"/>
        <v>0</v>
      </c>
    </row>
    <row r="406" spans="1:72">
      <c r="A406" s="6"/>
      <c r="B406" s="31"/>
      <c r="C406" s="31"/>
      <c r="D406" s="1626"/>
      <c r="E406" s="32">
        <f t="shared" si="239"/>
        <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8"/>
      <c r="AU406" s="1627"/>
      <c r="AV406" s="1339">
        <f t="shared" si="243"/>
        <v>0</v>
      </c>
      <c r="AW406" s="1339">
        <f t="shared" si="244"/>
        <v>0</v>
      </c>
      <c r="AX406" s="1339">
        <f t="shared" si="245"/>
        <v>0</v>
      </c>
      <c r="AY406" s="39">
        <f t="shared" si="246"/>
        <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40">
        <f t="shared" si="267"/>
        <v>0</v>
      </c>
    </row>
    <row r="407" spans="1:72">
      <c r="A407" s="6"/>
      <c r="B407" s="31"/>
      <c r="C407" s="31"/>
      <c r="D407" s="1626"/>
      <c r="E407" s="32">
        <f t="shared" si="239"/>
        <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8"/>
      <c r="AU407" s="1627"/>
      <c r="AV407" s="1339">
        <f t="shared" si="243"/>
        <v>0</v>
      </c>
      <c r="AW407" s="1339">
        <f t="shared" si="244"/>
        <v>0</v>
      </c>
      <c r="AX407" s="1339">
        <f t="shared" si="245"/>
        <v>0</v>
      </c>
      <c r="AY407" s="39">
        <f t="shared" si="246"/>
        <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40">
        <f t="shared" si="267"/>
        <v>0</v>
      </c>
    </row>
    <row r="408" spans="1:72">
      <c r="A408" s="6"/>
      <c r="B408" s="31"/>
      <c r="C408" s="31"/>
      <c r="D408" s="1626"/>
      <c r="E408" s="32">
        <f t="shared" si="239"/>
        <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8"/>
      <c r="AU408" s="1627"/>
      <c r="AV408" s="1339">
        <f t="shared" si="243"/>
        <v>0</v>
      </c>
      <c r="AW408" s="1339">
        <f t="shared" si="244"/>
        <v>0</v>
      </c>
      <c r="AX408" s="1339">
        <f t="shared" si="245"/>
        <v>0</v>
      </c>
      <c r="AY408" s="39">
        <f t="shared" si="246"/>
        <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40">
        <f t="shared" si="267"/>
        <v>0</v>
      </c>
    </row>
    <row r="409" spans="1:72">
      <c r="A409" s="6"/>
      <c r="B409" s="31"/>
      <c r="C409" s="31"/>
      <c r="D409" s="1626"/>
      <c r="E409" s="32">
        <f t="shared" si="239"/>
        <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8"/>
      <c r="AU409" s="1627"/>
      <c r="AV409" s="1339">
        <f t="shared" si="243"/>
        <v>0</v>
      </c>
      <c r="AW409" s="1339">
        <f t="shared" si="244"/>
        <v>0</v>
      </c>
      <c r="AX409" s="1339">
        <f t="shared" si="245"/>
        <v>0</v>
      </c>
      <c r="AY409" s="39">
        <f t="shared" si="246"/>
        <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40">
        <f t="shared" si="267"/>
        <v>0</v>
      </c>
    </row>
    <row r="410" spans="1:72">
      <c r="A410" s="6"/>
      <c r="B410" s="31"/>
      <c r="C410" s="31"/>
      <c r="D410" s="1626"/>
      <c r="E410" s="32">
        <f t="shared" si="239"/>
        <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8"/>
      <c r="AU410" s="1627"/>
      <c r="AV410" s="1339">
        <f t="shared" si="243"/>
        <v>0</v>
      </c>
      <c r="AW410" s="1339">
        <f t="shared" si="244"/>
        <v>0</v>
      </c>
      <c r="AX410" s="1339">
        <f t="shared" si="245"/>
        <v>0</v>
      </c>
      <c r="AY410" s="39">
        <f t="shared" si="246"/>
        <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40">
        <f t="shared" si="267"/>
        <v>0</v>
      </c>
    </row>
    <row r="411" spans="1:72">
      <c r="A411" s="6"/>
      <c r="B411" s="31"/>
      <c r="C411" s="31"/>
      <c r="D411" s="1626"/>
      <c r="E411" s="32">
        <f t="shared" si="239"/>
        <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8"/>
      <c r="AU411" s="1627"/>
      <c r="AV411" s="1339">
        <f t="shared" si="243"/>
        <v>0</v>
      </c>
      <c r="AW411" s="1339">
        <f t="shared" si="244"/>
        <v>0</v>
      </c>
      <c r="AX411" s="1339">
        <f t="shared" si="245"/>
        <v>0</v>
      </c>
      <c r="AY411" s="39">
        <f t="shared" si="246"/>
        <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40">
        <f t="shared" si="267"/>
        <v>0</v>
      </c>
    </row>
    <row r="412" spans="1:72">
      <c r="A412" s="6"/>
      <c r="B412" s="31"/>
      <c r="C412" s="31"/>
      <c r="D412" s="1626"/>
      <c r="E412" s="32">
        <f t="shared" si="239"/>
        <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8"/>
      <c r="AU412" s="1627"/>
      <c r="AV412" s="1339">
        <f t="shared" si="243"/>
        <v>0</v>
      </c>
      <c r="AW412" s="1339">
        <f t="shared" si="244"/>
        <v>0</v>
      </c>
      <c r="AX412" s="1339">
        <f t="shared" si="245"/>
        <v>0</v>
      </c>
      <c r="AY412" s="39">
        <f t="shared" si="246"/>
        <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40">
        <f t="shared" si="267"/>
        <v>0</v>
      </c>
    </row>
    <row r="413" spans="1:72">
      <c r="A413" s="6"/>
      <c r="B413" s="31"/>
      <c r="C413" s="31"/>
      <c r="D413" s="1626"/>
      <c r="E413" s="32">
        <f t="shared" si="239"/>
        <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8"/>
      <c r="AU413" s="1627"/>
      <c r="AV413" s="1339">
        <f t="shared" si="243"/>
        <v>0</v>
      </c>
      <c r="AW413" s="1339">
        <f t="shared" si="244"/>
        <v>0</v>
      </c>
      <c r="AX413" s="1339">
        <f t="shared" si="245"/>
        <v>0</v>
      </c>
      <c r="AY413" s="39">
        <f t="shared" si="246"/>
        <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40">
        <f t="shared" si="267"/>
        <v>0</v>
      </c>
    </row>
    <row r="414" spans="1:72">
      <c r="A414" s="6"/>
      <c r="B414" s="31"/>
      <c r="C414" s="31"/>
      <c r="D414" s="1626"/>
      <c r="E414" s="32">
        <f t="shared" si="239"/>
        <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8"/>
      <c r="AU414" s="1627"/>
      <c r="AV414" s="1339">
        <f t="shared" si="243"/>
        <v>0</v>
      </c>
      <c r="AW414" s="1339">
        <f t="shared" si="244"/>
        <v>0</v>
      </c>
      <c r="AX414" s="1339">
        <f t="shared" si="245"/>
        <v>0</v>
      </c>
      <c r="AY414" s="39">
        <f t="shared" si="246"/>
        <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40">
        <f t="shared" si="267"/>
        <v>0</v>
      </c>
    </row>
    <row r="415" spans="1:72">
      <c r="A415" s="6"/>
      <c r="B415" s="31"/>
      <c r="C415" s="31"/>
      <c r="D415" s="1626"/>
      <c r="E415" s="32">
        <f t="shared" si="239"/>
        <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8"/>
      <c r="AU415" s="1627"/>
      <c r="AV415" s="1339">
        <f t="shared" si="243"/>
        <v>0</v>
      </c>
      <c r="AW415" s="1339">
        <f t="shared" si="244"/>
        <v>0</v>
      </c>
      <c r="AX415" s="1339">
        <f t="shared" si="245"/>
        <v>0</v>
      </c>
      <c r="AY415" s="39">
        <f t="shared" si="246"/>
        <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40">
        <f t="shared" si="267"/>
        <v>0</v>
      </c>
    </row>
    <row r="416" spans="1:72">
      <c r="A416" s="6"/>
      <c r="B416" s="31"/>
      <c r="C416" s="31"/>
      <c r="D416" s="1626"/>
      <c r="E416" s="32">
        <f t="shared" si="239"/>
        <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8"/>
      <c r="AU416" s="1627"/>
      <c r="AV416" s="1339">
        <f t="shared" si="243"/>
        <v>0</v>
      </c>
      <c r="AW416" s="1339">
        <f t="shared" si="244"/>
        <v>0</v>
      </c>
      <c r="AX416" s="1339">
        <f t="shared" si="245"/>
        <v>0</v>
      </c>
      <c r="AY416" s="39">
        <f t="shared" si="246"/>
        <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40">
        <f t="shared" si="267"/>
        <v>0</v>
      </c>
    </row>
    <row r="417" spans="1:72">
      <c r="A417" s="6"/>
      <c r="B417" s="31"/>
      <c r="C417" s="31"/>
      <c r="D417" s="1626"/>
      <c r="E417" s="32">
        <f t="shared" si="239"/>
        <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8"/>
      <c r="AU417" s="1627"/>
      <c r="AV417" s="1339">
        <f t="shared" si="243"/>
        <v>0</v>
      </c>
      <c r="AW417" s="1339">
        <f t="shared" si="244"/>
        <v>0</v>
      </c>
      <c r="AX417" s="1339">
        <f t="shared" si="245"/>
        <v>0</v>
      </c>
      <c r="AY417" s="39">
        <f t="shared" si="246"/>
        <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40">
        <f t="shared" si="267"/>
        <v>0</v>
      </c>
    </row>
    <row r="418" spans="1:72">
      <c r="A418" s="6"/>
      <c r="B418" s="31"/>
      <c r="C418" s="31"/>
      <c r="D418" s="1626"/>
      <c r="E418" s="32">
        <f t="shared" si="239"/>
        <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8"/>
      <c r="AU418" s="1627"/>
      <c r="AV418" s="1339">
        <f t="shared" si="243"/>
        <v>0</v>
      </c>
      <c r="AW418" s="1339">
        <f t="shared" si="244"/>
        <v>0</v>
      </c>
      <c r="AX418" s="1339">
        <f t="shared" si="245"/>
        <v>0</v>
      </c>
      <c r="AY418" s="39">
        <f t="shared" si="246"/>
        <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40">
        <f t="shared" si="267"/>
        <v>0</v>
      </c>
    </row>
    <row r="419" spans="1:72">
      <c r="A419" s="6"/>
      <c r="B419" s="31"/>
      <c r="C419" s="31"/>
      <c r="D419" s="1626"/>
      <c r="E419" s="32">
        <f t="shared" si="239"/>
        <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8"/>
      <c r="AU419" s="1627"/>
      <c r="AV419" s="1339">
        <f t="shared" si="243"/>
        <v>0</v>
      </c>
      <c r="AW419" s="1339">
        <f t="shared" si="244"/>
        <v>0</v>
      </c>
      <c r="AX419" s="1339">
        <f t="shared" si="245"/>
        <v>0</v>
      </c>
      <c r="AY419" s="39">
        <f t="shared" si="246"/>
        <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40">
        <f t="shared" si="267"/>
        <v>0</v>
      </c>
    </row>
    <row r="420" spans="1:72">
      <c r="A420" s="6"/>
      <c r="B420" s="31"/>
      <c r="C420" s="31"/>
      <c r="D420" s="1626"/>
      <c r="E420" s="32">
        <f t="shared" si="239"/>
        <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8"/>
      <c r="AU420" s="1627"/>
      <c r="AV420" s="1339">
        <f t="shared" si="243"/>
        <v>0</v>
      </c>
      <c r="AW420" s="1339">
        <f t="shared" si="244"/>
        <v>0</v>
      </c>
      <c r="AX420" s="1339">
        <f t="shared" si="245"/>
        <v>0</v>
      </c>
      <c r="AY420" s="39">
        <f t="shared" si="246"/>
        <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40">
        <f t="shared" si="267"/>
        <v>0</v>
      </c>
    </row>
    <row r="421" spans="1:72">
      <c r="A421" s="6"/>
      <c r="B421" s="31"/>
      <c r="C421" s="31"/>
      <c r="D421" s="1626"/>
      <c r="E421" s="32">
        <f t="shared" si="239"/>
        <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8"/>
      <c r="AU421" s="1627"/>
      <c r="AV421" s="1339">
        <f t="shared" si="243"/>
        <v>0</v>
      </c>
      <c r="AW421" s="1339">
        <f t="shared" si="244"/>
        <v>0</v>
      </c>
      <c r="AX421" s="1339">
        <f t="shared" si="245"/>
        <v>0</v>
      </c>
      <c r="AY421" s="39">
        <f t="shared" si="246"/>
        <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40">
        <f t="shared" si="267"/>
        <v>0</v>
      </c>
    </row>
    <row r="422" spans="1:72">
      <c r="A422" s="6"/>
      <c r="B422" s="31"/>
      <c r="C422" s="31"/>
      <c r="D422" s="1626"/>
      <c r="E422" s="32">
        <f t="shared" si="239"/>
        <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8"/>
      <c r="AU422" s="1627"/>
      <c r="AV422" s="1339">
        <f t="shared" si="243"/>
        <v>0</v>
      </c>
      <c r="AW422" s="1339">
        <f t="shared" si="244"/>
        <v>0</v>
      </c>
      <c r="AX422" s="1339">
        <f t="shared" si="245"/>
        <v>0</v>
      </c>
      <c r="AY422" s="39">
        <f t="shared" si="246"/>
        <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40">
        <f t="shared" si="267"/>
        <v>0</v>
      </c>
    </row>
    <row r="423" spans="1:72">
      <c r="A423" s="6"/>
      <c r="B423" s="31"/>
      <c r="C423" s="31"/>
      <c r="D423" s="1626"/>
      <c r="E423" s="32">
        <f t="shared" si="239"/>
        <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8"/>
      <c r="AU423" s="1627"/>
      <c r="AV423" s="1339">
        <f t="shared" si="243"/>
        <v>0</v>
      </c>
      <c r="AW423" s="1339">
        <f t="shared" si="244"/>
        <v>0</v>
      </c>
      <c r="AX423" s="1339">
        <f t="shared" si="245"/>
        <v>0</v>
      </c>
      <c r="AY423" s="39">
        <f t="shared" si="246"/>
        <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40">
        <f t="shared" si="267"/>
        <v>0</v>
      </c>
    </row>
    <row r="424" spans="1:72">
      <c r="A424" s="6"/>
      <c r="B424" s="31"/>
      <c r="C424" s="31"/>
      <c r="D424" s="1626"/>
      <c r="E424" s="32">
        <f t="shared" si="239"/>
        <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8"/>
      <c r="AU424" s="1627"/>
      <c r="AV424" s="1339">
        <f t="shared" si="243"/>
        <v>0</v>
      </c>
      <c r="AW424" s="1339">
        <f t="shared" si="244"/>
        <v>0</v>
      </c>
      <c r="AX424" s="1339">
        <f t="shared" si="245"/>
        <v>0</v>
      </c>
      <c r="AY424" s="39">
        <f t="shared" si="246"/>
        <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40">
        <f t="shared" si="267"/>
        <v>0</v>
      </c>
    </row>
    <row r="425" spans="1:72">
      <c r="A425" s="6"/>
      <c r="B425" s="31"/>
      <c r="C425" s="31"/>
      <c r="D425" s="1626"/>
      <c r="E425" s="32">
        <f t="shared" si="239"/>
        <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8"/>
      <c r="AU425" s="1627"/>
      <c r="AV425" s="1339">
        <f t="shared" si="243"/>
        <v>0</v>
      </c>
      <c r="AW425" s="1339">
        <f t="shared" si="244"/>
        <v>0</v>
      </c>
      <c r="AX425" s="1339">
        <f t="shared" si="245"/>
        <v>0</v>
      </c>
      <c r="AY425" s="39">
        <f t="shared" si="246"/>
        <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40">
        <f t="shared" si="267"/>
        <v>0</v>
      </c>
    </row>
    <row r="426" spans="1:72">
      <c r="A426" s="6"/>
      <c r="B426" s="31"/>
      <c r="C426" s="31"/>
      <c r="D426" s="1626"/>
      <c r="E426" s="32">
        <f t="shared" si="239"/>
        <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8"/>
      <c r="AU426" s="1627"/>
      <c r="AV426" s="1339">
        <f t="shared" si="243"/>
        <v>0</v>
      </c>
      <c r="AW426" s="1339">
        <f t="shared" si="244"/>
        <v>0</v>
      </c>
      <c r="AX426" s="1339">
        <f t="shared" si="245"/>
        <v>0</v>
      </c>
      <c r="AY426" s="39">
        <f t="shared" si="246"/>
        <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40">
        <f t="shared" si="267"/>
        <v>0</v>
      </c>
    </row>
    <row r="427" spans="1:72">
      <c r="A427" s="6"/>
      <c r="B427" s="31"/>
      <c r="C427" s="31"/>
      <c r="D427" s="1626"/>
      <c r="E427" s="32">
        <f t="shared" si="239"/>
        <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8"/>
      <c r="AU427" s="1627"/>
      <c r="AV427" s="1339">
        <f t="shared" si="243"/>
        <v>0</v>
      </c>
      <c r="AW427" s="1339">
        <f t="shared" si="244"/>
        <v>0</v>
      </c>
      <c r="AX427" s="1339">
        <f t="shared" si="245"/>
        <v>0</v>
      </c>
      <c r="AY427" s="39">
        <f t="shared" si="246"/>
        <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40">
        <f t="shared" si="267"/>
        <v>0</v>
      </c>
    </row>
    <row r="428" spans="1:72">
      <c r="A428" s="6"/>
      <c r="B428" s="31"/>
      <c r="C428" s="31"/>
      <c r="D428" s="1626"/>
      <c r="E428" s="32">
        <f t="shared" si="239"/>
        <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8"/>
      <c r="AU428" s="1627"/>
      <c r="AV428" s="1339">
        <f t="shared" si="243"/>
        <v>0</v>
      </c>
      <c r="AW428" s="1339">
        <f t="shared" si="244"/>
        <v>0</v>
      </c>
      <c r="AX428" s="1339">
        <f t="shared" si="245"/>
        <v>0</v>
      </c>
      <c r="AY428" s="39">
        <f t="shared" si="246"/>
        <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40">
        <f t="shared" si="267"/>
        <v>0</v>
      </c>
    </row>
    <row r="429" spans="1:72">
      <c r="A429" s="6"/>
      <c r="B429" s="31"/>
      <c r="C429" s="31"/>
      <c r="D429" s="1626"/>
      <c r="E429" s="32">
        <f t="shared" si="239"/>
        <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8"/>
      <c r="AU429" s="1627"/>
      <c r="AV429" s="1339">
        <f t="shared" si="243"/>
        <v>0</v>
      </c>
      <c r="AW429" s="1339">
        <f t="shared" si="244"/>
        <v>0</v>
      </c>
      <c r="AX429" s="1339">
        <f t="shared" si="245"/>
        <v>0</v>
      </c>
      <c r="AY429" s="39">
        <f t="shared" si="246"/>
        <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40">
        <f t="shared" si="267"/>
        <v>0</v>
      </c>
    </row>
    <row r="430" spans="1:72">
      <c r="A430" s="6"/>
      <c r="B430" s="31"/>
      <c r="C430" s="31"/>
      <c r="D430" s="1626"/>
      <c r="E430" s="32">
        <f t="shared" si="239"/>
        <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8"/>
      <c r="AU430" s="1627"/>
      <c r="AV430" s="1339">
        <f t="shared" si="243"/>
        <v>0</v>
      </c>
      <c r="AW430" s="1339">
        <f t="shared" si="244"/>
        <v>0</v>
      </c>
      <c r="AX430" s="1339">
        <f t="shared" si="245"/>
        <v>0</v>
      </c>
      <c r="AY430" s="39">
        <f t="shared" si="246"/>
        <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40">
        <f t="shared" si="267"/>
        <v>0</v>
      </c>
    </row>
    <row r="431" spans="1:72">
      <c r="A431" s="6"/>
      <c r="B431" s="31"/>
      <c r="C431" s="31"/>
      <c r="D431" s="1626"/>
      <c r="E431" s="32">
        <f t="shared" si="239"/>
        <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8"/>
      <c r="AU431" s="1627"/>
      <c r="AV431" s="1339">
        <f t="shared" si="243"/>
        <v>0</v>
      </c>
      <c r="AW431" s="1339">
        <f t="shared" si="244"/>
        <v>0</v>
      </c>
      <c r="AX431" s="1339">
        <f t="shared" si="245"/>
        <v>0</v>
      </c>
      <c r="AY431" s="39">
        <f t="shared" si="246"/>
        <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40">
        <f t="shared" si="267"/>
        <v>0</v>
      </c>
    </row>
    <row r="432" spans="1:72">
      <c r="A432" s="6"/>
      <c r="B432" s="31"/>
      <c r="C432" s="31"/>
      <c r="D432" s="1626"/>
      <c r="E432" s="32">
        <f t="shared" si="239"/>
        <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8"/>
      <c r="AU432" s="1627"/>
      <c r="AV432" s="1339">
        <f t="shared" si="243"/>
        <v>0</v>
      </c>
      <c r="AW432" s="1339">
        <f t="shared" si="244"/>
        <v>0</v>
      </c>
      <c r="AX432" s="1339">
        <f t="shared" si="245"/>
        <v>0</v>
      </c>
      <c r="AY432" s="39">
        <f t="shared" si="246"/>
        <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40">
        <f t="shared" si="267"/>
        <v>0</v>
      </c>
    </row>
    <row r="433" spans="1:72">
      <c r="A433" s="6"/>
      <c r="B433" s="31"/>
      <c r="C433" s="31"/>
      <c r="D433" s="1626"/>
      <c r="E433" s="32">
        <f t="shared" si="239"/>
        <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8"/>
      <c r="AU433" s="1627"/>
      <c r="AV433" s="1339">
        <f t="shared" si="243"/>
        <v>0</v>
      </c>
      <c r="AW433" s="1339">
        <f t="shared" si="244"/>
        <v>0</v>
      </c>
      <c r="AX433" s="1339">
        <f t="shared" si="245"/>
        <v>0</v>
      </c>
      <c r="AY433" s="39">
        <f t="shared" si="246"/>
        <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40">
        <f t="shared" si="267"/>
        <v>0</v>
      </c>
    </row>
    <row r="434" spans="1:72">
      <c r="A434" s="6"/>
      <c r="B434" s="31"/>
      <c r="C434" s="31"/>
      <c r="D434" s="1626"/>
      <c r="E434" s="32">
        <f t="shared" si="239"/>
        <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8"/>
      <c r="AU434" s="1627"/>
      <c r="AV434" s="1339">
        <f t="shared" si="243"/>
        <v>0</v>
      </c>
      <c r="AW434" s="1339">
        <f t="shared" si="244"/>
        <v>0</v>
      </c>
      <c r="AX434" s="1339">
        <f t="shared" si="245"/>
        <v>0</v>
      </c>
      <c r="AY434" s="39">
        <f t="shared" si="246"/>
        <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40">
        <f t="shared" si="267"/>
        <v>0</v>
      </c>
    </row>
    <row r="435" spans="1:72">
      <c r="A435" s="6"/>
      <c r="B435" s="31"/>
      <c r="C435" s="31"/>
      <c r="D435" s="1626"/>
      <c r="E435" s="32">
        <f t="shared" si="239"/>
        <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8"/>
      <c r="AU435" s="1627"/>
      <c r="AV435" s="1339">
        <f t="shared" si="243"/>
        <v>0</v>
      </c>
      <c r="AW435" s="1339">
        <f t="shared" si="244"/>
        <v>0</v>
      </c>
      <c r="AX435" s="1339">
        <f t="shared" si="245"/>
        <v>0</v>
      </c>
      <c r="AY435" s="39">
        <f t="shared" si="246"/>
        <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40">
        <f t="shared" si="267"/>
        <v>0</v>
      </c>
    </row>
    <row r="436" spans="1:72">
      <c r="A436" s="6"/>
      <c r="B436" s="31"/>
      <c r="C436" s="31"/>
      <c r="D436" s="1626"/>
      <c r="E436" s="32">
        <f t="shared" si="239"/>
        <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8"/>
      <c r="AU436" s="1627"/>
      <c r="AV436" s="1339">
        <f t="shared" si="243"/>
        <v>0</v>
      </c>
      <c r="AW436" s="1339">
        <f t="shared" si="244"/>
        <v>0</v>
      </c>
      <c r="AX436" s="1339">
        <f t="shared" si="245"/>
        <v>0</v>
      </c>
      <c r="AY436" s="39">
        <f t="shared" si="246"/>
        <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40">
        <f t="shared" si="267"/>
        <v>0</v>
      </c>
    </row>
    <row r="437" spans="1:72">
      <c r="A437" s="6"/>
      <c r="B437" s="31"/>
      <c r="C437" s="31"/>
      <c r="D437" s="1626"/>
      <c r="E437" s="32">
        <f t="shared" si="239"/>
        <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8"/>
      <c r="AU437" s="1627"/>
      <c r="AV437" s="1339">
        <f t="shared" si="243"/>
        <v>0</v>
      </c>
      <c r="AW437" s="1339">
        <f t="shared" si="244"/>
        <v>0</v>
      </c>
      <c r="AX437" s="1339">
        <f t="shared" si="245"/>
        <v>0</v>
      </c>
      <c r="AY437" s="39">
        <f t="shared" si="246"/>
        <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40">
        <f t="shared" si="267"/>
        <v>0</v>
      </c>
    </row>
    <row r="438" spans="1:72">
      <c r="A438" s="6"/>
      <c r="B438" s="31"/>
      <c r="C438" s="31"/>
      <c r="D438" s="1626"/>
      <c r="E438" s="32">
        <f t="shared" si="239"/>
        <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8"/>
      <c r="AU438" s="1627"/>
      <c r="AV438" s="1339">
        <f t="shared" si="243"/>
        <v>0</v>
      </c>
      <c r="AW438" s="1339">
        <f t="shared" si="244"/>
        <v>0</v>
      </c>
      <c r="AX438" s="1339">
        <f t="shared" si="245"/>
        <v>0</v>
      </c>
      <c r="AY438" s="39">
        <f t="shared" si="246"/>
        <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40">
        <f t="shared" si="267"/>
        <v>0</v>
      </c>
    </row>
    <row r="439" spans="1:72">
      <c r="A439" s="6"/>
      <c r="B439" s="31"/>
      <c r="C439" s="31"/>
      <c r="D439" s="1626"/>
      <c r="E439" s="32">
        <f t="shared" si="239"/>
        <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8"/>
      <c r="AU439" s="1627"/>
      <c r="AV439" s="1339">
        <f t="shared" si="243"/>
        <v>0</v>
      </c>
      <c r="AW439" s="1339">
        <f t="shared" si="244"/>
        <v>0</v>
      </c>
      <c r="AX439" s="1339">
        <f t="shared" si="245"/>
        <v>0</v>
      </c>
      <c r="AY439" s="39">
        <f t="shared" si="246"/>
        <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40">
        <f t="shared" si="267"/>
        <v>0</v>
      </c>
    </row>
    <row r="440" spans="1:72">
      <c r="A440" s="6"/>
      <c r="B440" s="31"/>
      <c r="C440" s="31"/>
      <c r="D440" s="1626"/>
      <c r="E440" s="32">
        <f t="shared" si="239"/>
        <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8"/>
      <c r="AU440" s="1627"/>
      <c r="AV440" s="1339">
        <f t="shared" si="243"/>
        <v>0</v>
      </c>
      <c r="AW440" s="1339">
        <f t="shared" si="244"/>
        <v>0</v>
      </c>
      <c r="AX440" s="1339">
        <f t="shared" si="245"/>
        <v>0</v>
      </c>
      <c r="AY440" s="39">
        <f t="shared" si="246"/>
        <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40">
        <f t="shared" si="267"/>
        <v>0</v>
      </c>
    </row>
    <row r="441" spans="1:72">
      <c r="A441" s="6"/>
      <c r="B441" s="31"/>
      <c r="C441" s="31"/>
      <c r="D441" s="1626"/>
      <c r="E441" s="32">
        <f t="shared" si="239"/>
        <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8"/>
      <c r="AU441" s="1627"/>
      <c r="AV441" s="1339">
        <f t="shared" si="243"/>
        <v>0</v>
      </c>
      <c r="AW441" s="1339">
        <f t="shared" si="244"/>
        <v>0</v>
      </c>
      <c r="AX441" s="1339">
        <f t="shared" si="245"/>
        <v>0</v>
      </c>
      <c r="AY441" s="39">
        <f t="shared" si="246"/>
        <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40">
        <f t="shared" si="267"/>
        <v>0</v>
      </c>
    </row>
    <row r="442" spans="1:72">
      <c r="A442" s="6"/>
      <c r="B442" s="31"/>
      <c r="C442" s="31"/>
      <c r="D442" s="1626"/>
      <c r="E442" s="32">
        <f t="shared" si="239"/>
        <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8"/>
      <c r="AU442" s="1627"/>
      <c r="AV442" s="1339">
        <f t="shared" si="243"/>
        <v>0</v>
      </c>
      <c r="AW442" s="1339">
        <f t="shared" si="244"/>
        <v>0</v>
      </c>
      <c r="AX442" s="1339">
        <f t="shared" si="245"/>
        <v>0</v>
      </c>
      <c r="AY442" s="39">
        <f t="shared" si="246"/>
        <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40">
        <f t="shared" si="267"/>
        <v>0</v>
      </c>
    </row>
    <row r="443" spans="1:72">
      <c r="A443" s="6"/>
      <c r="B443" s="31"/>
      <c r="C443" s="31"/>
      <c r="D443" s="1626"/>
      <c r="E443" s="32">
        <f t="shared" si="239"/>
        <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8"/>
      <c r="AU443" s="1627"/>
      <c r="AV443" s="1339">
        <f t="shared" si="243"/>
        <v>0</v>
      </c>
      <c r="AW443" s="1339">
        <f t="shared" si="244"/>
        <v>0</v>
      </c>
      <c r="AX443" s="1339">
        <f t="shared" si="245"/>
        <v>0</v>
      </c>
      <c r="AY443" s="39">
        <f t="shared" si="246"/>
        <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40">
        <f t="shared" si="267"/>
        <v>0</v>
      </c>
    </row>
    <row r="444" spans="1:72">
      <c r="A444" s="6"/>
      <c r="B444" s="31"/>
      <c r="C444" s="31"/>
      <c r="D444" s="1626"/>
      <c r="E444" s="32">
        <f t="shared" si="239"/>
        <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8"/>
      <c r="AU444" s="1627"/>
      <c r="AV444" s="1339">
        <f t="shared" si="243"/>
        <v>0</v>
      </c>
      <c r="AW444" s="1339">
        <f t="shared" si="244"/>
        <v>0</v>
      </c>
      <c r="AX444" s="1339">
        <f t="shared" si="245"/>
        <v>0</v>
      </c>
      <c r="AY444" s="39">
        <f t="shared" si="246"/>
        <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40">
        <f t="shared" si="267"/>
        <v>0</v>
      </c>
    </row>
    <row r="445" spans="1:72">
      <c r="A445" s="6"/>
      <c r="B445" s="31"/>
      <c r="C445" s="31"/>
      <c r="D445" s="1626"/>
      <c r="E445" s="32">
        <f t="shared" si="239"/>
        <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8"/>
      <c r="AU445" s="1627"/>
      <c r="AV445" s="1339">
        <f t="shared" si="243"/>
        <v>0</v>
      </c>
      <c r="AW445" s="1339">
        <f t="shared" si="244"/>
        <v>0</v>
      </c>
      <c r="AX445" s="1339">
        <f t="shared" si="245"/>
        <v>0</v>
      </c>
      <c r="AY445" s="39">
        <f t="shared" si="246"/>
        <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40">
        <f t="shared" si="267"/>
        <v>0</v>
      </c>
    </row>
    <row r="446" spans="1:72">
      <c r="A446" s="6"/>
      <c r="B446" s="31"/>
      <c r="C446" s="31"/>
      <c r="D446" s="1626"/>
      <c r="E446" s="32">
        <f t="shared" si="239"/>
        <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8"/>
      <c r="AU446" s="1627"/>
      <c r="AV446" s="1339">
        <f t="shared" si="243"/>
        <v>0</v>
      </c>
      <c r="AW446" s="1339">
        <f t="shared" si="244"/>
        <v>0</v>
      </c>
      <c r="AX446" s="1339">
        <f t="shared" si="245"/>
        <v>0</v>
      </c>
      <c r="AY446" s="39">
        <f t="shared" si="246"/>
        <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40">
        <f t="shared" si="267"/>
        <v>0</v>
      </c>
    </row>
    <row r="447" spans="1:72">
      <c r="A447" s="6"/>
      <c r="B447" s="31"/>
      <c r="C447" s="31"/>
      <c r="D447" s="1626"/>
      <c r="E447" s="32">
        <f t="shared" si="239"/>
        <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8"/>
      <c r="AU447" s="1627"/>
      <c r="AV447" s="1339">
        <f t="shared" si="243"/>
        <v>0</v>
      </c>
      <c r="AW447" s="1339">
        <f t="shared" si="244"/>
        <v>0</v>
      </c>
      <c r="AX447" s="1339">
        <f t="shared" si="245"/>
        <v>0</v>
      </c>
      <c r="AY447" s="39">
        <f t="shared" si="246"/>
        <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40">
        <f t="shared" si="267"/>
        <v>0</v>
      </c>
    </row>
    <row r="448" spans="1:72">
      <c r="A448" s="6"/>
      <c r="B448" s="31"/>
      <c r="C448" s="31"/>
      <c r="D448" s="1626"/>
      <c r="E448" s="32">
        <f t="shared" si="239"/>
        <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8"/>
      <c r="AU448" s="1627"/>
      <c r="AV448" s="1339">
        <f t="shared" si="243"/>
        <v>0</v>
      </c>
      <c r="AW448" s="1339">
        <f t="shared" si="244"/>
        <v>0</v>
      </c>
      <c r="AX448" s="1339">
        <f t="shared" si="245"/>
        <v>0</v>
      </c>
      <c r="AY448" s="39">
        <f t="shared" si="246"/>
        <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40">
        <f t="shared" si="267"/>
        <v>0</v>
      </c>
    </row>
    <row r="449" spans="1:72">
      <c r="A449" s="6"/>
      <c r="B449" s="31"/>
      <c r="C449" s="31"/>
      <c r="D449" s="1626"/>
      <c r="E449" s="32">
        <f t="shared" si="239"/>
        <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8"/>
      <c r="AU449" s="1627"/>
      <c r="AV449" s="1339">
        <f t="shared" si="243"/>
        <v>0</v>
      </c>
      <c r="AW449" s="1339">
        <f t="shared" si="244"/>
        <v>0</v>
      </c>
      <c r="AX449" s="1339">
        <f t="shared" si="245"/>
        <v>0</v>
      </c>
      <c r="AY449" s="39">
        <f t="shared" si="246"/>
        <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40">
        <f t="shared" si="267"/>
        <v>0</v>
      </c>
    </row>
    <row r="450" spans="1:72">
      <c r="A450" s="6"/>
      <c r="B450" s="31"/>
      <c r="C450" s="31"/>
      <c r="D450" s="1626"/>
      <c r="E450" s="32">
        <f t="shared" si="239"/>
        <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8"/>
      <c r="AU450" s="1627"/>
      <c r="AV450" s="1339">
        <f t="shared" si="243"/>
        <v>0</v>
      </c>
      <c r="AW450" s="1339">
        <f t="shared" si="244"/>
        <v>0</v>
      </c>
      <c r="AX450" s="1339">
        <f t="shared" si="245"/>
        <v>0</v>
      </c>
      <c r="AY450" s="39">
        <f t="shared" si="246"/>
        <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40">
        <f t="shared" si="267"/>
        <v>0</v>
      </c>
    </row>
    <row r="451" spans="1:72">
      <c r="A451" s="6"/>
      <c r="B451" s="31"/>
      <c r="C451" s="31"/>
      <c r="D451" s="1626"/>
      <c r="E451" s="32">
        <f t="shared" si="239"/>
        <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8"/>
      <c r="AU451" s="1627"/>
      <c r="AV451" s="1339">
        <f t="shared" si="243"/>
        <v>0</v>
      </c>
      <c r="AW451" s="1339">
        <f t="shared" si="244"/>
        <v>0</v>
      </c>
      <c r="AX451" s="1339">
        <f t="shared" si="245"/>
        <v>0</v>
      </c>
      <c r="AY451" s="39">
        <f t="shared" si="246"/>
        <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40">
        <f t="shared" si="267"/>
        <v>0</v>
      </c>
    </row>
    <row r="452" spans="1:72">
      <c r="A452" s="6"/>
      <c r="B452" s="31"/>
      <c r="C452" s="31"/>
      <c r="D452" s="1626"/>
      <c r="E452" s="32">
        <f t="shared" si="239"/>
        <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8"/>
      <c r="AU452" s="1627"/>
      <c r="AV452" s="1339">
        <f t="shared" si="243"/>
        <v>0</v>
      </c>
      <c r="AW452" s="1339">
        <f t="shared" si="244"/>
        <v>0</v>
      </c>
      <c r="AX452" s="1339">
        <f t="shared" si="245"/>
        <v>0</v>
      </c>
      <c r="AY452" s="39">
        <f t="shared" si="246"/>
        <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40">
        <f t="shared" si="267"/>
        <v>0</v>
      </c>
    </row>
    <row r="453" spans="1:72">
      <c r="A453" s="6"/>
      <c r="B453" s="31"/>
      <c r="C453" s="31"/>
      <c r="D453" s="1626"/>
      <c r="E453" s="32">
        <f t="shared" si="239"/>
        <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8"/>
      <c r="AU453" s="1627"/>
      <c r="AV453" s="1339">
        <f t="shared" si="243"/>
        <v>0</v>
      </c>
      <c r="AW453" s="1339">
        <f t="shared" si="244"/>
        <v>0</v>
      </c>
      <c r="AX453" s="1339">
        <f t="shared" si="245"/>
        <v>0</v>
      </c>
      <c r="AY453" s="39">
        <f t="shared" si="246"/>
        <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40">
        <f t="shared" si="267"/>
        <v>0</v>
      </c>
    </row>
    <row r="454" spans="1:72">
      <c r="A454" s="6"/>
      <c r="B454" s="31"/>
      <c r="C454" s="31"/>
      <c r="D454" s="1626"/>
      <c r="E454" s="32">
        <f t="shared" si="239"/>
        <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8"/>
      <c r="AU454" s="1627"/>
      <c r="AV454" s="1339">
        <f t="shared" si="243"/>
        <v>0</v>
      </c>
      <c r="AW454" s="1339">
        <f t="shared" si="244"/>
        <v>0</v>
      </c>
      <c r="AX454" s="1339">
        <f t="shared" si="245"/>
        <v>0</v>
      </c>
      <c r="AY454" s="39">
        <f t="shared" si="246"/>
        <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40">
        <f t="shared" si="267"/>
        <v>0</v>
      </c>
    </row>
    <row r="455" spans="1:72">
      <c r="A455" s="6"/>
      <c r="B455" s="31"/>
      <c r="C455" s="31"/>
      <c r="D455" s="1626"/>
      <c r="E455" s="32">
        <f t="shared" si="239"/>
        <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8"/>
      <c r="AU455" s="1627"/>
      <c r="AV455" s="1339">
        <f t="shared" si="243"/>
        <v>0</v>
      </c>
      <c r="AW455" s="1339">
        <f t="shared" si="244"/>
        <v>0</v>
      </c>
      <c r="AX455" s="1339">
        <f t="shared" si="245"/>
        <v>0</v>
      </c>
      <c r="AY455" s="39">
        <f t="shared" si="246"/>
        <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40">
        <f t="shared" si="267"/>
        <v>0</v>
      </c>
    </row>
    <row r="456" spans="1:72">
      <c r="A456" s="6"/>
      <c r="B456" s="31"/>
      <c r="C456" s="31"/>
      <c r="D456" s="1626"/>
      <c r="E456" s="32">
        <f t="shared" si="239"/>
        <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8"/>
      <c r="AU456" s="1627"/>
      <c r="AV456" s="1339">
        <f t="shared" si="243"/>
        <v>0</v>
      </c>
      <c r="AW456" s="1339">
        <f t="shared" si="244"/>
        <v>0</v>
      </c>
      <c r="AX456" s="1339">
        <f t="shared" si="245"/>
        <v>0</v>
      </c>
      <c r="AY456" s="39">
        <f t="shared" si="246"/>
        <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40">
        <f t="shared" si="267"/>
        <v>0</v>
      </c>
    </row>
    <row r="457" spans="1:72">
      <c r="A457" s="6"/>
      <c r="B457" s="31"/>
      <c r="C457" s="31"/>
      <c r="D457" s="1626"/>
      <c r="E457" s="32">
        <f t="shared" si="239"/>
        <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8"/>
      <c r="AU457" s="1627"/>
      <c r="AV457" s="1339">
        <f t="shared" si="243"/>
        <v>0</v>
      </c>
      <c r="AW457" s="1339">
        <f t="shared" si="244"/>
        <v>0</v>
      </c>
      <c r="AX457" s="1339">
        <f t="shared" si="245"/>
        <v>0</v>
      </c>
      <c r="AY457" s="39">
        <f t="shared" si="246"/>
        <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40">
        <f t="shared" si="267"/>
        <v>0</v>
      </c>
    </row>
    <row r="458" spans="1:72">
      <c r="A458" s="6"/>
      <c r="B458" s="31"/>
      <c r="C458" s="31"/>
      <c r="D458" s="1626"/>
      <c r="E458" s="32">
        <f t="shared" si="239"/>
        <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8"/>
      <c r="AU458" s="1627"/>
      <c r="AV458" s="1339">
        <f t="shared" si="243"/>
        <v>0</v>
      </c>
      <c r="AW458" s="1339">
        <f t="shared" si="244"/>
        <v>0</v>
      </c>
      <c r="AX458" s="1339">
        <f t="shared" si="245"/>
        <v>0</v>
      </c>
      <c r="AY458" s="39">
        <f t="shared" si="246"/>
        <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40">
        <f t="shared" si="267"/>
        <v>0</v>
      </c>
    </row>
    <row r="459" spans="1:72">
      <c r="A459" s="6"/>
      <c r="B459" s="31"/>
      <c r="C459" s="31"/>
      <c r="D459" s="1626"/>
      <c r="E459" s="32">
        <f t="shared" si="239"/>
        <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8"/>
      <c r="AU459" s="1627"/>
      <c r="AV459" s="1339">
        <f t="shared" si="243"/>
        <v>0</v>
      </c>
      <c r="AW459" s="1339">
        <f t="shared" si="244"/>
        <v>0</v>
      </c>
      <c r="AX459" s="1339">
        <f t="shared" si="245"/>
        <v>0</v>
      </c>
      <c r="AY459" s="39">
        <f t="shared" si="246"/>
        <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40">
        <f t="shared" si="267"/>
        <v>0</v>
      </c>
    </row>
    <row r="460" spans="1:72">
      <c r="A460" s="6"/>
      <c r="B460" s="31"/>
      <c r="C460" s="31"/>
      <c r="D460" s="1626"/>
      <c r="E460" s="32">
        <f t="shared" si="239"/>
        <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8"/>
      <c r="AU460" s="1627"/>
      <c r="AV460" s="1339">
        <f t="shared" si="243"/>
        <v>0</v>
      </c>
      <c r="AW460" s="1339">
        <f t="shared" si="244"/>
        <v>0</v>
      </c>
      <c r="AX460" s="1339">
        <f t="shared" si="245"/>
        <v>0</v>
      </c>
      <c r="AY460" s="39">
        <f t="shared" si="246"/>
        <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40">
        <f t="shared" si="267"/>
        <v>0</v>
      </c>
    </row>
    <row r="461" spans="1:72">
      <c r="A461" s="6"/>
      <c r="B461" s="31"/>
      <c r="C461" s="31"/>
      <c r="D461" s="1626"/>
      <c r="E461" s="32">
        <f t="shared" si="239"/>
        <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8"/>
      <c r="AU461" s="1627"/>
      <c r="AV461" s="1339">
        <f t="shared" si="243"/>
        <v>0</v>
      </c>
      <c r="AW461" s="1339">
        <f t="shared" si="244"/>
        <v>0</v>
      </c>
      <c r="AX461" s="1339">
        <f t="shared" si="245"/>
        <v>0</v>
      </c>
      <c r="AY461" s="39">
        <f t="shared" si="246"/>
        <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40">
        <f t="shared" si="267"/>
        <v>0</v>
      </c>
    </row>
    <row r="462" spans="1:72">
      <c r="A462" s="6"/>
      <c r="B462" s="31"/>
      <c r="C462" s="31"/>
      <c r="D462" s="1626"/>
      <c r="E462" s="32">
        <f t="shared" si="239"/>
        <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8"/>
      <c r="AU462" s="1627"/>
      <c r="AV462" s="1339">
        <f t="shared" si="243"/>
        <v>0</v>
      </c>
      <c r="AW462" s="1339">
        <f t="shared" si="244"/>
        <v>0</v>
      </c>
      <c r="AX462" s="1339">
        <f t="shared" si="245"/>
        <v>0</v>
      </c>
      <c r="AY462" s="39">
        <f t="shared" si="246"/>
        <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40">
        <f t="shared" si="267"/>
        <v>0</v>
      </c>
    </row>
    <row r="463" spans="1:72">
      <c r="A463" s="6"/>
      <c r="B463" s="31"/>
      <c r="C463" s="31"/>
      <c r="D463" s="1626"/>
      <c r="E463" s="32">
        <f t="shared" si="239"/>
        <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8"/>
      <c r="AU463" s="1627"/>
      <c r="AV463" s="1339">
        <f t="shared" si="243"/>
        <v>0</v>
      </c>
      <c r="AW463" s="1339">
        <f t="shared" si="244"/>
        <v>0</v>
      </c>
      <c r="AX463" s="1339">
        <f t="shared" si="245"/>
        <v>0</v>
      </c>
      <c r="AY463" s="39">
        <f t="shared" si="246"/>
        <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40">
        <f t="shared" si="267"/>
        <v>0</v>
      </c>
    </row>
    <row r="464" spans="1:72">
      <c r="A464" s="6"/>
      <c r="B464" s="31"/>
      <c r="C464" s="31"/>
      <c r="D464" s="1626"/>
      <c r="E464" s="32">
        <f t="shared" si="239"/>
        <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8"/>
      <c r="AU464" s="1627"/>
      <c r="AV464" s="1339">
        <f t="shared" si="243"/>
        <v>0</v>
      </c>
      <c r="AW464" s="1339">
        <f t="shared" si="244"/>
        <v>0</v>
      </c>
      <c r="AX464" s="1339">
        <f t="shared" si="245"/>
        <v>0</v>
      </c>
      <c r="AY464" s="39">
        <f t="shared" si="246"/>
        <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40">
        <f t="shared" si="267"/>
        <v>0</v>
      </c>
    </row>
    <row r="465" spans="1:72">
      <c r="A465" s="6"/>
      <c r="B465" s="31"/>
      <c r="C465" s="31"/>
      <c r="D465" s="1626"/>
      <c r="E465" s="32">
        <f t="shared" si="239"/>
        <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8"/>
      <c r="AU465" s="1627"/>
      <c r="AV465" s="1339">
        <f t="shared" si="243"/>
        <v>0</v>
      </c>
      <c r="AW465" s="1339">
        <f t="shared" si="244"/>
        <v>0</v>
      </c>
      <c r="AX465" s="1339">
        <f t="shared" si="245"/>
        <v>0</v>
      </c>
      <c r="AY465" s="39">
        <f t="shared" si="246"/>
        <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40">
        <f t="shared" si="267"/>
        <v>0</v>
      </c>
    </row>
    <row r="466" spans="1:72">
      <c r="A466" s="6"/>
      <c r="B466" s="31"/>
      <c r="C466" s="31"/>
      <c r="D466" s="1626"/>
      <c r="E466" s="32">
        <f t="shared" si="239"/>
        <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8"/>
      <c r="AU466" s="1627"/>
      <c r="AV466" s="1339">
        <f t="shared" si="243"/>
        <v>0</v>
      </c>
      <c r="AW466" s="1339">
        <f t="shared" si="244"/>
        <v>0</v>
      </c>
      <c r="AX466" s="1339">
        <f t="shared" si="245"/>
        <v>0</v>
      </c>
      <c r="AY466" s="39">
        <f t="shared" si="246"/>
        <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40">
        <f t="shared" si="267"/>
        <v>0</v>
      </c>
    </row>
    <row r="467" spans="1:72">
      <c r="A467" s="6"/>
      <c r="B467" s="31"/>
      <c r="C467" s="31"/>
      <c r="D467" s="1626"/>
      <c r="E467" s="32">
        <f t="shared" si="239"/>
        <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8"/>
      <c r="AU467" s="1627"/>
      <c r="AV467" s="1339">
        <f t="shared" si="243"/>
        <v>0</v>
      </c>
      <c r="AW467" s="1339">
        <f t="shared" si="244"/>
        <v>0</v>
      </c>
      <c r="AX467" s="1339">
        <f t="shared" si="245"/>
        <v>0</v>
      </c>
      <c r="AY467" s="39">
        <f t="shared" si="246"/>
        <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40">
        <f t="shared" si="267"/>
        <v>0</v>
      </c>
    </row>
    <row r="468" spans="1:72">
      <c r="A468" s="6"/>
      <c r="B468" s="31"/>
      <c r="C468" s="31"/>
      <c r="D468" s="1626"/>
      <c r="E468" s="32">
        <f t="shared" si="239"/>
        <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8"/>
      <c r="AU468" s="1627"/>
      <c r="AV468" s="1339">
        <f t="shared" si="243"/>
        <v>0</v>
      </c>
      <c r="AW468" s="1339">
        <f t="shared" si="244"/>
        <v>0</v>
      </c>
      <c r="AX468" s="1339">
        <f t="shared" si="245"/>
        <v>0</v>
      </c>
      <c r="AY468" s="39">
        <f t="shared" si="246"/>
        <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40">
        <f t="shared" si="267"/>
        <v>0</v>
      </c>
    </row>
    <row r="469" spans="1:72">
      <c r="A469" s="6"/>
      <c r="B469" s="31"/>
      <c r="C469" s="31"/>
      <c r="D469" s="1626"/>
      <c r="E469" s="32">
        <f t="shared" si="239"/>
        <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8"/>
      <c r="AU469" s="1627"/>
      <c r="AV469" s="1339">
        <f t="shared" si="243"/>
        <v>0</v>
      </c>
      <c r="AW469" s="1339">
        <f t="shared" si="244"/>
        <v>0</v>
      </c>
      <c r="AX469" s="1339">
        <f t="shared" si="245"/>
        <v>0</v>
      </c>
      <c r="AY469" s="39">
        <f t="shared" si="246"/>
        <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40">
        <f t="shared" si="267"/>
        <v>0</v>
      </c>
    </row>
    <row r="470" spans="1:72">
      <c r="A470" s="6"/>
      <c r="B470" s="31"/>
      <c r="C470" s="31"/>
      <c r="D470" s="1626"/>
      <c r="E470" s="32">
        <f t="shared" si="239"/>
        <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8"/>
      <c r="AU470" s="1627"/>
      <c r="AV470" s="1339">
        <f t="shared" si="243"/>
        <v>0</v>
      </c>
      <c r="AW470" s="1339">
        <f t="shared" si="244"/>
        <v>0</v>
      </c>
      <c r="AX470" s="1339">
        <f t="shared" si="245"/>
        <v>0</v>
      </c>
      <c r="AY470" s="39">
        <f t="shared" si="246"/>
        <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40">
        <f t="shared" si="267"/>
        <v>0</v>
      </c>
    </row>
    <row r="471" spans="1:72">
      <c r="A471" s="6"/>
      <c r="B471" s="31"/>
      <c r="C471" s="31"/>
      <c r="D471" s="1626"/>
      <c r="E471" s="32">
        <f t="shared" si="239"/>
        <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8"/>
      <c r="AU471" s="1627"/>
      <c r="AV471" s="1339">
        <f t="shared" si="243"/>
        <v>0</v>
      </c>
      <c r="AW471" s="1339">
        <f t="shared" si="244"/>
        <v>0</v>
      </c>
      <c r="AX471" s="1339">
        <f t="shared" si="245"/>
        <v>0</v>
      </c>
      <c r="AY471" s="39">
        <f t="shared" si="246"/>
        <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40">
        <f t="shared" si="267"/>
        <v>0</v>
      </c>
    </row>
    <row r="472" spans="1:72">
      <c r="A472" s="6"/>
      <c r="B472" s="31"/>
      <c r="C472" s="31"/>
      <c r="D472" s="1626"/>
      <c r="E472" s="32">
        <f t="shared" si="239"/>
        <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8"/>
      <c r="AU472" s="1627"/>
      <c r="AV472" s="1339">
        <f t="shared" si="243"/>
        <v>0</v>
      </c>
      <c r="AW472" s="1339">
        <f t="shared" si="244"/>
        <v>0</v>
      </c>
      <c r="AX472" s="1339">
        <f t="shared" si="245"/>
        <v>0</v>
      </c>
      <c r="AY472" s="39">
        <f t="shared" si="246"/>
        <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40">
        <f t="shared" si="267"/>
        <v>0</v>
      </c>
    </row>
    <row r="473" spans="1:72">
      <c r="A473" s="6"/>
      <c r="B473" s="31"/>
      <c r="C473" s="31"/>
      <c r="D473" s="1626"/>
      <c r="E473" s="32">
        <f t="shared" si="239"/>
        <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8"/>
      <c r="AU473" s="1627"/>
      <c r="AV473" s="1339">
        <f t="shared" si="243"/>
        <v>0</v>
      </c>
      <c r="AW473" s="1339">
        <f t="shared" si="244"/>
        <v>0</v>
      </c>
      <c r="AX473" s="1339">
        <f t="shared" si="245"/>
        <v>0</v>
      </c>
      <c r="AY473" s="39">
        <f t="shared" si="246"/>
        <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40">
        <f t="shared" si="267"/>
        <v>0</v>
      </c>
    </row>
    <row r="474" spans="1:72">
      <c r="A474" s="6"/>
      <c r="B474" s="31"/>
      <c r="C474" s="31"/>
      <c r="D474" s="1626"/>
      <c r="E474" s="32">
        <f t="shared" si="239"/>
        <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8"/>
      <c r="AU474" s="1627"/>
      <c r="AV474" s="1339">
        <f t="shared" si="243"/>
        <v>0</v>
      </c>
      <c r="AW474" s="1339">
        <f t="shared" si="244"/>
        <v>0</v>
      </c>
      <c r="AX474" s="1339">
        <f t="shared" si="245"/>
        <v>0</v>
      </c>
      <c r="AY474" s="39">
        <f t="shared" si="246"/>
        <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40">
        <f t="shared" si="267"/>
        <v>0</v>
      </c>
    </row>
    <row r="475" spans="1:72">
      <c r="A475" s="6"/>
      <c r="B475" s="31"/>
      <c r="C475" s="31"/>
      <c r="D475" s="1626"/>
      <c r="E475" s="32">
        <f t="shared" si="239"/>
        <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8"/>
      <c r="AU475" s="1627"/>
      <c r="AV475" s="1339">
        <f t="shared" si="243"/>
        <v>0</v>
      </c>
      <c r="AW475" s="1339">
        <f t="shared" si="244"/>
        <v>0</v>
      </c>
      <c r="AX475" s="1339">
        <f t="shared" si="245"/>
        <v>0</v>
      </c>
      <c r="AY475" s="39">
        <f t="shared" si="246"/>
        <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40">
        <f t="shared" si="267"/>
        <v>0</v>
      </c>
    </row>
    <row r="476" spans="1:72">
      <c r="A476" s="6"/>
      <c r="B476" s="31"/>
      <c r="C476" s="31"/>
      <c r="D476" s="1626"/>
      <c r="E476" s="32">
        <f t="shared" si="239"/>
        <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8"/>
      <c r="AU476" s="1627"/>
      <c r="AV476" s="1339">
        <f t="shared" si="243"/>
        <v>0</v>
      </c>
      <c r="AW476" s="1339">
        <f t="shared" si="244"/>
        <v>0</v>
      </c>
      <c r="AX476" s="1339">
        <f t="shared" si="245"/>
        <v>0</v>
      </c>
      <c r="AY476" s="39">
        <f t="shared" si="246"/>
        <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40">
        <f t="shared" si="267"/>
        <v>0</v>
      </c>
    </row>
    <row r="477" spans="1:72">
      <c r="A477" s="6"/>
      <c r="B477" s="31"/>
      <c r="C477" s="31"/>
      <c r="D477" s="1626"/>
      <c r="E477" s="32">
        <f t="shared" si="239"/>
        <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8"/>
      <c r="AU477" s="1627"/>
      <c r="AV477" s="1339">
        <f t="shared" si="243"/>
        <v>0</v>
      </c>
      <c r="AW477" s="1339">
        <f t="shared" si="244"/>
        <v>0</v>
      </c>
      <c r="AX477" s="1339">
        <f t="shared" si="245"/>
        <v>0</v>
      </c>
      <c r="AY477" s="39">
        <f t="shared" si="246"/>
        <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40">
        <f t="shared" si="267"/>
        <v>0</v>
      </c>
    </row>
    <row r="478" spans="1:72">
      <c r="A478" s="6"/>
      <c r="B478" s="31"/>
      <c r="C478" s="31"/>
      <c r="D478" s="1626"/>
      <c r="E478" s="32">
        <f t="shared" si="239"/>
        <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8"/>
      <c r="AU478" s="1627"/>
      <c r="AV478" s="1339">
        <f t="shared" si="243"/>
        <v>0</v>
      </c>
      <c r="AW478" s="1339">
        <f t="shared" si="244"/>
        <v>0</v>
      </c>
      <c r="AX478" s="1339">
        <f t="shared" si="245"/>
        <v>0</v>
      </c>
      <c r="AY478" s="39">
        <f t="shared" si="246"/>
        <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40">
        <f t="shared" si="267"/>
        <v>0</v>
      </c>
    </row>
    <row r="479" spans="1:72">
      <c r="A479" s="6"/>
      <c r="B479" s="31"/>
      <c r="C479" s="31"/>
      <c r="D479" s="1626"/>
      <c r="E479" s="32">
        <f t="shared" si="239"/>
        <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8"/>
      <c r="AU479" s="1627"/>
      <c r="AV479" s="1339">
        <f t="shared" si="243"/>
        <v>0</v>
      </c>
      <c r="AW479" s="1339">
        <f t="shared" si="244"/>
        <v>0</v>
      </c>
      <c r="AX479" s="1339">
        <f t="shared" si="245"/>
        <v>0</v>
      </c>
      <c r="AY479" s="39">
        <f t="shared" si="246"/>
        <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40">
        <f t="shared" si="267"/>
        <v>0</v>
      </c>
    </row>
    <row r="480" spans="1:72">
      <c r="A480" s="6"/>
      <c r="B480" s="31"/>
      <c r="C480" s="31"/>
      <c r="D480" s="1626"/>
      <c r="E480" s="32">
        <f t="shared" si="239"/>
        <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8"/>
      <c r="AU480" s="1627"/>
      <c r="AV480" s="1339">
        <f t="shared" si="243"/>
        <v>0</v>
      </c>
      <c r="AW480" s="1339">
        <f t="shared" si="244"/>
        <v>0</v>
      </c>
      <c r="AX480" s="1339">
        <f t="shared" si="245"/>
        <v>0</v>
      </c>
      <c r="AY480" s="39">
        <f t="shared" si="246"/>
        <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40">
        <f t="shared" si="267"/>
        <v>0</v>
      </c>
    </row>
    <row r="481" spans="1:72">
      <c r="A481" s="6"/>
      <c r="B481" s="31"/>
      <c r="C481" s="31"/>
      <c r="D481" s="1626"/>
      <c r="E481" s="32">
        <f t="shared" si="239"/>
        <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8"/>
      <c r="AU481" s="1627"/>
      <c r="AV481" s="1339">
        <f t="shared" si="243"/>
        <v>0</v>
      </c>
      <c r="AW481" s="1339">
        <f t="shared" si="244"/>
        <v>0</v>
      </c>
      <c r="AX481" s="1339">
        <f t="shared" si="245"/>
        <v>0</v>
      </c>
      <c r="AY481" s="39">
        <f t="shared" si="246"/>
        <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40">
        <f t="shared" si="267"/>
        <v>0</v>
      </c>
    </row>
    <row r="482" spans="1:72">
      <c r="A482" s="6"/>
      <c r="B482" s="31"/>
      <c r="C482" s="31"/>
      <c r="D482" s="1626"/>
      <c r="E482" s="32">
        <f t="shared" si="239"/>
        <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8"/>
      <c r="AU482" s="1627"/>
      <c r="AV482" s="1339">
        <f t="shared" si="243"/>
        <v>0</v>
      </c>
      <c r="AW482" s="1339">
        <f t="shared" si="244"/>
        <v>0</v>
      </c>
      <c r="AX482" s="1339">
        <f t="shared" si="245"/>
        <v>0</v>
      </c>
      <c r="AY482" s="39">
        <f t="shared" si="246"/>
        <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40">
        <f t="shared" si="267"/>
        <v>0</v>
      </c>
    </row>
    <row r="483" spans="1:72">
      <c r="A483" s="6"/>
      <c r="B483" s="31"/>
      <c r="C483" s="31"/>
      <c r="D483" s="1626"/>
      <c r="E483" s="32">
        <f t="shared" si="239"/>
        <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8"/>
      <c r="AU483" s="1627"/>
      <c r="AV483" s="1339">
        <f t="shared" si="243"/>
        <v>0</v>
      </c>
      <c r="AW483" s="1339">
        <f t="shared" si="244"/>
        <v>0</v>
      </c>
      <c r="AX483" s="1339">
        <f t="shared" si="245"/>
        <v>0</v>
      </c>
      <c r="AY483" s="39">
        <f t="shared" si="246"/>
        <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40">
        <f t="shared" si="267"/>
        <v>0</v>
      </c>
    </row>
    <row r="484" spans="1:72">
      <c r="A484" s="6"/>
      <c r="B484" s="31"/>
      <c r="C484" s="31"/>
      <c r="D484" s="1626"/>
      <c r="E484" s="32">
        <f t="shared" si="239"/>
        <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8"/>
      <c r="AU484" s="1627"/>
      <c r="AV484" s="1339">
        <f t="shared" si="243"/>
        <v>0</v>
      </c>
      <c r="AW484" s="1339">
        <f t="shared" si="244"/>
        <v>0</v>
      </c>
      <c r="AX484" s="1339">
        <f t="shared" si="245"/>
        <v>0</v>
      </c>
      <c r="AY484" s="39">
        <f t="shared" si="246"/>
        <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40">
        <f t="shared" si="267"/>
        <v>0</v>
      </c>
    </row>
    <row r="485" spans="1:72">
      <c r="A485" s="6"/>
      <c r="B485" s="31"/>
      <c r="C485" s="31"/>
      <c r="D485" s="1626"/>
      <c r="E485" s="32">
        <f t="shared" si="239"/>
        <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8"/>
      <c r="AU485" s="1627"/>
      <c r="AV485" s="1339">
        <f t="shared" si="243"/>
        <v>0</v>
      </c>
      <c r="AW485" s="1339">
        <f t="shared" si="244"/>
        <v>0</v>
      </c>
      <c r="AX485" s="1339">
        <f t="shared" si="245"/>
        <v>0</v>
      </c>
      <c r="AY485" s="39">
        <f t="shared" si="246"/>
        <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40">
        <f t="shared" si="267"/>
        <v>0</v>
      </c>
    </row>
    <row r="486" spans="1:72">
      <c r="A486" s="6"/>
      <c r="B486" s="31"/>
      <c r="C486" s="31"/>
      <c r="D486" s="1626"/>
      <c r="E486" s="32">
        <f t="shared" si="239"/>
        <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8"/>
      <c r="AU486" s="1627"/>
      <c r="AV486" s="1339">
        <f t="shared" si="243"/>
        <v>0</v>
      </c>
      <c r="AW486" s="1339">
        <f t="shared" si="244"/>
        <v>0</v>
      </c>
      <c r="AX486" s="1339">
        <f t="shared" si="245"/>
        <v>0</v>
      </c>
      <c r="AY486" s="39">
        <f t="shared" si="246"/>
        <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40">
        <f t="shared" si="267"/>
        <v>0</v>
      </c>
    </row>
    <row r="487" spans="1:72">
      <c r="A487" s="6"/>
      <c r="B487" s="31"/>
      <c r="C487" s="31"/>
      <c r="D487" s="1626"/>
      <c r="E487" s="32">
        <f t="shared" si="239"/>
        <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8"/>
      <c r="AU487" s="1627"/>
      <c r="AV487" s="1339">
        <f t="shared" si="243"/>
        <v>0</v>
      </c>
      <c r="AW487" s="1339">
        <f t="shared" si="244"/>
        <v>0</v>
      </c>
      <c r="AX487" s="1339">
        <f t="shared" si="245"/>
        <v>0</v>
      </c>
      <c r="AY487" s="39">
        <f t="shared" si="246"/>
        <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40">
        <f t="shared" si="267"/>
        <v>0</v>
      </c>
    </row>
    <row r="488" spans="1:72">
      <c r="A488" s="6"/>
      <c r="B488" s="31"/>
      <c r="C488" s="31"/>
      <c r="D488" s="1626"/>
      <c r="E488" s="32">
        <f t="shared" si="239"/>
        <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8"/>
      <c r="AU488" s="1627"/>
      <c r="AV488" s="1339">
        <f t="shared" si="243"/>
        <v>0</v>
      </c>
      <c r="AW488" s="1339">
        <f t="shared" si="244"/>
        <v>0</v>
      </c>
      <c r="AX488" s="1339">
        <f t="shared" si="245"/>
        <v>0</v>
      </c>
      <c r="AY488" s="39">
        <f t="shared" si="246"/>
        <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40">
        <f t="shared" si="267"/>
        <v>0</v>
      </c>
    </row>
    <row r="489" spans="1:72">
      <c r="A489" s="6"/>
      <c r="B489" s="31"/>
      <c r="C489" s="31"/>
      <c r="D489" s="1626"/>
      <c r="E489" s="32">
        <f t="shared" si="239"/>
        <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8"/>
      <c r="AU489" s="1627"/>
      <c r="AV489" s="1339">
        <f t="shared" si="243"/>
        <v>0</v>
      </c>
      <c r="AW489" s="1339">
        <f t="shared" si="244"/>
        <v>0</v>
      </c>
      <c r="AX489" s="1339">
        <f t="shared" si="245"/>
        <v>0</v>
      </c>
      <c r="AY489" s="39">
        <f t="shared" si="246"/>
        <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40">
        <f t="shared" si="267"/>
        <v>0</v>
      </c>
    </row>
    <row r="490" spans="1:72">
      <c r="A490" s="6"/>
      <c r="B490" s="6"/>
      <c r="C490" s="6"/>
      <c r="D490" s="1626"/>
      <c r="E490" s="32">
        <f t="shared" si="239"/>
        <v>0</v>
      </c>
      <c r="F490" s="41"/>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1567"/>
      <c r="AV490" s="1339">
        <f t="shared" si="243"/>
        <v>0</v>
      </c>
      <c r="AW490" s="1339">
        <f t="shared" si="244"/>
        <v>0</v>
      </c>
      <c r="AX490" s="1339">
        <f t="shared" si="245"/>
        <v>0</v>
      </c>
      <c r="AY490" s="39">
        <f t="shared" ref="AY490:AY521" si="271">ROUND($AY$6*AZ490/$AZ$5,2)</f>
        <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40">
        <f t="shared" ref="BT490:BT521" si="292">IF($D490="是",AR490-AS490,0)</f>
        <v>0</v>
      </c>
    </row>
    <row r="491" spans="1:72">
      <c r="A491" s="6"/>
      <c r="B491" s="6"/>
      <c r="C491" s="6"/>
      <c r="D491" s="1626"/>
      <c r="E491" s="32">
        <f t="shared" si="239"/>
        <v>0</v>
      </c>
      <c r="F491" s="41"/>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1567"/>
      <c r="AV491" s="1339">
        <f t="shared" si="243"/>
        <v>0</v>
      </c>
      <c r="AW491" s="1339">
        <f t="shared" si="244"/>
        <v>0</v>
      </c>
      <c r="AX491" s="1339">
        <f t="shared" si="245"/>
        <v>0</v>
      </c>
      <c r="AY491" s="39">
        <f t="shared" si="271"/>
        <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40">
        <f t="shared" si="292"/>
        <v>0</v>
      </c>
    </row>
    <row r="492" spans="1:72">
      <c r="A492" s="6"/>
      <c r="B492" s="6"/>
      <c r="C492" s="6"/>
      <c r="D492" s="1626"/>
      <c r="E492" s="32">
        <f t="shared" si="239"/>
        <v>0</v>
      </c>
      <c r="F492" s="41"/>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1567"/>
      <c r="AV492" s="1339">
        <f t="shared" si="243"/>
        <v>0</v>
      </c>
      <c r="AW492" s="1339">
        <f t="shared" si="244"/>
        <v>0</v>
      </c>
      <c r="AX492" s="1339">
        <f t="shared" si="245"/>
        <v>0</v>
      </c>
      <c r="AY492" s="39">
        <f t="shared" si="271"/>
        <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40">
        <f t="shared" si="292"/>
        <v>0</v>
      </c>
    </row>
    <row r="493" spans="1:72">
      <c r="A493" s="6"/>
      <c r="B493" s="31"/>
      <c r="C493" s="31"/>
      <c r="D493" s="1626"/>
      <c r="E493" s="32">
        <f t="shared" ref="E493:E519" si="293">IF($C$3="是",ROUND($A$3*G493/$B$3,2),ROUND($A$3*(G493-AT493)/$B$3,2))</f>
        <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8"/>
      <c r="AU493" s="1627"/>
      <c r="AV493" s="1339">
        <f t="shared" ref="AV493:AV520" si="294">A493</f>
        <v>0</v>
      </c>
      <c r="AW493" s="1339">
        <f t="shared" ref="AW493:AW520" si="295">B493</f>
        <v>0</v>
      </c>
      <c r="AX493" s="1339">
        <f t="shared" ref="AX493:AX520" si="296">C493</f>
        <v>0</v>
      </c>
      <c r="AY493" s="39">
        <f t="shared" si="271"/>
        <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40">
        <f t="shared" si="292"/>
        <v>0</v>
      </c>
    </row>
    <row r="494" spans="1:72">
      <c r="A494" s="6"/>
      <c r="B494" s="31"/>
      <c r="C494" s="31"/>
      <c r="D494" s="1626"/>
      <c r="E494" s="32">
        <f t="shared" si="293"/>
        <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8"/>
      <c r="AU494" s="1627"/>
      <c r="AV494" s="1339">
        <f t="shared" si="294"/>
        <v>0</v>
      </c>
      <c r="AW494" s="1339">
        <f t="shared" si="295"/>
        <v>0</v>
      </c>
      <c r="AX494" s="1339">
        <f t="shared" si="296"/>
        <v>0</v>
      </c>
      <c r="AY494" s="39">
        <f t="shared" si="271"/>
        <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40">
        <f t="shared" si="292"/>
        <v>0</v>
      </c>
    </row>
    <row r="495" spans="1:72">
      <c r="A495" s="6"/>
      <c r="B495" s="31"/>
      <c r="C495" s="31"/>
      <c r="D495" s="1626"/>
      <c r="E495" s="32">
        <f t="shared" si="293"/>
        <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8"/>
      <c r="AU495" s="1627"/>
      <c r="AV495" s="1339">
        <f t="shared" si="294"/>
        <v>0</v>
      </c>
      <c r="AW495" s="1339">
        <f t="shared" si="295"/>
        <v>0</v>
      </c>
      <c r="AX495" s="1339">
        <f t="shared" si="296"/>
        <v>0</v>
      </c>
      <c r="AY495" s="39">
        <f t="shared" si="271"/>
        <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40">
        <f t="shared" si="292"/>
        <v>0</v>
      </c>
    </row>
    <row r="496" spans="1:72">
      <c r="A496" s="6"/>
      <c r="B496" s="31"/>
      <c r="C496" s="31"/>
      <c r="D496" s="1626"/>
      <c r="E496" s="32">
        <f t="shared" si="293"/>
        <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8"/>
      <c r="AU496" s="1627"/>
      <c r="AV496" s="1339">
        <f t="shared" si="294"/>
        <v>0</v>
      </c>
      <c r="AW496" s="1339">
        <f t="shared" si="295"/>
        <v>0</v>
      </c>
      <c r="AX496" s="1339">
        <f t="shared" si="296"/>
        <v>0</v>
      </c>
      <c r="AY496" s="39">
        <f t="shared" si="271"/>
        <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40">
        <f t="shared" si="292"/>
        <v>0</v>
      </c>
    </row>
    <row r="497" spans="1:72">
      <c r="A497" s="6"/>
      <c r="B497" s="31"/>
      <c r="C497" s="31"/>
      <c r="D497" s="1626"/>
      <c r="E497" s="32">
        <f t="shared" si="293"/>
        <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8"/>
      <c r="AU497" s="1627"/>
      <c r="AV497" s="1339">
        <f t="shared" si="294"/>
        <v>0</v>
      </c>
      <c r="AW497" s="1339">
        <f t="shared" si="295"/>
        <v>0</v>
      </c>
      <c r="AX497" s="1339">
        <f t="shared" si="296"/>
        <v>0</v>
      </c>
      <c r="AY497" s="39">
        <f t="shared" si="271"/>
        <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40">
        <f t="shared" si="292"/>
        <v>0</v>
      </c>
    </row>
    <row r="498" spans="1:72">
      <c r="A498" s="6"/>
      <c r="B498" s="31"/>
      <c r="C498" s="31"/>
      <c r="D498" s="1626"/>
      <c r="E498" s="32">
        <f t="shared" si="293"/>
        <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8"/>
      <c r="AU498" s="1627"/>
      <c r="AV498" s="1339">
        <f t="shared" si="294"/>
        <v>0</v>
      </c>
      <c r="AW498" s="1339">
        <f t="shared" si="295"/>
        <v>0</v>
      </c>
      <c r="AX498" s="1339">
        <f t="shared" si="296"/>
        <v>0</v>
      </c>
      <c r="AY498" s="39">
        <f t="shared" si="271"/>
        <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40">
        <f t="shared" si="292"/>
        <v>0</v>
      </c>
    </row>
    <row r="499" spans="1:72">
      <c r="A499" s="6"/>
      <c r="B499" s="31"/>
      <c r="C499" s="31"/>
      <c r="D499" s="1626"/>
      <c r="E499" s="32">
        <f t="shared" si="293"/>
        <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8"/>
      <c r="AU499" s="1627"/>
      <c r="AV499" s="1339">
        <f t="shared" si="294"/>
        <v>0</v>
      </c>
      <c r="AW499" s="1339">
        <f t="shared" si="295"/>
        <v>0</v>
      </c>
      <c r="AX499" s="1339">
        <f t="shared" si="296"/>
        <v>0</v>
      </c>
      <c r="AY499" s="39">
        <f t="shared" si="271"/>
        <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40">
        <f t="shared" si="292"/>
        <v>0</v>
      </c>
    </row>
    <row r="500" spans="1:72">
      <c r="A500" s="6"/>
      <c r="B500" s="31"/>
      <c r="C500" s="31"/>
      <c r="D500" s="1626"/>
      <c r="E500" s="32">
        <f t="shared" si="293"/>
        <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8"/>
      <c r="AU500" s="1627"/>
      <c r="AV500" s="1339">
        <f t="shared" si="294"/>
        <v>0</v>
      </c>
      <c r="AW500" s="1339">
        <f t="shared" si="295"/>
        <v>0</v>
      </c>
      <c r="AX500" s="1339">
        <f t="shared" si="296"/>
        <v>0</v>
      </c>
      <c r="AY500" s="39">
        <f t="shared" si="271"/>
        <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40">
        <f t="shared" si="292"/>
        <v>0</v>
      </c>
    </row>
    <row r="501" spans="1:72">
      <c r="A501" s="6"/>
      <c r="B501" s="31"/>
      <c r="C501" s="31"/>
      <c r="D501" s="1626"/>
      <c r="E501" s="32">
        <f t="shared" si="293"/>
        <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8"/>
      <c r="AU501" s="1627"/>
      <c r="AV501" s="1339">
        <f t="shared" si="294"/>
        <v>0</v>
      </c>
      <c r="AW501" s="1339">
        <f t="shared" si="295"/>
        <v>0</v>
      </c>
      <c r="AX501" s="1339">
        <f t="shared" si="296"/>
        <v>0</v>
      </c>
      <c r="AY501" s="39">
        <f t="shared" si="271"/>
        <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40">
        <f t="shared" si="292"/>
        <v>0</v>
      </c>
    </row>
    <row r="502" spans="1:72">
      <c r="A502" s="6"/>
      <c r="B502" s="31"/>
      <c r="C502" s="31"/>
      <c r="D502" s="1626"/>
      <c r="E502" s="32">
        <f t="shared" si="293"/>
        <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8"/>
      <c r="AU502" s="1627"/>
      <c r="AV502" s="1339">
        <f t="shared" si="294"/>
        <v>0</v>
      </c>
      <c r="AW502" s="1339">
        <f t="shared" si="295"/>
        <v>0</v>
      </c>
      <c r="AX502" s="1339">
        <f t="shared" si="296"/>
        <v>0</v>
      </c>
      <c r="AY502" s="39">
        <f t="shared" si="271"/>
        <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40">
        <f t="shared" si="292"/>
        <v>0</v>
      </c>
    </row>
    <row r="503" spans="1:72">
      <c r="A503" s="6"/>
      <c r="B503" s="31"/>
      <c r="C503" s="31"/>
      <c r="D503" s="1626"/>
      <c r="E503" s="32">
        <f t="shared" si="293"/>
        <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8"/>
      <c r="AU503" s="1627"/>
      <c r="AV503" s="1339">
        <f t="shared" si="294"/>
        <v>0</v>
      </c>
      <c r="AW503" s="1339">
        <f t="shared" si="295"/>
        <v>0</v>
      </c>
      <c r="AX503" s="1339">
        <f t="shared" si="296"/>
        <v>0</v>
      </c>
      <c r="AY503" s="39">
        <f t="shared" si="271"/>
        <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40">
        <f t="shared" si="292"/>
        <v>0</v>
      </c>
    </row>
    <row r="504" spans="1:72">
      <c r="A504" s="6"/>
      <c r="B504" s="31"/>
      <c r="C504" s="31"/>
      <c r="D504" s="1626"/>
      <c r="E504" s="32">
        <f t="shared" si="293"/>
        <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8"/>
      <c r="AU504" s="1627"/>
      <c r="AV504" s="1339">
        <f t="shared" si="294"/>
        <v>0</v>
      </c>
      <c r="AW504" s="1339">
        <f t="shared" si="295"/>
        <v>0</v>
      </c>
      <c r="AX504" s="1339">
        <f t="shared" si="296"/>
        <v>0</v>
      </c>
      <c r="AY504" s="39">
        <f t="shared" si="271"/>
        <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40">
        <f t="shared" si="292"/>
        <v>0</v>
      </c>
    </row>
    <row r="505" spans="1:72">
      <c r="A505" s="6"/>
      <c r="B505" s="31"/>
      <c r="C505" s="31"/>
      <c r="D505" s="1626"/>
      <c r="E505" s="32">
        <f t="shared" si="293"/>
        <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8"/>
      <c r="AU505" s="1627"/>
      <c r="AV505" s="1339">
        <f t="shared" si="294"/>
        <v>0</v>
      </c>
      <c r="AW505" s="1339">
        <f t="shared" si="295"/>
        <v>0</v>
      </c>
      <c r="AX505" s="1339">
        <f t="shared" si="296"/>
        <v>0</v>
      </c>
      <c r="AY505" s="39">
        <f t="shared" si="271"/>
        <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40">
        <f t="shared" si="292"/>
        <v>0</v>
      </c>
    </row>
    <row r="506" spans="1:72">
      <c r="A506" s="6"/>
      <c r="B506" s="31"/>
      <c r="C506" s="31"/>
      <c r="D506" s="1626"/>
      <c r="E506" s="32">
        <f t="shared" si="293"/>
        <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8"/>
      <c r="AU506" s="1627"/>
      <c r="AV506" s="1339">
        <f t="shared" si="294"/>
        <v>0</v>
      </c>
      <c r="AW506" s="1339">
        <f t="shared" si="295"/>
        <v>0</v>
      </c>
      <c r="AX506" s="1339">
        <f t="shared" si="296"/>
        <v>0</v>
      </c>
      <c r="AY506" s="39">
        <f t="shared" si="271"/>
        <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40">
        <f t="shared" si="292"/>
        <v>0</v>
      </c>
    </row>
    <row r="507" spans="1:72">
      <c r="A507" s="6"/>
      <c r="B507" s="31"/>
      <c r="C507" s="31"/>
      <c r="D507" s="1626"/>
      <c r="E507" s="32">
        <f t="shared" si="293"/>
        <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8"/>
      <c r="AU507" s="1627"/>
      <c r="AV507" s="1339">
        <f t="shared" si="294"/>
        <v>0</v>
      </c>
      <c r="AW507" s="1339">
        <f t="shared" si="295"/>
        <v>0</v>
      </c>
      <c r="AX507" s="1339">
        <f t="shared" si="296"/>
        <v>0</v>
      </c>
      <c r="AY507" s="39">
        <f t="shared" si="271"/>
        <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40">
        <f t="shared" si="292"/>
        <v>0</v>
      </c>
    </row>
    <row r="508" spans="1:72">
      <c r="A508" s="6"/>
      <c r="B508" s="31"/>
      <c r="C508" s="31"/>
      <c r="D508" s="1626"/>
      <c r="E508" s="32">
        <f t="shared" si="293"/>
        <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8"/>
      <c r="AU508" s="1627"/>
      <c r="AV508" s="1339">
        <f t="shared" si="294"/>
        <v>0</v>
      </c>
      <c r="AW508" s="1339">
        <f t="shared" si="295"/>
        <v>0</v>
      </c>
      <c r="AX508" s="1339">
        <f t="shared" si="296"/>
        <v>0</v>
      </c>
      <c r="AY508" s="39">
        <f t="shared" si="271"/>
        <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40">
        <f t="shared" si="292"/>
        <v>0</v>
      </c>
    </row>
    <row r="509" spans="1:72">
      <c r="A509" s="6"/>
      <c r="B509" s="31"/>
      <c r="C509" s="31"/>
      <c r="D509" s="1626"/>
      <c r="E509" s="32">
        <f t="shared" si="293"/>
        <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8"/>
      <c r="AU509" s="1627"/>
      <c r="AV509" s="1339">
        <f t="shared" si="294"/>
        <v>0</v>
      </c>
      <c r="AW509" s="1339">
        <f t="shared" si="295"/>
        <v>0</v>
      </c>
      <c r="AX509" s="1339">
        <f t="shared" si="296"/>
        <v>0</v>
      </c>
      <c r="AY509" s="39">
        <f t="shared" si="271"/>
        <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40">
        <f t="shared" si="292"/>
        <v>0</v>
      </c>
    </row>
    <row r="510" spans="1:72">
      <c r="A510" s="6"/>
      <c r="B510" s="31"/>
      <c r="C510" s="31"/>
      <c r="D510" s="1626"/>
      <c r="E510" s="32">
        <f t="shared" si="293"/>
        <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8"/>
      <c r="AU510" s="1627"/>
      <c r="AV510" s="1339">
        <f t="shared" si="294"/>
        <v>0</v>
      </c>
      <c r="AW510" s="1339">
        <f t="shared" si="295"/>
        <v>0</v>
      </c>
      <c r="AX510" s="1339">
        <f t="shared" si="296"/>
        <v>0</v>
      </c>
      <c r="AY510" s="39">
        <f t="shared" si="271"/>
        <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40">
        <f t="shared" si="292"/>
        <v>0</v>
      </c>
    </row>
    <row r="511" spans="1:72">
      <c r="A511" s="6"/>
      <c r="B511" s="31"/>
      <c r="C511" s="31"/>
      <c r="D511" s="1626"/>
      <c r="E511" s="32">
        <f t="shared" si="293"/>
        <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8"/>
      <c r="AU511" s="1627"/>
      <c r="AV511" s="1339">
        <f t="shared" si="294"/>
        <v>0</v>
      </c>
      <c r="AW511" s="1339">
        <f t="shared" si="295"/>
        <v>0</v>
      </c>
      <c r="AX511" s="1339">
        <f t="shared" si="296"/>
        <v>0</v>
      </c>
      <c r="AY511" s="39">
        <f t="shared" si="271"/>
        <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40">
        <f t="shared" si="292"/>
        <v>0</v>
      </c>
    </row>
    <row r="512" spans="1:72">
      <c r="A512" s="6"/>
      <c r="B512" s="31"/>
      <c r="C512" s="31"/>
      <c r="D512" s="1626"/>
      <c r="E512" s="32">
        <f t="shared" si="293"/>
        <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8"/>
      <c r="AU512" s="1627"/>
      <c r="AV512" s="1339">
        <f t="shared" si="294"/>
        <v>0</v>
      </c>
      <c r="AW512" s="1339">
        <f t="shared" si="295"/>
        <v>0</v>
      </c>
      <c r="AX512" s="1339">
        <f t="shared" si="296"/>
        <v>0</v>
      </c>
      <c r="AY512" s="39">
        <f t="shared" si="271"/>
        <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40">
        <f t="shared" si="292"/>
        <v>0</v>
      </c>
    </row>
    <row r="513" spans="1:72">
      <c r="A513" s="6"/>
      <c r="B513" s="31"/>
      <c r="C513" s="31"/>
      <c r="D513" s="1626"/>
      <c r="E513" s="32">
        <f t="shared" si="293"/>
        <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8"/>
      <c r="AU513" s="1627"/>
      <c r="AV513" s="1339">
        <f t="shared" si="294"/>
        <v>0</v>
      </c>
      <c r="AW513" s="1339">
        <f t="shared" si="295"/>
        <v>0</v>
      </c>
      <c r="AX513" s="1339">
        <f t="shared" si="296"/>
        <v>0</v>
      </c>
      <c r="AY513" s="39">
        <f t="shared" si="271"/>
        <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40">
        <f t="shared" si="292"/>
        <v>0</v>
      </c>
    </row>
    <row r="514" spans="1:72">
      <c r="A514" s="6"/>
      <c r="B514" s="31"/>
      <c r="C514" s="31"/>
      <c r="D514" s="1626"/>
      <c r="E514" s="32">
        <f t="shared" si="293"/>
        <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8"/>
      <c r="AU514" s="1627"/>
      <c r="AV514" s="1339">
        <f t="shared" si="294"/>
        <v>0</v>
      </c>
      <c r="AW514" s="1339">
        <f t="shared" si="295"/>
        <v>0</v>
      </c>
      <c r="AX514" s="1339">
        <f t="shared" si="296"/>
        <v>0</v>
      </c>
      <c r="AY514" s="39">
        <f t="shared" si="271"/>
        <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40">
        <f t="shared" si="292"/>
        <v>0</v>
      </c>
    </row>
    <row r="515" spans="1:72">
      <c r="A515" s="6"/>
      <c r="B515" s="31"/>
      <c r="C515" s="31"/>
      <c r="D515" s="1626"/>
      <c r="E515" s="32">
        <f t="shared" si="293"/>
        <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8"/>
      <c r="AU515" s="1627"/>
      <c r="AV515" s="1339">
        <f t="shared" si="294"/>
        <v>0</v>
      </c>
      <c r="AW515" s="1339">
        <f t="shared" si="295"/>
        <v>0</v>
      </c>
      <c r="AX515" s="1339">
        <f t="shared" si="296"/>
        <v>0</v>
      </c>
      <c r="AY515" s="39">
        <f t="shared" si="271"/>
        <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40">
        <f t="shared" si="292"/>
        <v>0</v>
      </c>
    </row>
    <row r="516" spans="1:72">
      <c r="A516" s="6"/>
      <c r="B516" s="31"/>
      <c r="C516" s="31"/>
      <c r="D516" s="1626"/>
      <c r="E516" s="32">
        <f t="shared" si="293"/>
        <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8"/>
      <c r="AU516" s="1627"/>
      <c r="AV516" s="1339">
        <f t="shared" si="294"/>
        <v>0</v>
      </c>
      <c r="AW516" s="1339">
        <f t="shared" si="295"/>
        <v>0</v>
      </c>
      <c r="AX516" s="1339">
        <f t="shared" si="296"/>
        <v>0</v>
      </c>
      <c r="AY516" s="39">
        <f t="shared" si="271"/>
        <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40">
        <f t="shared" si="292"/>
        <v>0</v>
      </c>
    </row>
    <row r="517" spans="1:72">
      <c r="A517" s="6"/>
      <c r="B517" s="31"/>
      <c r="C517" s="31"/>
      <c r="D517" s="1626"/>
      <c r="E517" s="32">
        <f t="shared" si="293"/>
        <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8"/>
      <c r="AU517" s="1627"/>
      <c r="AV517" s="1339">
        <f t="shared" si="294"/>
        <v>0</v>
      </c>
      <c r="AW517" s="1339">
        <f t="shared" si="295"/>
        <v>0</v>
      </c>
      <c r="AX517" s="1339">
        <f t="shared" si="296"/>
        <v>0</v>
      </c>
      <c r="AY517" s="39">
        <f t="shared" si="271"/>
        <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40">
        <f t="shared" si="292"/>
        <v>0</v>
      </c>
    </row>
    <row r="518" spans="1:72">
      <c r="A518" s="6"/>
      <c r="B518" s="31"/>
      <c r="C518" s="31"/>
      <c r="D518" s="1626"/>
      <c r="E518" s="32">
        <f t="shared" si="293"/>
        <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8"/>
      <c r="AU518" s="1627"/>
      <c r="AV518" s="1339">
        <f t="shared" si="294"/>
        <v>0</v>
      </c>
      <c r="AW518" s="1339">
        <f t="shared" si="295"/>
        <v>0</v>
      </c>
      <c r="AX518" s="1339">
        <f t="shared" si="296"/>
        <v>0</v>
      </c>
      <c r="AY518" s="39">
        <f t="shared" si="271"/>
        <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40">
        <f t="shared" si="292"/>
        <v>0</v>
      </c>
    </row>
    <row r="519" spans="1:72">
      <c r="A519" s="6"/>
      <c r="B519" s="31"/>
      <c r="C519" s="31"/>
      <c r="D519" s="1626"/>
      <c r="E519" s="32">
        <f t="shared" si="293"/>
        <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8"/>
      <c r="AU519" s="1627"/>
      <c r="AV519" s="1339">
        <f t="shared" si="294"/>
        <v>0</v>
      </c>
      <c r="AW519" s="1339">
        <f t="shared" si="295"/>
        <v>0</v>
      </c>
      <c r="AX519" s="1339">
        <f t="shared" si="296"/>
        <v>0</v>
      </c>
      <c r="AY519" s="39">
        <f t="shared" si="271"/>
        <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40">
        <f t="shared" si="292"/>
        <v>0</v>
      </c>
    </row>
    <row r="520" spans="1:72">
      <c r="A520" s="6"/>
      <c r="B520" s="31"/>
      <c r="C520" s="31"/>
      <c r="D520" s="1626"/>
      <c r="E520" s="32">
        <f t="shared" ref="E520:E551" si="297">IF($C$3="是",ROUND($A$3*G520/$B$3,2),ROUND($A$3*(G520-AT520)/$B$3,2))</f>
        <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8"/>
      <c r="AU520" s="1627"/>
      <c r="AV520" s="1339">
        <f t="shared" si="294"/>
        <v>0</v>
      </c>
      <c r="AW520" s="1339">
        <f t="shared" si="295"/>
        <v>0</v>
      </c>
      <c r="AX520" s="1339">
        <f t="shared" si="296"/>
        <v>0</v>
      </c>
      <c r="AY520" s="39">
        <f t="shared" si="271"/>
        <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40">
        <f t="shared" si="292"/>
        <v>0</v>
      </c>
    </row>
    <row r="521" spans="1:72">
      <c r="A521" s="6"/>
      <c r="B521" s="31"/>
      <c r="C521" s="31"/>
      <c r="D521" s="1626"/>
      <c r="E521" s="32">
        <f t="shared" si="297"/>
        <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8"/>
      <c r="AU521" s="1627"/>
      <c r="AV521" s="1339">
        <f t="shared" ref="AV521:AV552" si="298">A521</f>
        <v>0</v>
      </c>
      <c r="AW521" s="1339">
        <f t="shared" ref="AW521:AW552" si="299">B521</f>
        <v>0</v>
      </c>
      <c r="AX521" s="1339">
        <f t="shared" ref="AX521:AX552" si="300">C521</f>
        <v>0</v>
      </c>
      <c r="AY521" s="39">
        <f t="shared" si="271"/>
        <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40">
        <f t="shared" si="292"/>
        <v>0</v>
      </c>
    </row>
    <row r="522" spans="1:72">
      <c r="A522" s="6"/>
      <c r="B522" s="31"/>
      <c r="C522" s="31"/>
      <c r="D522" s="1626"/>
      <c r="E522" s="32">
        <f t="shared" si="297"/>
        <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8"/>
      <c r="AU522" s="1627"/>
      <c r="AV522" s="1339">
        <f t="shared" si="298"/>
        <v>0</v>
      </c>
      <c r="AW522" s="1339">
        <f t="shared" si="299"/>
        <v>0</v>
      </c>
      <c r="AX522" s="1339">
        <f t="shared" si="300"/>
        <v>0</v>
      </c>
      <c r="AY522" s="39">
        <f t="shared" ref="AY522:AY552" si="304">ROUND($AY$6*AZ522/$AZ$5,2)</f>
        <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40">
        <f t="shared" ref="BT522:BT552" si="325">IF($D522="是",AR522-AS522,0)</f>
        <v>0</v>
      </c>
    </row>
    <row r="523" spans="1:72">
      <c r="A523" s="6"/>
      <c r="B523" s="31"/>
      <c r="C523" s="31"/>
      <c r="D523" s="1626"/>
      <c r="E523" s="32">
        <f t="shared" si="297"/>
        <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8"/>
      <c r="AU523" s="1627"/>
      <c r="AV523" s="1339">
        <f t="shared" si="298"/>
        <v>0</v>
      </c>
      <c r="AW523" s="1339">
        <f t="shared" si="299"/>
        <v>0</v>
      </c>
      <c r="AX523" s="1339">
        <f t="shared" si="300"/>
        <v>0</v>
      </c>
      <c r="AY523" s="39">
        <f t="shared" si="304"/>
        <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40">
        <f t="shared" si="325"/>
        <v>0</v>
      </c>
    </row>
    <row r="524" spans="1:72">
      <c r="A524" s="6"/>
      <c r="B524" s="31"/>
      <c r="C524" s="31"/>
      <c r="D524" s="1626"/>
      <c r="E524" s="32">
        <f t="shared" si="297"/>
        <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8"/>
      <c r="AU524" s="1627"/>
      <c r="AV524" s="1339">
        <f t="shared" si="298"/>
        <v>0</v>
      </c>
      <c r="AW524" s="1339">
        <f t="shared" si="299"/>
        <v>0</v>
      </c>
      <c r="AX524" s="1339">
        <f t="shared" si="300"/>
        <v>0</v>
      </c>
      <c r="AY524" s="39">
        <f t="shared" si="304"/>
        <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40">
        <f t="shared" si="325"/>
        <v>0</v>
      </c>
    </row>
    <row r="525" spans="1:72">
      <c r="A525" s="6"/>
      <c r="B525" s="31"/>
      <c r="C525" s="31"/>
      <c r="D525" s="1626"/>
      <c r="E525" s="32">
        <f t="shared" si="297"/>
        <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8"/>
      <c r="AU525" s="1627"/>
      <c r="AV525" s="1339">
        <f t="shared" si="298"/>
        <v>0</v>
      </c>
      <c r="AW525" s="1339">
        <f t="shared" si="299"/>
        <v>0</v>
      </c>
      <c r="AX525" s="1339">
        <f t="shared" si="300"/>
        <v>0</v>
      </c>
      <c r="AY525" s="39">
        <f t="shared" si="304"/>
        <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40">
        <f t="shared" si="325"/>
        <v>0</v>
      </c>
    </row>
    <row r="526" spans="1:72">
      <c r="A526" s="6"/>
      <c r="B526" s="31"/>
      <c r="C526" s="31"/>
      <c r="D526" s="1626"/>
      <c r="E526" s="32">
        <f t="shared" si="297"/>
        <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8"/>
      <c r="AU526" s="1627"/>
      <c r="AV526" s="1339">
        <f t="shared" si="298"/>
        <v>0</v>
      </c>
      <c r="AW526" s="1339">
        <f t="shared" si="299"/>
        <v>0</v>
      </c>
      <c r="AX526" s="1339">
        <f t="shared" si="300"/>
        <v>0</v>
      </c>
      <c r="AY526" s="39">
        <f t="shared" si="304"/>
        <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40">
        <f t="shared" si="325"/>
        <v>0</v>
      </c>
    </row>
    <row r="527" spans="1:72">
      <c r="A527" s="6"/>
      <c r="B527" s="31"/>
      <c r="C527" s="31"/>
      <c r="D527" s="1626"/>
      <c r="E527" s="32">
        <f t="shared" si="297"/>
        <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8"/>
      <c r="AU527" s="1627"/>
      <c r="AV527" s="1339">
        <f t="shared" si="298"/>
        <v>0</v>
      </c>
      <c r="AW527" s="1339">
        <f t="shared" si="299"/>
        <v>0</v>
      </c>
      <c r="AX527" s="1339">
        <f t="shared" si="300"/>
        <v>0</v>
      </c>
      <c r="AY527" s="39">
        <f t="shared" si="304"/>
        <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40">
        <f t="shared" si="325"/>
        <v>0</v>
      </c>
    </row>
    <row r="528" spans="1:72">
      <c r="A528" s="6"/>
      <c r="B528" s="31"/>
      <c r="C528" s="31"/>
      <c r="D528" s="1626"/>
      <c r="E528" s="32">
        <f t="shared" si="297"/>
        <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8"/>
      <c r="AU528" s="1627"/>
      <c r="AV528" s="1339">
        <f t="shared" si="298"/>
        <v>0</v>
      </c>
      <c r="AW528" s="1339">
        <f t="shared" si="299"/>
        <v>0</v>
      </c>
      <c r="AX528" s="1339">
        <f t="shared" si="300"/>
        <v>0</v>
      </c>
      <c r="AY528" s="39">
        <f t="shared" si="304"/>
        <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40">
        <f t="shared" si="325"/>
        <v>0</v>
      </c>
    </row>
    <row r="529" spans="1:72">
      <c r="A529" s="6"/>
      <c r="B529" s="31"/>
      <c r="C529" s="31"/>
      <c r="D529" s="1626"/>
      <c r="E529" s="32">
        <f t="shared" si="297"/>
        <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8"/>
      <c r="AU529" s="1627"/>
      <c r="AV529" s="1339">
        <f t="shared" si="298"/>
        <v>0</v>
      </c>
      <c r="AW529" s="1339">
        <f t="shared" si="299"/>
        <v>0</v>
      </c>
      <c r="AX529" s="1339">
        <f t="shared" si="300"/>
        <v>0</v>
      </c>
      <c r="AY529" s="39">
        <f t="shared" si="304"/>
        <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40">
        <f t="shared" si="325"/>
        <v>0</v>
      </c>
    </row>
    <row r="530" spans="1:72">
      <c r="A530" s="6"/>
      <c r="B530" s="31"/>
      <c r="C530" s="31"/>
      <c r="D530" s="1626"/>
      <c r="E530" s="32">
        <f t="shared" si="297"/>
        <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8"/>
      <c r="AU530" s="1627"/>
      <c r="AV530" s="1339">
        <f t="shared" si="298"/>
        <v>0</v>
      </c>
      <c r="AW530" s="1339">
        <f t="shared" si="299"/>
        <v>0</v>
      </c>
      <c r="AX530" s="1339">
        <f t="shared" si="300"/>
        <v>0</v>
      </c>
      <c r="AY530" s="39">
        <f t="shared" si="304"/>
        <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40">
        <f t="shared" si="325"/>
        <v>0</v>
      </c>
    </row>
    <row r="531" spans="1:72">
      <c r="A531" s="6"/>
      <c r="B531" s="31"/>
      <c r="C531" s="31"/>
      <c r="D531" s="1626"/>
      <c r="E531" s="32">
        <f t="shared" si="297"/>
        <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8"/>
      <c r="AU531" s="1627"/>
      <c r="AV531" s="1339">
        <f t="shared" si="298"/>
        <v>0</v>
      </c>
      <c r="AW531" s="1339">
        <f t="shared" si="299"/>
        <v>0</v>
      </c>
      <c r="AX531" s="1339">
        <f t="shared" si="300"/>
        <v>0</v>
      </c>
      <c r="AY531" s="39">
        <f t="shared" si="304"/>
        <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40">
        <f t="shared" si="325"/>
        <v>0</v>
      </c>
    </row>
    <row r="532" spans="1:72">
      <c r="A532" s="6"/>
      <c r="B532" s="31"/>
      <c r="C532" s="31"/>
      <c r="D532" s="1626"/>
      <c r="E532" s="32">
        <f t="shared" si="297"/>
        <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8"/>
      <c r="AU532" s="1627"/>
      <c r="AV532" s="1339">
        <f t="shared" si="298"/>
        <v>0</v>
      </c>
      <c r="AW532" s="1339">
        <f t="shared" si="299"/>
        <v>0</v>
      </c>
      <c r="AX532" s="1339">
        <f t="shared" si="300"/>
        <v>0</v>
      </c>
      <c r="AY532" s="39">
        <f t="shared" si="304"/>
        <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40">
        <f t="shared" si="325"/>
        <v>0</v>
      </c>
    </row>
    <row r="533" spans="1:72">
      <c r="A533" s="6"/>
      <c r="B533" s="31"/>
      <c r="C533" s="31"/>
      <c r="D533" s="1626"/>
      <c r="E533" s="32">
        <f t="shared" si="297"/>
        <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8"/>
      <c r="AU533" s="1627"/>
      <c r="AV533" s="1339">
        <f t="shared" si="298"/>
        <v>0</v>
      </c>
      <c r="AW533" s="1339">
        <f t="shared" si="299"/>
        <v>0</v>
      </c>
      <c r="AX533" s="1339">
        <f t="shared" si="300"/>
        <v>0</v>
      </c>
      <c r="AY533" s="39">
        <f t="shared" si="304"/>
        <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40">
        <f t="shared" si="325"/>
        <v>0</v>
      </c>
    </row>
    <row r="534" spans="1:72">
      <c r="A534" s="6"/>
      <c r="B534" s="31"/>
      <c r="C534" s="31"/>
      <c r="D534" s="1626"/>
      <c r="E534" s="32">
        <f t="shared" si="297"/>
        <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8"/>
      <c r="AU534" s="1627"/>
      <c r="AV534" s="1339">
        <f t="shared" si="298"/>
        <v>0</v>
      </c>
      <c r="AW534" s="1339">
        <f t="shared" si="299"/>
        <v>0</v>
      </c>
      <c r="AX534" s="1339">
        <f t="shared" si="300"/>
        <v>0</v>
      </c>
      <c r="AY534" s="39">
        <f t="shared" si="304"/>
        <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40">
        <f t="shared" si="325"/>
        <v>0</v>
      </c>
    </row>
    <row r="535" spans="1:72">
      <c r="A535" s="6"/>
      <c r="B535" s="31"/>
      <c r="C535" s="31"/>
      <c r="D535" s="1626"/>
      <c r="E535" s="32">
        <f t="shared" si="297"/>
        <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8"/>
      <c r="AU535" s="1627"/>
      <c r="AV535" s="1339">
        <f t="shared" si="298"/>
        <v>0</v>
      </c>
      <c r="AW535" s="1339">
        <f t="shared" si="299"/>
        <v>0</v>
      </c>
      <c r="AX535" s="1339">
        <f t="shared" si="300"/>
        <v>0</v>
      </c>
      <c r="AY535" s="39">
        <f t="shared" si="304"/>
        <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40">
        <f t="shared" si="325"/>
        <v>0</v>
      </c>
    </row>
    <row r="536" spans="1:72">
      <c r="A536" s="6"/>
      <c r="B536" s="31"/>
      <c r="C536" s="31"/>
      <c r="D536" s="1626"/>
      <c r="E536" s="32">
        <f t="shared" si="297"/>
        <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8"/>
      <c r="AU536" s="1627"/>
      <c r="AV536" s="1339">
        <f t="shared" si="298"/>
        <v>0</v>
      </c>
      <c r="AW536" s="1339">
        <f t="shared" si="299"/>
        <v>0</v>
      </c>
      <c r="AX536" s="1339">
        <f t="shared" si="300"/>
        <v>0</v>
      </c>
      <c r="AY536" s="39">
        <f t="shared" si="304"/>
        <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40">
        <f t="shared" si="325"/>
        <v>0</v>
      </c>
    </row>
    <row r="537" spans="1:72">
      <c r="A537" s="6"/>
      <c r="B537" s="31"/>
      <c r="C537" s="31"/>
      <c r="D537" s="1626"/>
      <c r="E537" s="32">
        <f t="shared" si="297"/>
        <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8"/>
      <c r="AU537" s="1627"/>
      <c r="AV537" s="1339">
        <f t="shared" si="298"/>
        <v>0</v>
      </c>
      <c r="AW537" s="1339">
        <f t="shared" si="299"/>
        <v>0</v>
      </c>
      <c r="AX537" s="1339">
        <f t="shared" si="300"/>
        <v>0</v>
      </c>
      <c r="AY537" s="39">
        <f t="shared" si="304"/>
        <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40">
        <f t="shared" si="325"/>
        <v>0</v>
      </c>
    </row>
    <row r="538" spans="1:72">
      <c r="A538" s="6"/>
      <c r="B538" s="31"/>
      <c r="C538" s="31"/>
      <c r="D538" s="1626"/>
      <c r="E538" s="32">
        <f t="shared" si="297"/>
        <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8"/>
      <c r="AU538" s="1627"/>
      <c r="AV538" s="1339">
        <f t="shared" si="298"/>
        <v>0</v>
      </c>
      <c r="AW538" s="1339">
        <f t="shared" si="299"/>
        <v>0</v>
      </c>
      <c r="AX538" s="1339">
        <f t="shared" si="300"/>
        <v>0</v>
      </c>
      <c r="AY538" s="39">
        <f t="shared" si="304"/>
        <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40">
        <f t="shared" si="325"/>
        <v>0</v>
      </c>
    </row>
    <row r="539" spans="1:72">
      <c r="A539" s="6"/>
      <c r="B539" s="31"/>
      <c r="C539" s="31"/>
      <c r="D539" s="1626"/>
      <c r="E539" s="32">
        <f t="shared" si="297"/>
        <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8"/>
      <c r="AU539" s="1627"/>
      <c r="AV539" s="1339">
        <f t="shared" si="298"/>
        <v>0</v>
      </c>
      <c r="AW539" s="1339">
        <f t="shared" si="299"/>
        <v>0</v>
      </c>
      <c r="AX539" s="1339">
        <f t="shared" si="300"/>
        <v>0</v>
      </c>
      <c r="AY539" s="39">
        <f t="shared" si="304"/>
        <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40">
        <f t="shared" si="325"/>
        <v>0</v>
      </c>
    </row>
    <row r="540" spans="1:72">
      <c r="A540" s="6"/>
      <c r="B540" s="31"/>
      <c r="C540" s="31"/>
      <c r="D540" s="1626"/>
      <c r="E540" s="32">
        <f t="shared" si="297"/>
        <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8"/>
      <c r="AU540" s="1627"/>
      <c r="AV540" s="1339">
        <f t="shared" si="298"/>
        <v>0</v>
      </c>
      <c r="AW540" s="1339">
        <f t="shared" si="299"/>
        <v>0</v>
      </c>
      <c r="AX540" s="1339">
        <f t="shared" si="300"/>
        <v>0</v>
      </c>
      <c r="AY540" s="39">
        <f t="shared" si="304"/>
        <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40">
        <f t="shared" si="325"/>
        <v>0</v>
      </c>
    </row>
    <row r="541" spans="1:72">
      <c r="A541" s="6"/>
      <c r="B541" s="31"/>
      <c r="C541" s="31"/>
      <c r="D541" s="1626"/>
      <c r="E541" s="32">
        <f t="shared" si="297"/>
        <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8"/>
      <c r="AU541" s="1627"/>
      <c r="AV541" s="1339">
        <f t="shared" si="298"/>
        <v>0</v>
      </c>
      <c r="AW541" s="1339">
        <f t="shared" si="299"/>
        <v>0</v>
      </c>
      <c r="AX541" s="1339">
        <f t="shared" si="300"/>
        <v>0</v>
      </c>
      <c r="AY541" s="39">
        <f t="shared" si="304"/>
        <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40">
        <f t="shared" si="325"/>
        <v>0</v>
      </c>
    </row>
    <row r="542" spans="1:72">
      <c r="A542" s="6"/>
      <c r="B542" s="31"/>
      <c r="C542" s="31"/>
      <c r="D542" s="1626"/>
      <c r="E542" s="32">
        <f t="shared" si="297"/>
        <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8"/>
      <c r="AU542" s="1627"/>
      <c r="AV542" s="1339">
        <f t="shared" si="298"/>
        <v>0</v>
      </c>
      <c r="AW542" s="1339">
        <f t="shared" si="299"/>
        <v>0</v>
      </c>
      <c r="AX542" s="1339">
        <f t="shared" si="300"/>
        <v>0</v>
      </c>
      <c r="AY542" s="39">
        <f t="shared" si="304"/>
        <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40">
        <f t="shared" si="325"/>
        <v>0</v>
      </c>
    </row>
    <row r="543" spans="1:72">
      <c r="A543" s="6"/>
      <c r="B543" s="31"/>
      <c r="C543" s="31"/>
      <c r="D543" s="1626"/>
      <c r="E543" s="32">
        <f t="shared" si="297"/>
        <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8"/>
      <c r="AU543" s="1627"/>
      <c r="AV543" s="1339">
        <f t="shared" si="298"/>
        <v>0</v>
      </c>
      <c r="AW543" s="1339">
        <f t="shared" si="299"/>
        <v>0</v>
      </c>
      <c r="AX543" s="1339">
        <f t="shared" si="300"/>
        <v>0</v>
      </c>
      <c r="AY543" s="39">
        <f t="shared" si="304"/>
        <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40">
        <f t="shared" si="325"/>
        <v>0</v>
      </c>
    </row>
    <row r="544" spans="1:72">
      <c r="A544" s="6"/>
      <c r="B544" s="31"/>
      <c r="C544" s="31"/>
      <c r="D544" s="1626"/>
      <c r="E544" s="32">
        <f t="shared" si="297"/>
        <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8"/>
      <c r="AU544" s="1627"/>
      <c r="AV544" s="1339">
        <f t="shared" si="298"/>
        <v>0</v>
      </c>
      <c r="AW544" s="1339">
        <f t="shared" si="299"/>
        <v>0</v>
      </c>
      <c r="AX544" s="1339">
        <f t="shared" si="300"/>
        <v>0</v>
      </c>
      <c r="AY544" s="39">
        <f t="shared" si="304"/>
        <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40">
        <f t="shared" si="325"/>
        <v>0</v>
      </c>
    </row>
    <row r="545" spans="1:72">
      <c r="A545" s="6"/>
      <c r="B545" s="31"/>
      <c r="C545" s="31"/>
      <c r="D545" s="1626"/>
      <c r="E545" s="32">
        <f t="shared" si="297"/>
        <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8"/>
      <c r="AU545" s="1627"/>
      <c r="AV545" s="1339">
        <f t="shared" si="298"/>
        <v>0</v>
      </c>
      <c r="AW545" s="1339">
        <f t="shared" si="299"/>
        <v>0</v>
      </c>
      <c r="AX545" s="1339">
        <f t="shared" si="300"/>
        <v>0</v>
      </c>
      <c r="AY545" s="39">
        <f t="shared" si="304"/>
        <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40">
        <f t="shared" si="325"/>
        <v>0</v>
      </c>
    </row>
    <row r="546" spans="1:72">
      <c r="A546" s="6"/>
      <c r="B546" s="31"/>
      <c r="C546" s="31"/>
      <c r="D546" s="1626"/>
      <c r="E546" s="32">
        <f t="shared" si="297"/>
        <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8"/>
      <c r="AU546" s="1627"/>
      <c r="AV546" s="1339">
        <f t="shared" si="298"/>
        <v>0</v>
      </c>
      <c r="AW546" s="1339">
        <f t="shared" si="299"/>
        <v>0</v>
      </c>
      <c r="AX546" s="1339">
        <f t="shared" si="300"/>
        <v>0</v>
      </c>
      <c r="AY546" s="39">
        <f t="shared" si="304"/>
        <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40">
        <f t="shared" si="325"/>
        <v>0</v>
      </c>
    </row>
    <row r="547" spans="1:72">
      <c r="A547" s="6"/>
      <c r="B547" s="31"/>
      <c r="C547" s="31"/>
      <c r="D547" s="1626"/>
      <c r="E547" s="32">
        <f t="shared" si="297"/>
        <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8"/>
      <c r="AU547" s="1627"/>
      <c r="AV547" s="1339">
        <f t="shared" si="298"/>
        <v>0</v>
      </c>
      <c r="AW547" s="1339">
        <f t="shared" si="299"/>
        <v>0</v>
      </c>
      <c r="AX547" s="1339">
        <f t="shared" si="300"/>
        <v>0</v>
      </c>
      <c r="AY547" s="39">
        <f t="shared" si="304"/>
        <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40">
        <f t="shared" si="325"/>
        <v>0</v>
      </c>
    </row>
    <row r="548" spans="1:72">
      <c r="A548" s="6"/>
      <c r="B548" s="31"/>
      <c r="C548" s="31"/>
      <c r="D548" s="1626"/>
      <c r="E548" s="32">
        <f t="shared" si="297"/>
        <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8"/>
      <c r="AU548" s="1627"/>
      <c r="AV548" s="1339">
        <f t="shared" si="298"/>
        <v>0</v>
      </c>
      <c r="AW548" s="1339">
        <f t="shared" si="299"/>
        <v>0</v>
      </c>
      <c r="AX548" s="1339">
        <f t="shared" si="300"/>
        <v>0</v>
      </c>
      <c r="AY548" s="39">
        <f t="shared" si="304"/>
        <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40">
        <f t="shared" si="325"/>
        <v>0</v>
      </c>
    </row>
    <row r="549" spans="1:72">
      <c r="A549" s="6"/>
      <c r="B549" s="31"/>
      <c r="C549" s="31"/>
      <c r="D549" s="1626"/>
      <c r="E549" s="32">
        <f t="shared" si="297"/>
        <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8"/>
      <c r="AU549" s="1627"/>
      <c r="AV549" s="1339">
        <f t="shared" si="298"/>
        <v>0</v>
      </c>
      <c r="AW549" s="1339">
        <f t="shared" si="299"/>
        <v>0</v>
      </c>
      <c r="AX549" s="1339">
        <f t="shared" si="300"/>
        <v>0</v>
      </c>
      <c r="AY549" s="39">
        <f t="shared" si="304"/>
        <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40">
        <f t="shared" si="325"/>
        <v>0</v>
      </c>
    </row>
    <row r="550" spans="1:72">
      <c r="A550" s="6"/>
      <c r="B550" s="31"/>
      <c r="C550" s="31"/>
      <c r="D550" s="1626"/>
      <c r="E550" s="32">
        <f t="shared" si="297"/>
        <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8"/>
      <c r="AU550" s="1627"/>
      <c r="AV550" s="1339">
        <f t="shared" si="298"/>
        <v>0</v>
      </c>
      <c r="AW550" s="1339">
        <f t="shared" si="299"/>
        <v>0</v>
      </c>
      <c r="AX550" s="1339">
        <f t="shared" si="300"/>
        <v>0</v>
      </c>
      <c r="AY550" s="39">
        <f t="shared" si="304"/>
        <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40">
        <f t="shared" si="325"/>
        <v>0</v>
      </c>
    </row>
    <row r="551" spans="1:72">
      <c r="A551" s="6"/>
      <c r="B551" s="31"/>
      <c r="C551" s="31"/>
      <c r="D551" s="1626"/>
      <c r="E551" s="32">
        <f t="shared" si="297"/>
        <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8"/>
      <c r="AU551" s="1627"/>
      <c r="AV551" s="1339">
        <f t="shared" si="298"/>
        <v>0</v>
      </c>
      <c r="AW551" s="1339">
        <f t="shared" si="299"/>
        <v>0</v>
      </c>
      <c r="AX551" s="1339">
        <f t="shared" si="300"/>
        <v>0</v>
      </c>
      <c r="AY551" s="39">
        <f t="shared" si="304"/>
        <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40">
        <f t="shared" si="325"/>
        <v>0</v>
      </c>
    </row>
    <row r="552" spans="1:72">
      <c r="A552" s="6"/>
      <c r="B552" s="31"/>
      <c r="C552" s="31"/>
      <c r="D552" s="1626"/>
      <c r="E552" s="32">
        <f t="shared" ref="E552:E587" si="326">IF($C$3="是",ROUND($A$3*G552/$B$3,2),ROUND($A$3*(G552-AT552)/$B$3,2))</f>
        <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8"/>
      <c r="AU552" s="1627"/>
      <c r="AV552" s="1339">
        <f t="shared" si="298"/>
        <v>0</v>
      </c>
      <c r="AW552" s="1339">
        <f t="shared" si="299"/>
        <v>0</v>
      </c>
      <c r="AX552" s="1339">
        <f t="shared" si="300"/>
        <v>0</v>
      </c>
      <c r="AY552" s="39">
        <f t="shared" si="304"/>
        <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40">
        <f t="shared" si="325"/>
        <v>0</v>
      </c>
    </row>
    <row r="553" spans="1:72">
      <c r="A553" s="6"/>
      <c r="B553" s="31"/>
      <c r="C553" s="31"/>
      <c r="D553" s="1626"/>
      <c r="E553" s="32">
        <f t="shared" si="326"/>
        <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8"/>
      <c r="AU553" s="1627"/>
      <c r="AV553" s="1339">
        <f t="shared" ref="AV553:AV587" si="330">A553</f>
        <v>0</v>
      </c>
      <c r="AW553" s="1339">
        <f t="shared" ref="AW553:AW587" si="331">B553</f>
        <v>0</v>
      </c>
      <c r="AX553" s="1339">
        <f t="shared" ref="AX553:AX587" si="332">C553</f>
        <v>0</v>
      </c>
      <c r="AY553" s="39">
        <f t="shared" ref="AY553:AY584" si="333">ROUND($AY$6*AZ553/$AZ$5,2)</f>
        <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40">
        <f t="shared" ref="BT553:BT584" si="354">IF($D553="是",AR553-AS553,0)</f>
        <v>0</v>
      </c>
    </row>
    <row r="554" spans="1:72">
      <c r="A554" s="6"/>
      <c r="B554" s="31"/>
      <c r="C554" s="31"/>
      <c r="D554" s="1626"/>
      <c r="E554" s="32">
        <f t="shared" si="326"/>
        <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8"/>
      <c r="AU554" s="1627"/>
      <c r="AV554" s="1339">
        <f t="shared" si="330"/>
        <v>0</v>
      </c>
      <c r="AW554" s="1339">
        <f t="shared" si="331"/>
        <v>0</v>
      </c>
      <c r="AX554" s="1339">
        <f t="shared" si="332"/>
        <v>0</v>
      </c>
      <c r="AY554" s="39">
        <f t="shared" si="333"/>
        <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40">
        <f t="shared" si="354"/>
        <v>0</v>
      </c>
    </row>
    <row r="555" spans="1:72">
      <c r="A555" s="6"/>
      <c r="B555" s="31"/>
      <c r="C555" s="31"/>
      <c r="D555" s="1626"/>
      <c r="E555" s="32">
        <f t="shared" si="326"/>
        <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8"/>
      <c r="AU555" s="1627"/>
      <c r="AV555" s="1339">
        <f t="shared" si="330"/>
        <v>0</v>
      </c>
      <c r="AW555" s="1339">
        <f t="shared" si="331"/>
        <v>0</v>
      </c>
      <c r="AX555" s="1339">
        <f t="shared" si="332"/>
        <v>0</v>
      </c>
      <c r="AY555" s="39">
        <f t="shared" si="333"/>
        <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40">
        <f t="shared" si="354"/>
        <v>0</v>
      </c>
    </row>
    <row r="556" spans="1:72">
      <c r="A556" s="6"/>
      <c r="B556" s="31"/>
      <c r="C556" s="31"/>
      <c r="D556" s="1626"/>
      <c r="E556" s="32">
        <f t="shared" si="326"/>
        <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8"/>
      <c r="AU556" s="1627"/>
      <c r="AV556" s="1339">
        <f t="shared" si="330"/>
        <v>0</v>
      </c>
      <c r="AW556" s="1339">
        <f t="shared" si="331"/>
        <v>0</v>
      </c>
      <c r="AX556" s="1339">
        <f t="shared" si="332"/>
        <v>0</v>
      </c>
      <c r="AY556" s="39">
        <f t="shared" si="333"/>
        <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40">
        <f t="shared" si="354"/>
        <v>0</v>
      </c>
    </row>
    <row r="557" spans="1:72">
      <c r="A557" s="6"/>
      <c r="B557" s="31"/>
      <c r="C557" s="31"/>
      <c r="D557" s="1626"/>
      <c r="E557" s="32">
        <f t="shared" si="326"/>
        <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8"/>
      <c r="AU557" s="1627"/>
      <c r="AV557" s="1339">
        <f t="shared" si="330"/>
        <v>0</v>
      </c>
      <c r="AW557" s="1339">
        <f t="shared" si="331"/>
        <v>0</v>
      </c>
      <c r="AX557" s="1339">
        <f t="shared" si="332"/>
        <v>0</v>
      </c>
      <c r="AY557" s="39">
        <f t="shared" si="333"/>
        <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40">
        <f t="shared" si="354"/>
        <v>0</v>
      </c>
    </row>
    <row r="558" spans="1:72">
      <c r="A558" s="6"/>
      <c r="B558" s="31"/>
      <c r="C558" s="31"/>
      <c r="D558" s="1626"/>
      <c r="E558" s="32">
        <f t="shared" si="326"/>
        <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8"/>
      <c r="AU558" s="1627"/>
      <c r="AV558" s="1339">
        <f t="shared" si="330"/>
        <v>0</v>
      </c>
      <c r="AW558" s="1339">
        <f t="shared" si="331"/>
        <v>0</v>
      </c>
      <c r="AX558" s="1339">
        <f t="shared" si="332"/>
        <v>0</v>
      </c>
      <c r="AY558" s="39">
        <f t="shared" si="333"/>
        <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40">
        <f t="shared" si="354"/>
        <v>0</v>
      </c>
    </row>
    <row r="559" spans="1:72">
      <c r="A559" s="6"/>
      <c r="B559" s="31"/>
      <c r="C559" s="31"/>
      <c r="D559" s="1626"/>
      <c r="E559" s="32">
        <f t="shared" si="326"/>
        <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8"/>
      <c r="AU559" s="1627"/>
      <c r="AV559" s="1339">
        <f t="shared" si="330"/>
        <v>0</v>
      </c>
      <c r="AW559" s="1339">
        <f t="shared" si="331"/>
        <v>0</v>
      </c>
      <c r="AX559" s="1339">
        <f t="shared" si="332"/>
        <v>0</v>
      </c>
      <c r="AY559" s="39">
        <f t="shared" si="333"/>
        <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40">
        <f t="shared" si="354"/>
        <v>0</v>
      </c>
    </row>
    <row r="560" spans="1:72">
      <c r="A560" s="6"/>
      <c r="B560" s="31"/>
      <c r="C560" s="31"/>
      <c r="D560" s="1626"/>
      <c r="E560" s="32">
        <f t="shared" si="326"/>
        <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8"/>
      <c r="AU560" s="1627"/>
      <c r="AV560" s="1339">
        <f t="shared" si="330"/>
        <v>0</v>
      </c>
      <c r="AW560" s="1339">
        <f t="shared" si="331"/>
        <v>0</v>
      </c>
      <c r="AX560" s="1339">
        <f t="shared" si="332"/>
        <v>0</v>
      </c>
      <c r="AY560" s="39">
        <f t="shared" si="333"/>
        <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40">
        <f t="shared" si="354"/>
        <v>0</v>
      </c>
    </row>
    <row r="561" spans="1:72">
      <c r="A561" s="6"/>
      <c r="B561" s="31"/>
      <c r="C561" s="31"/>
      <c r="D561" s="1626"/>
      <c r="E561" s="32">
        <f t="shared" si="326"/>
        <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8"/>
      <c r="AU561" s="1627"/>
      <c r="AV561" s="1339">
        <f t="shared" si="330"/>
        <v>0</v>
      </c>
      <c r="AW561" s="1339">
        <f t="shared" si="331"/>
        <v>0</v>
      </c>
      <c r="AX561" s="1339">
        <f t="shared" si="332"/>
        <v>0</v>
      </c>
      <c r="AY561" s="39">
        <f t="shared" si="333"/>
        <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40">
        <f t="shared" si="354"/>
        <v>0</v>
      </c>
    </row>
    <row r="562" spans="1:72">
      <c r="A562" s="6"/>
      <c r="B562" s="31"/>
      <c r="C562" s="31"/>
      <c r="D562" s="1626"/>
      <c r="E562" s="32">
        <f t="shared" si="326"/>
        <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8"/>
      <c r="AU562" s="1627"/>
      <c r="AV562" s="1339">
        <f t="shared" si="330"/>
        <v>0</v>
      </c>
      <c r="AW562" s="1339">
        <f t="shared" si="331"/>
        <v>0</v>
      </c>
      <c r="AX562" s="1339">
        <f t="shared" si="332"/>
        <v>0</v>
      </c>
      <c r="AY562" s="39">
        <f t="shared" si="333"/>
        <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40">
        <f t="shared" si="354"/>
        <v>0</v>
      </c>
    </row>
    <row r="563" spans="1:72">
      <c r="A563" s="6"/>
      <c r="B563" s="31"/>
      <c r="C563" s="31"/>
      <c r="D563" s="1626"/>
      <c r="E563" s="32">
        <f t="shared" si="326"/>
        <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8"/>
      <c r="AU563" s="1627"/>
      <c r="AV563" s="1339">
        <f t="shared" si="330"/>
        <v>0</v>
      </c>
      <c r="AW563" s="1339">
        <f t="shared" si="331"/>
        <v>0</v>
      </c>
      <c r="AX563" s="1339">
        <f t="shared" si="332"/>
        <v>0</v>
      </c>
      <c r="AY563" s="39">
        <f t="shared" si="333"/>
        <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40">
        <f t="shared" si="354"/>
        <v>0</v>
      </c>
    </row>
    <row r="564" spans="1:72">
      <c r="A564" s="6"/>
      <c r="B564" s="31"/>
      <c r="C564" s="31"/>
      <c r="D564" s="1626"/>
      <c r="E564" s="32">
        <f t="shared" si="326"/>
        <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8"/>
      <c r="AU564" s="1627"/>
      <c r="AV564" s="1339">
        <f t="shared" si="330"/>
        <v>0</v>
      </c>
      <c r="AW564" s="1339">
        <f t="shared" si="331"/>
        <v>0</v>
      </c>
      <c r="AX564" s="1339">
        <f t="shared" si="332"/>
        <v>0</v>
      </c>
      <c r="AY564" s="39">
        <f t="shared" si="333"/>
        <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40">
        <f t="shared" si="354"/>
        <v>0</v>
      </c>
    </row>
    <row r="565" spans="1:72">
      <c r="A565" s="6"/>
      <c r="B565" s="31"/>
      <c r="C565" s="31"/>
      <c r="D565" s="1626"/>
      <c r="E565" s="32">
        <f t="shared" si="326"/>
        <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8"/>
      <c r="AU565" s="1627"/>
      <c r="AV565" s="1339">
        <f t="shared" si="330"/>
        <v>0</v>
      </c>
      <c r="AW565" s="1339">
        <f t="shared" si="331"/>
        <v>0</v>
      </c>
      <c r="AX565" s="1339">
        <f t="shared" si="332"/>
        <v>0</v>
      </c>
      <c r="AY565" s="39">
        <f t="shared" si="333"/>
        <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40">
        <f t="shared" si="354"/>
        <v>0</v>
      </c>
    </row>
    <row r="566" spans="1:72">
      <c r="A566" s="6"/>
      <c r="B566" s="31"/>
      <c r="C566" s="31"/>
      <c r="D566" s="1626"/>
      <c r="E566" s="32">
        <f t="shared" si="326"/>
        <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8"/>
      <c r="AU566" s="1627"/>
      <c r="AV566" s="1339">
        <f t="shared" si="330"/>
        <v>0</v>
      </c>
      <c r="AW566" s="1339">
        <f t="shared" si="331"/>
        <v>0</v>
      </c>
      <c r="AX566" s="1339">
        <f t="shared" si="332"/>
        <v>0</v>
      </c>
      <c r="AY566" s="39">
        <f t="shared" si="333"/>
        <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40">
        <f t="shared" si="354"/>
        <v>0</v>
      </c>
    </row>
    <row r="567" spans="1:72">
      <c r="A567" s="6"/>
      <c r="B567" s="31"/>
      <c r="C567" s="31"/>
      <c r="D567" s="1626"/>
      <c r="E567" s="32">
        <f t="shared" si="326"/>
        <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8"/>
      <c r="AU567" s="1627"/>
      <c r="AV567" s="1339">
        <f t="shared" si="330"/>
        <v>0</v>
      </c>
      <c r="AW567" s="1339">
        <f t="shared" si="331"/>
        <v>0</v>
      </c>
      <c r="AX567" s="1339">
        <f t="shared" si="332"/>
        <v>0</v>
      </c>
      <c r="AY567" s="39">
        <f t="shared" si="333"/>
        <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40">
        <f t="shared" si="354"/>
        <v>0</v>
      </c>
    </row>
    <row r="568" spans="1:72">
      <c r="A568" s="6"/>
      <c r="B568" s="31"/>
      <c r="C568" s="31"/>
      <c r="D568" s="1626"/>
      <c r="E568" s="32">
        <f t="shared" si="326"/>
        <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8"/>
      <c r="AU568" s="1627"/>
      <c r="AV568" s="1339">
        <f t="shared" si="330"/>
        <v>0</v>
      </c>
      <c r="AW568" s="1339">
        <f t="shared" si="331"/>
        <v>0</v>
      </c>
      <c r="AX568" s="1339">
        <f t="shared" si="332"/>
        <v>0</v>
      </c>
      <c r="AY568" s="39">
        <f t="shared" si="333"/>
        <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40">
        <f t="shared" si="354"/>
        <v>0</v>
      </c>
    </row>
    <row r="569" spans="1:72">
      <c r="A569" s="6"/>
      <c r="B569" s="31"/>
      <c r="C569" s="31"/>
      <c r="D569" s="1626"/>
      <c r="E569" s="32">
        <f t="shared" si="326"/>
        <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8"/>
      <c r="AU569" s="1627"/>
      <c r="AV569" s="1339">
        <f t="shared" si="330"/>
        <v>0</v>
      </c>
      <c r="AW569" s="1339">
        <f t="shared" si="331"/>
        <v>0</v>
      </c>
      <c r="AX569" s="1339">
        <f t="shared" si="332"/>
        <v>0</v>
      </c>
      <c r="AY569" s="39">
        <f t="shared" si="333"/>
        <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40">
        <f t="shared" si="354"/>
        <v>0</v>
      </c>
    </row>
    <row r="570" spans="1:72">
      <c r="A570" s="6"/>
      <c r="B570" s="31"/>
      <c r="C570" s="31"/>
      <c r="D570" s="1626"/>
      <c r="E570" s="32">
        <f t="shared" si="326"/>
        <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8"/>
      <c r="AU570" s="1627"/>
      <c r="AV570" s="1339">
        <f t="shared" si="330"/>
        <v>0</v>
      </c>
      <c r="AW570" s="1339">
        <f t="shared" si="331"/>
        <v>0</v>
      </c>
      <c r="AX570" s="1339">
        <f t="shared" si="332"/>
        <v>0</v>
      </c>
      <c r="AY570" s="39">
        <f t="shared" si="333"/>
        <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40">
        <f t="shared" si="354"/>
        <v>0</v>
      </c>
    </row>
    <row r="571" spans="1:72">
      <c r="A571" s="6"/>
      <c r="B571" s="31"/>
      <c r="C571" s="31"/>
      <c r="D571" s="1626"/>
      <c r="E571" s="32">
        <f t="shared" si="326"/>
        <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8"/>
      <c r="AU571" s="1627"/>
      <c r="AV571" s="1339">
        <f t="shared" si="330"/>
        <v>0</v>
      </c>
      <c r="AW571" s="1339">
        <f t="shared" si="331"/>
        <v>0</v>
      </c>
      <c r="AX571" s="1339">
        <f t="shared" si="332"/>
        <v>0</v>
      </c>
      <c r="AY571" s="39">
        <f t="shared" si="333"/>
        <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40">
        <f t="shared" si="354"/>
        <v>0</v>
      </c>
    </row>
    <row r="572" spans="1:72">
      <c r="A572" s="6"/>
      <c r="B572" s="31"/>
      <c r="C572" s="31"/>
      <c r="D572" s="1626"/>
      <c r="E572" s="32">
        <f t="shared" si="326"/>
        <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8"/>
      <c r="AU572" s="1627"/>
      <c r="AV572" s="1339">
        <f t="shared" si="330"/>
        <v>0</v>
      </c>
      <c r="AW572" s="1339">
        <f t="shared" si="331"/>
        <v>0</v>
      </c>
      <c r="AX572" s="1339">
        <f t="shared" si="332"/>
        <v>0</v>
      </c>
      <c r="AY572" s="39">
        <f t="shared" si="333"/>
        <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40">
        <f t="shared" si="354"/>
        <v>0</v>
      </c>
    </row>
    <row r="573" spans="1:72">
      <c r="A573" s="6"/>
      <c r="B573" s="31"/>
      <c r="C573" s="31"/>
      <c r="D573" s="1626"/>
      <c r="E573" s="32">
        <f t="shared" si="326"/>
        <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8"/>
      <c r="AU573" s="1627"/>
      <c r="AV573" s="1339">
        <f t="shared" si="330"/>
        <v>0</v>
      </c>
      <c r="AW573" s="1339">
        <f t="shared" si="331"/>
        <v>0</v>
      </c>
      <c r="AX573" s="1339">
        <f t="shared" si="332"/>
        <v>0</v>
      </c>
      <c r="AY573" s="39">
        <f t="shared" si="333"/>
        <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40">
        <f t="shared" si="354"/>
        <v>0</v>
      </c>
    </row>
    <row r="574" spans="1:72">
      <c r="A574" s="6"/>
      <c r="B574" s="31"/>
      <c r="C574" s="31"/>
      <c r="D574" s="1626"/>
      <c r="E574" s="32">
        <f t="shared" si="326"/>
        <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8"/>
      <c r="AU574" s="1627"/>
      <c r="AV574" s="1339">
        <f t="shared" si="330"/>
        <v>0</v>
      </c>
      <c r="AW574" s="1339">
        <f t="shared" si="331"/>
        <v>0</v>
      </c>
      <c r="AX574" s="1339">
        <f t="shared" si="332"/>
        <v>0</v>
      </c>
      <c r="AY574" s="39">
        <f t="shared" si="333"/>
        <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40">
        <f t="shared" si="354"/>
        <v>0</v>
      </c>
    </row>
    <row r="575" spans="1:72">
      <c r="A575" s="6"/>
      <c r="B575" s="31"/>
      <c r="C575" s="31"/>
      <c r="D575" s="1626"/>
      <c r="E575" s="32">
        <f t="shared" si="326"/>
        <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8"/>
      <c r="AU575" s="1627"/>
      <c r="AV575" s="1339">
        <f t="shared" si="330"/>
        <v>0</v>
      </c>
      <c r="AW575" s="1339">
        <f t="shared" si="331"/>
        <v>0</v>
      </c>
      <c r="AX575" s="1339">
        <f t="shared" si="332"/>
        <v>0</v>
      </c>
      <c r="AY575" s="39">
        <f t="shared" si="333"/>
        <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40">
        <f t="shared" si="354"/>
        <v>0</v>
      </c>
    </row>
    <row r="576" spans="1:72">
      <c r="A576" s="6"/>
      <c r="B576" s="31"/>
      <c r="C576" s="31"/>
      <c r="D576" s="1626"/>
      <c r="E576" s="32">
        <f t="shared" si="326"/>
        <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8"/>
      <c r="AU576" s="1627"/>
      <c r="AV576" s="1339">
        <f t="shared" si="330"/>
        <v>0</v>
      </c>
      <c r="AW576" s="1339">
        <f t="shared" si="331"/>
        <v>0</v>
      </c>
      <c r="AX576" s="1339">
        <f t="shared" si="332"/>
        <v>0</v>
      </c>
      <c r="AY576" s="39">
        <f t="shared" si="333"/>
        <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40">
        <f t="shared" si="354"/>
        <v>0</v>
      </c>
    </row>
    <row r="577" spans="1:72">
      <c r="A577" s="6"/>
      <c r="B577" s="31"/>
      <c r="C577" s="31"/>
      <c r="D577" s="1626"/>
      <c r="E577" s="32">
        <f t="shared" si="326"/>
        <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8"/>
      <c r="AU577" s="1627"/>
      <c r="AV577" s="1339">
        <f t="shared" si="330"/>
        <v>0</v>
      </c>
      <c r="AW577" s="1339">
        <f t="shared" si="331"/>
        <v>0</v>
      </c>
      <c r="AX577" s="1339">
        <f t="shared" si="332"/>
        <v>0</v>
      </c>
      <c r="AY577" s="39">
        <f t="shared" si="333"/>
        <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40">
        <f t="shared" si="354"/>
        <v>0</v>
      </c>
    </row>
    <row r="578" spans="1:72">
      <c r="A578" s="6"/>
      <c r="B578" s="31"/>
      <c r="C578" s="31"/>
      <c r="D578" s="1626"/>
      <c r="E578" s="32">
        <f t="shared" si="326"/>
        <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8"/>
      <c r="AU578" s="1627"/>
      <c r="AV578" s="1339">
        <f t="shared" si="330"/>
        <v>0</v>
      </c>
      <c r="AW578" s="1339">
        <f t="shared" si="331"/>
        <v>0</v>
      </c>
      <c r="AX578" s="1339">
        <f t="shared" si="332"/>
        <v>0</v>
      </c>
      <c r="AY578" s="39">
        <f t="shared" si="333"/>
        <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40">
        <f t="shared" si="354"/>
        <v>0</v>
      </c>
    </row>
    <row r="579" spans="1:72">
      <c r="A579" s="6"/>
      <c r="B579" s="31"/>
      <c r="C579" s="31"/>
      <c r="D579" s="1626"/>
      <c r="E579" s="32">
        <f t="shared" si="326"/>
        <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8"/>
      <c r="AU579" s="1627"/>
      <c r="AV579" s="1339">
        <f t="shared" si="330"/>
        <v>0</v>
      </c>
      <c r="AW579" s="1339">
        <f t="shared" si="331"/>
        <v>0</v>
      </c>
      <c r="AX579" s="1339">
        <f t="shared" si="332"/>
        <v>0</v>
      </c>
      <c r="AY579" s="39">
        <f t="shared" si="333"/>
        <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40">
        <f t="shared" si="354"/>
        <v>0</v>
      </c>
    </row>
    <row r="580" spans="1:72">
      <c r="A580" s="6"/>
      <c r="B580" s="31"/>
      <c r="C580" s="31"/>
      <c r="D580" s="1626"/>
      <c r="E580" s="32">
        <f t="shared" si="326"/>
        <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8"/>
      <c r="AU580" s="1627"/>
      <c r="AV580" s="1339">
        <f t="shared" si="330"/>
        <v>0</v>
      </c>
      <c r="AW580" s="1339">
        <f t="shared" si="331"/>
        <v>0</v>
      </c>
      <c r="AX580" s="1339">
        <f t="shared" si="332"/>
        <v>0</v>
      </c>
      <c r="AY580" s="39">
        <f t="shared" si="333"/>
        <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40">
        <f t="shared" si="354"/>
        <v>0</v>
      </c>
    </row>
    <row r="581" spans="1:72">
      <c r="A581" s="6"/>
      <c r="B581" s="31"/>
      <c r="C581" s="31"/>
      <c r="D581" s="1626"/>
      <c r="E581" s="32">
        <f t="shared" si="326"/>
        <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8"/>
      <c r="AU581" s="1627"/>
      <c r="AV581" s="1339">
        <f t="shared" si="330"/>
        <v>0</v>
      </c>
      <c r="AW581" s="1339">
        <f t="shared" si="331"/>
        <v>0</v>
      </c>
      <c r="AX581" s="1339">
        <f t="shared" si="332"/>
        <v>0</v>
      </c>
      <c r="AY581" s="39">
        <f t="shared" si="333"/>
        <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40">
        <f t="shared" si="354"/>
        <v>0</v>
      </c>
    </row>
    <row r="582" spans="1:72">
      <c r="A582" s="6"/>
      <c r="B582" s="31"/>
      <c r="C582" s="31"/>
      <c r="D582" s="1626"/>
      <c r="E582" s="32">
        <f t="shared" si="326"/>
        <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8"/>
      <c r="AU582" s="1627"/>
      <c r="AV582" s="1339">
        <f t="shared" si="330"/>
        <v>0</v>
      </c>
      <c r="AW582" s="1339">
        <f t="shared" si="331"/>
        <v>0</v>
      </c>
      <c r="AX582" s="1339">
        <f t="shared" si="332"/>
        <v>0</v>
      </c>
      <c r="AY582" s="39">
        <f t="shared" si="333"/>
        <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40">
        <f t="shared" si="354"/>
        <v>0</v>
      </c>
    </row>
    <row r="583" spans="1:72">
      <c r="A583" s="6"/>
      <c r="B583" s="31"/>
      <c r="C583" s="31"/>
      <c r="D583" s="1626"/>
      <c r="E583" s="32">
        <f t="shared" si="326"/>
        <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8"/>
      <c r="AU583" s="1627"/>
      <c r="AV583" s="1339">
        <f t="shared" si="330"/>
        <v>0</v>
      </c>
      <c r="AW583" s="1339">
        <f t="shared" si="331"/>
        <v>0</v>
      </c>
      <c r="AX583" s="1339">
        <f t="shared" si="332"/>
        <v>0</v>
      </c>
      <c r="AY583" s="39">
        <f t="shared" si="333"/>
        <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40">
        <f t="shared" si="354"/>
        <v>0</v>
      </c>
    </row>
    <row r="584" spans="1:72">
      <c r="A584" s="6"/>
      <c r="B584" s="31"/>
      <c r="C584" s="31"/>
      <c r="D584" s="1626"/>
      <c r="E584" s="32">
        <f t="shared" si="326"/>
        <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8"/>
      <c r="AU584" s="1627"/>
      <c r="AV584" s="1339">
        <f t="shared" si="330"/>
        <v>0</v>
      </c>
      <c r="AW584" s="1339">
        <f t="shared" si="331"/>
        <v>0</v>
      </c>
      <c r="AX584" s="1339">
        <f t="shared" si="332"/>
        <v>0</v>
      </c>
      <c r="AY584" s="39">
        <f t="shared" si="333"/>
        <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40">
        <f t="shared" si="354"/>
        <v>0</v>
      </c>
    </row>
    <row r="585" spans="1:72">
      <c r="A585" s="6"/>
      <c r="B585" s="6"/>
      <c r="C585" s="6"/>
      <c r="D585" s="1626"/>
      <c r="E585" s="32">
        <f t="shared" si="326"/>
        <v>0</v>
      </c>
      <c r="F585" s="41"/>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1567"/>
      <c r="AV585" s="1339">
        <f t="shared" si="330"/>
        <v>0</v>
      </c>
      <c r="AW585" s="1339">
        <f t="shared" si="331"/>
        <v>0</v>
      </c>
      <c r="AX585" s="1339">
        <f t="shared" si="332"/>
        <v>0</v>
      </c>
      <c r="AY585" s="39">
        <f>ROUND($AY$6*AZ585/$AZ$5,2)</f>
        <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40">
        <f>IF($D585="是",AR585-AS585,0)</f>
        <v>0</v>
      </c>
    </row>
    <row r="586" spans="1:72">
      <c r="A586" s="6"/>
      <c r="B586" s="6"/>
      <c r="C586" s="6"/>
      <c r="D586" s="1626"/>
      <c r="E586" s="32">
        <f t="shared" si="326"/>
        <v>0</v>
      </c>
      <c r="F586" s="41"/>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1567"/>
      <c r="AV586" s="1339">
        <f t="shared" si="330"/>
        <v>0</v>
      </c>
      <c r="AW586" s="1339">
        <f t="shared" si="331"/>
        <v>0</v>
      </c>
      <c r="AX586" s="1339">
        <f t="shared" si="332"/>
        <v>0</v>
      </c>
      <c r="AY586" s="39">
        <f>ROUND($AY$6*AZ586/$AZ$5,2)</f>
        <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40">
        <f>IF($D586="是",AR586-AS586,0)</f>
        <v>0</v>
      </c>
    </row>
    <row r="587" spans="1:72">
      <c r="A587" s="6"/>
      <c r="B587" s="6"/>
      <c r="C587" s="6"/>
      <c r="D587" s="1626"/>
      <c r="E587" s="32">
        <f t="shared" si="326"/>
        <v>0</v>
      </c>
      <c r="F587" s="41"/>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1567"/>
      <c r="AV587" s="1339">
        <f t="shared" si="330"/>
        <v>0</v>
      </c>
      <c r="AW587" s="1339">
        <f t="shared" si="331"/>
        <v>0</v>
      </c>
      <c r="AX587" s="1339">
        <f t="shared" si="332"/>
        <v>0</v>
      </c>
      <c r="AY587" s="39">
        <f>ROUND($AY$6*AZ587/$AZ$5,2)</f>
        <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40">
        <f>IF($D587="是",AR587-AS587,0)</f>
        <v>0</v>
      </c>
    </row>
    <row r="588" spans="1:72" s="1630" customFormat="1">
      <c r="A588" s="1628"/>
      <c r="B588" s="1628"/>
      <c r="C588" s="1628"/>
      <c r="D588" s="1628"/>
      <c r="E588" s="1629"/>
      <c r="F588" s="1629"/>
      <c r="G588" s="1628"/>
      <c r="H588" s="1629"/>
      <c r="I588" s="1629"/>
      <c r="J588" s="1629"/>
      <c r="K588" s="1629"/>
      <c r="L588" s="1629"/>
      <c r="M588" s="1629"/>
      <c r="N588" s="1629"/>
      <c r="O588" s="1629"/>
      <c r="P588" s="1629"/>
      <c r="Q588" s="1629"/>
      <c r="R588" s="1629"/>
      <c r="S588" s="1629"/>
      <c r="T588" s="1629"/>
      <c r="U588" s="1629"/>
      <c r="V588" s="1629"/>
      <c r="W588" s="1629"/>
      <c r="X588" s="1629"/>
      <c r="Y588" s="1629"/>
      <c r="Z588" s="1629"/>
      <c r="AA588" s="1629"/>
      <c r="AB588" s="1629"/>
      <c r="AC588" s="1629"/>
      <c r="AD588" s="1629"/>
      <c r="AE588" s="1629"/>
      <c r="AF588" s="1629"/>
      <c r="AG588" s="1629"/>
      <c r="AH588" s="1629"/>
      <c r="AI588" s="1629"/>
      <c r="AJ588" s="1629"/>
      <c r="AK588" s="1629"/>
      <c r="AL588" s="1629"/>
      <c r="AM588" s="1629"/>
      <c r="AN588" s="1629"/>
      <c r="AO588" s="1629"/>
      <c r="AP588" s="1629"/>
      <c r="AQ588" s="1629"/>
      <c r="AR588" s="1629"/>
      <c r="AS588" s="1629"/>
      <c r="AT588" s="1629"/>
      <c r="AU588" s="1628"/>
      <c r="AV588" s="1628"/>
      <c r="AW588" s="1628"/>
      <c r="AX588" s="1628"/>
    </row>
    <row r="589" spans="1:72" s="1631" customFormat="1">
      <c r="C589" s="1632"/>
      <c r="D589" s="1632"/>
    </row>
    <row r="590" spans="1:72" s="1631" customFormat="1">
      <c r="C590" s="1632"/>
      <c r="D590" s="1632"/>
    </row>
    <row r="593" spans="2:2">
      <c r="B593" s="1632"/>
    </row>
  </sheetData>
  <sheetProtection password="CEE9" sheet="1" objects="1" scenarios="1" formatCells="0" formatColumns="0" formatRows="0"/>
  <phoneticPr fontId="3" type="noConversion"/>
  <dataValidations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7"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70" zoomScaleSheetLayoutView="70" workbookViewId="0">
      <selection activeCell="H27" sqref="H27"/>
    </sheetView>
  </sheetViews>
  <sheetFormatPr defaultColWidth="9.125" defaultRowHeight="14.25"/>
  <cols>
    <col min="1" max="1" width="12.125" style="1634" customWidth="1"/>
    <col min="2" max="2" width="10.125" style="1634" customWidth="1"/>
    <col min="3" max="3" width="18.5" style="1634" customWidth="1"/>
    <col min="4" max="4" width="11.625" style="1634" customWidth="1"/>
    <col min="5" max="5" width="13.375" style="1634" customWidth="1"/>
    <col min="6" max="8" width="11.5" style="1634" customWidth="1"/>
    <col min="9" max="9" width="11.125" style="1634" customWidth="1"/>
    <col min="10" max="10" width="3.125" style="2641" customWidth="1"/>
    <col min="11" max="16" width="10" style="1634" customWidth="1"/>
    <col min="17" max="17" width="2.625" style="1634" customWidth="1"/>
    <col min="18" max="18" width="9.375" style="1634" bestFit="1" customWidth="1"/>
    <col min="19" max="19" width="10.5" style="1634" bestFit="1" customWidth="1"/>
    <col min="20" max="16384" width="9.125" style="1634"/>
  </cols>
  <sheetData>
    <row r="1" spans="1:16" ht="19.5" thickBot="1">
      <c r="A1" s="1633" t="s">
        <v>1130</v>
      </c>
      <c r="B1" s="1135"/>
      <c r="C1" s="1135"/>
      <c r="D1" s="1135"/>
      <c r="E1" s="1135"/>
      <c r="F1" s="1135"/>
      <c r="G1" s="1135"/>
      <c r="H1" s="1135"/>
      <c r="I1" s="1135"/>
      <c r="J1" s="1135"/>
      <c r="K1" s="1135"/>
      <c r="L1" s="1135"/>
      <c r="M1" s="1135"/>
      <c r="N1" s="1135"/>
      <c r="O1" s="1135"/>
      <c r="P1" s="1135"/>
    </row>
    <row r="2" spans="1:16" ht="15">
      <c r="A2" s="3607" t="s">
        <v>1131</v>
      </c>
      <c r="B2" s="3607"/>
      <c r="C2" s="3607"/>
      <c r="D2" s="792" t="s">
        <v>1107</v>
      </c>
      <c r="E2" s="1635" t="s">
        <v>1108</v>
      </c>
      <c r="F2" s="2651"/>
      <c r="G2" s="2642"/>
      <c r="H2" s="2643"/>
      <c r="I2" s="2318" t="s">
        <v>1132</v>
      </c>
      <c r="J2" s="2651"/>
      <c r="K2" s="2651"/>
      <c r="L2" s="2651"/>
      <c r="M2" s="2651"/>
      <c r="N2" s="2653"/>
      <c r="O2" s="2651"/>
      <c r="P2" s="2651"/>
    </row>
    <row r="3" spans="1:16" ht="15.75" thickBot="1">
      <c r="A3" s="3608" t="s">
        <v>1105</v>
      </c>
      <c r="B3" s="3608"/>
      <c r="C3" s="3608"/>
      <c r="D3" s="43">
        <f>'数据-基础表'!AY6</f>
        <v>0.45</v>
      </c>
      <c r="E3" s="43">
        <f>'数据-基础表'!AZ5</f>
        <v>1</v>
      </c>
      <c r="F3" s="2651"/>
      <c r="G3" s="1141"/>
      <c r="H3" s="1022" t="s">
        <v>1106</v>
      </c>
      <c r="I3" s="851">
        <f>ROUND('数据-基础表'!B3/'数据-基础表'!A3,2)</f>
        <v>2.2000000000000002</v>
      </c>
      <c r="J3" s="2651"/>
      <c r="K3" s="2651"/>
      <c r="L3" s="2651"/>
      <c r="M3" s="2651"/>
      <c r="N3" s="2653"/>
      <c r="O3" s="2651"/>
      <c r="P3" s="2651"/>
    </row>
    <row r="4" spans="1:16" ht="15">
      <c r="A4" s="3609"/>
      <c r="B4" s="3610"/>
      <c r="C4" s="3611"/>
      <c r="D4" s="1637" t="s">
        <v>1107</v>
      </c>
      <c r="E4" s="1638" t="s">
        <v>1108</v>
      </c>
      <c r="F4" s="2651"/>
      <c r="G4" s="2644" t="s">
        <v>1133</v>
      </c>
      <c r="H4" s="1022" t="s">
        <v>1113</v>
      </c>
      <c r="I4" s="851">
        <f>ROUND(SUMIF('数据-基础表'!I9:AS9,"地上",'数据-基础表'!I5:AS5)/'数据-基础表'!A3,2)</f>
        <v>2.2000000000000002</v>
      </c>
      <c r="J4" s="2651"/>
      <c r="K4" s="2651"/>
      <c r="L4" s="2651"/>
      <c r="M4" s="2651"/>
      <c r="N4" s="2653"/>
      <c r="O4" s="2651"/>
      <c r="P4" s="2651"/>
    </row>
    <row r="5" spans="1:16">
      <c r="A5" s="44" t="s">
        <v>1109</v>
      </c>
      <c r="B5" s="3612" t="s">
        <v>1110</v>
      </c>
      <c r="C5" s="3612"/>
      <c r="D5" s="45">
        <f>ROUND($D$3*E5/$E$3,2)</f>
        <v>0.45</v>
      </c>
      <c r="E5" s="46">
        <f>SUMIF('数据-基础表'!$11:$11,"住宅",'数据-基础表'!$5:$5)</f>
        <v>1</v>
      </c>
      <c r="F5" s="2651"/>
      <c r="G5" s="1141"/>
      <c r="H5" s="1022" t="s">
        <v>1106</v>
      </c>
      <c r="I5" s="851">
        <f>ROUND(E31/D31,2)</f>
        <v>2.2200000000000002</v>
      </c>
      <c r="J5" s="2651"/>
      <c r="K5" s="2651"/>
      <c r="L5" s="2651"/>
      <c r="M5" s="2651"/>
      <c r="N5" s="2651"/>
      <c r="O5" s="2651"/>
      <c r="P5" s="2651"/>
    </row>
    <row r="6" spans="1:16" ht="15" thickBot="1">
      <c r="A6" s="1640"/>
      <c r="B6" s="3612" t="s">
        <v>1111</v>
      </c>
      <c r="C6" s="3612"/>
      <c r="D6" s="45">
        <f>ROUND($D$3*E6/$E$3,2)</f>
        <v>0</v>
      </c>
      <c r="E6" s="46">
        <f>E3-E5</f>
        <v>0</v>
      </c>
      <c r="F6" s="2651"/>
      <c r="G6" s="2645" t="s">
        <v>1112</v>
      </c>
      <c r="H6" s="1142" t="s">
        <v>1113</v>
      </c>
      <c r="I6" s="2646">
        <f>ROUND(F31/D31,2)</f>
        <v>2.2200000000000002</v>
      </c>
      <c r="J6" s="2651"/>
      <c r="K6" s="2651"/>
      <c r="L6" s="2651"/>
      <c r="M6" s="2651"/>
      <c r="N6" s="2651"/>
      <c r="O6" s="2651"/>
      <c r="P6" s="2651"/>
    </row>
    <row r="7" spans="1:16" ht="15.75" thickBot="1">
      <c r="A7" s="3604"/>
      <c r="B7" s="3605"/>
      <c r="C7" s="3606"/>
      <c r="D7" s="1637" t="s">
        <v>1107</v>
      </c>
      <c r="E7" s="1641" t="s">
        <v>1114</v>
      </c>
      <c r="F7" s="2651"/>
      <c r="G7" s="2647" t="s">
        <v>1115</v>
      </c>
      <c r="H7" s="2648"/>
      <c r="I7" s="2649"/>
      <c r="J7" s="2651"/>
      <c r="K7" s="2651"/>
      <c r="L7" s="2651"/>
      <c r="M7" s="2651"/>
      <c r="N7" s="2651"/>
      <c r="O7" s="2651"/>
      <c r="P7" s="2651"/>
    </row>
    <row r="8" spans="1:16">
      <c r="A8" s="44" t="s">
        <v>1116</v>
      </c>
      <c r="B8" s="47" t="s">
        <v>1117</v>
      </c>
      <c r="C8" s="45" t="s">
        <v>1118</v>
      </c>
      <c r="D8" s="45">
        <f t="shared" ref="D8:D15" si="0">ROUND($D$3*E8/$E$3,2)</f>
        <v>0.45</v>
      </c>
      <c r="E8" s="48">
        <f>SUMIF('数据-基础表'!BB10:BK10,"地上",'数据-基础表'!BB5:BK5)</f>
        <v>1</v>
      </c>
      <c r="F8" s="2651"/>
      <c r="G8" s="2652"/>
      <c r="H8" s="2652"/>
      <c r="I8" s="2651"/>
      <c r="J8" s="2651"/>
      <c r="K8" s="2651"/>
      <c r="L8" s="2651"/>
      <c r="M8" s="2651"/>
      <c r="N8" s="2651"/>
      <c r="O8" s="2651"/>
      <c r="P8" s="2651"/>
    </row>
    <row r="9" spans="1:16">
      <c r="A9" s="1642"/>
      <c r="B9" s="1643"/>
      <c r="C9" s="45" t="s">
        <v>1119</v>
      </c>
      <c r="D9" s="45">
        <f t="shared" si="0"/>
        <v>0</v>
      </c>
      <c r="E9" s="49">
        <v>0</v>
      </c>
      <c r="F9" s="2651"/>
      <c r="G9" s="2652"/>
      <c r="H9" s="2652"/>
      <c r="I9" s="2651"/>
      <c r="J9" s="2651"/>
      <c r="K9" s="2651"/>
      <c r="L9" s="2651"/>
      <c r="M9" s="2651"/>
      <c r="N9" s="2651"/>
      <c r="O9" s="2651"/>
      <c r="P9" s="2651"/>
    </row>
    <row r="10" spans="1:16">
      <c r="A10" s="1642"/>
      <c r="B10" s="1643"/>
      <c r="C10" s="45" t="s">
        <v>1128</v>
      </c>
      <c r="D10" s="45">
        <f t="shared" si="0"/>
        <v>0</v>
      </c>
      <c r="E10" s="48">
        <f>SUMPRODUCT(('数据-基础表'!BB10:BK10="地下")*('数据-基础表'!BB11:BK11="商业")*('数据-基础表'!BB5:BK5))</f>
        <v>0</v>
      </c>
      <c r="F10" s="2651"/>
      <c r="G10" s="2652"/>
      <c r="H10" s="2652"/>
      <c r="I10" s="2651"/>
      <c r="J10" s="2651"/>
      <c r="K10" s="2651"/>
      <c r="L10" s="2651"/>
      <c r="M10" s="2651"/>
      <c r="N10" s="2651"/>
      <c r="O10" s="2651"/>
      <c r="P10" s="2651"/>
    </row>
    <row r="11" spans="1:16">
      <c r="A11" s="1642"/>
      <c r="B11" s="1643"/>
      <c r="C11" s="45" t="s">
        <v>1120</v>
      </c>
      <c r="D11" s="45">
        <f t="shared" si="0"/>
        <v>0</v>
      </c>
      <c r="E11" s="48">
        <f>SUMPRODUCT(('数据-基础表'!BB10:BK10="地下")*('数据-基础表'!BB11:BK11="办公")*('数据-基础表'!BB5:BK5))+'数据-基础表'!BP5</f>
        <v>0</v>
      </c>
      <c r="F11" s="2651"/>
      <c r="G11" s="2652"/>
      <c r="H11" s="2652"/>
      <c r="I11" s="2651"/>
      <c r="J11" s="2651"/>
      <c r="K11" s="2651"/>
      <c r="L11" s="2651"/>
      <c r="M11" s="2651"/>
      <c r="N11" s="2651"/>
      <c r="O11" s="2651"/>
      <c r="P11" s="2651"/>
    </row>
    <row r="12" spans="1:16">
      <c r="A12" s="1642"/>
      <c r="B12" s="1643"/>
      <c r="C12" s="45" t="s">
        <v>1121</v>
      </c>
      <c r="D12" s="45">
        <f t="shared" si="0"/>
        <v>0</v>
      </c>
      <c r="E12" s="48">
        <f>SUMPRODUCT(('数据-基础表'!BB10:BK10="地下")*('数据-基础表'!BB11:BK11="仓储")*('数据-基础表'!BB5:BK5))</f>
        <v>0</v>
      </c>
      <c r="F12" s="2651"/>
      <c r="G12" s="2652"/>
      <c r="H12" s="2652"/>
      <c r="I12" s="2651"/>
      <c r="J12" s="2651"/>
      <c r="K12" s="2651"/>
      <c r="L12" s="2651"/>
      <c r="M12" s="2651"/>
      <c r="N12" s="2651"/>
      <c r="O12" s="2651"/>
      <c r="P12" s="2651"/>
    </row>
    <row r="13" spans="1:16">
      <c r="A13" s="1642"/>
      <c r="B13" s="1643"/>
      <c r="C13" s="45" t="s">
        <v>1122</v>
      </c>
      <c r="D13" s="45">
        <f t="shared" si="0"/>
        <v>0</v>
      </c>
      <c r="E13" s="48">
        <f>SUMPRODUCT(('数据-基础表'!BB10:BK10="地下")*('数据-基础表'!BB11:BK11="车库")*('数据-基础表'!BB5:BK5))</f>
        <v>0</v>
      </c>
      <c r="F13" s="2651"/>
      <c r="G13" s="2652"/>
      <c r="H13" s="2652"/>
      <c r="I13" s="2651"/>
      <c r="J13" s="2651"/>
      <c r="K13" s="2651"/>
      <c r="L13" s="2651"/>
      <c r="M13" s="2651"/>
      <c r="N13" s="2651"/>
      <c r="O13" s="2651"/>
      <c r="P13" s="2651"/>
    </row>
    <row r="14" spans="1:16">
      <c r="A14" s="1642"/>
      <c r="B14" s="1643"/>
      <c r="C14" s="45" t="s">
        <v>1134</v>
      </c>
      <c r="D14" s="45">
        <f t="shared" si="0"/>
        <v>0</v>
      </c>
      <c r="E14" s="48">
        <f>SUMPRODUCT(('数据-基础表'!BB10:BK10="地下")*('数据-基础表'!BB11:BK11="车库—商业")*('数据-基础表'!BB5:BK5))</f>
        <v>0</v>
      </c>
      <c r="F14" s="2651"/>
      <c r="G14" s="2652"/>
      <c r="H14" s="2652"/>
      <c r="I14" s="2651"/>
      <c r="J14" s="2651"/>
      <c r="K14" s="2651"/>
      <c r="L14" s="2651"/>
      <c r="M14" s="2651"/>
      <c r="N14" s="2651"/>
      <c r="O14" s="2651"/>
      <c r="P14" s="2651"/>
    </row>
    <row r="15" spans="1:16" ht="15" thickBot="1">
      <c r="A15" s="1642"/>
      <c r="B15" s="1643"/>
      <c r="C15" s="45" t="s">
        <v>1129</v>
      </c>
      <c r="D15" s="45">
        <f t="shared" si="0"/>
        <v>0</v>
      </c>
      <c r="E15" s="48">
        <f>SUMPRODUCT(('数据-基础表'!BB10:BK10="地下")*('数据-基础表'!BB11:BK11="车库—办公")*('数据-基础表'!BB5:BK5))</f>
        <v>0</v>
      </c>
      <c r="F15" s="2651"/>
      <c r="G15" s="2652"/>
      <c r="H15" s="2652"/>
      <c r="I15" s="2651"/>
      <c r="J15" s="2651"/>
      <c r="K15" s="2651"/>
      <c r="L15" s="2651"/>
      <c r="M15" s="2651"/>
      <c r="N15" s="2651"/>
      <c r="O15" s="2651"/>
      <c r="P15" s="2651"/>
    </row>
    <row r="16" spans="1:16" ht="15.75" thickBot="1">
      <c r="A16" s="1640"/>
      <c r="B16" s="1643"/>
      <c r="C16" s="47" t="s">
        <v>1123</v>
      </c>
      <c r="D16" s="47">
        <f>SUM(D8:D15)</f>
        <v>0.45</v>
      </c>
      <c r="E16" s="50">
        <f>SUM(E8:E15)</f>
        <v>1</v>
      </c>
      <c r="F16" s="2651"/>
      <c r="G16" s="2652"/>
      <c r="H16" s="1644" t="s">
        <v>1135</v>
      </c>
      <c r="I16" s="1645"/>
      <c r="J16" s="1135"/>
      <c r="K16" s="3601" t="s">
        <v>1135</v>
      </c>
      <c r="L16" s="3602"/>
      <c r="M16" s="3602"/>
      <c r="N16" s="3602"/>
      <c r="O16" s="3602"/>
      <c r="P16" s="3603"/>
    </row>
    <row r="17" spans="1:19" ht="15">
      <c r="A17" s="1646" t="s">
        <v>1136</v>
      </c>
      <c r="B17" s="1647" t="s">
        <v>1137</v>
      </c>
      <c r="C17" s="1648" t="s">
        <v>1138</v>
      </c>
      <c r="D17" s="1649" t="s">
        <v>1126</v>
      </c>
      <c r="E17" s="1650" t="s">
        <v>1127</v>
      </c>
      <c r="F17" s="1651"/>
      <c r="G17" s="1652"/>
      <c r="H17" s="1653" t="s">
        <v>1139</v>
      </c>
      <c r="I17" s="1654" t="s">
        <v>1124</v>
      </c>
      <c r="J17" s="1135"/>
      <c r="K17" s="3598" t="s">
        <v>1140</v>
      </c>
      <c r="L17" s="3599"/>
      <c r="M17" s="3600"/>
      <c r="N17" s="3598" t="s">
        <v>1141</v>
      </c>
      <c r="O17" s="3599"/>
      <c r="P17" s="3600"/>
      <c r="R17" s="1636" t="s">
        <v>1142</v>
      </c>
      <c r="S17" s="56"/>
    </row>
    <row r="18" spans="1:19" ht="15">
      <c r="A18" s="1642"/>
      <c r="B18" s="1655"/>
      <c r="C18" s="1656"/>
      <c r="D18" s="1657"/>
      <c r="E18" s="1658" t="s">
        <v>1143</v>
      </c>
      <c r="F18" s="1659" t="s">
        <v>1144</v>
      </c>
      <c r="G18" s="1660" t="s">
        <v>1145</v>
      </c>
      <c r="H18" s="1037" t="s">
        <v>1146</v>
      </c>
      <c r="I18" s="1661" t="s">
        <v>1147</v>
      </c>
      <c r="J18" s="1135"/>
      <c r="K18" s="1037" t="s">
        <v>1148</v>
      </c>
      <c r="L18" s="1662" t="s">
        <v>1149</v>
      </c>
      <c r="M18" s="851" t="s">
        <v>1150</v>
      </c>
      <c r="N18" s="1037" t="s">
        <v>1148</v>
      </c>
      <c r="O18" s="1662" t="s">
        <v>1149</v>
      </c>
      <c r="P18" s="851" t="s">
        <v>1150</v>
      </c>
      <c r="R18" s="1022" t="s">
        <v>1151</v>
      </c>
      <c r="S18" s="1022" t="s">
        <v>1152</v>
      </c>
    </row>
    <row r="19" spans="1:19">
      <c r="A19" s="1663"/>
      <c r="B19" s="47" t="s">
        <v>1125</v>
      </c>
      <c r="C19" s="3409" t="s">
        <v>3392</v>
      </c>
      <c r="D19" s="45">
        <f>ROUND($D$3*E19/$E$3,2)</f>
        <v>0.45</v>
      </c>
      <c r="E19" s="53">
        <f t="shared" ref="E19:E26" si="1">SUM(F19:G19)</f>
        <v>1</v>
      </c>
      <c r="F19" s="2787">
        <f>'数据-基础表'!I13</f>
        <v>1</v>
      </c>
      <c r="G19" s="2788"/>
      <c r="H19" s="667">
        <f>ROUND($D$3*I19/$E$3,2)</f>
        <v>0</v>
      </c>
      <c r="I19" s="48">
        <f t="shared" ref="I19:I26" si="2">IF($I$17="自定义",P19,M19)</f>
        <v>0</v>
      </c>
      <c r="J19" s="1135"/>
      <c r="K19" s="1134">
        <f t="shared" ref="K19:K26" si="3">ROUND(E$28*E19/E$27,2)</f>
        <v>0</v>
      </c>
      <c r="L19" s="1022">
        <f t="shared" ref="L19:L26" si="4">ROUND(IF(COUNTIF(C19,"*住宅*")&gt;0,E$29*E19/E$32,0),2)</f>
        <v>0</v>
      </c>
      <c r="M19" s="1146">
        <f>K19+L19</f>
        <v>0</v>
      </c>
      <c r="N19" s="1664"/>
      <c r="O19" s="1665"/>
      <c r="P19" s="1146">
        <f>N19+O19</f>
        <v>0</v>
      </c>
      <c r="R19" s="1022">
        <f t="shared" ref="R19:S26" si="5">D19+H19</f>
        <v>0.45</v>
      </c>
      <c r="S19" s="1023">
        <f t="shared" si="5"/>
        <v>1</v>
      </c>
    </row>
    <row r="20" spans="1:19">
      <c r="A20" s="1666"/>
      <c r="B20" s="47" t="s">
        <v>1153</v>
      </c>
      <c r="C20" s="3409"/>
      <c r="D20" s="45">
        <f t="shared" ref="D20:D26" si="6">ROUND($D$3*E20/$E$3,2)</f>
        <v>0</v>
      </c>
      <c r="E20" s="53">
        <f t="shared" si="1"/>
        <v>0</v>
      </c>
      <c r="F20" s="2787"/>
      <c r="G20" s="2788"/>
      <c r="H20" s="667">
        <f t="shared" ref="H20:H26" si="7">ROUND($D$3*I20/$E$3,2)</f>
        <v>0</v>
      </c>
      <c r="I20" s="48">
        <f t="shared" si="2"/>
        <v>0</v>
      </c>
      <c r="J20" s="1135"/>
      <c r="K20" s="1134">
        <f t="shared" si="3"/>
        <v>0</v>
      </c>
      <c r="L20" s="1022">
        <f t="shared" si="4"/>
        <v>0</v>
      </c>
      <c r="M20" s="1146">
        <f t="shared" ref="M20:M26" si="8">K20+L20</f>
        <v>0</v>
      </c>
      <c r="N20" s="1664"/>
      <c r="O20" s="1665"/>
      <c r="P20" s="1146">
        <f t="shared" ref="P20:P26" si="9">N20+O20</f>
        <v>0</v>
      </c>
      <c r="R20" s="1022">
        <f t="shared" si="5"/>
        <v>0</v>
      </c>
      <c r="S20" s="1023">
        <f t="shared" si="5"/>
        <v>0</v>
      </c>
    </row>
    <row r="21" spans="1:19">
      <c r="A21" s="1666"/>
      <c r="B21" s="47" t="s">
        <v>1153</v>
      </c>
      <c r="C21" s="3409"/>
      <c r="D21" s="45">
        <f t="shared" si="6"/>
        <v>0</v>
      </c>
      <c r="E21" s="53">
        <f t="shared" si="1"/>
        <v>0</v>
      </c>
      <c r="F21" s="2787"/>
      <c r="G21" s="2788"/>
      <c r="H21" s="667">
        <f t="shared" si="7"/>
        <v>0</v>
      </c>
      <c r="I21" s="48">
        <f t="shared" si="2"/>
        <v>0</v>
      </c>
      <c r="J21" s="1135"/>
      <c r="K21" s="1134">
        <f t="shared" si="3"/>
        <v>0</v>
      </c>
      <c r="L21" s="1022">
        <f t="shared" si="4"/>
        <v>0</v>
      </c>
      <c r="M21" s="1146">
        <f t="shared" si="8"/>
        <v>0</v>
      </c>
      <c r="N21" s="1664"/>
      <c r="O21" s="1665"/>
      <c r="P21" s="1146">
        <f t="shared" si="9"/>
        <v>0</v>
      </c>
      <c r="R21" s="1022">
        <f t="shared" si="5"/>
        <v>0</v>
      </c>
      <c r="S21" s="1023">
        <f t="shared" si="5"/>
        <v>0</v>
      </c>
    </row>
    <row r="22" spans="1:19">
      <c r="A22" s="1666"/>
      <c r="B22" s="47" t="s">
        <v>1153</v>
      </c>
      <c r="C22" s="3410"/>
      <c r="D22" s="45">
        <f t="shared" si="6"/>
        <v>0</v>
      </c>
      <c r="E22" s="53">
        <f t="shared" si="1"/>
        <v>0</v>
      </c>
      <c r="F22" s="2789"/>
      <c r="G22" s="2790"/>
      <c r="H22" s="667">
        <f t="shared" si="7"/>
        <v>0</v>
      </c>
      <c r="I22" s="48">
        <f t="shared" si="2"/>
        <v>0</v>
      </c>
      <c r="J22" s="1135"/>
      <c r="K22" s="1134">
        <f t="shared" si="3"/>
        <v>0</v>
      </c>
      <c r="L22" s="1022">
        <f t="shared" si="4"/>
        <v>0</v>
      </c>
      <c r="M22" s="1146">
        <f t="shared" si="8"/>
        <v>0</v>
      </c>
      <c r="N22" s="1664"/>
      <c r="O22" s="1665"/>
      <c r="P22" s="1146">
        <f t="shared" si="9"/>
        <v>0</v>
      </c>
      <c r="R22" s="1022">
        <f t="shared" si="5"/>
        <v>0</v>
      </c>
      <c r="S22" s="1023">
        <f t="shared" si="5"/>
        <v>0</v>
      </c>
    </row>
    <row r="23" spans="1:19">
      <c r="A23" s="1666"/>
      <c r="B23" s="47" t="s">
        <v>1153</v>
      </c>
      <c r="C23" s="3410"/>
      <c r="D23" s="45">
        <f>ROUND($D$3*E23/$E$3,2)</f>
        <v>0</v>
      </c>
      <c r="E23" s="53">
        <f>SUM(F23:G23)</f>
        <v>0</v>
      </c>
      <c r="F23" s="2789"/>
      <c r="G23" s="2790"/>
      <c r="H23" s="667">
        <f>ROUND($D$3*I23/$E$3,2)</f>
        <v>0</v>
      </c>
      <c r="I23" s="48">
        <f t="shared" si="2"/>
        <v>0</v>
      </c>
      <c r="J23" s="1135"/>
      <c r="K23" s="1134">
        <f t="shared" si="3"/>
        <v>0</v>
      </c>
      <c r="L23" s="1022">
        <f t="shared" si="4"/>
        <v>0</v>
      </c>
      <c r="M23" s="1146">
        <f t="shared" si="8"/>
        <v>0</v>
      </c>
      <c r="N23" s="1664"/>
      <c r="O23" s="1665"/>
      <c r="P23" s="1146">
        <f t="shared" si="9"/>
        <v>0</v>
      </c>
      <c r="R23" s="1022">
        <f t="shared" si="5"/>
        <v>0</v>
      </c>
      <c r="S23" s="1023">
        <f t="shared" si="5"/>
        <v>0</v>
      </c>
    </row>
    <row r="24" spans="1:19">
      <c r="A24" s="1666"/>
      <c r="B24" s="47" t="s">
        <v>1153</v>
      </c>
      <c r="C24" s="3410"/>
      <c r="D24" s="45">
        <f>ROUND($D$3*E24/$E$3,2)</f>
        <v>0</v>
      </c>
      <c r="E24" s="53">
        <f>SUM(F24:G24)</f>
        <v>0</v>
      </c>
      <c r="F24" s="2789"/>
      <c r="G24" s="2790"/>
      <c r="H24" s="667">
        <f>ROUND($D$3*I24/$E$3,2)</f>
        <v>0</v>
      </c>
      <c r="I24" s="48">
        <f t="shared" si="2"/>
        <v>0</v>
      </c>
      <c r="J24" s="1135"/>
      <c r="K24" s="1134">
        <f t="shared" si="3"/>
        <v>0</v>
      </c>
      <c r="L24" s="1022">
        <f t="shared" si="4"/>
        <v>0</v>
      </c>
      <c r="M24" s="1146">
        <f t="shared" si="8"/>
        <v>0</v>
      </c>
      <c r="N24" s="1664"/>
      <c r="O24" s="1665"/>
      <c r="P24" s="1146">
        <f t="shared" si="9"/>
        <v>0</v>
      </c>
      <c r="R24" s="1022">
        <f t="shared" si="5"/>
        <v>0</v>
      </c>
      <c r="S24" s="1023">
        <f t="shared" si="5"/>
        <v>0</v>
      </c>
    </row>
    <row r="25" spans="1:19">
      <c r="A25" s="1666"/>
      <c r="B25" s="47" t="s">
        <v>1153</v>
      </c>
      <c r="C25" s="3410"/>
      <c r="D25" s="45">
        <f t="shared" si="6"/>
        <v>0</v>
      </c>
      <c r="E25" s="53">
        <f t="shared" si="1"/>
        <v>0</v>
      </c>
      <c r="F25" s="2789"/>
      <c r="G25" s="2790"/>
      <c r="H25" s="44">
        <f t="shared" si="7"/>
        <v>0</v>
      </c>
      <c r="I25" s="48">
        <f t="shared" si="2"/>
        <v>0</v>
      </c>
      <c r="J25" s="1135"/>
      <c r="K25" s="1134">
        <f t="shared" si="3"/>
        <v>0</v>
      </c>
      <c r="L25" s="1022">
        <f t="shared" si="4"/>
        <v>0</v>
      </c>
      <c r="M25" s="1146">
        <f t="shared" si="8"/>
        <v>0</v>
      </c>
      <c r="N25" s="1664"/>
      <c r="O25" s="1665"/>
      <c r="P25" s="1146">
        <f t="shared" si="9"/>
        <v>0</v>
      </c>
      <c r="R25" s="1022">
        <f t="shared" si="5"/>
        <v>0</v>
      </c>
      <c r="S25" s="1023">
        <f t="shared" si="5"/>
        <v>0</v>
      </c>
    </row>
    <row r="26" spans="1:19">
      <c r="A26" s="1666"/>
      <c r="B26" s="47" t="s">
        <v>1153</v>
      </c>
      <c r="C26" s="55"/>
      <c r="D26" s="45">
        <f t="shared" si="6"/>
        <v>0</v>
      </c>
      <c r="E26" s="53">
        <f t="shared" si="1"/>
        <v>0</v>
      </c>
      <c r="F26" s="2789"/>
      <c r="G26" s="2790"/>
      <c r="H26" s="44">
        <f t="shared" si="7"/>
        <v>0</v>
      </c>
      <c r="I26" s="48">
        <f t="shared" si="2"/>
        <v>0</v>
      </c>
      <c r="J26" s="1135"/>
      <c r="K26" s="1141">
        <f t="shared" si="3"/>
        <v>0</v>
      </c>
      <c r="L26" s="1142">
        <f t="shared" si="4"/>
        <v>0</v>
      </c>
      <c r="M26" s="59">
        <f t="shared" si="8"/>
        <v>0</v>
      </c>
      <c r="N26" s="1667"/>
      <c r="O26" s="1668"/>
      <c r="P26" s="59">
        <f t="shared" si="9"/>
        <v>0</v>
      </c>
      <c r="R26" s="1022">
        <f t="shared" si="5"/>
        <v>0</v>
      </c>
      <c r="S26" s="1023">
        <f t="shared" si="5"/>
        <v>0</v>
      </c>
    </row>
    <row r="27" spans="1:19" ht="15.75" thickBot="1">
      <c r="A27" s="1666"/>
      <c r="B27" s="45"/>
      <c r="C27" s="1669" t="s">
        <v>1154</v>
      </c>
      <c r="D27" s="1136">
        <f>SUM(D19:D26)</f>
        <v>0.45</v>
      </c>
      <c r="E27" s="1137">
        <f>IF(SUM(E19:E26)='数据-基础表'!BA5,SUM(E19:E26),IF(F27="地上面积有误","面积有误","地下面积有误"))</f>
        <v>1</v>
      </c>
      <c r="F27" s="1136">
        <f>IF(SUM(F19:F26)=E8,SUM(F19:F26),"地上面积有误")</f>
        <v>1</v>
      </c>
      <c r="G27" s="1138">
        <f>SUM(G19:G26)</f>
        <v>0</v>
      </c>
      <c r="H27" s="1139">
        <f>SUM(H19:H26)</f>
        <v>0</v>
      </c>
      <c r="I27" s="1140">
        <f>SUM(I19:I26)</f>
        <v>0</v>
      </c>
      <c r="J27" s="1135"/>
      <c r="K27" s="1143">
        <f>SUM(K19:K26)</f>
        <v>0</v>
      </c>
      <c r="L27" s="1144">
        <f>SUM(L19:L26)</f>
        <v>0</v>
      </c>
      <c r="M27" s="1147">
        <f>SUM(M19:M26)</f>
        <v>0</v>
      </c>
      <c r="N27" s="1143">
        <f t="shared" ref="N27:O27" si="10">SUM(N19:N26)</f>
        <v>0</v>
      </c>
      <c r="O27" s="1144">
        <f t="shared" si="10"/>
        <v>0</v>
      </c>
      <c r="P27" s="1145">
        <f>SUM(P19:P26)</f>
        <v>0</v>
      </c>
      <c r="R27" s="1024">
        <f>IF(SUM(R19:R26)=$D$3,SUM(R19:R26),SUM(R19:R26)&amp;"误差"&amp;ROUND(SUM(R19:R26)-$D$3,2))</f>
        <v>0.45</v>
      </c>
      <c r="S27" s="1022">
        <f>IF(SUM(S19:S26)=$E$3,SUM(S19:S26),SUM(S19:S26)&amp;"误差"&amp;ROUND(SUM(S19:S26)-E3,2))</f>
        <v>1</v>
      </c>
    </row>
    <row r="28" spans="1:19">
      <c r="A28" s="1666"/>
      <c r="B28" s="47" t="s">
        <v>1155</v>
      </c>
      <c r="C28" s="1034" t="s">
        <v>1156</v>
      </c>
      <c r="D28" s="45">
        <f>ROUND($D$3*E28/$E$3,2)</f>
        <v>0</v>
      </c>
      <c r="E28" s="53">
        <f>SUM(F28:G28)</f>
        <v>0</v>
      </c>
      <c r="F28" s="56">
        <f>'数据-基础表'!BQ5+'数据-基础表'!BS5</f>
        <v>0</v>
      </c>
      <c r="G28" s="57">
        <f>'数据-基础表'!BR5+'数据-基础表'!BT5</f>
        <v>0</v>
      </c>
      <c r="H28" s="2651"/>
      <c r="I28" s="2651"/>
      <c r="J28" s="2651"/>
      <c r="K28" s="2651"/>
      <c r="L28" s="2651"/>
      <c r="M28" s="2651"/>
      <c r="N28" s="2651"/>
      <c r="O28" s="2651"/>
      <c r="P28" s="2651"/>
    </row>
    <row r="29" spans="1:19">
      <c r="A29" s="1666"/>
      <c r="B29" s="47" t="s">
        <v>1155</v>
      </c>
      <c r="C29" s="1670" t="s">
        <v>1157</v>
      </c>
      <c r="D29" s="45">
        <f>ROUND($D$3*E29/$E$3,2)</f>
        <v>0</v>
      </c>
      <c r="E29" s="53">
        <f>SUM(F29:G29)</f>
        <v>0</v>
      </c>
      <c r="F29" s="58">
        <f>'数据-基础表'!BM5+'数据-基础表'!BO5</f>
        <v>0</v>
      </c>
      <c r="G29" s="59">
        <f>'数据-基础表'!BN5+'数据-基础表'!BP5</f>
        <v>0</v>
      </c>
      <c r="H29" s="2651"/>
      <c r="I29" s="2651"/>
      <c r="J29" s="2651"/>
      <c r="K29" s="2651"/>
      <c r="L29" s="2651"/>
      <c r="M29" s="2651"/>
      <c r="N29" s="2651"/>
      <c r="O29" s="2651"/>
      <c r="P29" s="2651"/>
    </row>
    <row r="30" spans="1:19" ht="15">
      <c r="A30" s="1666"/>
      <c r="B30" s="47"/>
      <c r="C30" s="1671" t="s">
        <v>1154</v>
      </c>
      <c r="D30" s="1136">
        <f>SUM(D28:D29)</f>
        <v>0</v>
      </c>
      <c r="E30" s="1136">
        <f>SUM(E28:E29)</f>
        <v>0</v>
      </c>
      <c r="F30" s="1136">
        <f>SUM(F28:F29)</f>
        <v>0</v>
      </c>
      <c r="G30" s="1138">
        <f>SUM(G28:G29)</f>
        <v>0</v>
      </c>
      <c r="H30" s="2651"/>
      <c r="I30" s="2651"/>
      <c r="J30" s="2651"/>
      <c r="K30" s="2651"/>
      <c r="L30" s="2651"/>
      <c r="M30" s="2651"/>
      <c r="N30" s="2651"/>
      <c r="O30" s="2651"/>
      <c r="P30" s="2651"/>
    </row>
    <row r="31" spans="1:19" ht="15.75" thickBot="1">
      <c r="A31" s="1672"/>
      <c r="B31" s="1673"/>
      <c r="C31" s="831" t="s">
        <v>1158</v>
      </c>
      <c r="D31" s="672">
        <f>D27+D30</f>
        <v>0.45</v>
      </c>
      <c r="E31" s="672">
        <f>E27+E30</f>
        <v>1</v>
      </c>
      <c r="F31" s="673">
        <f>F27+F30</f>
        <v>1</v>
      </c>
      <c r="G31" s="674">
        <f>G27+G30</f>
        <v>0</v>
      </c>
      <c r="H31" s="2651"/>
      <c r="I31" s="2651"/>
      <c r="J31" s="2651"/>
      <c r="K31" s="2651"/>
      <c r="L31" s="2651"/>
      <c r="M31" s="2651"/>
      <c r="N31" s="2651"/>
      <c r="O31" s="2651"/>
      <c r="P31" s="2651"/>
    </row>
    <row r="32" spans="1:19">
      <c r="A32" s="1639"/>
      <c r="B32" s="1639" t="s">
        <v>1159</v>
      </c>
      <c r="C32" s="1639"/>
      <c r="D32" s="1639"/>
      <c r="E32" s="1049">
        <f>SUMIF(C19:C26,"*住宅*",E19:E26)</f>
        <v>1</v>
      </c>
      <c r="F32" s="1639"/>
      <c r="G32" s="1639"/>
      <c r="H32" s="2651"/>
      <c r="I32" s="2651"/>
      <c r="J32" s="2651"/>
      <c r="K32" s="2651"/>
      <c r="L32" s="2651"/>
      <c r="M32" s="2651"/>
      <c r="N32" s="2651"/>
      <c r="O32" s="2651"/>
      <c r="P32" s="2651"/>
    </row>
    <row r="33" spans="4:4">
      <c r="D33" s="1674"/>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9" priority="1" stopIfTrue="1" operator="containsText" text="面积有误">
      <formula>NOT(ISERROR(SEARCH("面积有误",E27)))</formula>
    </cfRule>
    <cfRule type="cellIs" dxfId="178" priority="3" stopIfTrue="1" operator="equal">
      <formula>"地下面积有误"</formula>
    </cfRule>
  </conditionalFormatting>
  <conditionalFormatting sqref="F27">
    <cfRule type="cellIs" dxfId="177"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3" fitToHeight="0"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D24" activePane="bottomRight" state="frozen"/>
      <selection activeCell="C50" sqref="C50"/>
      <selection pane="topRight" activeCell="C50" sqref="C50"/>
      <selection pane="bottomLeft" activeCell="C50" sqref="C50"/>
      <selection pane="bottomRight" activeCell="B35" sqref="B35"/>
    </sheetView>
  </sheetViews>
  <sheetFormatPr defaultColWidth="13.875" defaultRowHeight="12.75"/>
  <cols>
    <col min="1" max="1" width="20.875" style="1741" customWidth="1"/>
    <col min="2" max="2" width="12" style="1678" customWidth="1"/>
    <col min="3" max="3" width="12.875" style="1678" customWidth="1"/>
    <col min="4" max="4" width="9.125" style="1742" customWidth="1"/>
    <col min="5" max="5" width="15" style="1678" bestFit="1" customWidth="1"/>
    <col min="6" max="10" width="8.875" style="1678" customWidth="1"/>
    <col min="11" max="12" width="12.375" style="1597" customWidth="1"/>
    <col min="13" max="13" width="8.625" style="1678" customWidth="1"/>
    <col min="14" max="14" width="11.875" style="1678" customWidth="1"/>
    <col min="15" max="15" width="8.5" style="1678" customWidth="1"/>
    <col min="16" max="17" width="10.875" style="1678" customWidth="1"/>
    <col min="18" max="19" width="12.5" style="1678" customWidth="1"/>
    <col min="20" max="20" width="12.125" style="1678" customWidth="1"/>
    <col min="21" max="21" width="7.5" style="1678" customWidth="1"/>
    <col min="22" max="22" width="6.375" style="1678" customWidth="1"/>
    <col min="23" max="30" width="6.875" style="1678" customWidth="1"/>
    <col min="31" max="31" width="8" style="1678" customWidth="1"/>
    <col min="32" max="34" width="7.125" style="1678" customWidth="1"/>
    <col min="35" max="39" width="8" style="1678" customWidth="1"/>
    <col min="40" max="40" width="13.875" style="1677"/>
    <col min="41" max="41" width="11.625" style="1677" customWidth="1"/>
    <col min="42" max="42" width="9.875" style="1677" customWidth="1"/>
    <col min="43" max="67" width="13.875" style="1677"/>
    <col min="68" max="16384" width="13.875" style="1678"/>
  </cols>
  <sheetData>
    <row r="1" spans="1:67" ht="19.5" thickBot="1">
      <c r="A1" s="1675" t="s">
        <v>1160</v>
      </c>
      <c r="B1" s="675"/>
      <c r="C1" s="1187"/>
      <c r="D1" s="1676"/>
      <c r="E1" s="1187"/>
      <c r="F1" s="1187"/>
      <c r="G1" s="1187"/>
      <c r="H1" s="1187"/>
      <c r="I1" s="1187"/>
      <c r="J1" s="1187"/>
      <c r="K1" s="156"/>
      <c r="L1" s="156"/>
      <c r="M1" s="1187"/>
      <c r="N1" s="1187"/>
      <c r="O1" s="1187"/>
      <c r="P1" s="1187"/>
      <c r="Q1" s="1187"/>
      <c r="R1" s="1187"/>
      <c r="S1" s="1187"/>
      <c r="T1" s="1187"/>
      <c r="U1" s="1187"/>
      <c r="V1" s="1187"/>
      <c r="W1" s="1187"/>
      <c r="X1" s="1187"/>
      <c r="Y1" s="1187"/>
      <c r="Z1" s="1187"/>
      <c r="AA1" s="1187"/>
      <c r="AB1" s="1187"/>
      <c r="AC1" s="1187"/>
      <c r="AD1" s="1187"/>
      <c r="AE1" s="1187"/>
      <c r="AF1" s="1187"/>
      <c r="AG1" s="1187"/>
      <c r="AH1" s="1187"/>
      <c r="AI1" s="1187"/>
      <c r="AJ1" s="1187"/>
      <c r="AK1" s="1187"/>
      <c r="AL1" s="1187"/>
      <c r="AM1" s="1187"/>
      <c r="AN1" s="2663"/>
      <c r="AO1" s="2663"/>
      <c r="AP1" s="2663"/>
      <c r="AQ1" s="2663"/>
      <c r="AR1" s="2663"/>
    </row>
    <row r="2" spans="1:67" s="1555" customFormat="1" ht="15.75" thickBot="1">
      <c r="A2" s="1679" t="s">
        <v>1161</v>
      </c>
      <c r="B2" s="1041">
        <f>项目基本情况!D3</f>
        <v>45114</v>
      </c>
      <c r="C2" s="1680"/>
      <c r="D2" s="1681"/>
      <c r="E2" s="1680"/>
      <c r="F2" s="1680"/>
      <c r="G2" s="1680"/>
      <c r="H2" s="1680"/>
      <c r="I2" s="1680"/>
      <c r="J2" s="1680"/>
      <c r="K2" s="1164"/>
      <c r="L2" s="1164"/>
      <c r="M2" s="1680"/>
      <c r="N2" s="1680"/>
      <c r="O2" s="1680"/>
      <c r="P2" s="1680"/>
      <c r="Q2" s="1680"/>
      <c r="R2" s="1680"/>
      <c r="S2" s="1680"/>
      <c r="T2" s="1680"/>
      <c r="U2" s="1680"/>
      <c r="V2" s="1680"/>
      <c r="W2" s="1680"/>
      <c r="X2" s="1680"/>
      <c r="Y2" s="1680"/>
      <c r="Z2" s="1680"/>
      <c r="AA2" s="1680"/>
      <c r="AB2" s="1680"/>
      <c r="AC2" s="1680"/>
      <c r="AD2" s="1680"/>
      <c r="AE2" s="1680"/>
      <c r="AF2" s="1680"/>
      <c r="AG2" s="1680"/>
      <c r="AH2" s="1680"/>
      <c r="AI2" s="1680"/>
      <c r="AJ2" s="1680"/>
      <c r="AK2" s="1680"/>
      <c r="AL2" s="1680"/>
      <c r="AM2" s="1680"/>
      <c r="AN2" s="2665"/>
      <c r="AO2" s="2665"/>
      <c r="AP2" s="2665"/>
      <c r="AQ2" s="2665"/>
      <c r="AR2" s="2665"/>
      <c r="AS2" s="1682"/>
      <c r="AT2" s="1682"/>
      <c r="AU2" s="1682"/>
      <c r="AV2" s="1682"/>
      <c r="AW2" s="1682"/>
      <c r="AX2" s="1682"/>
      <c r="AY2" s="1682"/>
      <c r="AZ2" s="1682"/>
      <c r="BA2" s="1682"/>
      <c r="BB2" s="1682"/>
      <c r="BC2" s="1682"/>
      <c r="BD2" s="1682"/>
      <c r="BE2" s="1682"/>
      <c r="BF2" s="1682"/>
      <c r="BG2" s="1682"/>
      <c r="BH2" s="1682"/>
      <c r="BI2" s="1682"/>
      <c r="BJ2" s="1682"/>
      <c r="BK2" s="1682"/>
      <c r="BL2" s="1682"/>
      <c r="BM2" s="1682"/>
      <c r="BN2" s="1682"/>
      <c r="BO2" s="1682"/>
    </row>
    <row r="3" spans="1:67" s="1555" customFormat="1" ht="15" thickBot="1">
      <c r="A3" s="1553"/>
      <c r="B3" s="1683"/>
      <c r="C3" s="1680"/>
      <c r="D3" s="1681"/>
      <c r="E3" s="1680"/>
      <c r="F3" s="1680"/>
      <c r="G3" s="1680"/>
      <c r="H3" s="1680"/>
      <c r="I3" s="1680"/>
      <c r="J3" s="1680"/>
      <c r="K3" s="1164"/>
      <c r="L3" s="1164"/>
      <c r="M3" s="1680"/>
      <c r="N3" s="1680"/>
      <c r="O3" s="1680"/>
      <c r="P3" s="1680"/>
      <c r="Q3" s="1680"/>
      <c r="R3" s="1680"/>
      <c r="S3" s="1680"/>
      <c r="T3" s="1680"/>
      <c r="U3" s="1680"/>
      <c r="V3" s="1680"/>
      <c r="W3" s="1680"/>
      <c r="X3" s="1680"/>
      <c r="Y3" s="1680"/>
      <c r="Z3" s="1680"/>
      <c r="AA3" s="1680"/>
      <c r="AB3" s="1680"/>
      <c r="AC3" s="1680"/>
      <c r="AD3" s="1680"/>
      <c r="AE3" s="1680"/>
      <c r="AF3" s="1680"/>
      <c r="AG3" s="1680"/>
      <c r="AH3" s="1680"/>
      <c r="AI3" s="1680"/>
      <c r="AJ3" s="1680"/>
      <c r="AK3" s="1680"/>
      <c r="AL3" s="1680"/>
      <c r="AM3" s="1680"/>
      <c r="AN3" s="2665"/>
      <c r="AO3" s="2665"/>
      <c r="AP3" s="2665"/>
      <c r="AQ3" s="2665"/>
      <c r="AR3" s="2665"/>
      <c r="AS3" s="1682"/>
      <c r="AT3" s="1682"/>
      <c r="AU3" s="1682"/>
      <c r="AV3" s="1682"/>
      <c r="AW3" s="1682"/>
      <c r="AX3" s="1682"/>
      <c r="AY3" s="1682"/>
      <c r="AZ3" s="1682"/>
      <c r="BA3" s="1682"/>
      <c r="BB3" s="1682"/>
      <c r="BC3" s="1682"/>
      <c r="BD3" s="1682"/>
      <c r="BE3" s="1682"/>
      <c r="BF3" s="1682"/>
      <c r="BG3" s="1682"/>
      <c r="BH3" s="1682"/>
      <c r="BI3" s="1682"/>
      <c r="BJ3" s="1682"/>
      <c r="BK3" s="1682"/>
      <c r="BL3" s="1682"/>
      <c r="BM3" s="1682"/>
      <c r="BN3" s="1682"/>
      <c r="BO3" s="1682"/>
    </row>
    <row r="4" spans="1:67" s="1555" customFormat="1" ht="15" thickBot="1">
      <c r="A4" s="60" t="s">
        <v>1162</v>
      </c>
      <c r="B4" s="1684"/>
      <c r="C4" s="1685"/>
      <c r="D4" s="1686"/>
      <c r="E4" s="1685" t="s">
        <v>1163</v>
      </c>
      <c r="F4" s="1685"/>
      <c r="G4" s="1685"/>
      <c r="H4" s="1685"/>
      <c r="I4" s="1685"/>
      <c r="J4" s="1687"/>
      <c r="K4" s="1688"/>
      <c r="L4" s="1689"/>
      <c r="M4" s="1685"/>
      <c r="N4" s="1685" t="s">
        <v>1164</v>
      </c>
      <c r="O4" s="1685"/>
      <c r="P4" s="1685"/>
      <c r="Q4" s="1685"/>
      <c r="R4" s="1685"/>
      <c r="S4" s="1687"/>
      <c r="T4" s="2650" t="str">
        <f>'数据-汇总表'!I17</f>
        <v>按面积比例</v>
      </c>
      <c r="U4" s="1684" t="s">
        <v>1165</v>
      </c>
      <c r="V4" s="1685"/>
      <c r="W4" s="1685"/>
      <c r="X4" s="1685"/>
      <c r="Y4" s="1687"/>
      <c r="Z4" s="1648" t="s">
        <v>1166</v>
      </c>
      <c r="AA4" s="1648"/>
      <c r="AB4" s="1648"/>
      <c r="AC4" s="1648"/>
      <c r="AD4" s="1648"/>
      <c r="AE4" s="1646" t="s">
        <v>1167</v>
      </c>
      <c r="AF4" s="1648"/>
      <c r="AG4" s="1690"/>
      <c r="AH4" s="1684"/>
      <c r="AI4" s="1685"/>
      <c r="AJ4" s="1685"/>
      <c r="AK4" s="1685"/>
      <c r="AL4" s="1685"/>
      <c r="AM4" s="1687"/>
      <c r="AN4" s="2665"/>
      <c r="AO4" s="2665"/>
      <c r="AP4" s="2665"/>
      <c r="AQ4" s="2665"/>
      <c r="AR4" s="2665"/>
      <c r="AS4" s="1682"/>
      <c r="AT4" s="1682"/>
      <c r="AU4" s="1682"/>
      <c r="AV4" s="1682"/>
      <c r="AW4" s="1682"/>
      <c r="AX4" s="1682"/>
      <c r="AY4" s="1682"/>
      <c r="AZ4" s="1682"/>
      <c r="BA4" s="1682"/>
      <c r="BB4" s="1682"/>
      <c r="BC4" s="1682"/>
      <c r="BD4" s="1682"/>
      <c r="BE4" s="1682"/>
      <c r="BF4" s="1682"/>
      <c r="BG4" s="1682"/>
      <c r="BH4" s="1682"/>
      <c r="BI4" s="1682"/>
      <c r="BJ4" s="1682"/>
      <c r="BK4" s="1682"/>
      <c r="BL4" s="1682"/>
      <c r="BM4" s="1682"/>
      <c r="BN4" s="1682"/>
      <c r="BO4" s="1682"/>
    </row>
    <row r="5" spans="1:67" s="1556" customFormat="1" ht="42">
      <c r="A5" s="1691" t="s">
        <v>1168</v>
      </c>
      <c r="B5" s="1692" t="s">
        <v>1169</v>
      </c>
      <c r="C5" s="1693" t="s">
        <v>1170</v>
      </c>
      <c r="D5" s="1694" t="s">
        <v>1171</v>
      </c>
      <c r="E5" s="1043" t="s">
        <v>1172</v>
      </c>
      <c r="F5" s="1695" t="s">
        <v>1173</v>
      </c>
      <c r="G5" s="1043" t="s">
        <v>1174</v>
      </c>
      <c r="H5" s="1043" t="s">
        <v>1175</v>
      </c>
      <c r="I5" s="1043" t="s">
        <v>1176</v>
      </c>
      <c r="J5" s="1696" t="s">
        <v>1177</v>
      </c>
      <c r="K5" s="1697" t="s">
        <v>1178</v>
      </c>
      <c r="L5" s="1698" t="s">
        <v>1179</v>
      </c>
      <c r="M5" s="1699" t="s">
        <v>1180</v>
      </c>
      <c r="N5" s="1700" t="s">
        <v>3394</v>
      </c>
      <c r="O5" s="1698" t="s">
        <v>1181</v>
      </c>
      <c r="P5" s="1701" t="s">
        <v>1182</v>
      </c>
      <c r="Q5" s="61" t="s">
        <v>1183</v>
      </c>
      <c r="R5" s="1702" t="s">
        <v>1184</v>
      </c>
      <c r="S5" s="1703" t="s">
        <v>1185</v>
      </c>
      <c r="T5" s="1704" t="s">
        <v>1186</v>
      </c>
      <c r="U5" s="1042" t="s">
        <v>1187</v>
      </c>
      <c r="V5" s="1043" t="s">
        <v>1188</v>
      </c>
      <c r="W5" s="1043" t="s">
        <v>1189</v>
      </c>
      <c r="X5" s="63"/>
      <c r="Y5" s="62" t="s">
        <v>1190</v>
      </c>
      <c r="Z5" s="1705" t="s">
        <v>1187</v>
      </c>
      <c r="AA5" s="1043" t="s">
        <v>1188</v>
      </c>
      <c r="AB5" s="1043" t="s">
        <v>1189</v>
      </c>
      <c r="AC5" s="63"/>
      <c r="AD5" s="63" t="s">
        <v>1190</v>
      </c>
      <c r="AE5" s="1042" t="s">
        <v>1191</v>
      </c>
      <c r="AF5" s="1043" t="s">
        <v>1192</v>
      </c>
      <c r="AG5" s="62" t="s">
        <v>1193</v>
      </c>
      <c r="AH5" s="1042" t="s">
        <v>1194</v>
      </c>
      <c r="AI5" s="1705" t="s">
        <v>1195</v>
      </c>
      <c r="AJ5" s="1705" t="s">
        <v>1196</v>
      </c>
      <c r="AK5" s="1043" t="s">
        <v>1197</v>
      </c>
      <c r="AL5" s="1043" t="s">
        <v>1198</v>
      </c>
      <c r="AM5" s="62" t="s">
        <v>1199</v>
      </c>
      <c r="AN5" s="1706" t="s">
        <v>1200</v>
      </c>
      <c r="AO5" s="1558" t="s">
        <v>1201</v>
      </c>
      <c r="AP5" s="1024" t="s">
        <v>1202</v>
      </c>
      <c r="AQ5" s="1707" t="s">
        <v>1203</v>
      </c>
      <c r="AR5" s="1707" t="s">
        <v>1204</v>
      </c>
      <c r="AS5" s="1568"/>
      <c r="AT5" s="1568"/>
      <c r="AU5" s="1568"/>
      <c r="AV5" s="1568"/>
      <c r="AW5" s="1568"/>
      <c r="AX5" s="1568"/>
      <c r="AY5" s="1568"/>
      <c r="AZ5" s="1568"/>
      <c r="BA5" s="1568"/>
      <c r="BB5" s="1568"/>
      <c r="BC5" s="1568"/>
      <c r="BD5" s="1568"/>
      <c r="BE5" s="1568"/>
      <c r="BF5" s="1568"/>
      <c r="BG5" s="1568"/>
      <c r="BH5" s="1568"/>
      <c r="BI5" s="1568"/>
      <c r="BJ5" s="1568"/>
      <c r="BK5" s="1568"/>
      <c r="BL5" s="1568"/>
      <c r="BM5" s="1568"/>
      <c r="BN5" s="1568"/>
      <c r="BO5" s="1568"/>
    </row>
    <row r="6" spans="1:67" s="1555" customFormat="1" ht="14.25">
      <c r="A6" s="1708" t="str">
        <f>'数据-汇总表'!C19</f>
        <v>住宅</v>
      </c>
      <c r="B6" s="1709" t="str">
        <f>IF(A6=0,"","经营性")</f>
        <v>经营性</v>
      </c>
      <c r="C6" s="1710" t="s">
        <v>3390</v>
      </c>
      <c r="D6" s="854">
        <f>SUMIF(项目基本情况!C$12:I$12,C6,项目基本情况!C$14:I$14)</f>
        <v>70</v>
      </c>
      <c r="E6" s="853">
        <f>IF(B6="","",SUMIF(项目基本情况!C$12:I$12,C6,项目基本情况!C$13:I$13))</f>
        <v>70675</v>
      </c>
      <c r="F6" s="64">
        <f>SUMIF(项目基本情况!C$12:I$12,C6,项目基本情况!C$15:I$15)</f>
        <v>70</v>
      </c>
      <c r="G6" s="65">
        <f>IF(ISERROR(ROUND(POWER(1+H6,D6-F6)*(POWER(1+H6,F6)-1)/(POWER(1+H6,D6)-1),3)),0,ROUND(POWER(1+H6,D6-F6)*(POWER(1+H6,F6)-1)/(POWER(1+H6,D6)-1),3))</f>
        <v>1</v>
      </c>
      <c r="H6" s="728">
        <v>0.04</v>
      </c>
      <c r="I6" s="728">
        <v>4.4999999999999998E-2</v>
      </c>
      <c r="J6" s="66">
        <v>5.5E-2</v>
      </c>
      <c r="K6" s="1026">
        <f>SUMIF('数据-汇总表'!C$19:C$33,A6,'数据-汇总表'!E$19:E$33)</f>
        <v>1</v>
      </c>
      <c r="L6" s="729">
        <v>5700</v>
      </c>
      <c r="M6" s="67">
        <f t="shared" ref="M6:M14" si="0">ROUND(K6*L6/10000,0)</f>
        <v>1</v>
      </c>
      <c r="N6" s="727">
        <v>1</v>
      </c>
      <c r="O6" s="67" t="str">
        <f>IF($N$5="成新度","——",ROUND(M6*N6,0))</f>
        <v>——</v>
      </c>
      <c r="P6" s="68" t="str">
        <f>IF($N$5="成新度","——",M6-O6)</f>
        <v>——</v>
      </c>
      <c r="Q6" s="3499">
        <v>0.1</v>
      </c>
      <c r="R6" s="69">
        <f ca="1">SUMIF('数据-汇总表'!C$19:C$33,A6,'数据-汇总表'!R$19:R$27)</f>
        <v>0.45</v>
      </c>
      <c r="S6" s="51">
        <f>IF('数据-汇总表'!$I$17="按面积比例",SUMIF('数据-汇总表'!C$19:C$33,A6,'数据-汇总表'!K$19:K$33),SUMIF('数据-汇总表'!C$19:C$33,A6,'数据-汇总表'!N$19:N$33))</f>
        <v>0</v>
      </c>
      <c r="T6" s="1168">
        <f>ROUND($L$14*S6/10000,0)</f>
        <v>0</v>
      </c>
      <c r="U6" s="3420"/>
      <c r="V6" s="70"/>
      <c r="W6" s="70"/>
      <c r="X6" s="1036"/>
      <c r="Y6" s="71"/>
      <c r="Z6" s="72"/>
      <c r="AA6" s="66"/>
      <c r="AB6" s="66"/>
      <c r="AC6" s="1036"/>
      <c r="AD6" s="73"/>
      <c r="AE6" s="1037">
        <f ca="1">IF(AN6="",0,SUMIF(INDIRECT("'"&amp;AN6&amp;"'"&amp;"!E:E"),$AE$5,INDIRECT("'"&amp;AN6&amp;"'"&amp;"!F:F")))</f>
        <v>0</v>
      </c>
      <c r="AF6" s="1344"/>
      <c r="AG6" s="136">
        <f>IF(AF6="",0,AE6-AF6)</f>
        <v>0</v>
      </c>
      <c r="AH6" s="74"/>
      <c r="AI6" s="76"/>
      <c r="AJ6" s="77"/>
      <c r="AK6" s="78"/>
      <c r="AL6" s="79"/>
      <c r="AM6" s="80"/>
      <c r="AN6" s="1711"/>
      <c r="AO6" s="52" t="e">
        <f ca="1">SUMIF(INDIRECT("'"&amp;AN6&amp;"'"&amp;"!A:A"),"总价",INDIRECT("'"&amp;AN6&amp;"'"&amp;"!B:B"))</f>
        <v>#REF!</v>
      </c>
      <c r="AP6" s="1712">
        <f>IF(C6="住宅",K6*L6,0)</f>
        <v>5700</v>
      </c>
      <c r="AQ6" s="52">
        <f>ROUND($L$14*$N$14*S6/10000,0)</f>
        <v>0</v>
      </c>
      <c r="AR6" s="52">
        <f>ROUND($L$14*(1-$N$14)*S6/10000,0)</f>
        <v>0</v>
      </c>
      <c r="AS6" s="1682"/>
      <c r="AT6" s="1682"/>
      <c r="AU6" s="1682"/>
      <c r="AV6" s="1682"/>
      <c r="AW6" s="1682"/>
      <c r="AX6" s="1682"/>
      <c r="AY6" s="1682"/>
      <c r="AZ6" s="1682"/>
      <c r="BA6" s="1682"/>
      <c r="BB6" s="1682"/>
      <c r="BC6" s="1682"/>
      <c r="BD6" s="1682"/>
      <c r="BE6" s="1682"/>
      <c r="BF6" s="1682"/>
      <c r="BG6" s="1682"/>
      <c r="BH6" s="1682"/>
      <c r="BI6" s="1682"/>
      <c r="BJ6" s="1682"/>
      <c r="BK6" s="1682"/>
      <c r="BL6" s="1682"/>
      <c r="BM6" s="1682"/>
      <c r="BN6" s="1682"/>
      <c r="BO6" s="1682"/>
    </row>
    <row r="7" spans="1:67" s="1555" customFormat="1" ht="14.25">
      <c r="A7" s="1708">
        <f>'数据-汇总表'!C20</f>
        <v>0</v>
      </c>
      <c r="B7" s="1709" t="str">
        <f t="shared" ref="B7:B13" si="1">IF(A7=0,"","经营性")</f>
        <v/>
      </c>
      <c r="C7" s="1710"/>
      <c r="D7" s="854">
        <f>SUMIF(项目基本情况!C$12:I$12,C7,项目基本情况!C$14:I$14)</f>
        <v>0</v>
      </c>
      <c r="E7" s="853" t="str">
        <f>IF(B7="","",SUMIF(项目基本情况!C$12:I$12,C7,项目基本情况!C$13:I$13))</f>
        <v/>
      </c>
      <c r="F7" s="64">
        <f>SUMIF(项目基本情况!C$12:I$12,C7,项目基本情况!C$15:I$15)</f>
        <v>0</v>
      </c>
      <c r="G7" s="65">
        <f t="shared" ref="G7:G11" si="2">IF(ISERROR(ROUND(POWER(1+H7,D7-F7)*(POWER(1+H7,F7)-1)/(POWER(1+H7,D7)-1),3)),0,ROUND(POWER(1+H7,D7-F7)*(POWER(1+H7,F7)-1)/(POWER(1+H7,D7)-1),3))</f>
        <v>0</v>
      </c>
      <c r="H7" s="728"/>
      <c r="I7" s="728"/>
      <c r="J7" s="66"/>
      <c r="K7" s="1026">
        <f>SUMIF('数据-汇总表'!C$19:C$33,A7,'数据-汇总表'!E$19:E$33)</f>
        <v>0</v>
      </c>
      <c r="L7" s="729"/>
      <c r="M7" s="67">
        <f t="shared" si="0"/>
        <v>0</v>
      </c>
      <c r="N7" s="727"/>
      <c r="O7" s="67" t="str">
        <f t="shared" ref="O7:O14" si="3">IF($N$5="成新度","——",ROUND(M7*N7,0))</f>
        <v>——</v>
      </c>
      <c r="P7" s="68" t="str">
        <f t="shared" ref="P7:P14" si="4">IF($N$5="成新度","——",M7-O7)</f>
        <v>——</v>
      </c>
      <c r="Q7" s="730"/>
      <c r="R7" s="69">
        <f ca="1">SUMIF('数据-汇总表'!C$19:C$33,A7,'数据-汇总表'!R$19:R$27)</f>
        <v>0</v>
      </c>
      <c r="S7" s="51">
        <f>IF('数据-汇总表'!$I$17="按面积比例",SUMIF('数据-汇总表'!C$19:C$33,A7,'数据-汇总表'!K$19:K$33),SUMIF('数据-汇总表'!C$19:C$33,A7,'数据-汇总表'!N$19:N$33))</f>
        <v>0</v>
      </c>
      <c r="T7" s="1168">
        <f t="shared" ref="T7:T13" si="5">ROUND($L$14*S7/10000,0)</f>
        <v>0</v>
      </c>
      <c r="U7" s="3420"/>
      <c r="V7" s="70"/>
      <c r="W7" s="70"/>
      <c r="X7" s="1036"/>
      <c r="Y7" s="71"/>
      <c r="Z7" s="72"/>
      <c r="AA7" s="66"/>
      <c r="AB7" s="66"/>
      <c r="AC7" s="1036"/>
      <c r="AD7" s="73"/>
      <c r="AE7" s="1037">
        <f t="shared" ref="AE7:AE13" ca="1" si="6">IF(AN7="",0,SUMIF(INDIRECT("'"&amp;AN7&amp;"'"&amp;"!E:E"),$AE$5,INDIRECT("'"&amp;AN7&amp;"'"&amp;"!F:F")))</f>
        <v>0</v>
      </c>
      <c r="AF7" s="1344"/>
      <c r="AG7" s="136">
        <f t="shared" ref="AG7:AG13" si="7">IF(AF7="",0,AE7-AF7)</f>
        <v>0</v>
      </c>
      <c r="AH7" s="74"/>
      <c r="AI7" s="76"/>
      <c r="AJ7" s="77"/>
      <c r="AK7" s="78"/>
      <c r="AL7" s="79"/>
      <c r="AM7" s="80"/>
      <c r="AN7" s="1711"/>
      <c r="AO7" s="52" t="e">
        <f t="shared" ref="AO7:AO13" ca="1" si="8">SUMIF(INDIRECT("'"&amp;AN7&amp;"'"&amp;"!A:A"),"总价",INDIRECT("'"&amp;AN7&amp;"'"&amp;"!B:B"))</f>
        <v>#REF!</v>
      </c>
      <c r="AP7" s="1712">
        <f t="shared" ref="AP7:AP13" si="9">IF(C7="住宅",K7*L7,0)</f>
        <v>0</v>
      </c>
      <c r="AQ7" s="52">
        <f t="shared" ref="AQ7:AQ13" si="10">ROUND($L$14*$N$14*S7/10000,0)</f>
        <v>0</v>
      </c>
      <c r="AR7" s="52">
        <f t="shared" ref="AR7:AR13" si="11">ROUND($L$14*(1-$N$14)*S7/10000,0)</f>
        <v>0</v>
      </c>
      <c r="AS7" s="1682"/>
      <c r="AT7" s="1682"/>
      <c r="AU7" s="1682"/>
      <c r="AV7" s="1682"/>
      <c r="AW7" s="1682"/>
      <c r="AX7" s="1682"/>
      <c r="AY7" s="1682"/>
      <c r="AZ7" s="1682"/>
      <c r="BA7" s="1682"/>
      <c r="BB7" s="1682"/>
      <c r="BC7" s="1682"/>
      <c r="BD7" s="1682"/>
      <c r="BE7" s="1682"/>
      <c r="BF7" s="1682"/>
      <c r="BG7" s="1682"/>
      <c r="BH7" s="1682"/>
      <c r="BI7" s="1682"/>
      <c r="BJ7" s="1682"/>
      <c r="BK7" s="1682"/>
      <c r="BL7" s="1682"/>
      <c r="BM7" s="1682"/>
      <c r="BN7" s="1682"/>
      <c r="BO7" s="1682"/>
    </row>
    <row r="8" spans="1:67" s="1555" customFormat="1" ht="14.25">
      <c r="A8" s="1708">
        <f>'数据-汇总表'!C21</f>
        <v>0</v>
      </c>
      <c r="B8" s="1709" t="str">
        <f t="shared" si="1"/>
        <v/>
      </c>
      <c r="C8" s="1710"/>
      <c r="D8" s="854">
        <f>SUMIF(项目基本情况!C$12:I$12,C8,项目基本情况!C$14:I$14)</f>
        <v>0</v>
      </c>
      <c r="E8" s="853" t="str">
        <f>IF(B8="","",SUMIF(项目基本情况!C$12:I$12,C8,项目基本情况!C$13:I$13))</f>
        <v/>
      </c>
      <c r="F8" s="64">
        <f>SUMIF(项目基本情况!C$12:I$12,C8,项目基本情况!C$15:I$15)</f>
        <v>0</v>
      </c>
      <c r="G8" s="65">
        <f t="shared" si="2"/>
        <v>0</v>
      </c>
      <c r="H8" s="728"/>
      <c r="I8" s="728"/>
      <c r="J8" s="66"/>
      <c r="K8" s="1026">
        <f>SUMIF('数据-汇总表'!C$19:C$33,A8,'数据-汇总表'!E$19:E$33)</f>
        <v>0</v>
      </c>
      <c r="L8" s="729"/>
      <c r="M8" s="67">
        <f>ROUND(K8*L8/10000,0)</f>
        <v>0</v>
      </c>
      <c r="N8" s="727"/>
      <c r="O8" s="67" t="str">
        <f t="shared" si="3"/>
        <v>——</v>
      </c>
      <c r="P8" s="68" t="str">
        <f t="shared" si="4"/>
        <v>——</v>
      </c>
      <c r="Q8" s="730"/>
      <c r="R8" s="69">
        <f ca="1">SUMIF('数据-汇总表'!C$19:C$33,A8,'数据-汇总表'!R$19:R$27)</f>
        <v>0</v>
      </c>
      <c r="S8" s="51">
        <f>IF('数据-汇总表'!$I$17="按面积比例",SUMIF('数据-汇总表'!C$19:C$33,A8,'数据-汇总表'!K$19:K$33),SUMIF('数据-汇总表'!C$19:C$33,A8,'数据-汇总表'!N$19:N$33))</f>
        <v>0</v>
      </c>
      <c r="T8" s="1168">
        <f t="shared" si="5"/>
        <v>0</v>
      </c>
      <c r="U8" s="3421"/>
      <c r="V8" s="731"/>
      <c r="W8" s="731"/>
      <c r="X8" s="1036"/>
      <c r="Y8" s="71"/>
      <c r="Z8" s="72"/>
      <c r="AA8" s="66"/>
      <c r="AB8" s="66"/>
      <c r="AC8" s="1036"/>
      <c r="AD8" s="73"/>
      <c r="AE8" s="1037">
        <f t="shared" ca="1" si="6"/>
        <v>0</v>
      </c>
      <c r="AF8" s="1344"/>
      <c r="AG8" s="136">
        <f t="shared" si="7"/>
        <v>0</v>
      </c>
      <c r="AH8" s="732"/>
      <c r="AI8" s="76"/>
      <c r="AJ8" s="77"/>
      <c r="AK8" s="733"/>
      <c r="AL8" s="734"/>
      <c r="AM8" s="735"/>
      <c r="AN8" s="1711"/>
      <c r="AO8" s="52" t="e">
        <f t="shared" ca="1" si="8"/>
        <v>#REF!</v>
      </c>
      <c r="AP8" s="1712">
        <f t="shared" si="9"/>
        <v>0</v>
      </c>
      <c r="AQ8" s="52">
        <f t="shared" si="10"/>
        <v>0</v>
      </c>
      <c r="AR8" s="52">
        <f t="shared" si="11"/>
        <v>0</v>
      </c>
      <c r="AS8" s="1682"/>
      <c r="AT8" s="1682"/>
      <c r="AU8" s="1682"/>
      <c r="AV8" s="1682"/>
      <c r="AW8" s="1682"/>
      <c r="AX8" s="1682"/>
      <c r="AY8" s="1682"/>
      <c r="AZ8" s="1682"/>
      <c r="BA8" s="1682"/>
      <c r="BB8" s="1682"/>
      <c r="BC8" s="1682"/>
      <c r="BD8" s="1682"/>
      <c r="BE8" s="1682"/>
      <c r="BF8" s="1682"/>
      <c r="BG8" s="1682"/>
      <c r="BH8" s="1682"/>
      <c r="BI8" s="1682"/>
      <c r="BJ8" s="1682"/>
      <c r="BK8" s="1682"/>
      <c r="BL8" s="1682"/>
      <c r="BM8" s="1682"/>
      <c r="BN8" s="1682"/>
      <c r="BO8" s="1682"/>
    </row>
    <row r="9" spans="1:67" s="1555" customFormat="1" ht="14.25">
      <c r="A9" s="1708">
        <f>'数据-汇总表'!C22</f>
        <v>0</v>
      </c>
      <c r="B9" s="1709" t="str">
        <f t="shared" si="1"/>
        <v/>
      </c>
      <c r="C9" s="1710"/>
      <c r="D9" s="854">
        <f>SUMIF(项目基本情况!C$12:I$12,C9,项目基本情况!C$14:I$14)</f>
        <v>0</v>
      </c>
      <c r="E9" s="853" t="str">
        <f>IF(B9="","",SUMIF(项目基本情况!C$12:I$12,C9,项目基本情况!C$13:I$13))</f>
        <v/>
      </c>
      <c r="F9" s="64">
        <f>SUMIF(项目基本情况!C$12:I$12,C9,项目基本情况!C$15:I$15)</f>
        <v>0</v>
      </c>
      <c r="G9" s="65">
        <f t="shared" si="2"/>
        <v>0</v>
      </c>
      <c r="H9" s="66"/>
      <c r="I9" s="66"/>
      <c r="J9" s="66"/>
      <c r="K9" s="1026">
        <f>SUMIF('数据-汇总表'!C$19:C$33,A9,'数据-汇总表'!E$19:E$33)</f>
        <v>0</v>
      </c>
      <c r="L9" s="729"/>
      <c r="M9" s="67">
        <f t="shared" si="0"/>
        <v>0</v>
      </c>
      <c r="N9" s="727"/>
      <c r="O9" s="67" t="str">
        <f t="shared" si="3"/>
        <v>——</v>
      </c>
      <c r="P9" s="68" t="str">
        <f t="shared" si="4"/>
        <v>——</v>
      </c>
      <c r="Q9" s="81"/>
      <c r="R9" s="69">
        <f ca="1">SUMIF('数据-汇总表'!C$19:C$33,A9,'数据-汇总表'!R$19:R$27)</f>
        <v>0</v>
      </c>
      <c r="S9" s="51">
        <f>IF('数据-汇总表'!$I$17="按面积比例",SUMIF('数据-汇总表'!C$19:C$33,A9,'数据-汇总表'!K$19:K$33),SUMIF('数据-汇总表'!C$19:C$33,A9,'数据-汇总表'!N$19:N$33))</f>
        <v>0</v>
      </c>
      <c r="T9" s="1168">
        <f t="shared" si="5"/>
        <v>0</v>
      </c>
      <c r="U9" s="3420"/>
      <c r="V9" s="70"/>
      <c r="W9" s="70"/>
      <c r="X9" s="1036"/>
      <c r="Y9" s="71"/>
      <c r="Z9" s="72"/>
      <c r="AA9" s="66"/>
      <c r="AB9" s="66"/>
      <c r="AC9" s="1036"/>
      <c r="AD9" s="73"/>
      <c r="AE9" s="1037">
        <f t="shared" ca="1" si="6"/>
        <v>0</v>
      </c>
      <c r="AF9" s="1344"/>
      <c r="AG9" s="136">
        <f t="shared" si="7"/>
        <v>0</v>
      </c>
      <c r="AH9" s="74"/>
      <c r="AI9" s="76"/>
      <c r="AJ9" s="77"/>
      <c r="AK9" s="78"/>
      <c r="AL9" s="79"/>
      <c r="AM9" s="80"/>
      <c r="AN9" s="1711"/>
      <c r="AO9" s="52" t="e">
        <f t="shared" ca="1" si="8"/>
        <v>#REF!</v>
      </c>
      <c r="AP9" s="1712">
        <f t="shared" si="9"/>
        <v>0</v>
      </c>
      <c r="AQ9" s="52">
        <f t="shared" si="10"/>
        <v>0</v>
      </c>
      <c r="AR9" s="52">
        <f t="shared" si="11"/>
        <v>0</v>
      </c>
      <c r="AS9" s="1682"/>
      <c r="AT9" s="1682"/>
      <c r="AU9" s="1682"/>
      <c r="AV9" s="1682"/>
      <c r="AW9" s="1682"/>
      <c r="AX9" s="1682"/>
      <c r="AY9" s="1682"/>
      <c r="AZ9" s="1682"/>
      <c r="BA9" s="1682"/>
      <c r="BB9" s="1682"/>
      <c r="BC9" s="1682"/>
      <c r="BD9" s="1682"/>
      <c r="BE9" s="1682"/>
      <c r="BF9" s="1682"/>
      <c r="BG9" s="1682"/>
      <c r="BH9" s="1682"/>
      <c r="BI9" s="1682"/>
      <c r="BJ9" s="1682"/>
      <c r="BK9" s="1682"/>
      <c r="BL9" s="1682"/>
      <c r="BM9" s="1682"/>
      <c r="BN9" s="1682"/>
      <c r="BO9" s="1682"/>
    </row>
    <row r="10" spans="1:67" s="1555" customFormat="1" ht="14.25">
      <c r="A10" s="1708">
        <f>'数据-汇总表'!C23</f>
        <v>0</v>
      </c>
      <c r="B10" s="1709" t="str">
        <f t="shared" si="1"/>
        <v/>
      </c>
      <c r="C10" s="1710"/>
      <c r="D10" s="854">
        <f>SUMIF(项目基本情况!C$12:I$12,C10,项目基本情况!C$14:I$14)</f>
        <v>0</v>
      </c>
      <c r="E10" s="853" t="str">
        <f>IF(B10="","",SUMIF(项目基本情况!C$12:I$12,C10,项目基本情况!C$13:I$13))</f>
        <v/>
      </c>
      <c r="F10" s="64">
        <f>SUMIF(项目基本情况!C$12:I$12,C10,项目基本情况!C$15:I$15)</f>
        <v>0</v>
      </c>
      <c r="G10" s="65">
        <f t="shared" si="2"/>
        <v>0</v>
      </c>
      <c r="H10" s="66"/>
      <c r="I10" s="66"/>
      <c r="J10" s="66"/>
      <c r="K10" s="1026">
        <f>SUMIF('数据-汇总表'!C$19:C$33,A10,'数据-汇总表'!E$19:E$33)</f>
        <v>0</v>
      </c>
      <c r="L10" s="729"/>
      <c r="M10" s="67">
        <f t="shared" si="0"/>
        <v>0</v>
      </c>
      <c r="N10" s="727"/>
      <c r="O10" s="67" t="str">
        <f t="shared" si="3"/>
        <v>——</v>
      </c>
      <c r="P10" s="68" t="str">
        <f t="shared" si="4"/>
        <v>——</v>
      </c>
      <c r="Q10" s="81"/>
      <c r="R10" s="69">
        <f ca="1">SUMIF('数据-汇总表'!C$19:C$33,A10,'数据-汇总表'!R$19:R$27)</f>
        <v>0</v>
      </c>
      <c r="S10" s="51">
        <f>IF('数据-汇总表'!$I$17="按面积比例",SUMIF('数据-汇总表'!C$19:C$33,A10,'数据-汇总表'!K$19:K$33),SUMIF('数据-汇总表'!C$19:C$33,A10,'数据-汇总表'!N$19:N$33))</f>
        <v>0</v>
      </c>
      <c r="T10" s="1168">
        <f t="shared" si="5"/>
        <v>0</v>
      </c>
      <c r="U10" s="3420"/>
      <c r="V10" s="70"/>
      <c r="W10" s="70"/>
      <c r="X10" s="1036"/>
      <c r="Y10" s="71"/>
      <c r="Z10" s="72"/>
      <c r="AA10" s="66"/>
      <c r="AB10" s="66"/>
      <c r="AC10" s="1036"/>
      <c r="AD10" s="73"/>
      <c r="AE10" s="1037">
        <f t="shared" ca="1" si="6"/>
        <v>0</v>
      </c>
      <c r="AF10" s="1344"/>
      <c r="AG10" s="136">
        <f t="shared" si="7"/>
        <v>0</v>
      </c>
      <c r="AH10" s="74"/>
      <c r="AI10" s="76"/>
      <c r="AJ10" s="77"/>
      <c r="AK10" s="78"/>
      <c r="AL10" s="79"/>
      <c r="AM10" s="80"/>
      <c r="AN10" s="1711"/>
      <c r="AO10" s="52" t="e">
        <f t="shared" ca="1" si="8"/>
        <v>#REF!</v>
      </c>
      <c r="AP10" s="1712">
        <f t="shared" si="9"/>
        <v>0</v>
      </c>
      <c r="AQ10" s="52">
        <f t="shared" si="10"/>
        <v>0</v>
      </c>
      <c r="AR10" s="52">
        <f t="shared" si="11"/>
        <v>0</v>
      </c>
      <c r="AS10" s="1682"/>
      <c r="AT10" s="1682"/>
      <c r="AU10" s="1682"/>
      <c r="AV10" s="1682"/>
      <c r="AW10" s="1682"/>
      <c r="AX10" s="1682"/>
      <c r="AY10" s="1682"/>
      <c r="AZ10" s="1682"/>
      <c r="BA10" s="1682"/>
      <c r="BB10" s="1682"/>
      <c r="BC10" s="1682"/>
      <c r="BD10" s="1682"/>
      <c r="BE10" s="1682"/>
      <c r="BF10" s="1682"/>
      <c r="BG10" s="1682"/>
      <c r="BH10" s="1682"/>
      <c r="BI10" s="1682"/>
      <c r="BJ10" s="1682"/>
      <c r="BK10" s="1682"/>
      <c r="BL10" s="1682"/>
      <c r="BM10" s="1682"/>
      <c r="BN10" s="1682"/>
      <c r="BO10" s="1682"/>
    </row>
    <row r="11" spans="1:67" s="1555" customFormat="1" ht="14.25">
      <c r="A11" s="1708">
        <f>'数据-汇总表'!C24</f>
        <v>0</v>
      </c>
      <c r="B11" s="1709" t="str">
        <f t="shared" si="1"/>
        <v/>
      </c>
      <c r="C11" s="1710"/>
      <c r="D11" s="854">
        <f>SUMIF(项目基本情况!C$12:I$12,C11,项目基本情况!C$14:I$14)</f>
        <v>0</v>
      </c>
      <c r="E11" s="853" t="str">
        <f>IF(B11="","",SUMIF(项目基本情况!C$12:I$12,C11,项目基本情况!C$13:I$13))</f>
        <v/>
      </c>
      <c r="F11" s="64">
        <f>SUMIF(项目基本情况!C$12:I$12,C11,项目基本情况!C$15:I$15)</f>
        <v>0</v>
      </c>
      <c r="G11" s="65">
        <f t="shared" si="2"/>
        <v>0</v>
      </c>
      <c r="H11" s="66"/>
      <c r="I11" s="66"/>
      <c r="J11" s="66"/>
      <c r="K11" s="1026">
        <f>SUMIF('数据-汇总表'!C$19:C$33,A11,'数据-汇总表'!E$19:E$33)</f>
        <v>0</v>
      </c>
      <c r="L11" s="82"/>
      <c r="M11" s="67">
        <f t="shared" si="0"/>
        <v>0</v>
      </c>
      <c r="N11" s="727"/>
      <c r="O11" s="67" t="str">
        <f t="shared" si="3"/>
        <v>——</v>
      </c>
      <c r="P11" s="68" t="str">
        <f t="shared" si="4"/>
        <v>——</v>
      </c>
      <c r="Q11" s="81"/>
      <c r="R11" s="69">
        <f ca="1">SUMIF('数据-汇总表'!C$19:C$33,A11,'数据-汇总表'!R$19:R$27)</f>
        <v>0</v>
      </c>
      <c r="S11" s="51">
        <f>IF('数据-汇总表'!$I$17="按面积比例",SUMIF('数据-汇总表'!C$19:C$33,A11,'数据-汇总表'!K$19:K$33),SUMIF('数据-汇总表'!C$19:C$33,A11,'数据-汇总表'!N$19:N$33))</f>
        <v>0</v>
      </c>
      <c r="T11" s="1168">
        <f t="shared" si="5"/>
        <v>0</v>
      </c>
      <c r="U11" s="3420"/>
      <c r="V11" s="66"/>
      <c r="W11" s="66"/>
      <c r="X11" s="1036"/>
      <c r="Y11" s="71"/>
      <c r="Z11" s="84"/>
      <c r="AA11" s="66"/>
      <c r="AB11" s="66"/>
      <c r="AC11" s="1036"/>
      <c r="AD11" s="73"/>
      <c r="AE11" s="1037">
        <f t="shared" ca="1" si="6"/>
        <v>0</v>
      </c>
      <c r="AF11" s="1344"/>
      <c r="AG11" s="136">
        <f t="shared" si="7"/>
        <v>0</v>
      </c>
      <c r="AH11" s="74"/>
      <c r="AI11" s="76"/>
      <c r="AJ11" s="77"/>
      <c r="AK11" s="85"/>
      <c r="AL11" s="86"/>
      <c r="AM11" s="87"/>
      <c r="AN11" s="1711"/>
      <c r="AO11" s="52" t="e">
        <f t="shared" ca="1" si="8"/>
        <v>#REF!</v>
      </c>
      <c r="AP11" s="1712">
        <f t="shared" si="9"/>
        <v>0</v>
      </c>
      <c r="AQ11" s="52">
        <f t="shared" si="10"/>
        <v>0</v>
      </c>
      <c r="AR11" s="52">
        <f t="shared" si="11"/>
        <v>0</v>
      </c>
      <c r="AS11" s="1682"/>
      <c r="AT11" s="1682"/>
      <c r="AU11" s="1682"/>
      <c r="AV11" s="1682"/>
      <c r="AW11" s="1682"/>
      <c r="AX11" s="1682"/>
      <c r="AY11" s="1682"/>
      <c r="AZ11" s="1682"/>
      <c r="BA11" s="1682"/>
      <c r="BB11" s="1682"/>
      <c r="BC11" s="1682"/>
      <c r="BD11" s="1682"/>
      <c r="BE11" s="1682"/>
      <c r="BF11" s="1682"/>
      <c r="BG11" s="1682"/>
      <c r="BH11" s="1682"/>
      <c r="BI11" s="1682"/>
      <c r="BJ11" s="1682"/>
      <c r="BK11" s="1682"/>
      <c r="BL11" s="1682"/>
      <c r="BM11" s="1682"/>
      <c r="BN11" s="1682"/>
      <c r="BO11" s="1682"/>
    </row>
    <row r="12" spans="1:67" s="1555" customFormat="1" ht="14.25">
      <c r="A12" s="1708">
        <f>'数据-汇总表'!C25</f>
        <v>0</v>
      </c>
      <c r="B12" s="1709" t="str">
        <f t="shared" si="1"/>
        <v/>
      </c>
      <c r="C12" s="1710"/>
      <c r="D12" s="854">
        <f>SUMIF(项目基本情况!C$12:I$12,C12,项目基本情况!C$14:I$14)</f>
        <v>0</v>
      </c>
      <c r="E12" s="853" t="str">
        <f>IF(B12="","",SUMIF(项目基本情况!C$12:I$12,C12,项目基本情况!C$13:I$13))</f>
        <v/>
      </c>
      <c r="F12" s="64">
        <f>SUMIF(项目基本情况!C$12:I$12,C12,项目基本情况!C$15:I$15)</f>
        <v>0</v>
      </c>
      <c r="G12" s="65">
        <f>IF(ISERROR(ROUND(POWER(1+H12,D12-F12)*(POWER(1+H12,F12)-1)/(POWER(1+H12,D12)-1),3)),0,ROUND(POWER(1+H12,D12-F12)*(POWER(1+H12,F12)-1)/(POWER(1+H12,D12)-1),3))</f>
        <v>0</v>
      </c>
      <c r="H12" s="66"/>
      <c r="I12" s="66"/>
      <c r="J12" s="66"/>
      <c r="K12" s="1026">
        <f>SUMIF('数据-汇总表'!C$19:C$33,A12,'数据-汇总表'!E$19:E$33)</f>
        <v>0</v>
      </c>
      <c r="L12" s="82"/>
      <c r="M12" s="67">
        <f>ROUND(K12*L12/10000,0)</f>
        <v>0</v>
      </c>
      <c r="N12" s="727"/>
      <c r="O12" s="67" t="str">
        <f t="shared" si="3"/>
        <v>——</v>
      </c>
      <c r="P12" s="68" t="str">
        <f t="shared" si="4"/>
        <v>——</v>
      </c>
      <c r="Q12" s="81"/>
      <c r="R12" s="69">
        <f ca="1">SUMIF('数据-汇总表'!C$19:C$33,A12,'数据-汇总表'!R$19:R$27)</f>
        <v>0</v>
      </c>
      <c r="S12" s="51">
        <f>IF('数据-汇总表'!$I$17="按面积比例",SUMIF('数据-汇总表'!C$19:C$33,A12,'数据-汇总表'!K$19:K$33),SUMIF('数据-汇总表'!C$19:C$33,A12,'数据-汇总表'!N$19:N$33))</f>
        <v>0</v>
      </c>
      <c r="T12" s="1168">
        <f t="shared" si="5"/>
        <v>0</v>
      </c>
      <c r="U12" s="3420"/>
      <c r="V12" s="66"/>
      <c r="W12" s="66"/>
      <c r="X12" s="1036"/>
      <c r="Y12" s="71"/>
      <c r="Z12" s="84"/>
      <c r="AA12" s="66"/>
      <c r="AB12" s="66"/>
      <c r="AC12" s="1036"/>
      <c r="AD12" s="73"/>
      <c r="AE12" s="1037">
        <f t="shared" ca="1" si="6"/>
        <v>0</v>
      </c>
      <c r="AF12" s="1344"/>
      <c r="AG12" s="136">
        <f t="shared" si="7"/>
        <v>0</v>
      </c>
      <c r="AH12" s="74"/>
      <c r="AI12" s="76"/>
      <c r="AJ12" s="77"/>
      <c r="AK12" s="85"/>
      <c r="AL12" s="86"/>
      <c r="AM12" s="87"/>
      <c r="AN12" s="1711"/>
      <c r="AO12" s="52" t="e">
        <f t="shared" ca="1" si="8"/>
        <v>#REF!</v>
      </c>
      <c r="AP12" s="1712">
        <f t="shared" si="9"/>
        <v>0</v>
      </c>
      <c r="AQ12" s="52">
        <f t="shared" si="10"/>
        <v>0</v>
      </c>
      <c r="AR12" s="52">
        <f t="shared" si="11"/>
        <v>0</v>
      </c>
      <c r="AS12" s="1682"/>
      <c r="AT12" s="1682"/>
      <c r="AU12" s="1682"/>
      <c r="AV12" s="1682"/>
      <c r="AW12" s="1682"/>
      <c r="AX12" s="1682"/>
      <c r="AY12" s="1682"/>
      <c r="AZ12" s="1682"/>
      <c r="BA12" s="1682"/>
      <c r="BB12" s="1682"/>
      <c r="BC12" s="1682"/>
      <c r="BD12" s="1682"/>
      <c r="BE12" s="1682"/>
      <c r="BF12" s="1682"/>
      <c r="BG12" s="1682"/>
      <c r="BH12" s="1682"/>
      <c r="BI12" s="1682"/>
      <c r="BJ12" s="1682"/>
      <c r="BK12" s="1682"/>
      <c r="BL12" s="1682"/>
      <c r="BM12" s="1682"/>
      <c r="BN12" s="1682"/>
      <c r="BO12" s="1682"/>
    </row>
    <row r="13" spans="1:67" s="1555" customFormat="1" ht="14.25">
      <c r="A13" s="1708">
        <f>'数据-汇总表'!C26</f>
        <v>0</v>
      </c>
      <c r="B13" s="1709" t="str">
        <f t="shared" si="1"/>
        <v/>
      </c>
      <c r="C13" s="1710"/>
      <c r="D13" s="854">
        <f>SUMIF(项目基本情况!C$12:I$12,C13,项目基本情况!C$14:I$14)</f>
        <v>0</v>
      </c>
      <c r="E13" s="853" t="str">
        <f>IF(B13="","",SUMIF(项目基本情况!C$12:I$12,C13,项目基本情况!C$13:I$13))</f>
        <v/>
      </c>
      <c r="F13" s="64">
        <f>SUMIF(项目基本情况!C$12:I$12,C13,项目基本情况!C$15:I$15)</f>
        <v>0</v>
      </c>
      <c r="G13" s="65">
        <f>IF(ISERROR(ROUND(POWER(1+H13,D13-F13)*(POWER(1+H13,F13)-1)/(POWER(1+H13,D13)-1),3)),0,ROUND(POWER(1+H13,D13-F13)*(POWER(1+H13,F13)-1)/(POWER(1+H13,D13)-1),3))</f>
        <v>0</v>
      </c>
      <c r="H13" s="66"/>
      <c r="I13" s="66"/>
      <c r="J13" s="66"/>
      <c r="K13" s="1026">
        <f>SUMIF('数据-汇总表'!C$19:C$33,A13,'数据-汇总表'!E$19:E$33)</f>
        <v>0</v>
      </c>
      <c r="L13" s="82"/>
      <c r="M13" s="67">
        <f>ROUND(K13*L13/10000,0)</f>
        <v>0</v>
      </c>
      <c r="N13" s="83"/>
      <c r="O13" s="67" t="str">
        <f t="shared" si="3"/>
        <v>——</v>
      </c>
      <c r="P13" s="68" t="str">
        <f t="shared" si="4"/>
        <v>——</v>
      </c>
      <c r="Q13" s="81"/>
      <c r="R13" s="69">
        <f ca="1">SUMIF('数据-汇总表'!C$19:C$33,A13,'数据-汇总表'!R$19:R$27)</f>
        <v>0</v>
      </c>
      <c r="S13" s="51">
        <f>IF('数据-汇总表'!$I$17="按面积比例",SUMIF('数据-汇总表'!C$19:C$33,A13,'数据-汇总表'!K$19:K$33),SUMIF('数据-汇总表'!C$19:C$33,A13,'数据-汇总表'!N$19:N$33))</f>
        <v>0</v>
      </c>
      <c r="T13" s="1168">
        <f t="shared" si="5"/>
        <v>0</v>
      </c>
      <c r="U13" s="3422"/>
      <c r="V13" s="70"/>
      <c r="W13" s="70"/>
      <c r="X13" s="1036"/>
      <c r="Y13" s="71"/>
      <c r="Z13" s="72"/>
      <c r="AA13" s="66"/>
      <c r="AB13" s="66"/>
      <c r="AC13" s="1036"/>
      <c r="AD13" s="73"/>
      <c r="AE13" s="1037">
        <f t="shared" ca="1" si="6"/>
        <v>0</v>
      </c>
      <c r="AF13" s="1344"/>
      <c r="AG13" s="136">
        <f t="shared" si="7"/>
        <v>0</v>
      </c>
      <c r="AH13" s="74"/>
      <c r="AI13" s="76"/>
      <c r="AJ13" s="77"/>
      <c r="AK13" s="78"/>
      <c r="AL13" s="79"/>
      <c r="AM13" s="80"/>
      <c r="AN13" s="1711"/>
      <c r="AO13" s="52" t="e">
        <f t="shared" ca="1" si="8"/>
        <v>#REF!</v>
      </c>
      <c r="AP13" s="1712">
        <f t="shared" si="9"/>
        <v>0</v>
      </c>
      <c r="AQ13" s="52">
        <f t="shared" si="10"/>
        <v>0</v>
      </c>
      <c r="AR13" s="52">
        <f t="shared" si="11"/>
        <v>0</v>
      </c>
      <c r="AS13" s="1682"/>
      <c r="AT13" s="1682"/>
      <c r="AU13" s="1682"/>
      <c r="AV13" s="1682"/>
      <c r="AW13" s="1682"/>
      <c r="AX13" s="1682"/>
      <c r="AY13" s="1682"/>
      <c r="AZ13" s="1682"/>
      <c r="BA13" s="1682"/>
      <c r="BB13" s="1682"/>
      <c r="BC13" s="1682"/>
      <c r="BD13" s="1682"/>
      <c r="BE13" s="1682"/>
      <c r="BF13" s="1682"/>
      <c r="BG13" s="1682"/>
      <c r="BH13" s="1682"/>
      <c r="BI13" s="1682"/>
      <c r="BJ13" s="1682"/>
      <c r="BK13" s="1682"/>
      <c r="BL13" s="1682"/>
      <c r="BM13" s="1682"/>
      <c r="BN13" s="1682"/>
      <c r="BO13" s="1682"/>
    </row>
    <row r="14" spans="1:67" s="1555" customFormat="1" ht="14.25">
      <c r="A14" s="1713" t="s">
        <v>1205</v>
      </c>
      <c r="B14" s="1709" t="s">
        <v>1206</v>
      </c>
      <c r="C14" s="1714" t="s">
        <v>1205</v>
      </c>
      <c r="D14" s="854"/>
      <c r="E14" s="853"/>
      <c r="F14" s="64"/>
      <c r="G14" s="65"/>
      <c r="H14" s="1025"/>
      <c r="I14" s="1025"/>
      <c r="J14" s="1025"/>
      <c r="K14" s="1026">
        <f>SUMIF('数据-汇总表'!C$19:C$33,A14,'数据-汇总表'!E$19:E$33)</f>
        <v>0</v>
      </c>
      <c r="L14" s="82"/>
      <c r="M14" s="67">
        <f t="shared" si="0"/>
        <v>0</v>
      </c>
      <c r="N14" s="83"/>
      <c r="O14" s="67" t="str">
        <f t="shared" si="3"/>
        <v>——</v>
      </c>
      <c r="P14" s="68" t="str">
        <f t="shared" si="4"/>
        <v>——</v>
      </c>
      <c r="Q14" s="1029"/>
      <c r="R14" s="69"/>
      <c r="S14" s="51"/>
      <c r="T14" s="1168"/>
      <c r="U14" s="667"/>
      <c r="V14" s="1031"/>
      <c r="W14" s="1031"/>
      <c r="X14" s="1032"/>
      <c r="Y14" s="1033"/>
      <c r="Z14" s="1034"/>
      <c r="AA14" s="1035"/>
      <c r="AB14" s="1035"/>
      <c r="AC14" s="1036"/>
      <c r="AD14" s="1032"/>
      <c r="AE14" s="1037"/>
      <c r="AF14" s="52"/>
      <c r="AG14" s="136"/>
      <c r="AH14" s="1037"/>
      <c r="AI14" s="1353"/>
      <c r="AJ14" s="700"/>
      <c r="AK14" s="1038"/>
      <c r="AL14" s="1039"/>
      <c r="AM14" s="1040"/>
      <c r="AN14" s="2663"/>
      <c r="AO14" s="2665"/>
      <c r="AP14" s="2665"/>
      <c r="AQ14" s="2665"/>
      <c r="AR14" s="2665"/>
      <c r="AS14" s="1682"/>
      <c r="AT14" s="1682"/>
      <c r="AU14" s="1682"/>
      <c r="AV14" s="1682"/>
      <c r="AW14" s="1682"/>
      <c r="AX14" s="1682"/>
      <c r="AY14" s="1682"/>
      <c r="AZ14" s="1682"/>
      <c r="BA14" s="1682"/>
      <c r="BB14" s="1682"/>
      <c r="BC14" s="1682"/>
      <c r="BD14" s="1682"/>
      <c r="BE14" s="1682"/>
      <c r="BF14" s="1682"/>
      <c r="BG14" s="1682"/>
      <c r="BH14" s="1682"/>
      <c r="BI14" s="1682"/>
      <c r="BJ14" s="1682"/>
      <c r="BK14" s="1682"/>
      <c r="BL14" s="1682"/>
      <c r="BM14" s="1682"/>
      <c r="BN14" s="1682"/>
      <c r="BO14" s="1682"/>
    </row>
    <row r="15" spans="1:67" s="1555" customFormat="1" ht="27">
      <c r="A15" s="1713" t="s">
        <v>1207</v>
      </c>
      <c r="B15" s="1709" t="s">
        <v>1206</v>
      </c>
      <c r="C15" s="1714" t="s">
        <v>1208</v>
      </c>
      <c r="D15" s="854"/>
      <c r="E15" s="853"/>
      <c r="F15" s="64"/>
      <c r="G15" s="65"/>
      <c r="H15" s="1025"/>
      <c r="I15" s="1025"/>
      <c r="J15" s="1025"/>
      <c r="K15" s="1026">
        <f>SUMIF('数据-汇总表'!C$19:C$33,A15,'数据-汇总表'!E$19:E$33)</f>
        <v>0</v>
      </c>
      <c r="L15" s="1027"/>
      <c r="M15" s="67"/>
      <c r="N15" s="1028"/>
      <c r="O15" s="67"/>
      <c r="P15" s="68"/>
      <c r="Q15" s="1029"/>
      <c r="R15" s="69"/>
      <c r="S15" s="51"/>
      <c r="T15" s="1168"/>
      <c r="U15" s="667"/>
      <c r="V15" s="1031"/>
      <c r="W15" s="1031"/>
      <c r="X15" s="1032"/>
      <c r="Y15" s="1033"/>
      <c r="Z15" s="1034"/>
      <c r="AA15" s="1035"/>
      <c r="AB15" s="1035"/>
      <c r="AC15" s="1036"/>
      <c r="AD15" s="1032"/>
      <c r="AE15" s="1037"/>
      <c r="AF15" s="52"/>
      <c r="AG15" s="136"/>
      <c r="AH15" s="1037"/>
      <c r="AI15" s="1353"/>
      <c r="AJ15" s="700"/>
      <c r="AK15" s="1038"/>
      <c r="AL15" s="1039"/>
      <c r="AM15" s="1040"/>
      <c r="AN15" s="2663"/>
      <c r="AO15" s="2665"/>
      <c r="AP15" s="2665"/>
      <c r="AQ15" s="2665"/>
      <c r="AR15" s="2665"/>
      <c r="AS15" s="1682"/>
      <c r="AT15" s="1682"/>
      <c r="AU15" s="1682"/>
      <c r="AV15" s="1682"/>
      <c r="AW15" s="1682"/>
      <c r="AX15" s="1682"/>
      <c r="AY15" s="1682"/>
      <c r="AZ15" s="1682"/>
      <c r="BA15" s="1682"/>
      <c r="BB15" s="1682"/>
      <c r="BC15" s="1682"/>
      <c r="BD15" s="1682"/>
      <c r="BE15" s="1682"/>
      <c r="BF15" s="1682"/>
      <c r="BG15" s="1682"/>
      <c r="BH15" s="1682"/>
      <c r="BI15" s="1682"/>
      <c r="BJ15" s="1682"/>
      <c r="BK15" s="1682"/>
      <c r="BL15" s="1682"/>
      <c r="BM15" s="1682"/>
      <c r="BN15" s="1682"/>
      <c r="BO15" s="1682"/>
    </row>
    <row r="16" spans="1:67" s="1555" customFormat="1" ht="15.75" thickBot="1">
      <c r="A16" s="1715" t="s">
        <v>1209</v>
      </c>
      <c r="B16" s="88"/>
      <c r="C16" s="829"/>
      <c r="D16" s="1716"/>
      <c r="E16" s="88"/>
      <c r="F16" s="88"/>
      <c r="G16" s="89">
        <f>ROUND(SUMPRODUCT(G6:G13,K6:K13)/SUMPRODUCT((G6:G13&gt;0)*(K6:K13)),3)</f>
        <v>1</v>
      </c>
      <c r="H16" s="90">
        <f>ROUND(SUMPRODUCT(H6:H13,K6:K13)/SUMPRODUCT((H6:H13&gt;0)*(K6:K13)),3)</f>
        <v>0.04</v>
      </c>
      <c r="I16" s="91"/>
      <c r="J16" s="91"/>
      <c r="K16" s="92">
        <f>SUM(K6:K15)</f>
        <v>1</v>
      </c>
      <c r="L16" s="93">
        <f>ROUND(M16*10000/SUM(K6:K14),0)</f>
        <v>10000</v>
      </c>
      <c r="M16" s="93">
        <f>SUM(M6:M14)</f>
        <v>1</v>
      </c>
      <c r="N16" s="94">
        <f>ROUND(SUMPRODUCT(M6:M14,N6:N14)/M16,3)</f>
        <v>1</v>
      </c>
      <c r="O16" s="93">
        <f>SUM(O6:O14)</f>
        <v>0</v>
      </c>
      <c r="P16" s="93">
        <f>SUM(P6:P14)</f>
        <v>0</v>
      </c>
      <c r="Q16" s="95">
        <f>ROUND(SUMPRODUCT(Q6:Q13,K6:K13)/SUMPRODUCT((Q6:Q13&gt;0)*(K6:K13)),2)</f>
        <v>0.1</v>
      </c>
      <c r="R16" s="1030">
        <f ca="1">SUM(R6:R13)</f>
        <v>0.45</v>
      </c>
      <c r="S16" s="96">
        <f>SUM(S6:S13)</f>
        <v>0</v>
      </c>
      <c r="T16" s="97">
        <f>IF(SUMIF(T6:T13,"&lt;9E307")=M14,SUMIF(T6:T13,"&lt;9E307"),"有误，请检查")</f>
        <v>0</v>
      </c>
      <c r="U16" s="98"/>
      <c r="V16" s="99"/>
      <c r="W16" s="99"/>
      <c r="X16" s="102"/>
      <c r="Y16" s="100"/>
      <c r="Z16" s="101"/>
      <c r="AA16" s="99"/>
      <c r="AB16" s="99"/>
      <c r="AC16" s="102"/>
      <c r="AD16" s="102"/>
      <c r="AE16" s="98"/>
      <c r="AF16" s="99"/>
      <c r="AG16" s="100"/>
      <c r="AH16" s="98"/>
      <c r="AI16" s="101"/>
      <c r="AJ16" s="101"/>
      <c r="AK16" s="99"/>
      <c r="AL16" s="99"/>
      <c r="AM16" s="100"/>
      <c r="AN16" s="2663"/>
      <c r="AO16" s="2665"/>
      <c r="AP16" s="2665"/>
      <c r="AQ16" s="2665"/>
      <c r="AR16" s="2665"/>
      <c r="AS16" s="1682"/>
      <c r="AT16" s="1682"/>
      <c r="AU16" s="1682"/>
      <c r="AV16" s="1682"/>
      <c r="AW16" s="1682"/>
      <c r="AX16" s="1682"/>
      <c r="AY16" s="1682"/>
      <c r="AZ16" s="1682"/>
      <c r="BA16" s="1682"/>
      <c r="BB16" s="1682"/>
      <c r="BC16" s="1682"/>
      <c r="BD16" s="1682"/>
      <c r="BE16" s="1682"/>
      <c r="BF16" s="1682"/>
      <c r="BG16" s="1682"/>
      <c r="BH16" s="1682"/>
      <c r="BI16" s="1682"/>
      <c r="BJ16" s="1682"/>
      <c r="BK16" s="1682"/>
      <c r="BL16" s="1682"/>
      <c r="BM16" s="1682"/>
      <c r="BN16" s="1682"/>
      <c r="BO16" s="1682"/>
    </row>
    <row r="17" spans="1:67" ht="13.5" thickBot="1">
      <c r="A17" s="1717"/>
      <c r="B17" s="2674"/>
      <c r="C17" s="2663"/>
      <c r="D17" s="2667"/>
      <c r="E17" s="2667"/>
      <c r="F17" s="2663"/>
      <c r="G17" s="2663"/>
      <c r="H17" s="2663"/>
      <c r="I17" s="2663"/>
      <c r="J17" s="2663"/>
      <c r="K17" s="2664"/>
      <c r="L17" s="2664"/>
      <c r="M17" s="2663"/>
      <c r="N17" s="2663"/>
      <c r="O17" s="2663"/>
      <c r="P17" s="2663"/>
      <c r="Q17" s="2663"/>
      <c r="R17" s="2663"/>
      <c r="S17" s="2663"/>
      <c r="T17" s="2663"/>
      <c r="U17" s="2663"/>
      <c r="V17" s="2663"/>
      <c r="W17" s="2663"/>
      <c r="X17" s="2663"/>
      <c r="Y17" s="2663"/>
      <c r="Z17" s="2663"/>
      <c r="AA17" s="2663"/>
      <c r="AB17" s="2663"/>
      <c r="AC17" s="2663"/>
      <c r="AD17" s="2663"/>
      <c r="AE17" s="2663"/>
      <c r="AF17" s="2663"/>
      <c r="AG17" s="2663"/>
      <c r="AH17" s="2663"/>
      <c r="AI17" s="2663"/>
      <c r="AJ17" s="2663"/>
      <c r="AK17" s="2663"/>
      <c r="AL17" s="2663"/>
      <c r="AM17" s="2663"/>
      <c r="AN17" s="2663"/>
      <c r="AO17" s="2663"/>
      <c r="AP17" s="2663"/>
      <c r="AQ17" s="2663"/>
      <c r="AR17" s="2663"/>
    </row>
    <row r="18" spans="1:67" ht="15" thickBot="1">
      <c r="A18" s="60" t="s">
        <v>1210</v>
      </c>
      <c r="B18" s="2677"/>
      <c r="C18" s="2665"/>
      <c r="D18" s="2668"/>
      <c r="E18" s="2665"/>
      <c r="F18" s="2665"/>
      <c r="G18" s="2665"/>
      <c r="H18" s="2665"/>
      <c r="I18" s="2665"/>
      <c r="J18" s="2665"/>
      <c r="K18" s="2664"/>
      <c r="L18" s="2664"/>
      <c r="M18" s="2663"/>
      <c r="N18" s="2663"/>
      <c r="O18" s="2663"/>
      <c r="P18" s="2663"/>
      <c r="Q18" s="2663"/>
      <c r="R18" s="2663"/>
      <c r="S18" s="2663"/>
      <c r="T18" s="2663"/>
      <c r="U18" s="2663"/>
      <c r="V18" s="2663"/>
      <c r="W18" s="2663"/>
      <c r="X18" s="2663"/>
      <c r="Y18" s="2663"/>
      <c r="Z18" s="2663"/>
      <c r="AA18" s="2663"/>
      <c r="AB18" s="2663"/>
      <c r="AC18" s="2663"/>
      <c r="AD18" s="2663"/>
      <c r="AE18" s="2663"/>
      <c r="AF18" s="2663"/>
      <c r="AG18" s="2663"/>
      <c r="AH18" s="2663"/>
      <c r="AI18" s="2663"/>
      <c r="AJ18" s="2663"/>
      <c r="AK18" s="2663"/>
      <c r="AL18" s="2663"/>
      <c r="AM18" s="2663"/>
      <c r="AN18" s="2663"/>
      <c r="AO18" s="2663"/>
      <c r="AP18" s="2663"/>
      <c r="AQ18" s="2663"/>
      <c r="AR18" s="2663"/>
    </row>
    <row r="19" spans="1:67" ht="14.25">
      <c r="A19" s="1718" t="s">
        <v>1211</v>
      </c>
      <c r="B19" s="103">
        <v>0</v>
      </c>
      <c r="C19" s="2791" t="s">
        <v>2302</v>
      </c>
      <c r="D19" s="2668"/>
      <c r="E19" s="2665"/>
      <c r="F19" s="2665"/>
      <c r="G19" s="2665"/>
      <c r="H19" s="2665"/>
      <c r="I19" s="2665"/>
      <c r="J19" s="2665"/>
      <c r="K19" s="2664"/>
      <c r="L19" s="2664"/>
      <c r="M19" s="2663"/>
      <c r="N19" s="2663"/>
      <c r="O19" s="2663"/>
      <c r="P19" s="2663"/>
      <c r="Q19" s="2663"/>
      <c r="R19" s="2663"/>
      <c r="S19" s="2663"/>
      <c r="T19" s="2663"/>
      <c r="U19" s="2663"/>
      <c r="V19" s="2663"/>
      <c r="W19" s="2663"/>
      <c r="X19" s="2663"/>
      <c r="Y19" s="2663"/>
      <c r="Z19" s="2663"/>
      <c r="AA19" s="2663"/>
      <c r="AB19" s="2663"/>
      <c r="AC19" s="2663"/>
      <c r="AD19" s="2663"/>
      <c r="AE19" s="2663"/>
      <c r="AF19" s="2663"/>
      <c r="AG19" s="2663"/>
      <c r="AH19" s="2663"/>
      <c r="AI19" s="2663"/>
      <c r="AJ19" s="2663"/>
      <c r="AK19" s="2663"/>
      <c r="AL19" s="2663"/>
      <c r="AM19" s="2663"/>
      <c r="AN19" s="2663"/>
      <c r="AO19" s="2663"/>
      <c r="AP19" s="2663"/>
      <c r="AQ19" s="2663"/>
      <c r="AR19" s="2663"/>
    </row>
    <row r="20" spans="1:67" ht="14.25">
      <c r="A20" s="1719" t="s">
        <v>1212</v>
      </c>
      <c r="B20" s="104">
        <v>3</v>
      </c>
      <c r="C20" s="2792" t="s">
        <v>2300</v>
      </c>
      <c r="D20" s="2668"/>
      <c r="E20" s="2665"/>
      <c r="F20" s="2665"/>
      <c r="G20" s="2665"/>
      <c r="H20" s="2665"/>
      <c r="I20" s="2665"/>
      <c r="J20" s="2665"/>
      <c r="K20" s="2664"/>
      <c r="L20" s="2664"/>
      <c r="M20" s="2663"/>
      <c r="N20" s="2663"/>
      <c r="O20" s="2663"/>
      <c r="P20" s="2663"/>
      <c r="Q20" s="2663"/>
      <c r="R20" s="2663"/>
      <c r="S20" s="2663"/>
      <c r="T20" s="2663"/>
      <c r="U20" s="2663"/>
      <c r="V20" s="2663"/>
      <c r="W20" s="2663"/>
      <c r="X20" s="2663"/>
      <c r="Y20" s="2663"/>
      <c r="Z20" s="2663"/>
      <c r="AA20" s="2663"/>
      <c r="AB20" s="2663"/>
      <c r="AC20" s="2663"/>
      <c r="AD20" s="2663"/>
      <c r="AE20" s="2663"/>
      <c r="AF20" s="2663"/>
      <c r="AG20" s="2663"/>
      <c r="AH20" s="2663"/>
      <c r="AI20" s="2663"/>
      <c r="AJ20" s="2663"/>
      <c r="AK20" s="2663"/>
      <c r="AL20" s="2663"/>
      <c r="AM20" s="2663"/>
      <c r="AN20" s="2663"/>
      <c r="AO20" s="2663"/>
      <c r="AP20" s="2663"/>
      <c r="AQ20" s="2663"/>
      <c r="AR20" s="2663"/>
    </row>
    <row r="21" spans="1:67" ht="14.25">
      <c r="A21" s="1720" t="s">
        <v>1213</v>
      </c>
      <c r="B21" s="104">
        <v>3</v>
      </c>
      <c r="C21" s="2665"/>
      <c r="D21" s="2668"/>
      <c r="E21" s="2665"/>
      <c r="F21" s="2665"/>
      <c r="G21" s="2665"/>
      <c r="H21" s="2665"/>
      <c r="I21" s="2665"/>
      <c r="J21" s="2665"/>
      <c r="K21" s="2664"/>
      <c r="L21" s="2664"/>
      <c r="M21" s="2663"/>
      <c r="N21" s="2663"/>
      <c r="O21" s="2663"/>
      <c r="P21" s="2663"/>
      <c r="Q21" s="2663"/>
      <c r="R21" s="2663"/>
      <c r="S21" s="2663"/>
      <c r="T21" s="2663"/>
      <c r="U21" s="2663"/>
      <c r="V21" s="2663"/>
      <c r="W21" s="2663"/>
      <c r="X21" s="2663"/>
      <c r="Y21" s="2663"/>
      <c r="Z21" s="2663"/>
      <c r="AA21" s="2663"/>
      <c r="AB21" s="2663"/>
      <c r="AC21" s="2663"/>
      <c r="AD21" s="2663"/>
      <c r="AE21" s="2663"/>
      <c r="AF21" s="2663"/>
      <c r="AG21" s="2663"/>
      <c r="AH21" s="2663"/>
      <c r="AI21" s="2663"/>
      <c r="AJ21" s="2663"/>
      <c r="AK21" s="2663"/>
      <c r="AL21" s="2663"/>
      <c r="AM21" s="2663"/>
      <c r="AN21" s="2663"/>
      <c r="AO21" s="2663"/>
      <c r="AP21" s="2663"/>
      <c r="AQ21" s="2663"/>
      <c r="AR21" s="2663"/>
    </row>
    <row r="22" spans="1:67" ht="14.25">
      <c r="A22" s="1719" t="s">
        <v>1214</v>
      </c>
      <c r="B22" s="105">
        <f>B19+B20</f>
        <v>3</v>
      </c>
      <c r="C22" s="2665"/>
      <c r="D22" s="2668"/>
      <c r="E22" s="2665"/>
      <c r="F22" s="2665"/>
      <c r="G22" s="2665"/>
      <c r="H22" s="2665"/>
      <c r="I22" s="2665"/>
      <c r="J22" s="2665"/>
      <c r="K22" s="2664"/>
      <c r="L22" s="2664"/>
      <c r="M22" s="2663"/>
      <c r="N22" s="2663"/>
      <c r="O22" s="2663"/>
      <c r="P22" s="2663"/>
      <c r="Q22" s="2663"/>
      <c r="R22" s="2663"/>
      <c r="S22" s="2663"/>
      <c r="T22" s="2663"/>
      <c r="U22" s="2663"/>
      <c r="V22" s="2663"/>
      <c r="W22" s="2663"/>
      <c r="X22" s="2663"/>
      <c r="Y22" s="2663"/>
      <c r="Z22" s="2663"/>
      <c r="AA22" s="2663"/>
      <c r="AB22" s="2663"/>
      <c r="AC22" s="2663"/>
      <c r="AD22" s="2663"/>
      <c r="AE22" s="2663"/>
      <c r="AF22" s="2663"/>
      <c r="AG22" s="2663"/>
      <c r="AH22" s="2663"/>
      <c r="AI22" s="2663"/>
      <c r="AJ22" s="2663"/>
      <c r="AK22" s="2663"/>
      <c r="AL22" s="2663"/>
      <c r="AM22" s="2663"/>
      <c r="AN22" s="2663"/>
      <c r="AO22" s="2663"/>
      <c r="AP22" s="2663"/>
      <c r="AQ22" s="2663"/>
      <c r="AR22" s="2663"/>
    </row>
    <row r="23" spans="1:67" ht="14.25">
      <c r="A23" s="1720" t="s">
        <v>1215</v>
      </c>
      <c r="B23" s="105">
        <f>B19+B21</f>
        <v>3</v>
      </c>
      <c r="C23" s="2665"/>
      <c r="D23" s="2668"/>
      <c r="E23" s="2665"/>
      <c r="F23" s="2665"/>
      <c r="G23" s="2665"/>
      <c r="H23" s="2665"/>
      <c r="I23" s="2665"/>
      <c r="J23" s="2665"/>
      <c r="K23" s="2664"/>
      <c r="L23" s="2664"/>
      <c r="M23" s="2663"/>
      <c r="N23" s="2663"/>
      <c r="O23" s="2663"/>
      <c r="P23" s="2663"/>
      <c r="Q23" s="2663"/>
      <c r="R23" s="2663"/>
      <c r="S23" s="2663"/>
      <c r="T23" s="2663"/>
      <c r="U23" s="2663"/>
      <c r="V23" s="2663"/>
      <c r="W23" s="2663"/>
      <c r="X23" s="2663"/>
      <c r="Y23" s="2663"/>
      <c r="Z23" s="2663"/>
      <c r="AA23" s="2663"/>
      <c r="AB23" s="2663"/>
      <c r="AC23" s="2663"/>
      <c r="AD23" s="2663"/>
      <c r="AE23" s="2663"/>
      <c r="AF23" s="2663"/>
      <c r="AG23" s="2663"/>
      <c r="AH23" s="2663"/>
      <c r="AI23" s="2663"/>
      <c r="AJ23" s="2663"/>
      <c r="AK23" s="2663"/>
      <c r="AL23" s="2663"/>
      <c r="AM23" s="2663"/>
      <c r="AN23" s="2663"/>
      <c r="AO23" s="2663"/>
      <c r="AP23" s="2663"/>
      <c r="AQ23" s="2663"/>
      <c r="AR23" s="2663"/>
    </row>
    <row r="24" spans="1:67" ht="15" thickBot="1">
      <c r="A24" s="1721" t="s">
        <v>1216</v>
      </c>
      <c r="B24" s="106">
        <f>B20-B21</f>
        <v>0</v>
      </c>
      <c r="C24" s="2665"/>
      <c r="D24" s="2668"/>
      <c r="E24" s="2665"/>
      <c r="F24" s="2665"/>
      <c r="G24" s="2665"/>
      <c r="H24" s="2665"/>
      <c r="I24" s="2665"/>
      <c r="J24" s="2665"/>
      <c r="K24" s="2664"/>
      <c r="L24" s="2664"/>
      <c r="M24" s="2663"/>
      <c r="N24" s="2663"/>
      <c r="O24" s="2663"/>
      <c r="P24" s="2663"/>
      <c r="Q24" s="2663"/>
      <c r="R24" s="2663"/>
      <c r="S24" s="2663"/>
      <c r="T24" s="2663"/>
      <c r="U24" s="2663"/>
      <c r="V24" s="2663"/>
      <c r="W24" s="2663"/>
      <c r="X24" s="2663"/>
      <c r="Y24" s="2663"/>
      <c r="Z24" s="2663"/>
      <c r="AA24" s="2663"/>
      <c r="AB24" s="2663"/>
      <c r="AC24" s="2663"/>
      <c r="AD24" s="2663"/>
      <c r="AE24" s="2663"/>
      <c r="AF24" s="2663"/>
      <c r="AG24" s="2663"/>
      <c r="AH24" s="2663"/>
      <c r="AI24" s="2663"/>
      <c r="AJ24" s="2663"/>
      <c r="AK24" s="2663"/>
      <c r="AL24" s="2663"/>
      <c r="AM24" s="2663"/>
      <c r="AN24" s="2663"/>
      <c r="AO24" s="2663"/>
      <c r="AP24" s="2663"/>
      <c r="AQ24" s="2663"/>
      <c r="AR24" s="2663"/>
    </row>
    <row r="25" spans="1:67" ht="15" thickBot="1">
      <c r="A25" s="1553"/>
      <c r="B25" s="1683"/>
      <c r="C25" s="2665"/>
      <c r="D25" s="2668"/>
      <c r="E25" s="2665"/>
      <c r="F25" s="2665"/>
      <c r="G25" s="2665"/>
      <c r="H25" s="2665"/>
      <c r="I25" s="2665"/>
      <c r="J25" s="2665"/>
      <c r="K25" s="2664"/>
      <c r="L25" s="2664"/>
      <c r="M25" s="2663"/>
      <c r="N25" s="2663"/>
      <c r="O25" s="2663"/>
      <c r="P25" s="2663"/>
      <c r="Q25" s="2663"/>
      <c r="R25" s="2663"/>
      <c r="S25" s="2663"/>
      <c r="T25" s="2663"/>
      <c r="U25" s="2663"/>
      <c r="V25" s="2663"/>
      <c r="W25" s="2663"/>
      <c r="X25" s="2663"/>
      <c r="Y25" s="2663"/>
      <c r="Z25" s="2663"/>
      <c r="AA25" s="2663"/>
      <c r="AB25" s="2663"/>
      <c r="AC25" s="2663"/>
      <c r="AD25" s="2663"/>
      <c r="AE25" s="2663"/>
      <c r="AF25" s="2663"/>
      <c r="AG25" s="2663"/>
      <c r="AH25" s="2663"/>
      <c r="AI25" s="2663"/>
      <c r="AJ25" s="2663"/>
      <c r="AK25" s="2663"/>
      <c r="AL25" s="2663"/>
      <c r="AM25" s="2663"/>
      <c r="AN25" s="2663"/>
      <c r="AO25" s="2663"/>
      <c r="AP25" s="2663"/>
      <c r="AQ25" s="2663"/>
      <c r="AR25" s="2663"/>
    </row>
    <row r="26" spans="1:67" ht="15" thickBot="1">
      <c r="A26" s="1679" t="s">
        <v>1217</v>
      </c>
      <c r="B26" s="1722" t="s">
        <v>1218</v>
      </c>
      <c r="C26" s="2669" t="s">
        <v>1219</v>
      </c>
      <c r="D26" s="2668"/>
      <c r="E26" s="2665"/>
      <c r="F26" s="2665"/>
      <c r="G26" s="2665"/>
      <c r="H26" s="2665"/>
      <c r="I26" s="2665"/>
      <c r="J26" s="2665"/>
      <c r="K26" s="2664"/>
      <c r="L26" s="2664"/>
      <c r="M26" s="2663"/>
      <c r="N26" s="2663"/>
      <c r="O26" s="2663"/>
      <c r="P26" s="2663"/>
      <c r="Q26" s="2663"/>
      <c r="R26" s="2663"/>
      <c r="S26" s="2663"/>
      <c r="T26" s="2663"/>
      <c r="U26" s="2663"/>
      <c r="V26" s="2663"/>
      <c r="W26" s="2663"/>
      <c r="X26" s="2663"/>
      <c r="Y26" s="2663"/>
      <c r="Z26" s="2663"/>
      <c r="AA26" s="2663"/>
      <c r="AB26" s="2663"/>
      <c r="AC26" s="2663"/>
      <c r="AD26" s="2663"/>
      <c r="AE26" s="2663"/>
      <c r="AF26" s="2663"/>
      <c r="AG26" s="2663"/>
      <c r="AH26" s="2663"/>
      <c r="AI26" s="2663"/>
      <c r="AJ26" s="2663"/>
      <c r="AK26" s="2663"/>
      <c r="AL26" s="2663"/>
      <c r="AM26" s="2663"/>
      <c r="AN26" s="2663"/>
      <c r="AO26" s="2663"/>
      <c r="AP26" s="2663"/>
      <c r="AQ26" s="2663"/>
      <c r="AR26" s="2663"/>
    </row>
    <row r="27" spans="1:67" s="1724" customFormat="1" ht="27.75">
      <c r="A27" s="1723" t="s">
        <v>1220</v>
      </c>
      <c r="B27" s="107">
        <v>160</v>
      </c>
      <c r="C27" s="2793" t="s">
        <v>2304</v>
      </c>
      <c r="D27" s="2671"/>
      <c r="E27" s="2653"/>
      <c r="F27" s="2653"/>
      <c r="G27" s="2665"/>
      <c r="H27" s="2665"/>
      <c r="I27" s="2665"/>
      <c r="J27" s="2665"/>
      <c r="K27" s="2664"/>
      <c r="L27" s="2664"/>
      <c r="M27" s="2663"/>
      <c r="N27" s="2663"/>
      <c r="O27" s="2663"/>
      <c r="P27" s="2663"/>
      <c r="Q27" s="2663"/>
      <c r="R27" s="2663"/>
      <c r="S27" s="2663"/>
      <c r="T27" s="2663"/>
      <c r="U27" s="2663"/>
      <c r="V27" s="2663"/>
      <c r="W27" s="2663"/>
      <c r="X27" s="2663"/>
      <c r="Y27" s="2663"/>
      <c r="Z27" s="2663"/>
      <c r="AA27" s="2663"/>
      <c r="AB27" s="2663"/>
      <c r="AC27" s="2663"/>
      <c r="AD27" s="2663"/>
      <c r="AE27" s="2663"/>
      <c r="AF27" s="2663"/>
      <c r="AG27" s="2663"/>
      <c r="AH27" s="2663"/>
      <c r="AI27" s="2663"/>
      <c r="AJ27" s="2663"/>
      <c r="AK27" s="2663"/>
      <c r="AL27" s="2663"/>
      <c r="AM27" s="2663"/>
      <c r="AN27" s="2663"/>
      <c r="AO27" s="2663"/>
      <c r="AP27" s="2663"/>
      <c r="AQ27" s="2663"/>
      <c r="AR27" s="2663"/>
      <c r="AS27" s="790"/>
      <c r="AT27" s="790"/>
      <c r="AU27" s="790"/>
      <c r="AV27" s="790"/>
      <c r="AW27" s="790"/>
      <c r="AX27" s="790"/>
      <c r="AY27" s="790"/>
      <c r="AZ27" s="790"/>
      <c r="BA27" s="790"/>
      <c r="BB27" s="790"/>
      <c r="BC27" s="790"/>
      <c r="BD27" s="790"/>
      <c r="BE27" s="790"/>
      <c r="BF27" s="790"/>
      <c r="BG27" s="790"/>
      <c r="BH27" s="790"/>
      <c r="BI27" s="790"/>
      <c r="BJ27" s="790"/>
      <c r="BK27" s="790"/>
      <c r="BL27" s="790"/>
      <c r="BM27" s="790"/>
      <c r="BN27" s="790"/>
      <c r="BO27" s="790"/>
    </row>
    <row r="28" spans="1:67" s="1724" customFormat="1" ht="27.75">
      <c r="A28" s="1725" t="s">
        <v>1221</v>
      </c>
      <c r="B28" s="110"/>
      <c r="C28" s="2672"/>
      <c r="D28" s="2671"/>
      <c r="E28" s="2653"/>
      <c r="F28" s="2653"/>
      <c r="G28" s="2665"/>
      <c r="H28" s="2665"/>
      <c r="I28" s="2665"/>
      <c r="J28" s="2665"/>
      <c r="K28" s="2664"/>
      <c r="L28" s="2664"/>
      <c r="M28" s="2663"/>
      <c r="N28" s="2663"/>
      <c r="O28" s="2663"/>
      <c r="P28" s="2663"/>
      <c r="Q28" s="2663"/>
      <c r="R28" s="2663"/>
      <c r="S28" s="2663"/>
      <c r="T28" s="2663"/>
      <c r="U28" s="2663"/>
      <c r="V28" s="2663"/>
      <c r="W28" s="2663"/>
      <c r="X28" s="2663"/>
      <c r="Y28" s="2663"/>
      <c r="Z28" s="2663"/>
      <c r="AA28" s="2663"/>
      <c r="AB28" s="2663"/>
      <c r="AC28" s="2663"/>
      <c r="AD28" s="2663"/>
      <c r="AE28" s="2663"/>
      <c r="AF28" s="2663"/>
      <c r="AG28" s="2663"/>
      <c r="AH28" s="2663"/>
      <c r="AI28" s="2663"/>
      <c r="AJ28" s="2663"/>
      <c r="AK28" s="2663"/>
      <c r="AL28" s="2663"/>
      <c r="AM28" s="2663"/>
      <c r="AN28" s="2663"/>
      <c r="AO28" s="2663"/>
      <c r="AP28" s="2663"/>
      <c r="AQ28" s="2663"/>
      <c r="AR28" s="2663"/>
      <c r="AS28" s="790"/>
      <c r="AT28" s="790"/>
      <c r="AU28" s="790"/>
      <c r="AV28" s="790"/>
      <c r="AW28" s="790"/>
      <c r="AX28" s="790"/>
      <c r="AY28" s="790"/>
      <c r="AZ28" s="790"/>
      <c r="BA28" s="790"/>
      <c r="BB28" s="790"/>
      <c r="BC28" s="790"/>
      <c r="BD28" s="790"/>
      <c r="BE28" s="790"/>
      <c r="BF28" s="790"/>
      <c r="BG28" s="790"/>
      <c r="BH28" s="790"/>
      <c r="BI28" s="790"/>
      <c r="BJ28" s="790"/>
      <c r="BK28" s="790"/>
      <c r="BL28" s="790"/>
      <c r="BM28" s="790"/>
      <c r="BN28" s="790"/>
      <c r="BO28" s="790"/>
    </row>
    <row r="29" spans="1:67" s="1724" customFormat="1" ht="28.5" thickBot="1">
      <c r="A29" s="1726" t="s">
        <v>1222</v>
      </c>
      <c r="B29" s="112"/>
      <c r="C29" s="2794" t="s">
        <v>2291</v>
      </c>
      <c r="D29" s="2671"/>
      <c r="E29" s="2653"/>
      <c r="F29" s="2653"/>
      <c r="G29" s="2665"/>
      <c r="H29" s="2665"/>
      <c r="I29" s="2665"/>
      <c r="J29" s="2665"/>
      <c r="K29" s="2664"/>
      <c r="L29" s="2664"/>
      <c r="M29" s="2663"/>
      <c r="N29" s="2663"/>
      <c r="O29" s="2663"/>
      <c r="P29" s="2663"/>
      <c r="Q29" s="2663"/>
      <c r="R29" s="2663"/>
      <c r="S29" s="2663"/>
      <c r="T29" s="2663"/>
      <c r="U29" s="2663"/>
      <c r="V29" s="2663"/>
      <c r="W29" s="2663"/>
      <c r="X29" s="2663"/>
      <c r="Y29" s="2663"/>
      <c r="Z29" s="2663"/>
      <c r="AA29" s="2663"/>
      <c r="AB29" s="2663"/>
      <c r="AC29" s="2663"/>
      <c r="AD29" s="2663"/>
      <c r="AE29" s="2663"/>
      <c r="AF29" s="2663"/>
      <c r="AG29" s="2663"/>
      <c r="AH29" s="2663"/>
      <c r="AI29" s="2663"/>
      <c r="AJ29" s="2663"/>
      <c r="AK29" s="2663"/>
      <c r="AL29" s="2663"/>
      <c r="AM29" s="2663"/>
      <c r="AN29" s="2663"/>
      <c r="AO29" s="2663"/>
      <c r="AP29" s="2663"/>
      <c r="AQ29" s="2663"/>
      <c r="AR29" s="2663"/>
      <c r="AS29" s="790"/>
      <c r="AT29" s="790"/>
      <c r="AU29" s="790"/>
      <c r="AV29" s="790"/>
      <c r="AW29" s="790"/>
      <c r="AX29" s="790"/>
      <c r="AY29" s="790"/>
      <c r="AZ29" s="790"/>
      <c r="BA29" s="790"/>
      <c r="BB29" s="790"/>
      <c r="BC29" s="790"/>
      <c r="BD29" s="790"/>
      <c r="BE29" s="790"/>
      <c r="BF29" s="790"/>
      <c r="BG29" s="790"/>
      <c r="BH29" s="790"/>
      <c r="BI29" s="790"/>
      <c r="BJ29" s="790"/>
      <c r="BK29" s="790"/>
      <c r="BL29" s="790"/>
      <c r="BM29" s="790"/>
      <c r="BN29" s="790"/>
      <c r="BO29" s="790"/>
    </row>
    <row r="30" spans="1:67" s="1724" customFormat="1" ht="27">
      <c r="A30" s="1727" t="s">
        <v>1223</v>
      </c>
      <c r="B30" s="668">
        <v>200</v>
      </c>
      <c r="C30" s="2672"/>
      <c r="D30" s="2671"/>
      <c r="E30" s="2653"/>
      <c r="F30" s="2653"/>
      <c r="G30" s="2665"/>
      <c r="H30" s="2665"/>
      <c r="I30" s="2665"/>
      <c r="J30" s="2665"/>
      <c r="K30" s="2664"/>
      <c r="L30" s="2664"/>
      <c r="M30" s="2663"/>
      <c r="N30" s="2663"/>
      <c r="O30" s="2663"/>
      <c r="P30" s="2663"/>
      <c r="Q30" s="2663"/>
      <c r="R30" s="2663"/>
      <c r="S30" s="2663"/>
      <c r="T30" s="2663"/>
      <c r="U30" s="2663"/>
      <c r="V30" s="2663"/>
      <c r="W30" s="2663"/>
      <c r="X30" s="2663"/>
      <c r="Y30" s="2663"/>
      <c r="Z30" s="2663"/>
      <c r="AA30" s="2663"/>
      <c r="AB30" s="2663"/>
      <c r="AC30" s="2663"/>
      <c r="AD30" s="2663"/>
      <c r="AE30" s="2663"/>
      <c r="AF30" s="2663"/>
      <c r="AG30" s="2663"/>
      <c r="AH30" s="2663"/>
      <c r="AI30" s="2663"/>
      <c r="AJ30" s="2663"/>
      <c r="AK30" s="2663"/>
      <c r="AL30" s="2663"/>
      <c r="AM30" s="2663"/>
      <c r="AN30" s="2663"/>
      <c r="AO30" s="2663"/>
      <c r="AP30" s="2663"/>
      <c r="AQ30" s="2663"/>
      <c r="AR30" s="2663"/>
      <c r="AS30" s="790"/>
      <c r="AT30" s="790"/>
      <c r="AU30" s="790"/>
      <c r="AV30" s="790"/>
      <c r="AW30" s="790"/>
      <c r="AX30" s="790"/>
      <c r="AY30" s="790"/>
      <c r="AZ30" s="790"/>
      <c r="BA30" s="790"/>
      <c r="BB30" s="790"/>
      <c r="BC30" s="790"/>
      <c r="BD30" s="790"/>
      <c r="BE30" s="790"/>
      <c r="BF30" s="790"/>
      <c r="BG30" s="790"/>
      <c r="BH30" s="790"/>
      <c r="BI30" s="790"/>
      <c r="BJ30" s="790"/>
      <c r="BK30" s="790"/>
      <c r="BL30" s="790"/>
      <c r="BM30" s="790"/>
      <c r="BN30" s="790"/>
      <c r="BO30" s="790"/>
    </row>
    <row r="31" spans="1:67" s="1724" customFormat="1" ht="27">
      <c r="A31" s="1725" t="s">
        <v>1224</v>
      </c>
      <c r="B31" s="111">
        <f>B30-B32</f>
        <v>200</v>
      </c>
      <c r="C31" s="2670"/>
      <c r="D31" s="2671"/>
      <c r="E31" s="2653"/>
      <c r="F31" s="2653"/>
      <c r="G31" s="2665"/>
      <c r="H31" s="2665"/>
      <c r="I31" s="2665"/>
      <c r="J31" s="2665"/>
      <c r="K31" s="2664"/>
      <c r="L31" s="2664"/>
      <c r="M31" s="2663"/>
      <c r="N31" s="2663"/>
      <c r="O31" s="2663"/>
      <c r="P31" s="2663"/>
      <c r="Q31" s="2663"/>
      <c r="R31" s="2663"/>
      <c r="S31" s="2663"/>
      <c r="T31" s="2663"/>
      <c r="U31" s="2663"/>
      <c r="V31" s="2663"/>
      <c r="W31" s="2663"/>
      <c r="X31" s="2663"/>
      <c r="Y31" s="2663"/>
      <c r="Z31" s="2663"/>
      <c r="AA31" s="2663"/>
      <c r="AB31" s="2663"/>
      <c r="AC31" s="2663"/>
      <c r="AD31" s="2663"/>
      <c r="AE31" s="2663"/>
      <c r="AF31" s="2663"/>
      <c r="AG31" s="2663"/>
      <c r="AH31" s="2663"/>
      <c r="AI31" s="2663"/>
      <c r="AJ31" s="2663"/>
      <c r="AK31" s="2663"/>
      <c r="AL31" s="2663"/>
      <c r="AM31" s="2663"/>
      <c r="AN31" s="2663"/>
      <c r="AO31" s="2663"/>
      <c r="AP31" s="2663"/>
      <c r="AQ31" s="2663"/>
      <c r="AR31" s="2663"/>
      <c r="AS31" s="790"/>
      <c r="AT31" s="790"/>
      <c r="AU31" s="790"/>
      <c r="AV31" s="790"/>
      <c r="AW31" s="790"/>
      <c r="AX31" s="790"/>
      <c r="AY31" s="790"/>
      <c r="AZ31" s="790"/>
      <c r="BA31" s="790"/>
      <c r="BB31" s="790"/>
      <c r="BC31" s="790"/>
      <c r="BD31" s="790"/>
      <c r="BE31" s="790"/>
      <c r="BF31" s="790"/>
      <c r="BG31" s="790"/>
      <c r="BH31" s="790"/>
      <c r="BI31" s="790"/>
      <c r="BJ31" s="790"/>
      <c r="BK31" s="790"/>
      <c r="BL31" s="790"/>
      <c r="BM31" s="790"/>
      <c r="BN31" s="790"/>
      <c r="BO31" s="790"/>
    </row>
    <row r="32" spans="1:67" s="1724" customFormat="1" ht="27.75" thickBot="1">
      <c r="A32" s="1728" t="s">
        <v>1225</v>
      </c>
      <c r="B32" s="669">
        <v>0</v>
      </c>
      <c r="C32" s="2672"/>
      <c r="D32" s="2668"/>
      <c r="E32" s="2665"/>
      <c r="F32" s="2665"/>
      <c r="G32" s="2665"/>
      <c r="H32" s="2665"/>
      <c r="I32" s="2665"/>
      <c r="J32" s="2665"/>
      <c r="K32" s="2664"/>
      <c r="L32" s="2664"/>
      <c r="M32" s="2663"/>
      <c r="N32" s="2663"/>
      <c r="O32" s="2663"/>
      <c r="P32" s="2663"/>
      <c r="Q32" s="2663"/>
      <c r="R32" s="2663"/>
      <c r="S32" s="2663"/>
      <c r="T32" s="2663"/>
      <c r="U32" s="2663"/>
      <c r="V32" s="2663"/>
      <c r="W32" s="2663"/>
      <c r="X32" s="2663"/>
      <c r="Y32" s="2663"/>
      <c r="Z32" s="2663"/>
      <c r="AA32" s="2663"/>
      <c r="AB32" s="2663"/>
      <c r="AC32" s="2663"/>
      <c r="AD32" s="2663"/>
      <c r="AE32" s="2663"/>
      <c r="AF32" s="2663"/>
      <c r="AG32" s="2663"/>
      <c r="AH32" s="2663"/>
      <c r="AI32" s="2663"/>
      <c r="AJ32" s="2663"/>
      <c r="AK32" s="2663"/>
      <c r="AL32" s="2663"/>
      <c r="AM32" s="2663"/>
      <c r="AN32" s="2663"/>
      <c r="AO32" s="2663"/>
      <c r="AP32" s="2663"/>
      <c r="AQ32" s="2663"/>
      <c r="AR32" s="2663"/>
      <c r="AS32" s="790"/>
      <c r="AT32" s="790"/>
      <c r="AU32" s="790"/>
      <c r="AV32" s="790"/>
      <c r="AW32" s="790"/>
      <c r="AX32" s="790"/>
      <c r="AY32" s="790"/>
      <c r="AZ32" s="790"/>
      <c r="BA32" s="790"/>
      <c r="BB32" s="790"/>
      <c r="BC32" s="790"/>
      <c r="BD32" s="790"/>
      <c r="BE32" s="790"/>
      <c r="BF32" s="790"/>
      <c r="BG32" s="790"/>
      <c r="BH32" s="790"/>
      <c r="BI32" s="790"/>
      <c r="BJ32" s="790"/>
      <c r="BK32" s="790"/>
      <c r="BL32" s="790"/>
      <c r="BM32" s="790"/>
      <c r="BN32" s="790"/>
      <c r="BO32" s="790"/>
    </row>
    <row r="33" spans="1:67" s="1724" customFormat="1" ht="14.25">
      <c r="A33" s="1723" t="s">
        <v>1226</v>
      </c>
      <c r="B33" s="3486">
        <v>0.06</v>
      </c>
      <c r="C33" s="2795" t="s">
        <v>2292</v>
      </c>
      <c r="D33" s="2668"/>
      <c r="E33" s="2665"/>
      <c r="F33" s="2665"/>
      <c r="G33" s="2665"/>
      <c r="H33" s="2665"/>
      <c r="I33" s="2665"/>
      <c r="J33" s="2665"/>
      <c r="K33" s="2664"/>
      <c r="L33" s="2664"/>
      <c r="M33" s="2663"/>
      <c r="N33" s="2663"/>
      <c r="O33" s="2663"/>
      <c r="P33" s="2663"/>
      <c r="Q33" s="2663"/>
      <c r="R33" s="2663"/>
      <c r="S33" s="2663"/>
      <c r="T33" s="2663"/>
      <c r="U33" s="2663"/>
      <c r="V33" s="2663"/>
      <c r="W33" s="2663"/>
      <c r="X33" s="2663"/>
      <c r="Y33" s="2663"/>
      <c r="Z33" s="2663"/>
      <c r="AA33" s="2663"/>
      <c r="AB33" s="2663"/>
      <c r="AC33" s="2663"/>
      <c r="AD33" s="2663"/>
      <c r="AE33" s="2663"/>
      <c r="AF33" s="2663"/>
      <c r="AG33" s="2663"/>
      <c r="AH33" s="2663"/>
      <c r="AI33" s="2663"/>
      <c r="AJ33" s="2663"/>
      <c r="AK33" s="2663"/>
      <c r="AL33" s="2663"/>
      <c r="AM33" s="2663"/>
      <c r="AN33" s="2663"/>
      <c r="AO33" s="2663"/>
      <c r="AP33" s="2663"/>
      <c r="AQ33" s="2663"/>
      <c r="AR33" s="2663"/>
      <c r="AS33" s="790"/>
      <c r="AT33" s="790"/>
      <c r="AU33" s="790"/>
      <c r="AV33" s="790"/>
      <c r="AW33" s="790"/>
      <c r="AX33" s="790"/>
      <c r="AY33" s="790"/>
      <c r="AZ33" s="790"/>
      <c r="BA33" s="790"/>
      <c r="BB33" s="790"/>
      <c r="BC33" s="790"/>
      <c r="BD33" s="790"/>
      <c r="BE33" s="790"/>
      <c r="BF33" s="790"/>
      <c r="BG33" s="790"/>
      <c r="BH33" s="790"/>
      <c r="BI33" s="790"/>
      <c r="BJ33" s="790"/>
      <c r="BK33" s="790"/>
      <c r="BL33" s="790"/>
      <c r="BM33" s="790"/>
      <c r="BN33" s="790"/>
      <c r="BO33" s="790"/>
    </row>
    <row r="34" spans="1:67" s="1724" customFormat="1" ht="14.25">
      <c r="A34" s="1725" t="s">
        <v>1227</v>
      </c>
      <c r="B34" s="3487">
        <v>0.06</v>
      </c>
      <c r="C34" s="2795" t="s">
        <v>2293</v>
      </c>
      <c r="D34" s="2676" t="s">
        <v>2301</v>
      </c>
      <c r="E34" s="2674"/>
      <c r="F34" s="2665"/>
      <c r="G34" s="2665"/>
      <c r="H34" s="2665"/>
      <c r="I34" s="2665"/>
      <c r="J34" s="2665"/>
      <c r="K34" s="2664"/>
      <c r="L34" s="2664"/>
      <c r="M34" s="2663"/>
      <c r="N34" s="2663"/>
      <c r="O34" s="2663"/>
      <c r="P34" s="2663"/>
      <c r="Q34" s="2663"/>
      <c r="R34" s="2663"/>
      <c r="S34" s="2663"/>
      <c r="T34" s="2663"/>
      <c r="U34" s="2663"/>
      <c r="V34" s="2663"/>
      <c r="W34" s="2663"/>
      <c r="X34" s="2663"/>
      <c r="Y34" s="2663"/>
      <c r="Z34" s="2663"/>
      <c r="AA34" s="2663"/>
      <c r="AB34" s="2663"/>
      <c r="AC34" s="2663"/>
      <c r="AD34" s="2663"/>
      <c r="AE34" s="2663"/>
      <c r="AF34" s="2663"/>
      <c r="AG34" s="2663"/>
      <c r="AH34" s="2663"/>
      <c r="AI34" s="2663"/>
      <c r="AJ34" s="2663"/>
      <c r="AK34" s="2663"/>
      <c r="AL34" s="2663"/>
      <c r="AM34" s="2663"/>
      <c r="AN34" s="2663"/>
      <c r="AO34" s="2663"/>
      <c r="AP34" s="2663"/>
      <c r="AQ34" s="2663"/>
      <c r="AR34" s="2663"/>
      <c r="AS34" s="790"/>
      <c r="AT34" s="790"/>
      <c r="AU34" s="790"/>
      <c r="AV34" s="790"/>
      <c r="AW34" s="790"/>
      <c r="AX34" s="790"/>
      <c r="AY34" s="790"/>
      <c r="AZ34" s="790"/>
      <c r="BA34" s="790"/>
      <c r="BB34" s="790"/>
      <c r="BC34" s="790"/>
      <c r="BD34" s="790"/>
      <c r="BE34" s="790"/>
      <c r="BF34" s="790"/>
      <c r="BG34" s="790"/>
      <c r="BH34" s="790"/>
      <c r="BI34" s="790"/>
      <c r="BJ34" s="790"/>
      <c r="BK34" s="790"/>
      <c r="BL34" s="790"/>
      <c r="BM34" s="790"/>
      <c r="BN34" s="790"/>
      <c r="BO34" s="790"/>
    </row>
    <row r="35" spans="1:67" s="1724" customFormat="1" ht="14.25">
      <c r="A35" s="1725" t="s">
        <v>1228</v>
      </c>
      <c r="B35" s="3888">
        <f>L6*8%</f>
        <v>456</v>
      </c>
      <c r="C35" s="2795" t="s">
        <v>2294</v>
      </c>
      <c r="D35" s="2671"/>
      <c r="E35" s="2653"/>
      <c r="F35" s="2653"/>
      <c r="G35" s="2665"/>
      <c r="H35" s="2665"/>
      <c r="I35" s="2665"/>
      <c r="J35" s="2665"/>
      <c r="K35" s="2664"/>
      <c r="L35" s="2664"/>
      <c r="M35" s="2663"/>
      <c r="N35" s="2663"/>
      <c r="O35" s="2663"/>
      <c r="P35" s="2663"/>
      <c r="Q35" s="2663"/>
      <c r="R35" s="2663"/>
      <c r="S35" s="2663"/>
      <c r="T35" s="2663"/>
      <c r="U35" s="2663"/>
      <c r="V35" s="2663"/>
      <c r="W35" s="2663"/>
      <c r="X35" s="2663"/>
      <c r="Y35" s="2663"/>
      <c r="Z35" s="2663"/>
      <c r="AA35" s="2663"/>
      <c r="AB35" s="2663"/>
      <c r="AC35" s="2663"/>
      <c r="AD35" s="2663"/>
      <c r="AE35" s="2663"/>
      <c r="AF35" s="2663"/>
      <c r="AG35" s="2663"/>
      <c r="AH35" s="2663"/>
      <c r="AI35" s="2663"/>
      <c r="AJ35" s="2663"/>
      <c r="AK35" s="2663"/>
      <c r="AL35" s="2663"/>
      <c r="AM35" s="2663"/>
      <c r="AN35" s="2663"/>
      <c r="AO35" s="2663"/>
      <c r="AP35" s="2663"/>
      <c r="AQ35" s="2663"/>
      <c r="AR35" s="2663"/>
      <c r="AS35" s="790"/>
      <c r="AT35" s="790"/>
      <c r="AU35" s="790"/>
      <c r="AV35" s="790"/>
      <c r="AW35" s="790"/>
      <c r="AX35" s="790"/>
      <c r="AY35" s="790"/>
      <c r="AZ35" s="790"/>
      <c r="BA35" s="790"/>
      <c r="BB35" s="790"/>
      <c r="BC35" s="790"/>
      <c r="BD35" s="790"/>
      <c r="BE35" s="790"/>
      <c r="BF35" s="790"/>
      <c r="BG35" s="790"/>
      <c r="BH35" s="790"/>
      <c r="BI35" s="790"/>
      <c r="BJ35" s="790"/>
      <c r="BK35" s="790"/>
      <c r="BL35" s="790"/>
      <c r="BM35" s="790"/>
      <c r="BN35" s="790"/>
      <c r="BO35" s="790"/>
    </row>
    <row r="36" spans="1:67" ht="15" thickBot="1">
      <c r="A36" s="1726" t="s">
        <v>1229</v>
      </c>
      <c r="B36" s="113">
        <v>0.03</v>
      </c>
      <c r="C36" s="2795" t="s">
        <v>2295</v>
      </c>
      <c r="D36" s="2668"/>
      <c r="E36" s="2665"/>
      <c r="F36" s="2665"/>
      <c r="G36" s="2665"/>
      <c r="H36" s="2665"/>
      <c r="I36" s="2665"/>
      <c r="J36" s="2665"/>
      <c r="K36" s="2664"/>
      <c r="L36" s="2664"/>
      <c r="M36" s="2663"/>
      <c r="N36" s="2663"/>
      <c r="O36" s="2663"/>
      <c r="P36" s="2663"/>
      <c r="Q36" s="2663"/>
      <c r="R36" s="2663"/>
      <c r="S36" s="2663"/>
      <c r="T36" s="2663"/>
      <c r="U36" s="2663"/>
      <c r="V36" s="2663"/>
      <c r="W36" s="2663"/>
      <c r="X36" s="2663"/>
      <c r="Y36" s="2663"/>
      <c r="Z36" s="2663"/>
      <c r="AA36" s="2663"/>
      <c r="AB36" s="2663"/>
      <c r="AC36" s="2663"/>
      <c r="AD36" s="2663"/>
      <c r="AE36" s="2663"/>
      <c r="AF36" s="2663"/>
      <c r="AG36" s="2663"/>
      <c r="AH36" s="2663"/>
      <c r="AI36" s="2663"/>
      <c r="AJ36" s="2663"/>
      <c r="AK36" s="2663"/>
      <c r="AL36" s="2663"/>
      <c r="AM36" s="2663"/>
      <c r="AN36" s="2663"/>
      <c r="AO36" s="2663"/>
      <c r="AP36" s="2663"/>
      <c r="AQ36" s="2663"/>
      <c r="AR36" s="2663"/>
    </row>
    <row r="37" spans="1:67" ht="14.25">
      <c r="A37" s="1727" t="s">
        <v>1230</v>
      </c>
      <c r="B37" s="3498">
        <v>0.03</v>
      </c>
      <c r="C37" s="2795" t="s">
        <v>2296</v>
      </c>
      <c r="D37" s="2668"/>
      <c r="E37" s="2665"/>
      <c r="F37" s="2665"/>
      <c r="G37" s="2665"/>
      <c r="H37" s="2665"/>
      <c r="I37" s="2665"/>
      <c r="J37" s="2665"/>
      <c r="K37" s="2664"/>
      <c r="L37" s="2664"/>
      <c r="M37" s="2663"/>
      <c r="N37" s="2663"/>
      <c r="O37" s="2663"/>
      <c r="P37" s="2663"/>
      <c r="Q37" s="2663"/>
      <c r="R37" s="2663"/>
      <c r="S37" s="2663"/>
      <c r="T37" s="2663"/>
      <c r="U37" s="2663"/>
      <c r="V37" s="2663"/>
      <c r="W37" s="2663"/>
      <c r="X37" s="2663"/>
      <c r="Y37" s="2663"/>
      <c r="Z37" s="2663"/>
      <c r="AA37" s="2663"/>
      <c r="AB37" s="2663"/>
      <c r="AC37" s="2663"/>
      <c r="AD37" s="2663"/>
      <c r="AE37" s="2663"/>
      <c r="AF37" s="2663"/>
      <c r="AG37" s="2663"/>
      <c r="AH37" s="2663"/>
      <c r="AI37" s="2663"/>
      <c r="AJ37" s="2663"/>
      <c r="AK37" s="2663"/>
      <c r="AL37" s="2663"/>
      <c r="AM37" s="2663"/>
      <c r="AN37" s="2663"/>
      <c r="AO37" s="2663"/>
      <c r="AP37" s="2663"/>
      <c r="AQ37" s="2663"/>
      <c r="AR37" s="2663"/>
    </row>
    <row r="38" spans="1:67" ht="14.25">
      <c r="A38" s="1725" t="s">
        <v>1231</v>
      </c>
      <c r="B38" s="3487">
        <v>0.02</v>
      </c>
      <c r="C38" s="2795" t="s">
        <v>2296</v>
      </c>
      <c r="D38" s="2668"/>
      <c r="E38" s="2665"/>
      <c r="F38" s="2665"/>
      <c r="G38" s="2665"/>
      <c r="H38" s="2665"/>
      <c r="I38" s="2665"/>
      <c r="J38" s="2665"/>
      <c r="K38" s="2664"/>
      <c r="L38" s="2664"/>
      <c r="M38" s="2663"/>
      <c r="N38" s="2663"/>
      <c r="O38" s="2663"/>
      <c r="P38" s="2663"/>
      <c r="Q38" s="2663"/>
      <c r="R38" s="2663"/>
      <c r="S38" s="2663"/>
      <c r="T38" s="2663"/>
      <c r="U38" s="2663"/>
      <c r="V38" s="2663"/>
      <c r="W38" s="2663"/>
      <c r="X38" s="2663"/>
      <c r="Y38" s="2663"/>
      <c r="Z38" s="2663"/>
      <c r="AA38" s="2663"/>
      <c r="AB38" s="2663"/>
      <c r="AC38" s="2663"/>
      <c r="AD38" s="2663"/>
      <c r="AE38" s="2663"/>
      <c r="AF38" s="2663"/>
      <c r="AG38" s="2663"/>
      <c r="AH38" s="2663"/>
      <c r="AI38" s="2663"/>
      <c r="AJ38" s="2663"/>
      <c r="AK38" s="2663"/>
      <c r="AL38" s="2663"/>
      <c r="AM38" s="2663"/>
      <c r="AN38" s="2663"/>
      <c r="AO38" s="2663"/>
      <c r="AP38" s="2663"/>
      <c r="AQ38" s="2663"/>
      <c r="AR38" s="2663"/>
    </row>
    <row r="39" spans="1:67" ht="14.25">
      <c r="A39" s="1728" t="s">
        <v>1232</v>
      </c>
      <c r="B39" s="314">
        <f ca="1">存贷款利率!I1</f>
        <v>1.4999999999999999E-2</v>
      </c>
      <c r="C39" s="2673"/>
      <c r="D39" s="2668"/>
      <c r="E39" s="2665"/>
      <c r="F39" s="2665"/>
      <c r="G39" s="2665"/>
      <c r="H39" s="2665"/>
      <c r="I39" s="2665"/>
      <c r="J39" s="2665"/>
      <c r="K39" s="2664"/>
      <c r="L39" s="2664"/>
      <c r="M39" s="2663"/>
      <c r="N39" s="2663"/>
      <c r="O39" s="2663"/>
      <c r="P39" s="2663"/>
      <c r="Q39" s="2663"/>
      <c r="R39" s="2663"/>
      <c r="S39" s="2663"/>
      <c r="T39" s="2663"/>
      <c r="U39" s="2663"/>
      <c r="V39" s="2663"/>
      <c r="W39" s="2663"/>
      <c r="X39" s="2663"/>
      <c r="Y39" s="2663"/>
      <c r="Z39" s="2663"/>
      <c r="AA39" s="2663"/>
      <c r="AB39" s="2663"/>
      <c r="AC39" s="2663"/>
      <c r="AD39" s="2663"/>
      <c r="AE39" s="2663"/>
      <c r="AF39" s="2663"/>
      <c r="AG39" s="2663"/>
      <c r="AH39" s="2663"/>
      <c r="AI39" s="2663"/>
      <c r="AJ39" s="2663"/>
      <c r="AK39" s="2663"/>
      <c r="AL39" s="2663"/>
      <c r="AM39" s="2663"/>
      <c r="AN39" s="2663"/>
      <c r="AO39" s="2663"/>
      <c r="AP39" s="2663"/>
      <c r="AQ39" s="2663"/>
      <c r="AR39" s="2663"/>
    </row>
    <row r="40" spans="1:67" ht="29.25" thickBot="1">
      <c r="A40" s="2807" t="s">
        <v>3393</v>
      </c>
      <c r="B40" s="1074">
        <f ca="1">IF(A40="利息：取LPR",存贷款利率!G1,存贷款利率!G1+C40)</f>
        <v>4.7500000000000001E-2</v>
      </c>
      <c r="C40" s="2806">
        <v>1.0999999999999999E-2</v>
      </c>
      <c r="D40" s="2663"/>
      <c r="E40" s="2668"/>
      <c r="F40" s="2665"/>
      <c r="G40" s="2665"/>
      <c r="H40" s="2665"/>
      <c r="I40" s="2665"/>
      <c r="J40" s="2665"/>
      <c r="K40" s="2664"/>
      <c r="L40" s="2664"/>
      <c r="M40" s="2663"/>
      <c r="N40" s="2663"/>
      <c r="O40" s="2663"/>
      <c r="P40" s="2663"/>
      <c r="Q40" s="2663"/>
      <c r="R40" s="2663"/>
      <c r="S40" s="2663"/>
      <c r="T40" s="2663"/>
      <c r="U40" s="2663"/>
      <c r="V40" s="2663"/>
      <c r="W40" s="2663"/>
      <c r="X40" s="2663"/>
      <c r="Y40" s="2663"/>
      <c r="Z40" s="2663"/>
      <c r="AA40" s="2663"/>
      <c r="AB40" s="2663"/>
      <c r="AC40" s="2663"/>
      <c r="AD40" s="2663"/>
      <c r="AE40" s="2663"/>
      <c r="AF40" s="2663"/>
      <c r="AG40" s="2663"/>
      <c r="AH40" s="2663"/>
      <c r="AI40" s="2663"/>
      <c r="AJ40" s="2663"/>
      <c r="AK40" s="2663"/>
      <c r="AL40" s="2663"/>
      <c r="AM40" s="2663"/>
      <c r="AN40" s="2663"/>
      <c r="AO40" s="2663"/>
      <c r="AP40" s="2663"/>
      <c r="AQ40" s="2663"/>
      <c r="AR40" s="2663"/>
    </row>
    <row r="41" spans="1:67" ht="14.25">
      <c r="A41" s="1723" t="s">
        <v>1233</v>
      </c>
      <c r="B41" s="114">
        <f>B42+B43</f>
        <v>5.5000000000000007E-2</v>
      </c>
      <c r="C41" s="2670"/>
      <c r="D41" s="2663"/>
      <c r="E41" s="2668"/>
      <c r="F41" s="2665"/>
      <c r="G41" s="2665"/>
      <c r="H41" s="2665"/>
      <c r="I41" s="2665"/>
      <c r="J41" s="2665"/>
      <c r="K41" s="2664"/>
      <c r="L41" s="2664"/>
      <c r="M41" s="2663"/>
      <c r="N41" s="2663"/>
      <c r="O41" s="2663"/>
      <c r="P41" s="2663"/>
      <c r="Q41" s="2663"/>
      <c r="R41" s="2663"/>
      <c r="S41" s="2663"/>
      <c r="T41" s="2663"/>
      <c r="U41" s="2663"/>
      <c r="V41" s="2663"/>
      <c r="W41" s="2663"/>
      <c r="X41" s="2663"/>
      <c r="Y41" s="2663"/>
      <c r="Z41" s="2663"/>
      <c r="AA41" s="2663"/>
      <c r="AB41" s="2663"/>
      <c r="AC41" s="2663"/>
      <c r="AD41" s="2663"/>
      <c r="AE41" s="2663"/>
      <c r="AF41" s="2663"/>
      <c r="AG41" s="2663"/>
      <c r="AH41" s="2663"/>
      <c r="AI41" s="2663"/>
      <c r="AJ41" s="2663"/>
      <c r="AK41" s="2663"/>
      <c r="AL41" s="2663"/>
      <c r="AM41" s="2663"/>
      <c r="AN41" s="2663"/>
      <c r="AO41" s="2663"/>
      <c r="AP41" s="2663"/>
      <c r="AQ41" s="2663"/>
      <c r="AR41" s="2663"/>
    </row>
    <row r="42" spans="1:67" ht="14.25">
      <c r="A42" s="1729" t="s">
        <v>1234</v>
      </c>
      <c r="B42" s="115">
        <v>0.05</v>
      </c>
      <c r="C42" s="2675">
        <f>IF(B2&lt;DATE(2016,5,1),0,B42)</f>
        <v>0.05</v>
      </c>
      <c r="D42" s="2668"/>
      <c r="E42" s="2665"/>
      <c r="F42" s="2665"/>
      <c r="G42" s="2665"/>
      <c r="H42" s="2665"/>
      <c r="I42" s="2665"/>
      <c r="J42" s="2665"/>
      <c r="K42" s="2664"/>
      <c r="L42" s="2664"/>
      <c r="M42" s="2663"/>
      <c r="N42" s="2663"/>
      <c r="O42" s="2663"/>
      <c r="P42" s="2663"/>
      <c r="Q42" s="2663"/>
      <c r="R42" s="2663"/>
      <c r="S42" s="2663"/>
      <c r="T42" s="2663"/>
      <c r="U42" s="2663"/>
      <c r="V42" s="2663"/>
      <c r="W42" s="2663"/>
      <c r="X42" s="2663"/>
      <c r="Y42" s="2663"/>
      <c r="Z42" s="2663"/>
      <c r="AA42" s="2663"/>
      <c r="AB42" s="2663"/>
      <c r="AC42" s="2663"/>
      <c r="AD42" s="2663"/>
      <c r="AE42" s="2663"/>
      <c r="AF42" s="2663"/>
      <c r="AG42" s="2663"/>
      <c r="AH42" s="2663"/>
      <c r="AI42" s="2663"/>
      <c r="AJ42" s="2663"/>
      <c r="AK42" s="2663"/>
      <c r="AL42" s="2663"/>
      <c r="AM42" s="2663"/>
      <c r="AN42" s="2663"/>
      <c r="AO42" s="2663"/>
      <c r="AP42" s="2663"/>
      <c r="AQ42" s="2663"/>
      <c r="AR42" s="2663"/>
    </row>
    <row r="43" spans="1:67" ht="14.25">
      <c r="A43" s="1729" t="s">
        <v>1235</v>
      </c>
      <c r="B43" s="116">
        <f>B42*(B44+B45+B46)+B47</f>
        <v>5.000000000000001E-3</v>
      </c>
      <c r="C43" s="2670"/>
      <c r="D43" s="2668"/>
      <c r="E43" s="2665"/>
      <c r="F43" s="2665"/>
      <c r="G43" s="2665"/>
      <c r="H43" s="2665"/>
      <c r="I43" s="2665"/>
      <c r="J43" s="2665"/>
      <c r="K43" s="2664"/>
      <c r="L43" s="2664"/>
      <c r="M43" s="2663"/>
      <c r="N43" s="2663"/>
      <c r="O43" s="2663"/>
      <c r="P43" s="2663"/>
      <c r="Q43" s="2663"/>
      <c r="R43" s="2663"/>
      <c r="S43" s="2663"/>
      <c r="T43" s="2663"/>
      <c r="U43" s="2663"/>
      <c r="V43" s="2663"/>
      <c r="W43" s="2663"/>
      <c r="X43" s="2663"/>
      <c r="Y43" s="2663"/>
      <c r="Z43" s="2663"/>
      <c r="AA43" s="2663"/>
      <c r="AB43" s="2663"/>
      <c r="AC43" s="2663"/>
      <c r="AD43" s="2663"/>
      <c r="AE43" s="2663"/>
      <c r="AF43" s="2663"/>
      <c r="AG43" s="2663"/>
      <c r="AH43" s="2663"/>
      <c r="AI43" s="2663"/>
      <c r="AJ43" s="2663"/>
      <c r="AK43" s="2663"/>
      <c r="AL43" s="2663"/>
      <c r="AM43" s="2663"/>
      <c r="AN43" s="2663"/>
      <c r="AO43" s="2663"/>
      <c r="AP43" s="2663"/>
      <c r="AQ43" s="2663"/>
      <c r="AR43" s="2663"/>
    </row>
    <row r="44" spans="1:67" ht="14.25">
      <c r="A44" s="1730" t="s">
        <v>1236</v>
      </c>
      <c r="B44" s="117">
        <v>0.05</v>
      </c>
      <c r="C44" s="2795" t="s">
        <v>2305</v>
      </c>
      <c r="D44" s="2668"/>
      <c r="E44" s="2665"/>
      <c r="F44" s="2665"/>
      <c r="G44" s="2665"/>
      <c r="H44" s="2665"/>
      <c r="I44" s="2665"/>
      <c r="J44" s="2665"/>
      <c r="K44" s="2664"/>
      <c r="L44" s="2664"/>
      <c r="M44" s="2663"/>
      <c r="N44" s="2663"/>
      <c r="O44" s="2663"/>
      <c r="P44" s="2663"/>
      <c r="Q44" s="2663"/>
      <c r="R44" s="2663"/>
      <c r="S44" s="2663"/>
      <c r="T44" s="2663"/>
      <c r="U44" s="2663"/>
      <c r="V44" s="2663"/>
      <c r="W44" s="2663"/>
      <c r="X44" s="2663"/>
      <c r="Y44" s="2663"/>
      <c r="Z44" s="2663"/>
      <c r="AA44" s="2663"/>
      <c r="AB44" s="2663"/>
      <c r="AC44" s="2663"/>
      <c r="AD44" s="2663"/>
      <c r="AE44" s="2663"/>
      <c r="AF44" s="2663"/>
      <c r="AG44" s="2663"/>
      <c r="AH44" s="2663"/>
      <c r="AI44" s="2663"/>
      <c r="AJ44" s="2663"/>
      <c r="AK44" s="2663"/>
      <c r="AL44" s="2663"/>
      <c r="AM44" s="2663"/>
      <c r="AN44" s="2663"/>
      <c r="AO44" s="2663"/>
      <c r="AP44" s="2663"/>
      <c r="AQ44" s="2663"/>
      <c r="AR44" s="2663"/>
    </row>
    <row r="45" spans="1:67" ht="14.25">
      <c r="A45" s="1730" t="s">
        <v>1237</v>
      </c>
      <c r="B45" s="115">
        <v>0.03</v>
      </c>
      <c r="C45" s="2794" t="s">
        <v>2297</v>
      </c>
      <c r="D45" s="2668"/>
      <c r="E45" s="2665"/>
      <c r="F45" s="2665"/>
      <c r="G45" s="2665"/>
      <c r="H45" s="2665"/>
      <c r="I45" s="2665"/>
      <c r="J45" s="2665"/>
      <c r="K45" s="2664"/>
      <c r="L45" s="2664"/>
      <c r="M45" s="2663"/>
      <c r="N45" s="2663"/>
      <c r="O45" s="2663"/>
      <c r="P45" s="2663"/>
      <c r="Q45" s="2663"/>
      <c r="R45" s="2663"/>
      <c r="S45" s="2663"/>
      <c r="T45" s="2663"/>
      <c r="U45" s="2663"/>
      <c r="V45" s="2663"/>
      <c r="W45" s="2663"/>
      <c r="X45" s="2663"/>
      <c r="Y45" s="2663"/>
      <c r="Z45" s="2663"/>
      <c r="AA45" s="2663"/>
      <c r="AB45" s="2663"/>
      <c r="AC45" s="2663"/>
      <c r="AD45" s="2663"/>
      <c r="AE45" s="2663"/>
      <c r="AF45" s="2663"/>
      <c r="AG45" s="2663"/>
      <c r="AH45" s="2663"/>
      <c r="AI45" s="2663"/>
      <c r="AJ45" s="2663"/>
      <c r="AK45" s="2663"/>
      <c r="AL45" s="2663"/>
      <c r="AM45" s="2663"/>
      <c r="AN45" s="2663"/>
      <c r="AO45" s="2663"/>
      <c r="AP45" s="2663"/>
      <c r="AQ45" s="2663"/>
      <c r="AR45" s="2663"/>
    </row>
    <row r="46" spans="1:67" ht="14.25">
      <c r="A46" s="1730" t="s">
        <v>1238</v>
      </c>
      <c r="B46" s="115">
        <v>0.02</v>
      </c>
      <c r="C46" s="2794" t="s">
        <v>2298</v>
      </c>
      <c r="D46" s="2668"/>
      <c r="E46" s="2665"/>
      <c r="F46" s="2665"/>
      <c r="G46" s="2665"/>
      <c r="H46" s="2665"/>
      <c r="I46" s="2665"/>
      <c r="J46" s="2665"/>
      <c r="K46" s="2664"/>
      <c r="L46" s="2664"/>
      <c r="M46" s="2663"/>
      <c r="N46" s="2663"/>
      <c r="O46" s="2663"/>
      <c r="P46" s="2663"/>
      <c r="Q46" s="2663"/>
      <c r="R46" s="2663"/>
      <c r="S46" s="2663"/>
      <c r="T46" s="2663"/>
      <c r="U46" s="2663"/>
      <c r="V46" s="2663"/>
      <c r="W46" s="2663"/>
      <c r="X46" s="2663"/>
      <c r="Y46" s="2663"/>
      <c r="Z46" s="2663"/>
      <c r="AA46" s="2663"/>
      <c r="AB46" s="2663"/>
      <c r="AC46" s="2663"/>
      <c r="AD46" s="2663"/>
      <c r="AE46" s="2663"/>
      <c r="AF46" s="2663"/>
      <c r="AG46" s="2663"/>
      <c r="AH46" s="2663"/>
      <c r="AI46" s="2663"/>
      <c r="AJ46" s="2663"/>
      <c r="AK46" s="2663"/>
      <c r="AL46" s="2663"/>
      <c r="AM46" s="2663"/>
      <c r="AN46" s="2663"/>
      <c r="AO46" s="2663"/>
      <c r="AP46" s="2663"/>
      <c r="AQ46" s="2663"/>
      <c r="AR46" s="2663"/>
    </row>
    <row r="47" spans="1:67" ht="15" thickBot="1">
      <c r="A47" s="1731" t="s">
        <v>1239</v>
      </c>
      <c r="B47" s="118"/>
      <c r="C47" s="2797" t="s">
        <v>2306</v>
      </c>
      <c r="D47" s="2668"/>
      <c r="E47" s="2665"/>
      <c r="F47" s="2665"/>
      <c r="G47" s="2665"/>
      <c r="H47" s="2665"/>
      <c r="I47" s="2665"/>
      <c r="J47" s="2665"/>
      <c r="K47" s="2664"/>
      <c r="L47" s="2664"/>
      <c r="M47" s="2663"/>
      <c r="N47" s="2663"/>
      <c r="O47" s="2663"/>
      <c r="P47" s="2663"/>
      <c r="Q47" s="2663"/>
      <c r="R47" s="2663"/>
      <c r="S47" s="2663"/>
      <c r="T47" s="2663"/>
      <c r="U47" s="2663"/>
      <c r="V47" s="2663"/>
      <c r="W47" s="2663"/>
      <c r="X47" s="2663"/>
      <c r="Y47" s="2663"/>
      <c r="Z47" s="2663"/>
      <c r="AA47" s="2663"/>
      <c r="AB47" s="2663"/>
      <c r="AC47" s="2663"/>
      <c r="AD47" s="2663"/>
      <c r="AE47" s="2663"/>
      <c r="AF47" s="2663"/>
      <c r="AG47" s="2663"/>
      <c r="AH47" s="2663"/>
      <c r="AI47" s="2663"/>
      <c r="AJ47" s="2663"/>
      <c r="AK47" s="2663"/>
      <c r="AL47" s="2663"/>
      <c r="AM47" s="2663"/>
      <c r="AN47" s="2663"/>
      <c r="AO47" s="2663"/>
      <c r="AP47" s="2663"/>
      <c r="AQ47" s="2663"/>
      <c r="AR47" s="2663"/>
    </row>
    <row r="48" spans="1:67" ht="14.25">
      <c r="A48" s="1732" t="s">
        <v>1240</v>
      </c>
      <c r="B48" s="119"/>
      <c r="C48" s="2794" t="s">
        <v>2297</v>
      </c>
      <c r="D48" s="2668"/>
      <c r="E48" s="2665"/>
      <c r="F48" s="2665"/>
      <c r="G48" s="2665"/>
      <c r="H48" s="2665"/>
      <c r="I48" s="2665"/>
      <c r="J48" s="2665"/>
      <c r="K48" s="2664"/>
      <c r="L48" s="2664"/>
      <c r="M48" s="2663"/>
      <c r="N48" s="2663"/>
      <c r="O48" s="2663"/>
      <c r="P48" s="2663"/>
      <c r="Q48" s="2663"/>
      <c r="R48" s="2663"/>
      <c r="S48" s="2663"/>
      <c r="T48" s="2663"/>
      <c r="U48" s="2663"/>
      <c r="V48" s="2663"/>
      <c r="W48" s="2663"/>
      <c r="X48" s="2663"/>
      <c r="Y48" s="2663"/>
      <c r="Z48" s="2663"/>
      <c r="AA48" s="2663"/>
      <c r="AB48" s="2663"/>
      <c r="AC48" s="2663"/>
      <c r="AD48" s="2663"/>
      <c r="AE48" s="2663"/>
      <c r="AF48" s="2663"/>
      <c r="AG48" s="2663"/>
      <c r="AH48" s="2663"/>
      <c r="AI48" s="2663"/>
      <c r="AJ48" s="2663"/>
      <c r="AK48" s="2663"/>
      <c r="AL48" s="2663"/>
      <c r="AM48" s="2663"/>
      <c r="AN48" s="2663"/>
      <c r="AO48" s="2663"/>
      <c r="AP48" s="2663"/>
      <c r="AQ48" s="2663"/>
      <c r="AR48" s="2663"/>
    </row>
    <row r="49" spans="1:44" ht="15" thickBot="1">
      <c r="A49" s="1728" t="s">
        <v>1241</v>
      </c>
      <c r="B49" s="115"/>
      <c r="C49" s="2794" t="s">
        <v>2299</v>
      </c>
      <c r="D49" s="2668"/>
      <c r="E49" s="2665"/>
      <c r="F49" s="2665"/>
      <c r="G49" s="2665"/>
      <c r="H49" s="2665"/>
      <c r="I49" s="2665"/>
      <c r="J49" s="2665"/>
      <c r="K49" s="2664"/>
      <c r="L49" s="2664"/>
      <c r="M49" s="2663"/>
      <c r="N49" s="2663"/>
      <c r="O49" s="2663"/>
      <c r="P49" s="2663"/>
      <c r="Q49" s="2663"/>
      <c r="R49" s="2663"/>
      <c r="S49" s="2663"/>
      <c r="T49" s="2663"/>
      <c r="U49" s="2663"/>
      <c r="V49" s="2663"/>
      <c r="W49" s="2663"/>
      <c r="X49" s="2663"/>
      <c r="Y49" s="2663"/>
      <c r="Z49" s="2663"/>
      <c r="AA49" s="2663"/>
      <c r="AB49" s="2663"/>
      <c r="AC49" s="2663"/>
      <c r="AD49" s="2663"/>
      <c r="AE49" s="2663"/>
      <c r="AF49" s="2663"/>
      <c r="AG49" s="2663"/>
      <c r="AH49" s="2663"/>
      <c r="AI49" s="2663"/>
      <c r="AJ49" s="2663"/>
      <c r="AK49" s="2663"/>
      <c r="AL49" s="2663"/>
      <c r="AM49" s="2663"/>
      <c r="AN49" s="2663"/>
      <c r="AO49" s="2663"/>
      <c r="AP49" s="2663"/>
      <c r="AQ49" s="2663"/>
      <c r="AR49" s="2663"/>
    </row>
    <row r="50" spans="1:44" ht="14.25">
      <c r="A50" s="1733" t="s">
        <v>1242</v>
      </c>
      <c r="B50" s="120">
        <v>1.2E-2</v>
      </c>
      <c r="C50" s="2653"/>
      <c r="D50" s="2668"/>
      <c r="E50" s="2665"/>
      <c r="F50" s="2665"/>
      <c r="G50" s="2665"/>
      <c r="H50" s="2665"/>
      <c r="I50" s="2665"/>
      <c r="J50" s="2665"/>
      <c r="K50" s="2664"/>
      <c r="L50" s="2664"/>
      <c r="M50" s="2663"/>
      <c r="N50" s="2663"/>
      <c r="O50" s="2663"/>
      <c r="P50" s="2663"/>
      <c r="Q50" s="2663"/>
      <c r="R50" s="2663"/>
      <c r="S50" s="2663"/>
      <c r="T50" s="2663"/>
      <c r="U50" s="2663"/>
      <c r="V50" s="2663"/>
      <c r="W50" s="2663"/>
      <c r="X50" s="2663"/>
      <c r="Y50" s="2663"/>
      <c r="Z50" s="2663"/>
      <c r="AA50" s="2663"/>
      <c r="AB50" s="2663"/>
      <c r="AC50" s="2663"/>
      <c r="AD50" s="2663"/>
      <c r="AE50" s="2663"/>
      <c r="AF50" s="2663"/>
      <c r="AG50" s="2663"/>
      <c r="AH50" s="2663"/>
      <c r="AI50" s="2663"/>
      <c r="AJ50" s="2663"/>
      <c r="AK50" s="2663"/>
      <c r="AL50" s="2663"/>
      <c r="AM50" s="2663"/>
      <c r="AN50" s="2663"/>
      <c r="AO50" s="2663"/>
      <c r="AP50" s="2663"/>
      <c r="AQ50" s="2663"/>
      <c r="AR50" s="2663"/>
    </row>
    <row r="51" spans="1:44" ht="15" thickBot="1">
      <c r="A51" s="1726" t="s">
        <v>1243</v>
      </c>
      <c r="B51" s="121">
        <v>0.12</v>
      </c>
      <c r="C51" s="2653"/>
      <c r="D51" s="2668"/>
      <c r="E51" s="2665"/>
      <c r="F51" s="2665"/>
      <c r="G51" s="2665"/>
      <c r="H51" s="2665"/>
      <c r="I51" s="2665"/>
      <c r="J51" s="2665"/>
      <c r="K51" s="2664"/>
      <c r="L51" s="2664"/>
      <c r="M51" s="2663"/>
      <c r="N51" s="2663"/>
      <c r="O51" s="2663"/>
      <c r="P51" s="2663"/>
      <c r="Q51" s="2663"/>
      <c r="R51" s="2663"/>
      <c r="S51" s="2663"/>
      <c r="T51" s="2663"/>
      <c r="U51" s="2663"/>
      <c r="V51" s="2663"/>
      <c r="W51" s="2663"/>
      <c r="X51" s="2663"/>
      <c r="Y51" s="2663"/>
      <c r="Z51" s="2663"/>
      <c r="AA51" s="2663"/>
      <c r="AB51" s="2663"/>
      <c r="AC51" s="2663"/>
      <c r="AD51" s="2663"/>
      <c r="AE51" s="2663"/>
      <c r="AF51" s="2663"/>
      <c r="AG51" s="2663"/>
      <c r="AH51" s="2663"/>
      <c r="AI51" s="2663"/>
      <c r="AJ51" s="2663"/>
      <c r="AK51" s="2663"/>
      <c r="AL51" s="2663"/>
      <c r="AM51" s="2663"/>
      <c r="AN51" s="2663"/>
      <c r="AO51" s="2663"/>
      <c r="AP51" s="2663"/>
      <c r="AQ51" s="2663"/>
      <c r="AR51" s="2663"/>
    </row>
    <row r="52" spans="1:44" ht="14.25">
      <c r="A52" s="1733" t="s">
        <v>1244</v>
      </c>
      <c r="B52" s="122">
        <f>SUMIF(A54:A63,B53,B54:B63)</f>
        <v>1.5</v>
      </c>
      <c r="C52" s="2653"/>
      <c r="D52" s="2668"/>
      <c r="E52" s="2665"/>
      <c r="F52" s="2665"/>
      <c r="G52" s="2665"/>
      <c r="H52" s="2665"/>
      <c r="I52" s="2665"/>
      <c r="J52" s="2665"/>
      <c r="K52" s="2664"/>
      <c r="L52" s="2664"/>
      <c r="M52" s="2663"/>
      <c r="N52" s="2663"/>
      <c r="O52" s="2663"/>
      <c r="P52" s="2663"/>
      <c r="Q52" s="2663"/>
      <c r="R52" s="2663"/>
      <c r="S52" s="2663"/>
      <c r="T52" s="2663"/>
      <c r="U52" s="2663"/>
      <c r="V52" s="2663"/>
      <c r="W52" s="2663"/>
      <c r="X52" s="2663"/>
      <c r="Y52" s="2663"/>
      <c r="Z52" s="2663"/>
      <c r="AA52" s="2663"/>
      <c r="AB52" s="2663"/>
      <c r="AC52" s="2663"/>
      <c r="AD52" s="2663"/>
      <c r="AE52" s="2663"/>
      <c r="AF52" s="2663"/>
      <c r="AG52" s="2663"/>
      <c r="AH52" s="2663"/>
      <c r="AI52" s="2663"/>
      <c r="AJ52" s="2663"/>
      <c r="AK52" s="2663"/>
      <c r="AL52" s="2663"/>
      <c r="AM52" s="2663"/>
      <c r="AN52" s="2663"/>
      <c r="AO52" s="2663"/>
      <c r="AP52" s="2663"/>
      <c r="AQ52" s="2663"/>
      <c r="AR52" s="2663"/>
    </row>
    <row r="53" spans="1:44" ht="27">
      <c r="A53" s="1725" t="s">
        <v>1245</v>
      </c>
      <c r="B53" s="1734" t="s">
        <v>29</v>
      </c>
      <c r="C53" s="2653" t="s">
        <v>1246</v>
      </c>
      <c r="D53" s="2796" t="s">
        <v>2303</v>
      </c>
      <c r="E53" s="2665"/>
      <c r="F53" s="2665"/>
      <c r="G53" s="2665"/>
      <c r="H53" s="2665"/>
      <c r="I53" s="2665"/>
      <c r="J53" s="2665"/>
      <c r="K53" s="2664"/>
      <c r="L53" s="2664"/>
      <c r="M53" s="2663"/>
      <c r="N53" s="2663"/>
      <c r="O53" s="2663"/>
      <c r="P53" s="2663"/>
      <c r="Q53" s="2663"/>
      <c r="R53" s="2663"/>
      <c r="S53" s="2663"/>
      <c r="T53" s="2663"/>
      <c r="U53" s="2663"/>
      <c r="V53" s="2663"/>
      <c r="W53" s="2663"/>
      <c r="X53" s="2663"/>
      <c r="Y53" s="2663"/>
      <c r="Z53" s="2663"/>
      <c r="AA53" s="2663"/>
      <c r="AB53" s="2663"/>
      <c r="AC53" s="2663"/>
      <c r="AD53" s="2663"/>
      <c r="AE53" s="2663"/>
      <c r="AF53" s="2663"/>
      <c r="AG53" s="2663"/>
      <c r="AH53" s="2663"/>
      <c r="AI53" s="2663"/>
      <c r="AJ53" s="2663"/>
      <c r="AK53" s="2663"/>
      <c r="AL53" s="2663"/>
      <c r="AM53" s="2663"/>
      <c r="AN53" s="2663"/>
      <c r="AO53" s="2663"/>
      <c r="AP53" s="2663"/>
      <c r="AQ53" s="2663"/>
      <c r="AR53" s="2663"/>
    </row>
    <row r="54" spans="1:44" ht="14.25">
      <c r="A54" s="1735" t="s">
        <v>1247</v>
      </c>
      <c r="B54" s="75"/>
      <c r="C54" s="2653">
        <v>30</v>
      </c>
      <c r="D54" s="2668"/>
      <c r="E54" s="2665"/>
      <c r="F54" s="2665"/>
      <c r="G54" s="2665"/>
      <c r="H54" s="2665"/>
      <c r="I54" s="2665"/>
      <c r="J54" s="2665"/>
      <c r="K54" s="2664"/>
      <c r="L54" s="2664"/>
      <c r="M54" s="2663"/>
      <c r="N54" s="2663"/>
      <c r="O54" s="2663"/>
      <c r="P54" s="2663"/>
      <c r="Q54" s="2663"/>
      <c r="R54" s="2663"/>
      <c r="S54" s="2663"/>
      <c r="T54" s="2663"/>
      <c r="U54" s="2663"/>
      <c r="V54" s="2663"/>
      <c r="W54" s="2663"/>
      <c r="X54" s="2663"/>
      <c r="Y54" s="2663"/>
      <c r="Z54" s="2663"/>
      <c r="AA54" s="2663"/>
      <c r="AB54" s="2663"/>
      <c r="AC54" s="2663"/>
      <c r="AD54" s="2663"/>
      <c r="AE54" s="2663"/>
      <c r="AF54" s="2663"/>
      <c r="AG54" s="2663"/>
      <c r="AH54" s="2663"/>
      <c r="AI54" s="2663"/>
      <c r="AJ54" s="2663"/>
      <c r="AK54" s="2663"/>
      <c r="AL54" s="2663"/>
      <c r="AM54" s="2663"/>
      <c r="AN54" s="2663"/>
      <c r="AO54" s="2663"/>
      <c r="AP54" s="2663"/>
      <c r="AQ54" s="2663"/>
      <c r="AR54" s="2663"/>
    </row>
    <row r="55" spans="1:44" ht="14.25">
      <c r="A55" s="1735" t="s">
        <v>1248</v>
      </c>
      <c r="B55" s="75"/>
      <c r="C55" s="2653">
        <v>24</v>
      </c>
      <c r="D55" s="2668"/>
      <c r="E55" s="2665"/>
      <c r="F55" s="2665"/>
      <c r="G55" s="2665"/>
      <c r="H55" s="2665"/>
      <c r="I55" s="2666"/>
      <c r="J55" s="2665"/>
      <c r="K55" s="2664"/>
      <c r="L55" s="2664"/>
      <c r="M55" s="2663"/>
      <c r="N55" s="2663"/>
      <c r="O55" s="2663"/>
      <c r="P55" s="2663"/>
      <c r="Q55" s="2663"/>
      <c r="R55" s="2663"/>
      <c r="S55" s="2663"/>
      <c r="T55" s="2663"/>
      <c r="U55" s="2663"/>
      <c r="V55" s="2663"/>
      <c r="W55" s="2663"/>
      <c r="X55" s="2663"/>
      <c r="Y55" s="2663"/>
      <c r="Z55" s="2663"/>
      <c r="AA55" s="2663"/>
      <c r="AB55" s="2663"/>
      <c r="AC55" s="2663"/>
      <c r="AD55" s="2663"/>
      <c r="AE55" s="2663"/>
      <c r="AF55" s="2663"/>
      <c r="AG55" s="2663"/>
      <c r="AH55" s="2663"/>
      <c r="AI55" s="2663"/>
      <c r="AJ55" s="2663"/>
      <c r="AK55" s="2663"/>
      <c r="AL55" s="2663"/>
      <c r="AM55" s="2663"/>
      <c r="AN55" s="2663"/>
      <c r="AO55" s="2663"/>
      <c r="AP55" s="2663"/>
      <c r="AQ55" s="2663"/>
      <c r="AR55" s="2663"/>
    </row>
    <row r="56" spans="1:44" ht="14.25">
      <c r="A56" s="1735" t="s">
        <v>1249</v>
      </c>
      <c r="B56" s="75"/>
      <c r="C56" s="2653">
        <v>18</v>
      </c>
      <c r="D56" s="2668"/>
      <c r="E56" s="2665"/>
      <c r="F56" s="2665"/>
      <c r="G56" s="2665"/>
      <c r="H56" s="2665"/>
      <c r="I56" s="2665"/>
      <c r="J56" s="2665"/>
      <c r="K56" s="2664"/>
      <c r="L56" s="2664"/>
      <c r="M56" s="2663"/>
      <c r="N56" s="2663"/>
      <c r="O56" s="2663"/>
      <c r="P56" s="2663"/>
      <c r="Q56" s="2663"/>
      <c r="R56" s="2663"/>
      <c r="S56" s="2663"/>
      <c r="T56" s="2663"/>
      <c r="U56" s="2663"/>
      <c r="V56" s="2663"/>
      <c r="W56" s="2663"/>
      <c r="X56" s="2663"/>
      <c r="Y56" s="2663"/>
      <c r="Z56" s="2663"/>
      <c r="AA56" s="2663"/>
      <c r="AB56" s="2663"/>
      <c r="AC56" s="2663"/>
      <c r="AD56" s="2663"/>
      <c r="AE56" s="2663"/>
      <c r="AF56" s="2663"/>
      <c r="AG56" s="2663"/>
      <c r="AH56" s="2663"/>
      <c r="AI56" s="2663"/>
      <c r="AJ56" s="2663"/>
      <c r="AK56" s="2663"/>
      <c r="AL56" s="2663"/>
      <c r="AM56" s="2663"/>
      <c r="AN56" s="2663"/>
      <c r="AO56" s="2663"/>
      <c r="AP56" s="2663"/>
      <c r="AQ56" s="2663"/>
      <c r="AR56" s="2663"/>
    </row>
    <row r="57" spans="1:44" ht="14.25">
      <c r="A57" s="1735" t="s">
        <v>1250</v>
      </c>
      <c r="B57" s="75"/>
      <c r="C57" s="2653">
        <v>12</v>
      </c>
      <c r="D57" s="2668"/>
      <c r="E57" s="2665"/>
      <c r="F57" s="2665"/>
      <c r="G57" s="2665"/>
      <c r="H57" s="2665"/>
      <c r="I57" s="2665"/>
      <c r="J57" s="2665"/>
      <c r="K57" s="2664"/>
      <c r="L57" s="2664"/>
      <c r="M57" s="2663"/>
      <c r="N57" s="2663"/>
      <c r="O57" s="2663"/>
      <c r="P57" s="2663"/>
      <c r="Q57" s="2663"/>
      <c r="R57" s="2663"/>
      <c r="S57" s="2663"/>
      <c r="T57" s="2663"/>
      <c r="U57" s="2663"/>
      <c r="V57" s="2663"/>
      <c r="W57" s="2663"/>
      <c r="X57" s="2663"/>
      <c r="Y57" s="2663"/>
      <c r="Z57" s="2663"/>
      <c r="AA57" s="2663"/>
      <c r="AB57" s="2663"/>
      <c r="AC57" s="2663"/>
      <c r="AD57" s="2663"/>
      <c r="AE57" s="2663"/>
      <c r="AF57" s="2663"/>
      <c r="AG57" s="2663"/>
      <c r="AH57" s="2663"/>
      <c r="AI57" s="2663"/>
      <c r="AJ57" s="2663"/>
      <c r="AK57" s="2663"/>
      <c r="AL57" s="2663"/>
      <c r="AM57" s="2663"/>
      <c r="AN57" s="2663"/>
      <c r="AO57" s="2663"/>
      <c r="AP57" s="2663"/>
      <c r="AQ57" s="2663"/>
      <c r="AR57" s="2663"/>
    </row>
    <row r="58" spans="1:44" ht="14.25">
      <c r="A58" s="1735" t="s">
        <v>1251</v>
      </c>
      <c r="B58" s="75"/>
      <c r="C58" s="2653">
        <v>3</v>
      </c>
      <c r="D58" s="2668"/>
      <c r="E58" s="2665"/>
      <c r="F58" s="2665"/>
      <c r="G58" s="2665"/>
      <c r="H58" s="2665"/>
      <c r="I58" s="2665"/>
      <c r="J58" s="2665"/>
      <c r="K58" s="2664"/>
      <c r="L58" s="2664"/>
      <c r="M58" s="2663"/>
      <c r="N58" s="2663"/>
      <c r="O58" s="2663"/>
      <c r="P58" s="2663"/>
      <c r="Q58" s="2663"/>
      <c r="R58" s="2663"/>
      <c r="S58" s="2663"/>
      <c r="T58" s="2663"/>
      <c r="U58" s="2663"/>
      <c r="V58" s="2663"/>
      <c r="W58" s="2663"/>
      <c r="X58" s="2663"/>
      <c r="Y58" s="2663"/>
      <c r="Z58" s="2663"/>
      <c r="AA58" s="2663"/>
      <c r="AB58" s="2663"/>
      <c r="AC58" s="2663"/>
      <c r="AD58" s="2663"/>
      <c r="AE58" s="2663"/>
      <c r="AF58" s="2663"/>
      <c r="AG58" s="2663"/>
      <c r="AH58" s="2663"/>
      <c r="AI58" s="2663"/>
      <c r="AJ58" s="2663"/>
      <c r="AK58" s="2663"/>
      <c r="AL58" s="2663"/>
      <c r="AM58" s="2663"/>
      <c r="AN58" s="2663"/>
      <c r="AO58" s="2663"/>
      <c r="AP58" s="2663"/>
      <c r="AQ58" s="2663"/>
      <c r="AR58" s="2663"/>
    </row>
    <row r="59" spans="1:44" ht="14.25">
      <c r="A59" s="1735" t="s">
        <v>1252</v>
      </c>
      <c r="B59" s="75">
        <v>1.5</v>
      </c>
      <c r="C59" s="2653">
        <v>1.5</v>
      </c>
      <c r="D59" s="2668"/>
      <c r="E59" s="2665"/>
      <c r="F59" s="2665"/>
      <c r="G59" s="2665"/>
      <c r="H59" s="2665"/>
      <c r="I59" s="2665"/>
      <c r="J59" s="2665"/>
      <c r="K59" s="2664"/>
      <c r="L59" s="2664"/>
      <c r="M59" s="2663"/>
      <c r="N59" s="2663"/>
      <c r="O59" s="2663"/>
      <c r="P59" s="2663"/>
      <c r="Q59" s="2663"/>
      <c r="R59" s="2663"/>
      <c r="S59" s="2663"/>
      <c r="T59" s="2663"/>
      <c r="U59" s="2663"/>
      <c r="V59" s="2663"/>
      <c r="W59" s="2663"/>
      <c r="X59" s="2663"/>
      <c r="Y59" s="2663"/>
      <c r="Z59" s="2663"/>
      <c r="AA59" s="2663"/>
      <c r="AB59" s="2663"/>
      <c r="AC59" s="2663"/>
      <c r="AD59" s="2663"/>
      <c r="AE59" s="2663"/>
      <c r="AF59" s="2663"/>
      <c r="AG59" s="2663"/>
      <c r="AH59" s="2663"/>
      <c r="AI59" s="2663"/>
      <c r="AJ59" s="2663"/>
      <c r="AK59" s="2663"/>
      <c r="AL59" s="2663"/>
      <c r="AM59" s="2663"/>
      <c r="AN59" s="2663"/>
      <c r="AO59" s="2663"/>
      <c r="AP59" s="2663"/>
      <c r="AQ59" s="2663"/>
      <c r="AR59" s="2663"/>
    </row>
    <row r="60" spans="1:44" ht="14.25">
      <c r="A60" s="1735" t="s">
        <v>1253</v>
      </c>
      <c r="B60" s="75"/>
      <c r="C60" s="2665"/>
      <c r="D60" s="2668"/>
      <c r="E60" s="2665"/>
      <c r="F60" s="2665"/>
      <c r="G60" s="2665"/>
      <c r="H60" s="2665"/>
      <c r="I60" s="2665"/>
      <c r="J60" s="2665"/>
      <c r="K60" s="2664"/>
      <c r="L60" s="2664"/>
      <c r="M60" s="2663"/>
      <c r="N60" s="2663"/>
      <c r="O60" s="2663"/>
      <c r="P60" s="2663"/>
      <c r="Q60" s="2663"/>
      <c r="R60" s="2663"/>
      <c r="S60" s="2663"/>
      <c r="T60" s="2663"/>
      <c r="U60" s="2663"/>
      <c r="V60" s="2663"/>
      <c r="W60" s="2663"/>
      <c r="X60" s="2663"/>
      <c r="Y60" s="2663"/>
      <c r="Z60" s="2663"/>
      <c r="AA60" s="2663"/>
      <c r="AB60" s="2663"/>
      <c r="AC60" s="2663"/>
      <c r="AD60" s="2663"/>
      <c r="AE60" s="2663"/>
      <c r="AF60" s="2663"/>
      <c r="AG60" s="2663"/>
      <c r="AH60" s="2663"/>
      <c r="AI60" s="2663"/>
      <c r="AJ60" s="2663"/>
      <c r="AK60" s="2663"/>
      <c r="AL60" s="2663"/>
      <c r="AM60" s="2663"/>
      <c r="AN60" s="2663"/>
      <c r="AO60" s="2663"/>
      <c r="AP60" s="2663"/>
      <c r="AQ60" s="2663"/>
      <c r="AR60" s="2663"/>
    </row>
    <row r="61" spans="1:44" ht="14.25">
      <c r="A61" s="1735" t="s">
        <v>1254</v>
      </c>
      <c r="B61" s="75"/>
      <c r="C61" s="2665"/>
      <c r="D61" s="2668"/>
      <c r="E61" s="2665"/>
      <c r="F61" s="2665"/>
      <c r="G61" s="2665"/>
      <c r="H61" s="2665"/>
      <c r="I61" s="2665"/>
      <c r="J61" s="2665"/>
      <c r="K61" s="2664"/>
      <c r="L61" s="2664"/>
      <c r="M61" s="2663"/>
      <c r="N61" s="2663"/>
      <c r="O61" s="2663"/>
      <c r="P61" s="2663"/>
      <c r="Q61" s="2663"/>
      <c r="R61" s="2663"/>
      <c r="S61" s="2663"/>
      <c r="T61" s="2663"/>
      <c r="U61" s="2663"/>
      <c r="V61" s="2663"/>
      <c r="W61" s="2663"/>
      <c r="X61" s="2663"/>
      <c r="Y61" s="2663"/>
      <c r="Z61" s="2663"/>
      <c r="AA61" s="2663"/>
      <c r="AB61" s="2663"/>
      <c r="AC61" s="2663"/>
      <c r="AD61" s="2663"/>
      <c r="AE61" s="2663"/>
      <c r="AF61" s="2663"/>
      <c r="AG61" s="2663"/>
      <c r="AH61" s="2663"/>
      <c r="AI61" s="2663"/>
      <c r="AJ61" s="2663"/>
      <c r="AK61" s="2663"/>
      <c r="AL61" s="2663"/>
      <c r="AM61" s="2663"/>
      <c r="AN61" s="2663"/>
      <c r="AO61" s="2663"/>
      <c r="AP61" s="2663"/>
      <c r="AQ61" s="2663"/>
      <c r="AR61" s="2663"/>
    </row>
    <row r="62" spans="1:44" ht="14.25">
      <c r="A62" s="1735" t="s">
        <v>1255</v>
      </c>
      <c r="B62" s="75"/>
      <c r="C62" s="2665"/>
      <c r="D62" s="2668"/>
      <c r="E62" s="2665"/>
      <c r="F62" s="2665"/>
      <c r="G62" s="2665"/>
      <c r="H62" s="2665"/>
      <c r="I62" s="2665"/>
      <c r="J62" s="2665"/>
      <c r="K62" s="2664"/>
      <c r="L62" s="2664"/>
      <c r="M62" s="2663"/>
      <c r="N62" s="2663"/>
      <c r="O62" s="2663"/>
      <c r="P62" s="2663"/>
      <c r="Q62" s="2663"/>
      <c r="R62" s="2663"/>
      <c r="S62" s="2663"/>
      <c r="T62" s="2663"/>
      <c r="U62" s="2663"/>
      <c r="V62" s="2663"/>
      <c r="W62" s="2663"/>
      <c r="X62" s="2663"/>
      <c r="Y62" s="2663"/>
      <c r="Z62" s="2663"/>
      <c r="AA62" s="2663"/>
      <c r="AB62" s="2663"/>
      <c r="AC62" s="2663"/>
      <c r="AD62" s="2663"/>
      <c r="AE62" s="2663"/>
      <c r="AF62" s="2663"/>
      <c r="AG62" s="2663"/>
      <c r="AH62" s="2663"/>
      <c r="AI62" s="2663"/>
      <c r="AJ62" s="2663"/>
      <c r="AK62" s="2663"/>
      <c r="AL62" s="2663"/>
      <c r="AM62" s="2663"/>
      <c r="AN62" s="2663"/>
      <c r="AO62" s="2663"/>
      <c r="AP62" s="2663"/>
      <c r="AQ62" s="2663"/>
      <c r="AR62" s="2663"/>
    </row>
    <row r="63" spans="1:44" ht="15" thickBot="1">
      <c r="A63" s="1736" t="s">
        <v>1256</v>
      </c>
      <c r="B63" s="123"/>
      <c r="C63" s="2665"/>
      <c r="D63" s="2668"/>
      <c r="E63" s="2665"/>
      <c r="F63" s="2665"/>
      <c r="G63" s="2665"/>
      <c r="H63" s="2665"/>
      <c r="I63" s="2665"/>
      <c r="J63" s="2665"/>
      <c r="K63" s="2664"/>
      <c r="L63" s="2664"/>
      <c r="M63" s="2663"/>
      <c r="N63" s="2663"/>
      <c r="O63" s="2663"/>
      <c r="P63" s="2663"/>
      <c r="Q63" s="2663"/>
      <c r="R63" s="2663"/>
      <c r="S63" s="2663"/>
      <c r="T63" s="2663"/>
      <c r="U63" s="2663"/>
      <c r="V63" s="2663"/>
      <c r="W63" s="2663"/>
      <c r="X63" s="2663"/>
      <c r="Y63" s="2663"/>
      <c r="Z63" s="2663"/>
      <c r="AA63" s="2663"/>
      <c r="AB63" s="2663"/>
      <c r="AC63" s="2663"/>
      <c r="AD63" s="2663"/>
      <c r="AE63" s="2663"/>
      <c r="AF63" s="2663"/>
      <c r="AG63" s="2663"/>
      <c r="AH63" s="2663"/>
      <c r="AI63" s="2663"/>
      <c r="AJ63" s="2663"/>
      <c r="AK63" s="2663"/>
      <c r="AL63" s="2663"/>
      <c r="AM63" s="2663"/>
      <c r="AN63" s="2663"/>
      <c r="AO63" s="2663"/>
      <c r="AP63" s="2663"/>
      <c r="AQ63" s="2663"/>
      <c r="AR63" s="2663"/>
    </row>
    <row r="64" spans="1:44" s="789" customFormat="1">
      <c r="A64" s="2656"/>
      <c r="B64" s="2663"/>
      <c r="C64" s="2663"/>
      <c r="D64" s="2667"/>
      <c r="E64" s="2663"/>
      <c r="F64" s="2663"/>
      <c r="G64" s="2663"/>
      <c r="H64" s="2663"/>
      <c r="I64" s="2663"/>
      <c r="J64" s="2663"/>
      <c r="K64" s="2664"/>
      <c r="L64" s="2664"/>
      <c r="M64" s="2663"/>
      <c r="N64" s="2663"/>
      <c r="O64" s="2663"/>
      <c r="P64" s="2663"/>
      <c r="Q64" s="2663"/>
      <c r="R64" s="2663"/>
      <c r="S64" s="2663"/>
      <c r="T64" s="2663"/>
      <c r="U64" s="2663"/>
      <c r="V64" s="2663"/>
      <c r="W64" s="2663"/>
      <c r="X64" s="2663"/>
      <c r="Y64" s="2663"/>
      <c r="Z64" s="2663"/>
      <c r="AA64" s="2663"/>
      <c r="AB64" s="2663"/>
      <c r="AC64" s="2663"/>
      <c r="AD64" s="2663"/>
      <c r="AE64" s="2663"/>
      <c r="AF64" s="2663"/>
      <c r="AG64" s="2663"/>
      <c r="AH64" s="2663"/>
      <c r="AI64" s="2663"/>
      <c r="AJ64" s="2663"/>
      <c r="AK64" s="2663"/>
      <c r="AL64" s="2663"/>
      <c r="AM64" s="2663"/>
      <c r="AN64" s="2663"/>
      <c r="AO64" s="2663"/>
      <c r="AP64" s="2663"/>
      <c r="AQ64" s="2663"/>
      <c r="AR64" s="2663"/>
    </row>
    <row r="65" spans="1:44" s="789" customFormat="1">
      <c r="A65" s="2656"/>
      <c r="B65" s="2663"/>
      <c r="C65" s="2663"/>
      <c r="D65" s="2667"/>
      <c r="E65" s="2663"/>
      <c r="F65" s="2663"/>
      <c r="G65" s="2663"/>
      <c r="H65" s="2663"/>
      <c r="I65" s="2663"/>
      <c r="J65" s="2663"/>
      <c r="K65" s="2664"/>
      <c r="L65" s="2664"/>
      <c r="M65" s="2663"/>
      <c r="N65" s="2663"/>
      <c r="O65" s="2663"/>
      <c r="P65" s="2663"/>
      <c r="Q65" s="2663"/>
      <c r="R65" s="2663"/>
      <c r="S65" s="2663"/>
      <c r="T65" s="2663"/>
      <c r="U65" s="2663"/>
      <c r="V65" s="2663"/>
      <c r="W65" s="2663"/>
      <c r="X65" s="2663"/>
      <c r="Y65" s="2663"/>
      <c r="Z65" s="2663"/>
      <c r="AA65" s="2663"/>
      <c r="AB65" s="2663"/>
      <c r="AC65" s="2663"/>
      <c r="AD65" s="2663"/>
      <c r="AE65" s="2663"/>
      <c r="AF65" s="2663"/>
      <c r="AG65" s="2663"/>
      <c r="AH65" s="2663"/>
      <c r="AI65" s="2663"/>
      <c r="AJ65" s="2663"/>
      <c r="AK65" s="2663"/>
      <c r="AL65" s="2663"/>
      <c r="AM65" s="2663"/>
      <c r="AN65" s="2663"/>
      <c r="AO65" s="2663"/>
      <c r="AP65" s="2663"/>
      <c r="AQ65" s="2663"/>
      <c r="AR65" s="2663"/>
    </row>
    <row r="66" spans="1:44" s="789" customFormat="1">
      <c r="A66" s="2656"/>
      <c r="B66" s="2663"/>
      <c r="C66" s="2663"/>
      <c r="D66" s="2667"/>
      <c r="E66" s="2663"/>
      <c r="F66" s="2663"/>
      <c r="G66" s="2663"/>
      <c r="H66" s="2663"/>
      <c r="I66" s="2663"/>
      <c r="J66" s="2663"/>
      <c r="K66" s="2664"/>
      <c r="L66" s="2664"/>
      <c r="M66" s="2663"/>
      <c r="N66" s="2663"/>
      <c r="O66" s="2663"/>
      <c r="P66" s="2663"/>
      <c r="Q66" s="2663"/>
      <c r="R66" s="2663"/>
      <c r="S66" s="2663"/>
      <c r="T66" s="2663"/>
      <c r="U66" s="2663"/>
      <c r="V66" s="2663"/>
      <c r="W66" s="2663"/>
      <c r="X66" s="2663"/>
      <c r="Y66" s="2663"/>
      <c r="Z66" s="2663"/>
      <c r="AA66" s="2663"/>
      <c r="AB66" s="2663"/>
      <c r="AC66" s="2663"/>
      <c r="AD66" s="2663"/>
      <c r="AE66" s="2663"/>
      <c r="AF66" s="2663"/>
      <c r="AG66" s="2663"/>
      <c r="AH66" s="2663"/>
      <c r="AI66" s="2663"/>
      <c r="AJ66" s="2663"/>
      <c r="AK66" s="2663"/>
      <c r="AL66" s="2663"/>
      <c r="AM66" s="2663"/>
      <c r="AN66" s="2663"/>
      <c r="AO66" s="2663"/>
      <c r="AP66" s="2663"/>
      <c r="AQ66" s="2663"/>
      <c r="AR66" s="2663"/>
    </row>
    <row r="67" spans="1:44" s="789" customFormat="1">
      <c r="A67" s="2656"/>
      <c r="B67" s="2663"/>
      <c r="C67" s="2663"/>
      <c r="D67" s="2667"/>
      <c r="E67" s="2663"/>
      <c r="F67" s="2663"/>
      <c r="G67" s="2663"/>
      <c r="H67" s="2663"/>
      <c r="I67" s="2663"/>
      <c r="J67" s="2663"/>
      <c r="K67" s="2664"/>
      <c r="L67" s="2664"/>
      <c r="M67" s="2663"/>
      <c r="N67" s="2663"/>
      <c r="O67" s="2663"/>
      <c r="P67" s="2663"/>
      <c r="Q67" s="2663"/>
      <c r="R67" s="2663"/>
      <c r="S67" s="2663"/>
      <c r="T67" s="2663"/>
      <c r="U67" s="2663"/>
      <c r="V67" s="2663"/>
      <c r="W67" s="2663"/>
      <c r="X67" s="2663"/>
      <c r="Y67" s="2663"/>
      <c r="Z67" s="2663"/>
      <c r="AA67" s="2663"/>
      <c r="AB67" s="2663"/>
      <c r="AC67" s="2663"/>
      <c r="AD67" s="2663"/>
      <c r="AE67" s="2663"/>
      <c r="AF67" s="2663"/>
      <c r="AG67" s="2663"/>
      <c r="AH67" s="2663"/>
      <c r="AI67" s="2663"/>
      <c r="AJ67" s="2663"/>
      <c r="AK67" s="2663"/>
      <c r="AL67" s="2663"/>
      <c r="AM67" s="2663"/>
      <c r="AN67" s="2663"/>
      <c r="AO67" s="2663"/>
      <c r="AP67" s="2663"/>
      <c r="AQ67" s="2663"/>
      <c r="AR67" s="2663"/>
    </row>
    <row r="68" spans="1:44" s="789" customFormat="1">
      <c r="A68" s="2656"/>
      <c r="B68" s="2663"/>
      <c r="C68" s="2663"/>
      <c r="D68" s="2667"/>
      <c r="E68" s="2663"/>
      <c r="F68" s="2663"/>
      <c r="G68" s="2663"/>
      <c r="H68" s="2663"/>
      <c r="I68" s="2663"/>
      <c r="J68" s="2663"/>
      <c r="K68" s="2664"/>
      <c r="L68" s="2664"/>
      <c r="M68" s="2663"/>
      <c r="N68" s="2663"/>
      <c r="O68" s="2663"/>
      <c r="P68" s="2663"/>
      <c r="Q68" s="2663"/>
      <c r="R68" s="2663"/>
      <c r="S68" s="2663"/>
      <c r="T68" s="2663"/>
      <c r="U68" s="2663"/>
      <c r="V68" s="2663"/>
      <c r="W68" s="2663"/>
      <c r="X68" s="2663"/>
      <c r="Y68" s="2663"/>
      <c r="Z68" s="2663"/>
      <c r="AA68" s="2663"/>
      <c r="AB68" s="2663"/>
      <c r="AC68" s="2663"/>
      <c r="AD68" s="2663"/>
      <c r="AE68" s="2663"/>
      <c r="AF68" s="2663"/>
      <c r="AG68" s="2663"/>
      <c r="AH68" s="2663"/>
      <c r="AI68" s="2663"/>
      <c r="AJ68" s="2663"/>
      <c r="AK68" s="2663"/>
      <c r="AL68" s="2663"/>
      <c r="AM68" s="2663"/>
      <c r="AN68" s="2663"/>
      <c r="AO68" s="2663"/>
      <c r="AP68" s="2663"/>
      <c r="AQ68" s="2663"/>
      <c r="AR68" s="2663"/>
    </row>
    <row r="69" spans="1:44" s="789" customFormat="1">
      <c r="A69" s="1737"/>
      <c r="D69" s="1738"/>
      <c r="K69" s="724"/>
      <c r="L69" s="724"/>
    </row>
    <row r="70" spans="1:44" s="789" customFormat="1">
      <c r="A70" s="1737"/>
      <c r="D70" s="1738"/>
      <c r="K70" s="724"/>
      <c r="L70" s="724"/>
    </row>
    <row r="71" spans="1:44" s="789" customFormat="1">
      <c r="A71" s="1737"/>
      <c r="D71" s="1738"/>
      <c r="K71" s="724"/>
      <c r="L71" s="724"/>
    </row>
    <row r="72" spans="1:44" s="789" customFormat="1">
      <c r="A72" s="1737"/>
      <c r="D72" s="1738"/>
      <c r="K72" s="724"/>
      <c r="L72" s="724"/>
    </row>
    <row r="73" spans="1:44" s="789" customFormat="1">
      <c r="A73" s="1737"/>
      <c r="D73" s="1738"/>
      <c r="K73" s="724"/>
      <c r="L73" s="724"/>
    </row>
    <row r="74" spans="1:44" s="789" customFormat="1">
      <c r="A74" s="1737"/>
      <c r="D74" s="1738"/>
      <c r="K74" s="724"/>
      <c r="L74" s="724"/>
    </row>
    <row r="75" spans="1:44" s="789" customFormat="1">
      <c r="A75" s="1737"/>
      <c r="D75" s="1738"/>
      <c r="K75" s="724"/>
      <c r="L75" s="724"/>
    </row>
    <row r="76" spans="1:44" s="789" customFormat="1">
      <c r="A76" s="1737"/>
      <c r="D76" s="1738"/>
      <c r="K76" s="724"/>
      <c r="L76" s="724"/>
    </row>
    <row r="77" spans="1:44" s="789" customFormat="1">
      <c r="A77" s="1737"/>
      <c r="D77" s="1738"/>
      <c r="K77" s="724"/>
      <c r="L77" s="724"/>
    </row>
    <row r="78" spans="1:44" s="789" customFormat="1">
      <c r="A78" s="1737"/>
      <c r="D78" s="1738"/>
      <c r="K78" s="724"/>
      <c r="L78" s="724"/>
    </row>
    <row r="79" spans="1:44" s="789" customFormat="1">
      <c r="A79" s="1737"/>
      <c r="D79" s="1738"/>
      <c r="K79" s="724"/>
      <c r="L79" s="724"/>
    </row>
    <row r="80" spans="1:44" s="789" customFormat="1">
      <c r="A80" s="1737"/>
      <c r="D80" s="1738"/>
      <c r="K80" s="724"/>
      <c r="L80" s="724"/>
    </row>
    <row r="81" spans="1:12" s="789" customFormat="1">
      <c r="A81" s="1737"/>
      <c r="D81" s="1738"/>
      <c r="K81" s="724"/>
      <c r="L81" s="724"/>
    </row>
    <row r="82" spans="1:12" s="789" customFormat="1">
      <c r="A82" s="1737"/>
      <c r="D82" s="1738"/>
      <c r="K82" s="724"/>
      <c r="L82" s="724"/>
    </row>
    <row r="83" spans="1:12" s="789" customFormat="1">
      <c r="A83" s="1737"/>
      <c r="D83" s="1738"/>
      <c r="K83" s="724"/>
      <c r="L83" s="724"/>
    </row>
    <row r="84" spans="1:12" s="789" customFormat="1">
      <c r="A84" s="1737"/>
      <c r="D84" s="1738"/>
      <c r="K84" s="724"/>
      <c r="L84" s="724"/>
    </row>
    <row r="85" spans="1:12" s="789" customFormat="1">
      <c r="A85" s="1737"/>
      <c r="D85" s="1738"/>
      <c r="K85" s="724"/>
      <c r="L85" s="724"/>
    </row>
    <row r="86" spans="1:12" s="789" customFormat="1">
      <c r="A86" s="1737"/>
      <c r="D86" s="1738"/>
      <c r="K86" s="724"/>
      <c r="L86" s="724"/>
    </row>
    <row r="87" spans="1:12" s="789" customFormat="1">
      <c r="A87" s="1737"/>
      <c r="D87" s="1738"/>
      <c r="K87" s="724"/>
      <c r="L87" s="724"/>
    </row>
    <row r="88" spans="1:12" s="789" customFormat="1">
      <c r="A88" s="1737"/>
      <c r="D88" s="1738"/>
      <c r="K88" s="724"/>
      <c r="L88" s="724"/>
    </row>
    <row r="89" spans="1:12" s="789" customFormat="1">
      <c r="A89" s="1737"/>
      <c r="D89" s="1738"/>
      <c r="K89" s="724"/>
      <c r="L89" s="724"/>
    </row>
    <row r="90" spans="1:12" s="789" customFormat="1">
      <c r="A90" s="1737"/>
      <c r="D90" s="1738"/>
      <c r="K90" s="724"/>
      <c r="L90" s="724"/>
    </row>
    <row r="91" spans="1:12" s="789" customFormat="1">
      <c r="A91" s="1737"/>
      <c r="D91" s="1738"/>
      <c r="K91" s="724"/>
      <c r="L91" s="724"/>
    </row>
    <row r="92" spans="1:12" s="789" customFormat="1">
      <c r="A92" s="1737"/>
      <c r="D92" s="1738"/>
      <c r="K92" s="724"/>
      <c r="L92" s="724"/>
    </row>
    <row r="93" spans="1:12" s="789" customFormat="1">
      <c r="A93" s="1737"/>
      <c r="D93" s="1738"/>
      <c r="K93" s="724"/>
      <c r="L93" s="724"/>
    </row>
    <row r="94" spans="1:12" s="789" customFormat="1">
      <c r="A94" s="1737"/>
      <c r="D94" s="1738"/>
      <c r="K94" s="724"/>
      <c r="L94" s="724"/>
    </row>
    <row r="95" spans="1:12" s="789" customFormat="1">
      <c r="A95" s="1737"/>
      <c r="D95" s="1738"/>
      <c r="K95" s="724"/>
      <c r="L95" s="724"/>
    </row>
    <row r="96" spans="1:12" s="789" customFormat="1">
      <c r="A96" s="1737"/>
      <c r="D96" s="1738"/>
      <c r="K96" s="724"/>
      <c r="L96" s="724"/>
    </row>
    <row r="97" spans="1:12" s="789" customFormat="1">
      <c r="A97" s="1737"/>
      <c r="D97" s="1738"/>
      <c r="K97" s="724"/>
      <c r="L97" s="724"/>
    </row>
    <row r="98" spans="1:12" s="789" customFormat="1">
      <c r="A98" s="1737"/>
      <c r="D98" s="1738"/>
      <c r="K98" s="724"/>
      <c r="L98" s="724"/>
    </row>
    <row r="99" spans="1:12" s="789" customFormat="1">
      <c r="A99" s="1737"/>
      <c r="D99" s="1738"/>
      <c r="K99" s="724"/>
      <c r="L99" s="724"/>
    </row>
    <row r="100" spans="1:12" s="789" customFormat="1">
      <c r="A100" s="1737"/>
      <c r="D100" s="1738"/>
      <c r="K100" s="724"/>
      <c r="L100" s="724"/>
    </row>
    <row r="101" spans="1:12" s="789" customFormat="1">
      <c r="A101" s="1737"/>
      <c r="D101" s="1738"/>
      <c r="K101" s="724"/>
      <c r="L101" s="724"/>
    </row>
    <row r="102" spans="1:12" s="789" customFormat="1">
      <c r="A102" s="1737"/>
      <c r="D102" s="1738"/>
      <c r="K102" s="724"/>
      <c r="L102" s="724"/>
    </row>
    <row r="103" spans="1:12" s="789" customFormat="1">
      <c r="A103" s="1737"/>
      <c r="D103" s="1738"/>
      <c r="K103" s="724"/>
      <c r="L103" s="724"/>
    </row>
    <row r="104" spans="1:12" s="789" customFormat="1">
      <c r="A104" s="1737"/>
      <c r="D104" s="1738"/>
      <c r="K104" s="724"/>
      <c r="L104" s="724"/>
    </row>
    <row r="105" spans="1:12" s="789" customFormat="1">
      <c r="A105" s="1737"/>
      <c r="D105" s="1738"/>
      <c r="K105" s="724"/>
      <c r="L105" s="724"/>
    </row>
    <row r="106" spans="1:12" s="789" customFormat="1">
      <c r="A106" s="1737"/>
      <c r="D106" s="1738"/>
      <c r="K106" s="724"/>
      <c r="L106" s="724"/>
    </row>
    <row r="107" spans="1:12" s="789" customFormat="1">
      <c r="A107" s="1737"/>
      <c r="D107" s="1738"/>
      <c r="K107" s="724"/>
      <c r="L107" s="724"/>
    </row>
    <row r="108" spans="1:12" s="789" customFormat="1">
      <c r="A108" s="1737"/>
      <c r="D108" s="1738"/>
      <c r="K108" s="724"/>
      <c r="L108" s="724"/>
    </row>
    <row r="109" spans="1:12" s="789" customFormat="1">
      <c r="A109" s="1737"/>
      <c r="D109" s="1738"/>
      <c r="K109" s="724"/>
      <c r="L109" s="724"/>
    </row>
    <row r="110" spans="1:12" s="789" customFormat="1">
      <c r="A110" s="1737"/>
      <c r="D110" s="1738"/>
      <c r="K110" s="724"/>
      <c r="L110" s="724"/>
    </row>
    <row r="111" spans="1:12" s="789" customFormat="1">
      <c r="A111" s="1737"/>
      <c r="D111" s="1738"/>
      <c r="K111" s="724"/>
      <c r="L111" s="724"/>
    </row>
    <row r="112" spans="1:12" s="789" customFormat="1">
      <c r="A112" s="1737"/>
      <c r="D112" s="1738"/>
      <c r="K112" s="724"/>
      <c r="L112" s="724"/>
    </row>
    <row r="113" spans="1:12" s="789" customFormat="1">
      <c r="A113" s="1737"/>
      <c r="D113" s="1738"/>
      <c r="K113" s="724"/>
      <c r="L113" s="724"/>
    </row>
    <row r="114" spans="1:12" s="789" customFormat="1">
      <c r="A114" s="1737"/>
      <c r="D114" s="1738"/>
      <c r="K114" s="724"/>
      <c r="L114" s="724"/>
    </row>
    <row r="115" spans="1:12" s="789" customFormat="1">
      <c r="A115" s="1737"/>
      <c r="D115" s="1738"/>
      <c r="K115" s="724"/>
      <c r="L115" s="724"/>
    </row>
    <row r="116" spans="1:12" s="789" customFormat="1">
      <c r="A116" s="1737"/>
      <c r="D116" s="1738"/>
      <c r="K116" s="724"/>
      <c r="L116" s="724"/>
    </row>
    <row r="117" spans="1:12" s="789" customFormat="1">
      <c r="A117" s="1737"/>
      <c r="D117" s="1738"/>
      <c r="K117" s="724"/>
      <c r="L117" s="724"/>
    </row>
    <row r="118" spans="1:12" s="789" customFormat="1">
      <c r="A118" s="1737"/>
      <c r="D118" s="1738"/>
      <c r="K118" s="724"/>
      <c r="L118" s="724"/>
    </row>
    <row r="119" spans="1:12" s="789" customFormat="1">
      <c r="A119" s="1737"/>
      <c r="D119" s="1738"/>
      <c r="K119" s="724"/>
      <c r="L119" s="724"/>
    </row>
    <row r="120" spans="1:12" s="789" customFormat="1">
      <c r="A120" s="1737"/>
      <c r="D120" s="1738"/>
      <c r="K120" s="724"/>
      <c r="L120" s="724"/>
    </row>
    <row r="121" spans="1:12" s="789" customFormat="1">
      <c r="A121" s="1737"/>
      <c r="D121" s="1738"/>
      <c r="K121" s="724"/>
      <c r="L121" s="724"/>
    </row>
    <row r="122" spans="1:12" s="789" customFormat="1">
      <c r="A122" s="1737"/>
      <c r="D122" s="1738"/>
      <c r="K122" s="724"/>
      <c r="L122" s="724"/>
    </row>
    <row r="123" spans="1:12" s="789" customFormat="1">
      <c r="A123" s="1737"/>
      <c r="D123" s="1738"/>
      <c r="K123" s="724"/>
      <c r="L123" s="724"/>
    </row>
    <row r="124" spans="1:12" s="789" customFormat="1">
      <c r="A124" s="1737"/>
      <c r="D124" s="1738"/>
      <c r="K124" s="724"/>
      <c r="L124" s="724"/>
    </row>
    <row r="125" spans="1:12" s="789" customFormat="1">
      <c r="A125" s="1737"/>
      <c r="D125" s="1738"/>
      <c r="K125" s="724"/>
      <c r="L125" s="724"/>
    </row>
    <row r="126" spans="1:12" s="789" customFormat="1">
      <c r="A126" s="1737"/>
      <c r="D126" s="1738"/>
      <c r="K126" s="724"/>
      <c r="L126" s="724"/>
    </row>
    <row r="127" spans="1:12" s="789" customFormat="1">
      <c r="A127" s="1737"/>
      <c r="D127" s="1738"/>
      <c r="K127" s="724"/>
      <c r="L127" s="724"/>
    </row>
    <row r="128" spans="1:12" s="789" customFormat="1">
      <c r="A128" s="1737"/>
      <c r="D128" s="1738"/>
      <c r="K128" s="724"/>
      <c r="L128" s="724"/>
    </row>
    <row r="129" spans="1:12" s="789" customFormat="1">
      <c r="A129" s="1737"/>
      <c r="D129" s="1738"/>
      <c r="K129" s="724"/>
      <c r="L129" s="724"/>
    </row>
    <row r="130" spans="1:12" s="789" customFormat="1">
      <c r="A130" s="1737"/>
      <c r="D130" s="1738"/>
      <c r="K130" s="724"/>
      <c r="L130" s="724"/>
    </row>
    <row r="131" spans="1:12" s="789" customFormat="1">
      <c r="A131" s="1737"/>
      <c r="D131" s="1738"/>
      <c r="K131" s="724"/>
      <c r="L131" s="724"/>
    </row>
    <row r="132" spans="1:12" s="789" customFormat="1">
      <c r="A132" s="1737"/>
      <c r="D132" s="1738"/>
      <c r="K132" s="724"/>
      <c r="L132" s="724"/>
    </row>
    <row r="133" spans="1:12" s="789" customFormat="1">
      <c r="A133" s="1737"/>
      <c r="D133" s="1738"/>
      <c r="K133" s="724"/>
      <c r="L133" s="724"/>
    </row>
    <row r="134" spans="1:12" s="1677" customFormat="1">
      <c r="A134" s="1739"/>
      <c r="D134" s="1740"/>
      <c r="K134" s="24"/>
      <c r="L134" s="24"/>
    </row>
    <row r="135" spans="1:12" s="1677" customFormat="1">
      <c r="A135" s="1739"/>
      <c r="D135" s="1740"/>
      <c r="K135" s="24"/>
      <c r="L135" s="24"/>
    </row>
    <row r="136" spans="1:12" s="1677" customFormat="1">
      <c r="A136" s="1739"/>
      <c r="D136" s="1740"/>
      <c r="K136" s="24"/>
      <c r="L136" s="24"/>
    </row>
    <row r="137" spans="1:12" s="1677" customFormat="1">
      <c r="A137" s="1739"/>
      <c r="D137" s="1740"/>
      <c r="K137" s="24"/>
      <c r="L137" s="24"/>
    </row>
    <row r="138" spans="1:12" s="1677" customFormat="1">
      <c r="A138" s="1739"/>
      <c r="D138" s="1740"/>
      <c r="K138" s="24"/>
      <c r="L138" s="24"/>
    </row>
    <row r="139" spans="1:12" s="1677" customFormat="1">
      <c r="A139" s="1739"/>
      <c r="D139" s="1740"/>
      <c r="K139" s="24"/>
      <c r="L139" s="24"/>
    </row>
    <row r="140" spans="1:12" s="1677" customFormat="1">
      <c r="A140" s="1739"/>
      <c r="D140" s="1740"/>
      <c r="K140" s="24"/>
      <c r="L140" s="24"/>
    </row>
    <row r="141" spans="1:12" s="1677" customFormat="1">
      <c r="A141" s="1739"/>
      <c r="D141" s="1740"/>
      <c r="K141" s="24"/>
      <c r="L141" s="24"/>
    </row>
    <row r="142" spans="1:12" s="1677" customFormat="1">
      <c r="A142" s="1739"/>
      <c r="D142" s="1740"/>
      <c r="K142" s="24"/>
      <c r="L142" s="24"/>
    </row>
    <row r="143" spans="1:12" s="1677" customFormat="1">
      <c r="A143" s="1739"/>
      <c r="D143" s="1740"/>
      <c r="K143" s="24"/>
      <c r="L143" s="24"/>
    </row>
    <row r="144" spans="1:12" s="1677" customFormat="1">
      <c r="A144" s="1739"/>
      <c r="D144" s="1740"/>
      <c r="K144" s="24"/>
      <c r="L144" s="24"/>
    </row>
    <row r="145" spans="1:12" s="1677" customFormat="1">
      <c r="A145" s="1739"/>
      <c r="D145" s="1740"/>
      <c r="K145" s="24"/>
      <c r="L145" s="24"/>
    </row>
    <row r="146" spans="1:12" s="1677" customFormat="1">
      <c r="A146" s="1739"/>
      <c r="D146" s="1740"/>
      <c r="K146" s="24"/>
      <c r="L146" s="24"/>
    </row>
    <row r="147" spans="1:12" s="1677" customFormat="1">
      <c r="A147" s="1739"/>
      <c r="D147" s="1740"/>
      <c r="K147" s="24"/>
      <c r="L147" s="24"/>
    </row>
    <row r="148" spans="1:12" s="1677" customFormat="1">
      <c r="A148" s="1739"/>
      <c r="D148" s="1740"/>
      <c r="K148" s="24"/>
      <c r="L148" s="24"/>
    </row>
    <row r="149" spans="1:12" s="1677" customFormat="1">
      <c r="A149" s="1739"/>
      <c r="D149" s="1740"/>
      <c r="K149" s="24"/>
      <c r="L149" s="24"/>
    </row>
    <row r="150" spans="1:12" s="1677" customFormat="1">
      <c r="A150" s="1739"/>
      <c r="D150" s="1740"/>
      <c r="K150" s="24"/>
      <c r="L150" s="24"/>
    </row>
    <row r="151" spans="1:12" s="1677" customFormat="1">
      <c r="A151" s="1739"/>
      <c r="D151" s="1740"/>
      <c r="K151" s="24"/>
      <c r="L151" s="24"/>
    </row>
    <row r="152" spans="1:12" s="1677" customFormat="1">
      <c r="A152" s="1739"/>
      <c r="D152" s="1740"/>
      <c r="K152" s="24"/>
      <c r="L152" s="24"/>
    </row>
    <row r="153" spans="1:12" s="1677" customFormat="1">
      <c r="A153" s="1739"/>
      <c r="D153" s="1740"/>
      <c r="K153" s="24"/>
      <c r="L153" s="24"/>
    </row>
    <row r="154" spans="1:12" s="1677" customFormat="1">
      <c r="A154" s="1739"/>
      <c r="D154" s="1740"/>
      <c r="K154" s="24"/>
      <c r="L154" s="24"/>
    </row>
    <row r="155" spans="1:12" s="1677" customFormat="1">
      <c r="A155" s="1739"/>
      <c r="D155" s="1740"/>
      <c r="K155" s="24"/>
      <c r="L155" s="24"/>
    </row>
    <row r="156" spans="1:12" s="1677" customFormat="1">
      <c r="A156" s="1739"/>
      <c r="D156" s="1740"/>
      <c r="K156" s="24"/>
      <c r="L156" s="24"/>
    </row>
    <row r="157" spans="1:12" s="1677" customFormat="1">
      <c r="A157" s="1739"/>
      <c r="D157" s="1740"/>
      <c r="K157" s="24"/>
      <c r="L157" s="24"/>
    </row>
    <row r="158" spans="1:12" s="1677" customFormat="1">
      <c r="A158" s="1739"/>
      <c r="D158" s="1740"/>
      <c r="K158" s="24"/>
      <c r="L158" s="24"/>
    </row>
    <row r="159" spans="1:12" s="1677" customFormat="1">
      <c r="A159" s="1739"/>
      <c r="D159" s="1740"/>
      <c r="K159" s="24"/>
      <c r="L159" s="24"/>
    </row>
    <row r="160" spans="1:12" s="1677" customFormat="1">
      <c r="A160" s="1739"/>
      <c r="D160" s="1740"/>
      <c r="K160" s="24"/>
      <c r="L160" s="24"/>
    </row>
    <row r="161" spans="1:12" s="1677" customFormat="1">
      <c r="A161" s="1739"/>
      <c r="D161" s="1740"/>
      <c r="K161" s="24"/>
      <c r="L161" s="24"/>
    </row>
    <row r="162" spans="1:12" s="1677" customFormat="1">
      <c r="A162" s="1739"/>
      <c r="D162" s="1740"/>
      <c r="K162" s="24"/>
      <c r="L162" s="24"/>
    </row>
    <row r="163" spans="1:12" s="1677" customFormat="1">
      <c r="A163" s="1739"/>
      <c r="D163" s="1740"/>
      <c r="K163" s="24"/>
      <c r="L163" s="24"/>
    </row>
    <row r="164" spans="1:12" s="1677" customFormat="1">
      <c r="A164" s="1739"/>
      <c r="D164" s="1740"/>
      <c r="K164" s="24"/>
      <c r="L164" s="24"/>
    </row>
    <row r="165" spans="1:12" s="1677" customFormat="1">
      <c r="A165" s="1739"/>
      <c r="D165" s="1740"/>
      <c r="K165" s="24"/>
      <c r="L165" s="24"/>
    </row>
    <row r="166" spans="1:12" s="1677" customFormat="1">
      <c r="A166" s="1739"/>
      <c r="D166" s="1740"/>
      <c r="K166" s="24"/>
      <c r="L166" s="24"/>
    </row>
    <row r="167" spans="1:12" s="1677" customFormat="1">
      <c r="A167" s="1739"/>
      <c r="D167" s="1740"/>
      <c r="K167" s="24"/>
      <c r="L167" s="24"/>
    </row>
    <row r="168" spans="1:12" s="1677" customFormat="1">
      <c r="A168" s="1739"/>
      <c r="D168" s="1740"/>
      <c r="K168" s="24"/>
      <c r="L168" s="24"/>
    </row>
    <row r="169" spans="1:12" s="1677" customFormat="1">
      <c r="A169" s="1739"/>
      <c r="D169" s="1740"/>
      <c r="K169" s="24"/>
      <c r="L169" s="24"/>
    </row>
    <row r="170" spans="1:12" s="1677" customFormat="1">
      <c r="A170" s="1739"/>
      <c r="D170" s="1740"/>
      <c r="K170" s="24"/>
      <c r="L170" s="24"/>
    </row>
    <row r="171" spans="1:12" s="1677" customFormat="1">
      <c r="A171" s="1739"/>
      <c r="D171" s="1740"/>
      <c r="K171" s="24"/>
      <c r="L171" s="24"/>
    </row>
    <row r="172" spans="1:12" s="1677" customFormat="1">
      <c r="A172" s="1739"/>
      <c r="D172" s="1740"/>
      <c r="K172" s="24"/>
      <c r="L172" s="24"/>
    </row>
    <row r="173" spans="1:12" s="1677" customFormat="1">
      <c r="A173" s="1739"/>
      <c r="D173" s="1740"/>
      <c r="K173" s="24"/>
      <c r="L173" s="24"/>
    </row>
    <row r="174" spans="1:12" s="1677" customFormat="1">
      <c r="A174" s="1739"/>
      <c r="D174" s="1740"/>
      <c r="K174" s="24"/>
      <c r="L174" s="24"/>
    </row>
  </sheetData>
  <sheetProtection password="CEE9" sheet="1" objects="1" scenarios="1" formatCells="0" formatColumns="0" formatRows="0"/>
  <phoneticPr fontId="3" type="noConversion"/>
  <dataValidations disablePrompts="1"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F8" sqref="F8"/>
    </sheetView>
  </sheetViews>
  <sheetFormatPr defaultColWidth="9" defaultRowHeight="14.25"/>
  <cols>
    <col min="1" max="1" width="9.5" style="1682" customWidth="1"/>
    <col min="2" max="2" width="24.5" style="1568" customWidth="1"/>
    <col min="3" max="3" width="24.5" style="2502" customWidth="1"/>
    <col min="4" max="4" width="2.625" style="2502" customWidth="1"/>
    <col min="5" max="5" width="5.875" style="2502" customWidth="1"/>
    <col min="6" max="6" width="27" style="1568" customWidth="1"/>
    <col min="7" max="7" width="27" style="2503" customWidth="1"/>
    <col min="8" max="8" width="11.875" style="2483" customWidth="1"/>
    <col min="9" max="9" width="16.875" style="2484" customWidth="1"/>
    <col min="10" max="10" width="2.625" style="2483" customWidth="1"/>
    <col min="11" max="11" width="11.875" style="2483" customWidth="1"/>
    <col min="12" max="12" width="16.875" style="2484" customWidth="1"/>
    <col min="13" max="13" width="2.625" style="2483" customWidth="1"/>
    <col min="14" max="14" width="11.875" style="2483" customWidth="1"/>
    <col min="15" max="15" width="16.875" style="2484" customWidth="1"/>
    <col min="16" max="16" width="2.625" style="2483" customWidth="1"/>
    <col min="17" max="17" width="11.875" style="2483" customWidth="1"/>
    <col min="18" max="18" width="16.875" style="2485" customWidth="1"/>
    <col min="19" max="29" width="9" style="795"/>
    <col min="30" max="16384" width="9" style="1682"/>
  </cols>
  <sheetData>
    <row r="1" spans="1:29" s="2450" customFormat="1" ht="18.75" thickBot="1">
      <c r="A1" s="3613" t="s">
        <v>2283</v>
      </c>
      <c r="B1" s="3614"/>
      <c r="C1" s="3614"/>
      <c r="D1" s="3614"/>
      <c r="E1" s="3614"/>
      <c r="F1" s="3614"/>
      <c r="G1" s="3614"/>
      <c r="H1" s="2445"/>
      <c r="I1" s="2446"/>
      <c r="J1" s="2445"/>
      <c r="K1" s="2445"/>
      <c r="L1" s="2446"/>
      <c r="M1" s="2445"/>
      <c r="N1" s="2445"/>
      <c r="O1" s="2446"/>
      <c r="P1" s="2445"/>
      <c r="Q1" s="2447"/>
      <c r="R1" s="2448"/>
      <c r="S1" s="2449"/>
      <c r="T1" s="2449"/>
      <c r="U1" s="2449"/>
      <c r="V1" s="2449"/>
      <c r="W1" s="2449"/>
      <c r="X1" s="2449"/>
      <c r="Y1" s="2449"/>
      <c r="Z1" s="2449"/>
      <c r="AA1" s="2449"/>
      <c r="AB1" s="2449"/>
      <c r="AC1" s="2449"/>
    </row>
    <row r="2" spans="1:29" ht="15" thickBot="1">
      <c r="A2" s="2451"/>
      <c r="B2" s="2452"/>
      <c r="C2" s="2453" t="s">
        <v>2279</v>
      </c>
      <c r="D2" s="2454"/>
      <c r="E2" s="2451"/>
      <c r="F2" s="2455"/>
      <c r="G2" s="2453" t="s">
        <v>2280</v>
      </c>
      <c r="H2" s="795"/>
      <c r="I2" s="795"/>
      <c r="J2" s="795"/>
      <c r="K2" s="795"/>
      <c r="L2" s="795"/>
      <c r="M2" s="795"/>
      <c r="N2" s="795"/>
      <c r="O2" s="795"/>
      <c r="P2" s="795"/>
      <c r="Q2" s="795"/>
      <c r="R2" s="795"/>
    </row>
    <row r="3" spans="1:29" ht="60">
      <c r="A3" s="2434" t="s">
        <v>2281</v>
      </c>
      <c r="B3" s="2456" t="s">
        <v>2252</v>
      </c>
      <c r="C3" s="3458" t="s">
        <v>3491</v>
      </c>
      <c r="D3" s="2457"/>
      <c r="E3" s="2435" t="s">
        <v>2281</v>
      </c>
      <c r="F3" s="2458" t="s">
        <v>2253</v>
      </c>
      <c r="G3" s="2459" t="s">
        <v>2282</v>
      </c>
      <c r="H3" s="795"/>
      <c r="I3" s="795"/>
      <c r="J3" s="795"/>
      <c r="K3" s="795"/>
      <c r="L3" s="795"/>
      <c r="M3" s="795"/>
      <c r="N3" s="795"/>
      <c r="O3" s="795"/>
      <c r="P3" s="795"/>
      <c r="Q3" s="795"/>
      <c r="R3" s="795"/>
    </row>
    <row r="4" spans="1:29" ht="36.75">
      <c r="A4" s="2435"/>
      <c r="B4" s="320" t="s">
        <v>2254</v>
      </c>
      <c r="C4" s="2460" t="s">
        <v>3492</v>
      </c>
      <c r="D4" s="2457"/>
      <c r="E4" s="2461"/>
      <c r="F4" s="1369" t="s">
        <v>2255</v>
      </c>
      <c r="G4" s="2462" t="s">
        <v>2256</v>
      </c>
      <c r="H4" s="795"/>
      <c r="I4" s="795"/>
      <c r="J4" s="795"/>
      <c r="K4" s="795"/>
      <c r="L4" s="795"/>
      <c r="M4" s="795"/>
      <c r="N4" s="795"/>
      <c r="O4" s="795"/>
      <c r="P4" s="795"/>
      <c r="Q4" s="795"/>
      <c r="R4" s="795"/>
    </row>
    <row r="5" spans="1:29" ht="36.75">
      <c r="A5" s="2435"/>
      <c r="B5" s="320" t="s">
        <v>2257</v>
      </c>
      <c r="C5" s="2460" t="s">
        <v>2258</v>
      </c>
      <c r="D5" s="2457"/>
      <c r="E5" s="2461"/>
      <c r="F5" s="320" t="s">
        <v>2259</v>
      </c>
      <c r="G5" s="2462" t="s">
        <v>2260</v>
      </c>
      <c r="H5" s="795"/>
      <c r="I5" s="795"/>
      <c r="J5" s="795"/>
      <c r="K5" s="795"/>
      <c r="L5" s="795"/>
      <c r="M5" s="795"/>
      <c r="N5" s="795"/>
      <c r="O5" s="795"/>
      <c r="P5" s="795"/>
      <c r="Q5" s="795"/>
      <c r="R5" s="795"/>
    </row>
    <row r="6" spans="1:29" ht="60">
      <c r="A6" s="2435"/>
      <c r="B6" s="320" t="s">
        <v>2261</v>
      </c>
      <c r="C6" s="3459" t="s">
        <v>3493</v>
      </c>
      <c r="D6" s="2457"/>
      <c r="E6" s="2461"/>
      <c r="F6" s="320" t="s">
        <v>2262</v>
      </c>
      <c r="G6" s="2462" t="s">
        <v>2263</v>
      </c>
      <c r="H6" s="795"/>
      <c r="I6" s="795"/>
      <c r="J6" s="795"/>
      <c r="K6" s="795"/>
      <c r="L6" s="795"/>
      <c r="M6" s="795"/>
      <c r="N6" s="795"/>
      <c r="O6" s="795"/>
      <c r="P6" s="795"/>
      <c r="Q6" s="795"/>
      <c r="R6" s="795"/>
    </row>
    <row r="7" spans="1:29" ht="60.75" thickBot="1">
      <c r="A7" s="2435"/>
      <c r="B7" s="320" t="s">
        <v>2259</v>
      </c>
      <c r="C7" s="3459" t="s">
        <v>3494</v>
      </c>
      <c r="D7" s="2463"/>
      <c r="E7" s="2464"/>
      <c r="F7" s="2465" t="s">
        <v>2264</v>
      </c>
      <c r="G7" s="2466" t="s">
        <v>2265</v>
      </c>
      <c r="H7" s="795"/>
      <c r="I7" s="795"/>
      <c r="J7" s="795"/>
      <c r="K7" s="795"/>
      <c r="L7" s="795"/>
      <c r="M7" s="795"/>
      <c r="N7" s="795"/>
      <c r="O7" s="795"/>
      <c r="P7" s="795"/>
      <c r="Q7" s="795"/>
      <c r="R7" s="795"/>
    </row>
    <row r="8" spans="1:29" ht="24">
      <c r="A8" s="2435"/>
      <c r="B8" s="320" t="s">
        <v>2262</v>
      </c>
      <c r="C8" s="3459" t="s">
        <v>3495</v>
      </c>
      <c r="D8" s="2463"/>
      <c r="E8" s="2463"/>
      <c r="F8" s="2467"/>
      <c r="G8" s="2467"/>
      <c r="H8" s="795"/>
      <c r="I8" s="795"/>
      <c r="J8" s="795"/>
      <c r="K8" s="795"/>
      <c r="L8" s="795"/>
      <c r="M8" s="795"/>
      <c r="N8" s="795"/>
      <c r="O8" s="795"/>
      <c r="P8" s="795"/>
      <c r="Q8" s="795"/>
      <c r="R8" s="795"/>
    </row>
    <row r="9" spans="1:29" ht="36">
      <c r="A9" s="2435"/>
      <c r="B9" s="320" t="s">
        <v>2266</v>
      </c>
      <c r="C9" s="3460" t="s">
        <v>4278</v>
      </c>
      <c r="D9" s="2457"/>
      <c r="E9" s="2463"/>
      <c r="F9" s="2467"/>
      <c r="G9" s="2467"/>
      <c r="H9" s="795"/>
      <c r="I9" s="795"/>
      <c r="J9" s="795"/>
      <c r="K9" s="795"/>
      <c r="L9" s="795"/>
      <c r="M9" s="795"/>
      <c r="N9" s="795"/>
      <c r="O9" s="795"/>
      <c r="P9" s="795"/>
      <c r="Q9" s="795"/>
      <c r="R9" s="795"/>
    </row>
    <row r="10" spans="1:29" s="2473" customFormat="1" ht="15" thickBot="1">
      <c r="A10" s="2436"/>
      <c r="B10" s="2468" t="s">
        <v>2267</v>
      </c>
      <c r="C10" s="2469"/>
      <c r="D10" s="2457"/>
      <c r="E10" s="2457"/>
      <c r="F10" s="2467"/>
      <c r="G10" s="2467"/>
      <c r="H10" s="2470"/>
      <c r="I10" s="2471"/>
      <c r="J10" s="2472"/>
      <c r="K10" s="2470"/>
      <c r="L10" s="2471"/>
      <c r="M10" s="2472"/>
      <c r="N10" s="2470"/>
      <c r="O10" s="2471"/>
      <c r="P10" s="2472"/>
      <c r="Q10" s="2470"/>
      <c r="R10" s="2471"/>
      <c r="S10" s="795"/>
      <c r="T10" s="795"/>
      <c r="U10" s="795"/>
      <c r="V10" s="795"/>
      <c r="W10" s="795"/>
      <c r="X10" s="795"/>
      <c r="Y10" s="795"/>
      <c r="Z10" s="795"/>
      <c r="AA10" s="795"/>
      <c r="AB10" s="795"/>
      <c r="AC10" s="795"/>
    </row>
    <row r="11" spans="1:29" s="2473" customFormat="1">
      <c r="A11" s="2474"/>
      <c r="B11" s="2463"/>
      <c r="C11" s="2457"/>
      <c r="D11" s="2457"/>
      <c r="E11" s="2457"/>
      <c r="F11" s="2463"/>
      <c r="G11" s="2475"/>
      <c r="H11" s="2470"/>
      <c r="I11" s="2471"/>
      <c r="J11" s="2472"/>
      <c r="K11" s="2470"/>
      <c r="L11" s="2471"/>
      <c r="M11" s="2472"/>
      <c r="N11" s="2470"/>
      <c r="O11" s="2471"/>
      <c r="P11" s="2472"/>
      <c r="Q11" s="2470"/>
      <c r="R11" s="2471"/>
      <c r="S11" s="795"/>
      <c r="T11" s="795"/>
      <c r="U11" s="795"/>
      <c r="V11" s="795"/>
      <c r="W11" s="795"/>
      <c r="X11" s="795"/>
      <c r="Y11" s="795"/>
      <c r="Z11" s="795"/>
      <c r="AA11" s="795"/>
      <c r="AB11" s="795"/>
      <c r="AC11" s="795"/>
    </row>
    <row r="12" spans="1:29" s="2450" customFormat="1" ht="18">
      <c r="A12" s="2474"/>
      <c r="B12" s="2463"/>
      <c r="C12" s="2457"/>
      <c r="D12" s="2476"/>
      <c r="E12" s="2457"/>
      <c r="F12" s="2463"/>
      <c r="G12" s="2475"/>
      <c r="H12" s="2477"/>
      <c r="I12" s="2478"/>
      <c r="J12" s="2477"/>
      <c r="K12" s="2477"/>
      <c r="L12" s="2479"/>
      <c r="M12" s="2477"/>
      <c r="N12" s="2480"/>
      <c r="O12" s="2481"/>
      <c r="P12" s="2480"/>
      <c r="Q12" s="2480"/>
      <c r="R12" s="2448"/>
      <c r="S12" s="2449"/>
      <c r="T12" s="2449"/>
      <c r="U12" s="2449"/>
      <c r="V12" s="2449"/>
      <c r="W12" s="2449"/>
      <c r="X12" s="2449"/>
      <c r="Y12" s="2449"/>
      <c r="Z12" s="2449"/>
      <c r="AA12" s="2449"/>
      <c r="AB12" s="2449"/>
      <c r="AC12" s="2449"/>
    </row>
    <row r="13" spans="1:29" ht="15.75" thickBot="1">
      <c r="A13" s="2482" t="s">
        <v>2284</v>
      </c>
      <c r="B13" s="2476"/>
      <c r="C13" s="2476"/>
      <c r="D13" s="2474"/>
      <c r="E13" s="2476"/>
      <c r="F13" s="2476"/>
      <c r="G13" s="2476"/>
    </row>
    <row r="14" spans="1:29" ht="15" thickBot="1">
      <c r="A14" s="2486"/>
      <c r="B14" s="2486"/>
      <c r="C14" s="2487" t="s">
        <v>2268</v>
      </c>
      <c r="D14" s="2457"/>
      <c r="E14" s="2488"/>
      <c r="F14" s="2488"/>
      <c r="G14" s="2453" t="s">
        <v>2269</v>
      </c>
    </row>
    <row r="15" spans="1:29" ht="63.75">
      <c r="A15" s="2437" t="s">
        <v>2270</v>
      </c>
      <c r="B15" s="2489" t="s">
        <v>2252</v>
      </c>
      <c r="C15" s="2490" t="str">
        <f>C3</f>
        <v>估价对象周边有瀛海家园、永旭家园、兴海园、玉璟园等住宅小区，居住用地比例、居住小区规模和社区发展完善程度，综合评价居住社区成熟度一般</v>
      </c>
      <c r="D15" s="2457"/>
      <c r="E15" s="2438" t="s">
        <v>2271</v>
      </c>
      <c r="F15" s="2489" t="s">
        <v>2272</v>
      </c>
      <c r="G15" s="2491" t="str">
        <f>G3</f>
        <v>估价对象位于XX开发区，园区建设成熟度XX，产业集聚程度XX</v>
      </c>
    </row>
    <row r="16" spans="1:29" ht="38.25">
      <c r="A16" s="2439"/>
      <c r="B16" s="2492" t="s">
        <v>2254</v>
      </c>
      <c r="C16" s="2493" t="str">
        <f>C4</f>
        <v>估价对象位于XX商圈，周边商业氛围成熟，人流量大，商业繁华度好</v>
      </c>
      <c r="D16" s="2457"/>
      <c r="E16" s="2440"/>
      <c r="F16" s="2494" t="s">
        <v>2255</v>
      </c>
      <c r="G16" s="2495" t="str">
        <f>G4</f>
        <v>估价对象周边道路状况、公共交通通达情况、停车便捷程度，综合评价交通便捷度较好</v>
      </c>
    </row>
    <row r="17" spans="1:18" ht="38.25">
      <c r="A17" s="2439"/>
      <c r="B17" s="2492" t="s">
        <v>2257</v>
      </c>
      <c r="C17" s="2493" t="str">
        <f>C5</f>
        <v>估价对象位于XX商圈，周边办公楼项目较多，入驻率高，办公集聚程度较好</v>
      </c>
      <c r="D17" s="2463"/>
      <c r="E17" s="2440"/>
      <c r="F17" s="2494" t="s">
        <v>2273</v>
      </c>
      <c r="G17" s="2496"/>
    </row>
    <row r="18" spans="1:18" ht="63.75">
      <c r="A18" s="2439"/>
      <c r="B18" s="2494" t="s">
        <v>2261</v>
      </c>
      <c r="C18" s="2495" t="str">
        <f>C6</f>
        <v>估价对象邻近城市高速路-京台高速，附近有兴16路、兴38路、专83路等公交线路，周边道路状况、公共交通通达情况、停车便捷程度，综合评价交通便捷度较好</v>
      </c>
      <c r="D18" s="2463"/>
      <c r="E18" s="2440"/>
      <c r="F18" s="2494" t="s">
        <v>2264</v>
      </c>
      <c r="G18" s="2495" t="str">
        <f>G7</f>
        <v>该园区内是否有污染型企业，绿化情况，卫生条件，整体环境状况判断</v>
      </c>
    </row>
    <row r="19" spans="1:18" ht="25.5">
      <c r="A19" s="2439"/>
      <c r="B19" s="2494" t="s">
        <v>2274</v>
      </c>
      <c r="C19" s="2496"/>
      <c r="D19" s="2457"/>
      <c r="E19" s="2440"/>
      <c r="F19" s="320" t="s">
        <v>2259</v>
      </c>
      <c r="G19" s="2495" t="str">
        <f>G5</f>
        <v>估价对象所在区域公共配套设施齐备情况</v>
      </c>
    </row>
    <row r="20" spans="1:18" ht="38.25">
      <c r="A20" s="2439"/>
      <c r="B20" s="2494" t="s">
        <v>2275</v>
      </c>
      <c r="C20" s="2493" t="str">
        <f>C9</f>
        <v>周边1公里范围内有南海子公园、志远庄公园等自然景观，人文景观较少，综合评价环境状况一般</v>
      </c>
      <c r="D20" s="2463"/>
      <c r="E20" s="2440"/>
      <c r="F20" s="320" t="s">
        <v>2262</v>
      </c>
      <c r="G20" s="2495" t="str">
        <f>G6</f>
        <v>估价对象所在区域基础设施水平</v>
      </c>
    </row>
    <row r="21" spans="1:18" ht="63.75">
      <c r="A21" s="2439"/>
      <c r="B21" s="320" t="s">
        <v>2259</v>
      </c>
      <c r="C21" s="2495" t="str">
        <f>C7</f>
        <v>估价对象周边有红星中学、瀛海镇第一中心小学、瀛海一幼幼儿园等教育机构，有肃宁正骨医院医疗设施，有北京农商银行等金融机构，公共配套设施状况一般</v>
      </c>
      <c r="D21" s="2457"/>
      <c r="E21" s="2440"/>
      <c r="F21" s="2494" t="s">
        <v>2276</v>
      </c>
      <c r="G21" s="2497"/>
    </row>
    <row r="22" spans="1:18" ht="13.5" customHeight="1">
      <c r="A22" s="2439"/>
      <c r="B22" s="320" t="s">
        <v>2262</v>
      </c>
      <c r="C22" s="2495" t="str">
        <f>C8</f>
        <v>估价对象所在区域基础设施水平-六通</v>
      </c>
      <c r="D22" s="2457"/>
      <c r="E22" s="2440"/>
      <c r="F22" s="2494" t="s">
        <v>2267</v>
      </c>
      <c r="G22" s="2496"/>
    </row>
    <row r="23" spans="1:18" s="795" customFormat="1" ht="15" thickBot="1">
      <c r="A23" s="2439"/>
      <c r="B23" s="2494" t="s">
        <v>2276</v>
      </c>
      <c r="C23" s="2497"/>
      <c r="D23" s="1737"/>
      <c r="E23" s="2441"/>
      <c r="F23" s="2498" t="s">
        <v>2277</v>
      </c>
      <c r="G23" s="2499"/>
      <c r="H23" s="2483"/>
      <c r="I23" s="2484"/>
      <c r="J23" s="2483"/>
      <c r="K23" s="2483"/>
      <c r="L23" s="2484"/>
      <c r="M23" s="2483"/>
      <c r="N23" s="2483"/>
      <c r="O23" s="2484"/>
      <c r="P23" s="2483"/>
      <c r="Q23" s="2483"/>
      <c r="R23" s="2485"/>
    </row>
    <row r="24" spans="1:18" s="795" customFormat="1" ht="15" thickBot="1">
      <c r="A24" s="2442"/>
      <c r="B24" s="2498" t="s">
        <v>2278</v>
      </c>
      <c r="C24" s="2500">
        <f>C10</f>
        <v>0</v>
      </c>
      <c r="D24" s="1737"/>
      <c r="E24" s="2432"/>
      <c r="F24" s="2432"/>
      <c r="G24" s="2501"/>
      <c r="H24" s="2483"/>
      <c r="I24" s="2484"/>
      <c r="J24" s="2483"/>
      <c r="K24" s="2483"/>
      <c r="L24" s="2484"/>
      <c r="M24" s="2483"/>
      <c r="N24" s="2483"/>
      <c r="O24" s="2484"/>
      <c r="P24" s="2483"/>
      <c r="Q24" s="2483"/>
      <c r="R24" s="2485"/>
    </row>
    <row r="25" spans="1:18" s="795" customFormat="1">
      <c r="B25" s="2483"/>
      <c r="C25" s="2483"/>
      <c r="D25" s="2483"/>
      <c r="H25" s="2483"/>
      <c r="I25" s="2484"/>
      <c r="J25" s="2483"/>
      <c r="K25" s="2483"/>
      <c r="L25" s="2484"/>
      <c r="M25" s="2483"/>
      <c r="N25" s="2483"/>
      <c r="O25" s="2484"/>
      <c r="P25" s="2483"/>
      <c r="Q25" s="2483"/>
      <c r="R25" s="2485"/>
    </row>
    <row r="26" spans="1:18" s="795" customFormat="1">
      <c r="B26" s="2483"/>
      <c r="C26" s="2483"/>
      <c r="D26" s="2483"/>
      <c r="H26" s="2483"/>
      <c r="I26" s="2484"/>
      <c r="J26" s="2483"/>
      <c r="K26" s="2483"/>
      <c r="L26" s="2484"/>
      <c r="M26" s="2483"/>
      <c r="N26" s="2483"/>
      <c r="O26" s="2484"/>
      <c r="P26" s="2483"/>
      <c r="Q26" s="2483"/>
      <c r="R26" s="2485"/>
    </row>
    <row r="27" spans="1:18" s="795" customFormat="1">
      <c r="B27" s="2483"/>
      <c r="C27" s="2483"/>
      <c r="D27" s="2483"/>
      <c r="H27" s="2483"/>
      <c r="I27" s="2484"/>
      <c r="J27" s="2483"/>
      <c r="K27" s="2483"/>
      <c r="L27" s="2484"/>
      <c r="M27" s="2483"/>
      <c r="N27" s="2483"/>
      <c r="O27" s="2484"/>
      <c r="P27" s="2483"/>
      <c r="Q27" s="2483"/>
      <c r="R27" s="2485"/>
    </row>
    <row r="28" spans="1:18" s="795" customFormat="1">
      <c r="B28" s="2483"/>
      <c r="C28" s="2483"/>
      <c r="D28" s="2483"/>
      <c r="H28" s="2483"/>
      <c r="I28" s="2484"/>
      <c r="J28" s="2483"/>
      <c r="K28" s="2483"/>
      <c r="L28" s="2484"/>
      <c r="M28" s="2483"/>
      <c r="N28" s="2483"/>
      <c r="O28" s="2484"/>
      <c r="P28" s="2483"/>
      <c r="Q28" s="2483"/>
      <c r="R28" s="2485"/>
    </row>
    <row r="29" spans="1:18" s="795" customFormat="1">
      <c r="B29" s="2483"/>
      <c r="C29" s="2483"/>
      <c r="D29" s="2483"/>
      <c r="H29" s="2483"/>
      <c r="I29" s="2484"/>
      <c r="J29" s="2483"/>
      <c r="K29" s="2483"/>
      <c r="L29" s="2484"/>
      <c r="M29" s="2483"/>
      <c r="N29" s="2483"/>
      <c r="O29" s="2484"/>
      <c r="P29" s="2483"/>
      <c r="Q29" s="2483"/>
      <c r="R29" s="2485"/>
    </row>
    <row r="30" spans="1:18" s="795" customFormat="1">
      <c r="B30" s="2483"/>
      <c r="C30" s="2483"/>
      <c r="D30" s="2483"/>
      <c r="H30" s="2483"/>
      <c r="I30" s="2484"/>
      <c r="J30" s="2483"/>
      <c r="K30" s="2483"/>
      <c r="L30" s="2484"/>
      <c r="M30" s="2483"/>
      <c r="N30" s="2483"/>
      <c r="O30" s="2484"/>
      <c r="P30" s="2483"/>
      <c r="Q30" s="2483"/>
      <c r="R30" s="2485"/>
    </row>
    <row r="31" spans="1:18" s="795" customFormat="1">
      <c r="B31" s="2483"/>
      <c r="C31" s="2483"/>
      <c r="D31" s="2483"/>
      <c r="H31" s="2483"/>
      <c r="I31" s="2484"/>
      <c r="J31" s="2483"/>
      <c r="K31" s="2483"/>
      <c r="L31" s="2484"/>
      <c r="M31" s="2483"/>
      <c r="N31" s="2483"/>
      <c r="O31" s="2484"/>
      <c r="P31" s="2483"/>
      <c r="Q31" s="2483"/>
      <c r="R31" s="2485"/>
    </row>
    <row r="32" spans="1:18" s="795" customFormat="1">
      <c r="B32" s="2483"/>
      <c r="C32" s="2483"/>
      <c r="D32" s="2483"/>
      <c r="H32" s="2483"/>
      <c r="I32" s="2484"/>
      <c r="J32" s="2483"/>
      <c r="K32" s="2483"/>
      <c r="L32" s="2484"/>
      <c r="M32" s="2483"/>
      <c r="N32" s="2483"/>
      <c r="O32" s="2484"/>
      <c r="P32" s="2483"/>
      <c r="Q32" s="2483"/>
      <c r="R32" s="2485"/>
    </row>
    <row r="33" spans="2:18" s="795" customFormat="1">
      <c r="B33" s="2483"/>
      <c r="C33" s="2483"/>
      <c r="D33" s="2483"/>
      <c r="H33" s="2483"/>
      <c r="I33" s="2484"/>
      <c r="J33" s="2483"/>
      <c r="K33" s="2483"/>
      <c r="L33" s="2484"/>
      <c r="M33" s="2483"/>
      <c r="N33" s="2483"/>
      <c r="O33" s="2484"/>
      <c r="P33" s="2483"/>
      <c r="Q33" s="2483"/>
      <c r="R33" s="2485"/>
    </row>
    <row r="34" spans="2:18" s="795" customFormat="1">
      <c r="B34" s="2483"/>
      <c r="C34" s="2483"/>
      <c r="D34" s="2483"/>
      <c r="H34" s="2483"/>
      <c r="I34" s="2484"/>
      <c r="J34" s="2483"/>
      <c r="K34" s="2483"/>
      <c r="L34" s="2484"/>
      <c r="M34" s="2483"/>
      <c r="N34" s="2483"/>
      <c r="O34" s="2484"/>
      <c r="P34" s="2483"/>
      <c r="Q34" s="2483"/>
      <c r="R34" s="2485"/>
    </row>
    <row r="35" spans="2:18" s="795" customFormat="1">
      <c r="B35" s="2483"/>
      <c r="C35" s="2483"/>
      <c r="D35" s="2483"/>
      <c r="H35" s="2483"/>
      <c r="I35" s="2484"/>
      <c r="J35" s="2483"/>
      <c r="K35" s="2483"/>
      <c r="L35" s="2484"/>
      <c r="M35" s="2483"/>
      <c r="N35" s="2483"/>
      <c r="O35" s="2484"/>
      <c r="P35" s="2483"/>
      <c r="Q35" s="2483"/>
      <c r="R35" s="2485"/>
    </row>
    <row r="36" spans="2:18" s="795" customFormat="1">
      <c r="B36" s="2483"/>
      <c r="C36" s="2483"/>
      <c r="D36" s="2483"/>
      <c r="H36" s="2483"/>
      <c r="I36" s="2484"/>
      <c r="J36" s="2483"/>
      <c r="K36" s="2483"/>
      <c r="L36" s="2484"/>
      <c r="M36" s="2483"/>
      <c r="N36" s="2483"/>
      <c r="O36" s="2484"/>
      <c r="P36" s="2483"/>
      <c r="Q36" s="2483"/>
      <c r="R36" s="2485"/>
    </row>
    <row r="37" spans="2:18" s="795" customFormat="1">
      <c r="B37" s="2483"/>
      <c r="C37" s="2483"/>
      <c r="D37" s="2483"/>
      <c r="H37" s="2483"/>
      <c r="I37" s="2484"/>
      <c r="J37" s="2483"/>
      <c r="K37" s="2483"/>
      <c r="L37" s="2484"/>
      <c r="M37" s="2483"/>
      <c r="N37" s="2483"/>
      <c r="O37" s="2484"/>
      <c r="P37" s="2483"/>
      <c r="Q37" s="2483"/>
      <c r="R37" s="2485"/>
    </row>
    <row r="38" spans="2:18" s="795" customFormat="1">
      <c r="B38" s="2483"/>
      <c r="C38" s="2483"/>
      <c r="D38" s="2483"/>
      <c r="E38" s="2483"/>
      <c r="F38" s="2483"/>
      <c r="G38" s="2484"/>
      <c r="H38" s="2483"/>
      <c r="I38" s="2484"/>
      <c r="J38" s="2483"/>
      <c r="K38" s="2483"/>
      <c r="L38" s="2484"/>
      <c r="M38" s="2483"/>
      <c r="N38" s="2483"/>
      <c r="O38" s="2484"/>
      <c r="P38" s="2483"/>
      <c r="Q38" s="2483"/>
      <c r="R38" s="2485"/>
    </row>
    <row r="39" spans="2:18" s="795" customFormat="1">
      <c r="B39" s="2483"/>
      <c r="C39" s="2483"/>
      <c r="D39" s="2483"/>
      <c r="E39" s="2483"/>
      <c r="F39" s="2483"/>
      <c r="G39" s="2484"/>
      <c r="H39" s="2483"/>
      <c r="I39" s="2484"/>
      <c r="J39" s="2483"/>
      <c r="K39" s="2483"/>
      <c r="L39" s="2484"/>
      <c r="M39" s="2483"/>
      <c r="N39" s="2483"/>
      <c r="O39" s="2484"/>
      <c r="P39" s="2483"/>
      <c r="Q39" s="2483"/>
      <c r="R39" s="2485"/>
    </row>
    <row r="40" spans="2:18" s="795" customFormat="1">
      <c r="B40" s="2483"/>
      <c r="C40" s="2483"/>
      <c r="D40" s="2483"/>
      <c r="E40" s="2483"/>
      <c r="F40" s="2483"/>
      <c r="G40" s="2484"/>
      <c r="H40" s="2483"/>
      <c r="I40" s="2484"/>
      <c r="J40" s="2483"/>
      <c r="K40" s="2483"/>
      <c r="L40" s="2484"/>
      <c r="M40" s="2483"/>
      <c r="N40" s="2483"/>
      <c r="O40" s="2484"/>
      <c r="P40" s="2483"/>
      <c r="Q40" s="2483"/>
      <c r="R40" s="2485"/>
    </row>
    <row r="41" spans="2:18" s="795" customFormat="1">
      <c r="B41" s="2483"/>
      <c r="C41" s="2483"/>
      <c r="D41" s="2483"/>
      <c r="E41" s="2483"/>
      <c r="F41" s="2483"/>
      <c r="G41" s="2484"/>
      <c r="H41" s="2483"/>
      <c r="I41" s="2484"/>
      <c r="J41" s="2483"/>
      <c r="K41" s="2483"/>
      <c r="L41" s="2484"/>
      <c r="M41" s="2483"/>
      <c r="N41" s="2483"/>
      <c r="O41" s="2484"/>
      <c r="P41" s="2483"/>
      <c r="Q41" s="2483"/>
      <c r="R41" s="2485"/>
    </row>
    <row r="42" spans="2:18" s="795" customFormat="1">
      <c r="B42" s="2483"/>
      <c r="C42" s="2483"/>
      <c r="D42" s="2483"/>
      <c r="E42" s="2483"/>
      <c r="F42" s="2483"/>
      <c r="G42" s="2484"/>
      <c r="H42" s="2483"/>
      <c r="I42" s="2484"/>
      <c r="J42" s="2483"/>
      <c r="K42" s="2483"/>
      <c r="L42" s="2484"/>
      <c r="M42" s="2483"/>
      <c r="N42" s="2483"/>
      <c r="O42" s="2484"/>
      <c r="P42" s="2483"/>
      <c r="Q42" s="2483"/>
      <c r="R42" s="2485"/>
    </row>
    <row r="43" spans="2:18" s="795" customFormat="1">
      <c r="B43" s="2483"/>
      <c r="C43" s="2483"/>
      <c r="D43" s="2483"/>
      <c r="E43" s="2483"/>
      <c r="F43" s="2483"/>
      <c r="G43" s="2484"/>
      <c r="H43" s="2483"/>
      <c r="I43" s="2484"/>
      <c r="J43" s="2483"/>
      <c r="K43" s="2483"/>
      <c r="L43" s="2484"/>
      <c r="M43" s="2483"/>
      <c r="N43" s="2483"/>
      <c r="O43" s="2484"/>
      <c r="P43" s="2483"/>
      <c r="Q43" s="2483"/>
      <c r="R43" s="2485"/>
    </row>
    <row r="44" spans="2:18" s="795" customFormat="1">
      <c r="B44" s="2483"/>
      <c r="C44" s="2483"/>
      <c r="D44" s="2483"/>
      <c r="E44" s="2483"/>
      <c r="F44" s="2483"/>
      <c r="G44" s="2484"/>
      <c r="H44" s="2483"/>
      <c r="I44" s="2484"/>
      <c r="J44" s="2483"/>
      <c r="K44" s="2483"/>
      <c r="L44" s="2484"/>
      <c r="M44" s="2483"/>
      <c r="N44" s="2483"/>
      <c r="O44" s="2484"/>
      <c r="P44" s="2483"/>
      <c r="Q44" s="2483"/>
      <c r="R44" s="2485"/>
    </row>
    <row r="45" spans="2:18" s="795" customFormat="1">
      <c r="B45" s="2483"/>
      <c r="C45" s="2483"/>
      <c r="D45" s="2483"/>
      <c r="E45" s="2483"/>
      <c r="F45" s="2483"/>
      <c r="G45" s="2484"/>
      <c r="H45" s="2483"/>
      <c r="I45" s="2484"/>
      <c r="J45" s="2483"/>
      <c r="K45" s="2483"/>
      <c r="L45" s="2484"/>
      <c r="M45" s="2483"/>
      <c r="N45" s="2483"/>
      <c r="O45" s="2484"/>
      <c r="P45" s="2483"/>
      <c r="Q45" s="2483"/>
      <c r="R45" s="2485"/>
    </row>
    <row r="46" spans="2:18" s="795" customFormat="1">
      <c r="B46" s="2483"/>
      <c r="C46" s="2483"/>
      <c r="D46" s="2483"/>
      <c r="E46" s="2483"/>
      <c r="F46" s="2483"/>
      <c r="G46" s="2484"/>
      <c r="H46" s="2483"/>
      <c r="I46" s="2484"/>
      <c r="J46" s="2483"/>
      <c r="K46" s="2483"/>
      <c r="L46" s="2484"/>
      <c r="M46" s="2483"/>
      <c r="N46" s="2483"/>
      <c r="O46" s="2484"/>
      <c r="P46" s="2483"/>
      <c r="Q46" s="2483"/>
      <c r="R46" s="2485"/>
    </row>
    <row r="47" spans="2:18" s="795" customFormat="1">
      <c r="B47" s="2483"/>
      <c r="C47" s="2483"/>
      <c r="D47" s="2483"/>
      <c r="E47" s="2483"/>
      <c r="F47" s="2483"/>
      <c r="G47" s="2484"/>
      <c r="H47" s="2483"/>
      <c r="I47" s="2484"/>
      <c r="J47" s="2483"/>
      <c r="K47" s="2483"/>
      <c r="L47" s="2484"/>
      <c r="M47" s="2483"/>
      <c r="N47" s="2483"/>
      <c r="O47" s="2484"/>
      <c r="P47" s="2483"/>
      <c r="Q47" s="2483"/>
      <c r="R47" s="2485"/>
    </row>
    <row r="48" spans="2:18" s="795" customFormat="1">
      <c r="B48" s="2483"/>
      <c r="C48" s="2483"/>
      <c r="D48" s="2483"/>
      <c r="E48" s="2483"/>
      <c r="F48" s="2483"/>
      <c r="G48" s="2484"/>
      <c r="H48" s="2483"/>
      <c r="I48" s="2484"/>
      <c r="J48" s="2483"/>
      <c r="K48" s="2483"/>
      <c r="L48" s="2484"/>
      <c r="M48" s="2483"/>
      <c r="N48" s="2483"/>
      <c r="O48" s="2484"/>
      <c r="P48" s="2483"/>
      <c r="Q48" s="2483"/>
      <c r="R48" s="2485"/>
    </row>
    <row r="49" spans="2:18" s="795" customFormat="1">
      <c r="B49" s="2483"/>
      <c r="C49" s="2483"/>
      <c r="D49" s="2483"/>
      <c r="E49" s="2483"/>
      <c r="F49" s="2483"/>
      <c r="G49" s="2484"/>
      <c r="H49" s="2483"/>
      <c r="I49" s="2484"/>
      <c r="J49" s="2483"/>
      <c r="K49" s="2483"/>
      <c r="L49" s="2484"/>
      <c r="M49" s="2483"/>
      <c r="N49" s="2483"/>
      <c r="O49" s="2484"/>
      <c r="P49" s="2483"/>
      <c r="Q49" s="2483"/>
      <c r="R49" s="2485"/>
    </row>
    <row r="50" spans="2:18" s="795" customFormat="1">
      <c r="B50" s="2483"/>
      <c r="C50" s="2483"/>
      <c r="D50" s="2483"/>
      <c r="E50" s="2483"/>
      <c r="F50" s="2483"/>
      <c r="G50" s="2484"/>
      <c r="H50" s="2483"/>
      <c r="I50" s="2484"/>
      <c r="J50" s="2483"/>
      <c r="K50" s="2483"/>
      <c r="L50" s="2484"/>
      <c r="M50" s="2483"/>
      <c r="N50" s="2483"/>
      <c r="O50" s="2484"/>
      <c r="P50" s="2483"/>
      <c r="Q50" s="2483"/>
      <c r="R50" s="2485"/>
    </row>
    <row r="51" spans="2:18" s="795" customFormat="1">
      <c r="B51" s="2483"/>
      <c r="C51" s="2483"/>
      <c r="D51" s="2483"/>
      <c r="E51" s="2483"/>
      <c r="F51" s="2483"/>
      <c r="G51" s="2484"/>
      <c r="H51" s="2483"/>
      <c r="I51" s="2484"/>
      <c r="J51" s="2483"/>
      <c r="K51" s="2483"/>
      <c r="L51" s="2484"/>
      <c r="M51" s="2483"/>
      <c r="N51" s="2483"/>
      <c r="O51" s="2484"/>
      <c r="P51" s="2483"/>
      <c r="Q51" s="2483"/>
      <c r="R51" s="2485"/>
    </row>
    <row r="52" spans="2:18" s="795" customFormat="1">
      <c r="B52" s="2483"/>
      <c r="C52" s="2483"/>
      <c r="D52" s="2483"/>
      <c r="E52" s="2483"/>
      <c r="F52" s="2483"/>
      <c r="G52" s="2484"/>
      <c r="H52" s="2483"/>
      <c r="I52" s="2484"/>
      <c r="J52" s="2483"/>
      <c r="K52" s="2483"/>
      <c r="L52" s="2484"/>
      <c r="M52" s="2483"/>
      <c r="N52" s="2483"/>
      <c r="O52" s="2484"/>
      <c r="P52" s="2483"/>
      <c r="Q52" s="2483"/>
      <c r="R52" s="2485"/>
    </row>
    <row r="53" spans="2:18" s="795" customFormat="1">
      <c r="B53" s="2483"/>
      <c r="C53" s="2483"/>
      <c r="D53" s="2483"/>
      <c r="E53" s="2483"/>
      <c r="F53" s="2483"/>
      <c r="G53" s="2484"/>
      <c r="H53" s="2483"/>
      <c r="I53" s="2484"/>
      <c r="J53" s="2483"/>
      <c r="K53" s="2483"/>
      <c r="L53" s="2484"/>
      <c r="M53" s="2483"/>
      <c r="N53" s="2483"/>
      <c r="O53" s="2484"/>
      <c r="P53" s="2483"/>
      <c r="Q53" s="2483"/>
      <c r="R53" s="2485"/>
    </row>
    <row r="54" spans="2:18" s="795" customFormat="1">
      <c r="B54" s="2483"/>
      <c r="C54" s="2483"/>
      <c r="D54" s="2483"/>
      <c r="E54" s="2483"/>
      <c r="F54" s="2483"/>
      <c r="G54" s="2484"/>
      <c r="H54" s="2483"/>
      <c r="I54" s="2484"/>
      <c r="J54" s="2483"/>
      <c r="K54" s="2483"/>
      <c r="L54" s="2484"/>
      <c r="M54" s="2483"/>
      <c r="N54" s="2483"/>
      <c r="O54" s="2484"/>
      <c r="P54" s="2483"/>
      <c r="Q54" s="2483"/>
      <c r="R54" s="2485"/>
    </row>
    <row r="55" spans="2:18" s="795" customFormat="1">
      <c r="B55" s="2483"/>
      <c r="C55" s="2483"/>
      <c r="D55" s="2483"/>
      <c r="E55" s="2483"/>
      <c r="F55" s="2483"/>
      <c r="G55" s="2484"/>
      <c r="H55" s="2483"/>
      <c r="I55" s="2484"/>
      <c r="J55" s="2483"/>
      <c r="K55" s="2483"/>
      <c r="L55" s="2484"/>
      <c r="M55" s="2483"/>
      <c r="N55" s="2483"/>
      <c r="O55" s="2484"/>
      <c r="P55" s="2483"/>
      <c r="Q55" s="2483"/>
      <c r="R55" s="2485"/>
    </row>
    <row r="56" spans="2:18" s="795" customFormat="1">
      <c r="B56" s="2483"/>
      <c r="C56" s="2483"/>
      <c r="D56" s="2483"/>
      <c r="E56" s="2483"/>
      <c r="F56" s="2483"/>
      <c r="G56" s="2484"/>
      <c r="H56" s="2483"/>
      <c r="I56" s="2484"/>
      <c r="J56" s="2483"/>
      <c r="K56" s="2483"/>
      <c r="L56" s="2484"/>
      <c r="M56" s="2483"/>
      <c r="N56" s="2483"/>
      <c r="O56" s="2484"/>
      <c r="P56" s="2483"/>
      <c r="Q56" s="2483"/>
      <c r="R56" s="2485"/>
    </row>
    <row r="57" spans="2:18" s="795" customFormat="1">
      <c r="B57" s="2483"/>
      <c r="C57" s="2483"/>
      <c r="D57" s="2483"/>
      <c r="E57" s="2483"/>
      <c r="F57" s="2483"/>
      <c r="G57" s="2484"/>
      <c r="H57" s="2483"/>
      <c r="I57" s="2484"/>
      <c r="J57" s="2483"/>
      <c r="K57" s="2483"/>
      <c r="L57" s="2484"/>
      <c r="M57" s="2483"/>
      <c r="N57" s="2483"/>
      <c r="O57" s="2484"/>
      <c r="P57" s="2483"/>
      <c r="Q57" s="2483"/>
      <c r="R57" s="2485"/>
    </row>
    <row r="58" spans="2:18" s="795" customFormat="1">
      <c r="B58" s="2483"/>
      <c r="C58" s="2483"/>
      <c r="D58" s="2483"/>
      <c r="E58" s="2483"/>
      <c r="F58" s="2483"/>
      <c r="G58" s="2484"/>
      <c r="H58" s="2483"/>
      <c r="I58" s="2484"/>
      <c r="J58" s="2483"/>
      <c r="K58" s="2483"/>
      <c r="L58" s="2484"/>
      <c r="M58" s="2483"/>
      <c r="N58" s="2483"/>
      <c r="O58" s="2484"/>
      <c r="P58" s="2483"/>
      <c r="Q58" s="2483"/>
      <c r="R58" s="2485"/>
    </row>
    <row r="59" spans="2:18" s="795" customFormat="1">
      <c r="B59" s="2483"/>
      <c r="C59" s="2483"/>
      <c r="D59" s="2483"/>
      <c r="E59" s="2483"/>
      <c r="F59" s="2483"/>
      <c r="G59" s="2484"/>
      <c r="H59" s="2483"/>
      <c r="I59" s="2484"/>
      <c r="J59" s="2483"/>
      <c r="K59" s="2483"/>
      <c r="L59" s="2484"/>
      <c r="M59" s="2483"/>
      <c r="N59" s="2483"/>
      <c r="O59" s="2484"/>
      <c r="P59" s="2483"/>
      <c r="Q59" s="2483"/>
      <c r="R59" s="2485"/>
    </row>
    <row r="60" spans="2:18" s="795" customFormat="1">
      <c r="B60" s="2483"/>
      <c r="C60" s="2483"/>
      <c r="D60" s="2483"/>
      <c r="E60" s="2483"/>
      <c r="F60" s="2483"/>
      <c r="G60" s="2484"/>
      <c r="H60" s="2483"/>
      <c r="I60" s="2484"/>
      <c r="J60" s="2483"/>
      <c r="K60" s="2483"/>
      <c r="L60" s="2484"/>
      <c r="M60" s="2483"/>
      <c r="N60" s="2483"/>
      <c r="O60" s="2484"/>
      <c r="P60" s="2483"/>
      <c r="Q60" s="2483"/>
      <c r="R60" s="2485"/>
    </row>
    <row r="61" spans="2:18" s="795" customFormat="1">
      <c r="B61" s="2483"/>
      <c r="C61" s="2483"/>
      <c r="D61" s="2483"/>
      <c r="E61" s="2483"/>
      <c r="F61" s="2483"/>
      <c r="G61" s="2484"/>
      <c r="H61" s="2483"/>
      <c r="I61" s="2484"/>
      <c r="J61" s="2483"/>
      <c r="K61" s="2483"/>
      <c r="L61" s="2484"/>
      <c r="M61" s="2483"/>
      <c r="N61" s="2483"/>
      <c r="O61" s="2484"/>
      <c r="P61" s="2483"/>
      <c r="Q61" s="2483"/>
      <c r="R61" s="2485"/>
    </row>
    <row r="62" spans="2:18" s="795" customFormat="1">
      <c r="B62" s="2483"/>
      <c r="C62" s="2483"/>
      <c r="D62" s="2483"/>
      <c r="E62" s="2483"/>
      <c r="F62" s="2483"/>
      <c r="G62" s="2484"/>
      <c r="H62" s="2483"/>
      <c r="I62" s="2484"/>
      <c r="J62" s="2483"/>
      <c r="K62" s="2483"/>
      <c r="L62" s="2484"/>
      <c r="M62" s="2483"/>
      <c r="N62" s="2483"/>
      <c r="O62" s="2484"/>
      <c r="P62" s="2483"/>
      <c r="Q62" s="2483"/>
      <c r="R62" s="2485"/>
    </row>
    <row r="63" spans="2:18" s="795" customFormat="1">
      <c r="B63" s="2483"/>
      <c r="C63" s="2483"/>
      <c r="D63" s="2483"/>
      <c r="E63" s="2483"/>
      <c r="F63" s="2483"/>
      <c r="G63" s="2484"/>
      <c r="H63" s="2483"/>
      <c r="I63" s="2484"/>
      <c r="J63" s="2483"/>
      <c r="K63" s="2483"/>
      <c r="L63" s="2484"/>
      <c r="M63" s="2483"/>
      <c r="N63" s="2483"/>
      <c r="O63" s="2484"/>
      <c r="P63" s="2483"/>
      <c r="Q63" s="2483"/>
      <c r="R63" s="2485"/>
    </row>
    <row r="64" spans="2:18" s="795" customFormat="1">
      <c r="B64" s="2483"/>
      <c r="C64" s="2483"/>
      <c r="D64" s="2483"/>
      <c r="E64" s="2483"/>
      <c r="F64" s="2483"/>
      <c r="G64" s="2484"/>
      <c r="H64" s="2483"/>
      <c r="I64" s="2484"/>
      <c r="J64" s="2483"/>
      <c r="K64" s="2483"/>
      <c r="L64" s="2484"/>
      <c r="M64" s="2483"/>
      <c r="N64" s="2483"/>
      <c r="O64" s="2484"/>
      <c r="P64" s="2483"/>
      <c r="Q64" s="2483"/>
      <c r="R64" s="2485"/>
    </row>
    <row r="65" spans="2:18" s="795" customFormat="1">
      <c r="B65" s="2483"/>
      <c r="C65" s="2483"/>
      <c r="D65" s="2483"/>
      <c r="E65" s="2483"/>
      <c r="F65" s="2483"/>
      <c r="G65" s="2484"/>
      <c r="H65" s="2483"/>
      <c r="I65" s="2484"/>
      <c r="J65" s="2483"/>
      <c r="K65" s="2483"/>
      <c r="L65" s="2484"/>
      <c r="M65" s="2483"/>
      <c r="N65" s="2483"/>
      <c r="O65" s="2484"/>
      <c r="P65" s="2483"/>
      <c r="Q65" s="2483"/>
      <c r="R65" s="2485"/>
    </row>
    <row r="66" spans="2:18" s="795" customFormat="1">
      <c r="B66" s="2483"/>
      <c r="C66" s="2483"/>
      <c r="D66" s="2483"/>
      <c r="E66" s="2483"/>
      <c r="F66" s="2483"/>
      <c r="G66" s="2484"/>
      <c r="H66" s="2483"/>
      <c r="I66" s="2484"/>
      <c r="J66" s="2483"/>
      <c r="K66" s="2483"/>
      <c r="L66" s="2484"/>
      <c r="M66" s="2483"/>
      <c r="N66" s="2483"/>
      <c r="O66" s="2484"/>
      <c r="P66" s="2483"/>
      <c r="Q66" s="2483"/>
      <c r="R66" s="2485"/>
    </row>
    <row r="67" spans="2:18" s="795" customFormat="1">
      <c r="B67" s="2483"/>
      <c r="C67" s="2483"/>
      <c r="D67" s="2483"/>
      <c r="E67" s="2483"/>
      <c r="F67" s="2483"/>
      <c r="G67" s="2484"/>
      <c r="H67" s="2483"/>
      <c r="I67" s="2484"/>
      <c r="J67" s="2483"/>
      <c r="K67" s="2483"/>
      <c r="L67" s="2484"/>
      <c r="M67" s="2483"/>
      <c r="N67" s="2483"/>
      <c r="O67" s="2484"/>
      <c r="P67" s="2483"/>
      <c r="Q67" s="2483"/>
      <c r="R67" s="2485"/>
    </row>
    <row r="68" spans="2:18" s="795" customFormat="1">
      <c r="B68" s="2483"/>
      <c r="C68" s="2483"/>
      <c r="D68" s="2483"/>
      <c r="E68" s="2483"/>
      <c r="F68" s="2483"/>
      <c r="G68" s="2484"/>
      <c r="H68" s="2483"/>
      <c r="I68" s="2484"/>
      <c r="J68" s="2483"/>
      <c r="K68" s="2483"/>
      <c r="L68" s="2484"/>
      <c r="M68" s="2483"/>
      <c r="N68" s="2483"/>
      <c r="O68" s="2484"/>
      <c r="P68" s="2483"/>
      <c r="Q68" s="2483"/>
      <c r="R68" s="2485"/>
    </row>
    <row r="69" spans="2:18" s="795" customFormat="1">
      <c r="B69" s="2483"/>
      <c r="C69" s="2483"/>
      <c r="D69" s="2483"/>
      <c r="E69" s="2483"/>
      <c r="F69" s="2483"/>
      <c r="G69" s="2484"/>
      <c r="H69" s="2483"/>
      <c r="I69" s="2484"/>
      <c r="J69" s="2483"/>
      <c r="K69" s="2483"/>
      <c r="L69" s="2484"/>
      <c r="M69" s="2483"/>
      <c r="N69" s="2483"/>
      <c r="O69" s="2484"/>
      <c r="P69" s="2483"/>
      <c r="Q69" s="2483"/>
      <c r="R69" s="2485"/>
    </row>
    <row r="70" spans="2:18" s="795" customFormat="1">
      <c r="B70" s="2483"/>
      <c r="C70" s="2483"/>
      <c r="D70" s="2483"/>
      <c r="E70" s="2483"/>
      <c r="F70" s="2483"/>
      <c r="G70" s="2484"/>
      <c r="H70" s="2483"/>
      <c r="I70" s="2484"/>
      <c r="J70" s="2483"/>
      <c r="K70" s="2483"/>
      <c r="L70" s="2484"/>
      <c r="M70" s="2483"/>
      <c r="N70" s="2483"/>
      <c r="O70" s="2484"/>
      <c r="P70" s="2483"/>
      <c r="Q70" s="2483"/>
      <c r="R70" s="2485"/>
    </row>
    <row r="71" spans="2:18" s="795" customFormat="1">
      <c r="B71" s="2483"/>
      <c r="C71" s="2483"/>
      <c r="D71" s="2483"/>
      <c r="E71" s="2483"/>
      <c r="F71" s="2483"/>
      <c r="G71" s="2484"/>
      <c r="H71" s="2483"/>
      <c r="I71" s="2484"/>
      <c r="J71" s="2483"/>
      <c r="K71" s="2483"/>
      <c r="L71" s="2484"/>
      <c r="M71" s="2483"/>
      <c r="N71" s="2483"/>
      <c r="O71" s="2484"/>
      <c r="P71" s="2483"/>
      <c r="Q71" s="2483"/>
      <c r="R71" s="2485"/>
    </row>
    <row r="72" spans="2:18" s="795" customFormat="1">
      <c r="B72" s="2483"/>
      <c r="C72" s="2483"/>
      <c r="D72" s="2483"/>
      <c r="E72" s="2483"/>
      <c r="F72" s="2483"/>
      <c r="G72" s="2484"/>
      <c r="H72" s="2483"/>
      <c r="I72" s="2484"/>
      <c r="J72" s="2483"/>
      <c r="K72" s="2483"/>
      <c r="L72" s="2484"/>
      <c r="M72" s="2483"/>
      <c r="N72" s="2483"/>
      <c r="O72" s="2484"/>
      <c r="P72" s="2483"/>
      <c r="Q72" s="2483"/>
      <c r="R72" s="2485"/>
    </row>
    <row r="73" spans="2:18" s="795" customFormat="1">
      <c r="B73" s="2483"/>
      <c r="C73" s="2483"/>
      <c r="D73" s="2483"/>
      <c r="E73" s="2483"/>
      <c r="F73" s="2483"/>
      <c r="G73" s="2484"/>
      <c r="H73" s="2483"/>
      <c r="I73" s="2484"/>
      <c r="J73" s="2483"/>
      <c r="K73" s="2483"/>
      <c r="L73" s="2484"/>
      <c r="M73" s="2483"/>
      <c r="N73" s="2483"/>
      <c r="O73" s="2484"/>
      <c r="P73" s="2483"/>
      <c r="Q73" s="2483"/>
      <c r="R73" s="2485"/>
    </row>
    <row r="74" spans="2:18" s="795" customFormat="1">
      <c r="B74" s="2483"/>
      <c r="C74" s="2483"/>
      <c r="D74" s="2483"/>
      <c r="E74" s="2483"/>
      <c r="F74" s="2483"/>
      <c r="G74" s="2484"/>
      <c r="H74" s="2483"/>
      <c r="I74" s="2484"/>
      <c r="J74" s="2483"/>
      <c r="K74" s="2483"/>
      <c r="L74" s="2484"/>
      <c r="M74" s="2483"/>
      <c r="N74" s="2483"/>
      <c r="O74" s="2484"/>
      <c r="P74" s="2483"/>
      <c r="Q74" s="2483"/>
      <c r="R74" s="2485"/>
    </row>
    <row r="75" spans="2:18" s="795" customFormat="1">
      <c r="B75" s="2483"/>
      <c r="C75" s="2483"/>
      <c r="D75" s="2483"/>
      <c r="E75" s="2483"/>
      <c r="F75" s="2483"/>
      <c r="G75" s="2484"/>
      <c r="H75" s="2483"/>
      <c r="I75" s="2484"/>
      <c r="J75" s="2483"/>
      <c r="K75" s="2483"/>
      <c r="L75" s="2484"/>
      <c r="M75" s="2483"/>
      <c r="N75" s="2483"/>
      <c r="O75" s="2484"/>
      <c r="P75" s="2483"/>
      <c r="Q75" s="2483"/>
      <c r="R75" s="2485"/>
    </row>
    <row r="76" spans="2:18" s="795" customFormat="1">
      <c r="B76" s="2483"/>
      <c r="C76" s="2483"/>
      <c r="D76" s="2483"/>
      <c r="E76" s="2483"/>
      <c r="F76" s="2483"/>
      <c r="G76" s="2484"/>
      <c r="H76" s="2483"/>
      <c r="I76" s="2484"/>
      <c r="J76" s="2483"/>
      <c r="K76" s="2483"/>
      <c r="L76" s="2484"/>
      <c r="M76" s="2483"/>
      <c r="N76" s="2483"/>
      <c r="O76" s="2484"/>
      <c r="P76" s="2483"/>
      <c r="Q76" s="2483"/>
      <c r="R76" s="2485"/>
    </row>
    <row r="77" spans="2:18" s="795" customFormat="1">
      <c r="B77" s="2483"/>
      <c r="C77" s="2483"/>
      <c r="D77" s="2483"/>
      <c r="E77" s="2483"/>
      <c r="F77" s="2483"/>
      <c r="G77" s="2484"/>
      <c r="H77" s="2483"/>
      <c r="I77" s="2484"/>
      <c r="J77" s="2483"/>
      <c r="K77" s="2483"/>
      <c r="L77" s="2484"/>
      <c r="M77" s="2483"/>
      <c r="N77" s="2483"/>
      <c r="O77" s="2484"/>
      <c r="P77" s="2483"/>
      <c r="Q77" s="2483"/>
      <c r="R77" s="2485"/>
    </row>
    <row r="78" spans="2:18" s="795" customFormat="1">
      <c r="B78" s="2483"/>
      <c r="C78" s="2483"/>
      <c r="D78" s="2483"/>
      <c r="E78" s="2483"/>
      <c r="F78" s="2483"/>
      <c r="G78" s="2484"/>
      <c r="H78" s="2483"/>
      <c r="I78" s="2484"/>
      <c r="J78" s="2483"/>
      <c r="K78" s="2483"/>
      <c r="L78" s="2484"/>
      <c r="M78" s="2483"/>
      <c r="N78" s="2483"/>
      <c r="O78" s="2484"/>
      <c r="P78" s="2483"/>
      <c r="Q78" s="2483"/>
      <c r="R78" s="2485"/>
    </row>
    <row r="79" spans="2:18" s="795" customFormat="1">
      <c r="B79" s="2483"/>
      <c r="C79" s="2483"/>
      <c r="D79" s="2483"/>
      <c r="E79" s="2483"/>
      <c r="F79" s="2483"/>
      <c r="G79" s="2484"/>
      <c r="H79" s="2483"/>
      <c r="I79" s="2484"/>
      <c r="J79" s="2483"/>
      <c r="K79" s="2483"/>
      <c r="L79" s="2484"/>
      <c r="M79" s="2483"/>
      <c r="N79" s="2483"/>
      <c r="O79" s="2484"/>
      <c r="P79" s="2483"/>
      <c r="Q79" s="2483"/>
      <c r="R79" s="2485"/>
    </row>
    <row r="80" spans="2:18" s="795" customFormat="1">
      <c r="B80" s="2483"/>
      <c r="C80" s="2483"/>
      <c r="D80" s="2483"/>
      <c r="E80" s="2483"/>
      <c r="F80" s="2483"/>
      <c r="G80" s="2484"/>
      <c r="H80" s="2483"/>
      <c r="I80" s="2484"/>
      <c r="J80" s="2483"/>
      <c r="K80" s="2483"/>
      <c r="L80" s="2484"/>
      <c r="M80" s="2483"/>
      <c r="N80" s="2483"/>
      <c r="O80" s="2484"/>
      <c r="P80" s="2483"/>
      <c r="Q80" s="2483"/>
      <c r="R80" s="2485"/>
    </row>
    <row r="81" spans="2:18" s="795" customFormat="1">
      <c r="B81" s="2483"/>
      <c r="C81" s="2483"/>
      <c r="D81" s="2483"/>
      <c r="E81" s="2483"/>
      <c r="F81" s="2483"/>
      <c r="G81" s="2484"/>
      <c r="H81" s="2483"/>
      <c r="I81" s="2484"/>
      <c r="J81" s="2483"/>
      <c r="K81" s="2483"/>
      <c r="L81" s="2484"/>
      <c r="M81" s="2483"/>
      <c r="N81" s="2483"/>
      <c r="O81" s="2484"/>
      <c r="P81" s="2483"/>
      <c r="Q81" s="2483"/>
      <c r="R81" s="2485"/>
    </row>
    <row r="82" spans="2:18" s="795" customFormat="1">
      <c r="B82" s="2483"/>
      <c r="C82" s="2483"/>
      <c r="D82" s="2483"/>
      <c r="E82" s="2483"/>
      <c r="F82" s="2483"/>
      <c r="G82" s="2484"/>
      <c r="H82" s="2483"/>
      <c r="I82" s="2484"/>
      <c r="J82" s="2483"/>
      <c r="K82" s="2483"/>
      <c r="L82" s="2484"/>
      <c r="M82" s="2483"/>
      <c r="N82" s="2483"/>
      <c r="O82" s="2484"/>
      <c r="P82" s="2483"/>
      <c r="Q82" s="2483"/>
      <c r="R82" s="2485"/>
    </row>
    <row r="83" spans="2:18" s="795" customFormat="1">
      <c r="B83" s="2483"/>
      <c r="C83" s="2483"/>
      <c r="D83" s="2483"/>
      <c r="E83" s="2483"/>
      <c r="F83" s="2483"/>
      <c r="G83" s="2484"/>
      <c r="H83" s="2483"/>
      <c r="I83" s="2484"/>
      <c r="J83" s="2483"/>
      <c r="K83" s="2483"/>
      <c r="L83" s="2484"/>
      <c r="M83" s="2483"/>
      <c r="N83" s="2483"/>
      <c r="O83" s="2484"/>
      <c r="P83" s="2483"/>
      <c r="Q83" s="2483"/>
      <c r="R83" s="2485"/>
    </row>
    <row r="84" spans="2:18" s="795" customFormat="1">
      <c r="B84" s="2483"/>
      <c r="C84" s="2483"/>
      <c r="D84" s="2483"/>
      <c r="E84" s="2483"/>
      <c r="F84" s="2483"/>
      <c r="G84" s="2484"/>
      <c r="H84" s="2483"/>
      <c r="I84" s="2484"/>
      <c r="J84" s="2483"/>
      <c r="K84" s="2483"/>
      <c r="L84" s="2484"/>
      <c r="M84" s="2483"/>
      <c r="N84" s="2483"/>
      <c r="O84" s="2484"/>
      <c r="P84" s="2483"/>
      <c r="Q84" s="2483"/>
      <c r="R84" s="2485"/>
    </row>
    <row r="85" spans="2:18" s="795" customFormat="1">
      <c r="B85" s="2483"/>
      <c r="C85" s="2483"/>
      <c r="D85" s="2483"/>
      <c r="E85" s="2483"/>
      <c r="F85" s="2483"/>
      <c r="G85" s="2484"/>
      <c r="H85" s="2483"/>
      <c r="I85" s="2484"/>
      <c r="J85" s="2483"/>
      <c r="K85" s="2483"/>
      <c r="L85" s="2484"/>
      <c r="M85" s="2483"/>
      <c r="N85" s="2483"/>
      <c r="O85" s="2484"/>
      <c r="P85" s="2483"/>
      <c r="Q85" s="2483"/>
      <c r="R85" s="2485"/>
    </row>
    <row r="86" spans="2:18" s="795" customFormat="1">
      <c r="B86" s="2483"/>
      <c r="C86" s="2483"/>
      <c r="D86" s="2483"/>
      <c r="E86" s="2483"/>
      <c r="F86" s="2483"/>
      <c r="G86" s="2484"/>
      <c r="H86" s="2483"/>
      <c r="I86" s="2484"/>
      <c r="J86" s="2483"/>
      <c r="K86" s="2483"/>
      <c r="L86" s="2484"/>
      <c r="M86" s="2483"/>
      <c r="N86" s="2483"/>
      <c r="O86" s="2484"/>
      <c r="P86" s="2483"/>
      <c r="Q86" s="2483"/>
      <c r="R86" s="2485"/>
    </row>
    <row r="87" spans="2:18" s="795" customFormat="1">
      <c r="B87" s="2483"/>
      <c r="C87" s="2483"/>
      <c r="D87" s="2483"/>
      <c r="E87" s="2483"/>
      <c r="F87" s="2483"/>
      <c r="G87" s="2484"/>
      <c r="H87" s="2483"/>
      <c r="I87" s="2484"/>
      <c r="J87" s="2483"/>
      <c r="K87" s="2483"/>
      <c r="L87" s="2484"/>
      <c r="M87" s="2483"/>
      <c r="N87" s="2483"/>
      <c r="O87" s="2484"/>
      <c r="P87" s="2483"/>
      <c r="Q87" s="2483"/>
      <c r="R87" s="2485"/>
    </row>
    <row r="88" spans="2:18" s="795" customFormat="1">
      <c r="B88" s="2483"/>
      <c r="C88" s="2483"/>
      <c r="D88" s="2483"/>
      <c r="E88" s="2483"/>
      <c r="F88" s="2483"/>
      <c r="G88" s="2484"/>
      <c r="H88" s="2483"/>
      <c r="I88" s="2484"/>
      <c r="J88" s="2483"/>
      <c r="K88" s="2483"/>
      <c r="L88" s="2484"/>
      <c r="M88" s="2483"/>
      <c r="N88" s="2483"/>
      <c r="O88" s="2484"/>
      <c r="P88" s="2483"/>
      <c r="Q88" s="2483"/>
      <c r="R88" s="2485"/>
    </row>
    <row r="89" spans="2:18" s="795" customFormat="1">
      <c r="B89" s="2483"/>
      <c r="C89" s="2483"/>
      <c r="D89" s="2483"/>
      <c r="E89" s="2483"/>
      <c r="F89" s="2483"/>
      <c r="G89" s="2484"/>
      <c r="H89" s="2483"/>
      <c r="I89" s="2484"/>
      <c r="J89" s="2483"/>
      <c r="K89" s="2483"/>
      <c r="L89" s="2484"/>
      <c r="M89" s="2483"/>
      <c r="N89" s="2483"/>
      <c r="O89" s="2484"/>
      <c r="P89" s="2483"/>
      <c r="Q89" s="2483"/>
      <c r="R89" s="2485"/>
    </row>
    <row r="90" spans="2:18" s="795" customFormat="1">
      <c r="B90" s="2483"/>
      <c r="C90" s="2483"/>
      <c r="D90" s="2483"/>
      <c r="E90" s="2483"/>
      <c r="F90" s="2483"/>
      <c r="G90" s="2484"/>
      <c r="H90" s="2483"/>
      <c r="I90" s="2484"/>
      <c r="J90" s="2483"/>
      <c r="K90" s="2483"/>
      <c r="L90" s="2484"/>
      <c r="M90" s="2483"/>
      <c r="N90" s="2483"/>
      <c r="O90" s="2484"/>
      <c r="P90" s="2483"/>
      <c r="Q90" s="2483"/>
      <c r="R90" s="2485"/>
    </row>
    <row r="91" spans="2:18" s="795" customFormat="1">
      <c r="B91" s="2483"/>
      <c r="C91" s="2483"/>
      <c r="D91" s="2483"/>
      <c r="E91" s="2483"/>
      <c r="F91" s="2483"/>
      <c r="G91" s="2484"/>
      <c r="H91" s="2483"/>
      <c r="I91" s="2484"/>
      <c r="J91" s="2483"/>
      <c r="K91" s="2483"/>
      <c r="L91" s="2484"/>
      <c r="M91" s="2483"/>
      <c r="N91" s="2483"/>
      <c r="O91" s="2484"/>
      <c r="P91" s="2483"/>
      <c r="Q91" s="2483"/>
      <c r="R91" s="2485"/>
    </row>
    <row r="92" spans="2:18" s="795" customFormat="1">
      <c r="B92" s="2483"/>
      <c r="C92" s="2483"/>
      <c r="D92" s="2483"/>
      <c r="E92" s="2483"/>
      <c r="F92" s="2483"/>
      <c r="G92" s="2484"/>
      <c r="H92" s="2483"/>
      <c r="I92" s="2484"/>
      <c r="J92" s="2483"/>
      <c r="K92" s="2483"/>
      <c r="L92" s="2484"/>
      <c r="M92" s="2483"/>
      <c r="N92" s="2483"/>
      <c r="O92" s="2484"/>
      <c r="P92" s="2483"/>
      <c r="Q92" s="2483"/>
      <c r="R92" s="2485"/>
    </row>
    <row r="93" spans="2:18" s="795" customFormat="1">
      <c r="B93" s="2483"/>
      <c r="C93" s="2483"/>
      <c r="D93" s="2483"/>
      <c r="E93" s="2483"/>
      <c r="F93" s="2483"/>
      <c r="G93" s="2484"/>
      <c r="H93" s="2483"/>
      <c r="I93" s="2484"/>
      <c r="J93" s="2483"/>
      <c r="K93" s="2483"/>
      <c r="L93" s="2484"/>
      <c r="M93" s="2483"/>
      <c r="N93" s="2483"/>
      <c r="O93" s="2484"/>
      <c r="P93" s="2483"/>
      <c r="Q93" s="2483"/>
      <c r="R93" s="2485"/>
    </row>
    <row r="94" spans="2:18" s="795" customFormat="1">
      <c r="B94" s="2483"/>
      <c r="C94" s="2483"/>
      <c r="D94" s="2483"/>
      <c r="E94" s="2483"/>
      <c r="F94" s="2483"/>
      <c r="G94" s="2484"/>
      <c r="H94" s="2483"/>
      <c r="I94" s="2484"/>
      <c r="J94" s="2483"/>
      <c r="K94" s="2483"/>
      <c r="L94" s="2484"/>
      <c r="M94" s="2483"/>
      <c r="N94" s="2483"/>
      <c r="O94" s="2484"/>
      <c r="P94" s="2483"/>
      <c r="Q94" s="2483"/>
      <c r="R94" s="2485"/>
    </row>
    <row r="95" spans="2:18" s="795" customFormat="1">
      <c r="B95" s="2483"/>
      <c r="C95" s="2483"/>
      <c r="D95" s="2483"/>
      <c r="E95" s="2483"/>
      <c r="F95" s="2483"/>
      <c r="G95" s="2484"/>
      <c r="H95" s="2483"/>
      <c r="I95" s="2484"/>
      <c r="J95" s="2483"/>
      <c r="K95" s="2483"/>
      <c r="L95" s="2484"/>
      <c r="M95" s="2483"/>
      <c r="N95" s="2483"/>
      <c r="O95" s="2484"/>
      <c r="P95" s="2483"/>
      <c r="Q95" s="2483"/>
      <c r="R95" s="2485"/>
    </row>
    <row r="96" spans="2:18" s="795" customFormat="1">
      <c r="B96" s="2483"/>
      <c r="C96" s="2483"/>
      <c r="D96" s="2483"/>
      <c r="E96" s="2483"/>
      <c r="F96" s="2483"/>
      <c r="G96" s="2484"/>
      <c r="H96" s="2483"/>
      <c r="I96" s="2484"/>
      <c r="J96" s="2483"/>
      <c r="K96" s="2483"/>
      <c r="L96" s="2484"/>
      <c r="M96" s="2483"/>
      <c r="N96" s="2483"/>
      <c r="O96" s="2484"/>
      <c r="P96" s="2483"/>
      <c r="Q96" s="2483"/>
      <c r="R96" s="2485"/>
    </row>
    <row r="97" spans="2:18" s="795" customFormat="1">
      <c r="B97" s="2483"/>
      <c r="C97" s="2483"/>
      <c r="D97" s="2483"/>
      <c r="E97" s="2483"/>
      <c r="F97" s="2483"/>
      <c r="G97" s="2484"/>
      <c r="H97" s="2483"/>
      <c r="I97" s="2484"/>
      <c r="J97" s="2483"/>
      <c r="K97" s="2483"/>
      <c r="L97" s="2484"/>
      <c r="M97" s="2483"/>
      <c r="N97" s="2483"/>
      <c r="O97" s="2484"/>
      <c r="P97" s="2483"/>
      <c r="Q97" s="2483"/>
      <c r="R97" s="2485"/>
    </row>
    <row r="98" spans="2:18" s="795" customFormat="1">
      <c r="B98" s="2483"/>
      <c r="C98" s="2483"/>
      <c r="D98" s="2483"/>
      <c r="E98" s="2483"/>
      <c r="F98" s="2483"/>
      <c r="G98" s="2484"/>
      <c r="H98" s="2483"/>
      <c r="I98" s="2484"/>
      <c r="J98" s="2483"/>
      <c r="K98" s="2483"/>
      <c r="L98" s="2484"/>
      <c r="M98" s="2483"/>
      <c r="N98" s="2483"/>
      <c r="O98" s="2484"/>
      <c r="P98" s="2483"/>
      <c r="Q98" s="2483"/>
      <c r="R98" s="2485"/>
    </row>
    <row r="99" spans="2:18" s="795" customFormat="1">
      <c r="B99" s="2483"/>
      <c r="C99" s="2483"/>
      <c r="D99" s="2483"/>
      <c r="E99" s="2483"/>
      <c r="F99" s="2483"/>
      <c r="G99" s="2484"/>
      <c r="H99" s="2483"/>
      <c r="I99" s="2484"/>
      <c r="J99" s="2483"/>
      <c r="K99" s="2483"/>
      <c r="L99" s="2484"/>
      <c r="M99" s="2483"/>
      <c r="N99" s="2483"/>
      <c r="O99" s="2484"/>
      <c r="P99" s="2483"/>
      <c r="Q99" s="2483"/>
      <c r="R99" s="2485"/>
    </row>
    <row r="100" spans="2:18" s="795" customFormat="1">
      <c r="B100" s="2483"/>
      <c r="C100" s="2483"/>
      <c r="D100" s="2483"/>
      <c r="E100" s="2483"/>
      <c r="F100" s="2483"/>
      <c r="G100" s="2484"/>
      <c r="H100" s="2483"/>
      <c r="I100" s="2484"/>
      <c r="J100" s="2483"/>
      <c r="K100" s="2483"/>
      <c r="L100" s="2484"/>
      <c r="M100" s="2483"/>
      <c r="N100" s="2483"/>
      <c r="O100" s="2484"/>
      <c r="P100" s="2483"/>
      <c r="Q100" s="2483"/>
      <c r="R100" s="2485"/>
    </row>
    <row r="101" spans="2:18" s="795" customFormat="1">
      <c r="B101" s="2483"/>
      <c r="C101" s="2483"/>
      <c r="D101" s="2483"/>
      <c r="E101" s="2483"/>
      <c r="F101" s="2483"/>
      <c r="G101" s="2484"/>
      <c r="H101" s="2483"/>
      <c r="I101" s="2484"/>
      <c r="J101" s="2483"/>
      <c r="K101" s="2483"/>
      <c r="L101" s="2484"/>
      <c r="M101" s="2483"/>
      <c r="N101" s="2483"/>
      <c r="O101" s="2484"/>
      <c r="P101" s="2483"/>
      <c r="Q101" s="2483"/>
      <c r="R101" s="2485"/>
    </row>
    <row r="102" spans="2:18" s="795" customFormat="1">
      <c r="B102" s="2483"/>
      <c r="C102" s="2483"/>
      <c r="D102" s="2483"/>
      <c r="E102" s="2483"/>
      <c r="F102" s="2483"/>
      <c r="G102" s="2484"/>
      <c r="H102" s="2483"/>
      <c r="I102" s="2484"/>
      <c r="J102" s="2483"/>
      <c r="K102" s="2483"/>
      <c r="L102" s="2484"/>
      <c r="M102" s="2483"/>
      <c r="N102" s="2483"/>
      <c r="O102" s="2484"/>
      <c r="P102" s="2483"/>
      <c r="Q102" s="2483"/>
      <c r="R102" s="2485"/>
    </row>
    <row r="103" spans="2:18" s="795" customFormat="1">
      <c r="B103" s="2483"/>
      <c r="C103" s="2483"/>
      <c r="D103" s="2483"/>
      <c r="E103" s="2483"/>
      <c r="F103" s="2483"/>
      <c r="G103" s="2484"/>
      <c r="H103" s="2483"/>
      <c r="I103" s="2484"/>
      <c r="J103" s="2483"/>
      <c r="K103" s="2483"/>
      <c r="L103" s="2484"/>
      <c r="M103" s="2483"/>
      <c r="N103" s="2483"/>
      <c r="O103" s="2484"/>
      <c r="P103" s="2483"/>
      <c r="Q103" s="2483"/>
      <c r="R103" s="2485"/>
    </row>
    <row r="104" spans="2:18" s="795" customFormat="1">
      <c r="B104" s="2483"/>
      <c r="C104" s="2483"/>
      <c r="D104" s="2483"/>
      <c r="E104" s="2483"/>
      <c r="F104" s="2483"/>
      <c r="G104" s="2484"/>
      <c r="H104" s="2483"/>
      <c r="I104" s="2484"/>
      <c r="J104" s="2483"/>
      <c r="K104" s="2483"/>
      <c r="L104" s="2484"/>
      <c r="M104" s="2483"/>
      <c r="N104" s="2483"/>
      <c r="O104" s="2484"/>
      <c r="P104" s="2483"/>
      <c r="Q104" s="2483"/>
      <c r="R104" s="2485"/>
    </row>
    <row r="105" spans="2:18" s="795" customFormat="1">
      <c r="B105" s="2483"/>
      <c r="C105" s="2483"/>
      <c r="D105" s="2483"/>
      <c r="E105" s="2483"/>
      <c r="F105" s="2483"/>
      <c r="G105" s="2484"/>
      <c r="H105" s="2483"/>
      <c r="I105" s="2484"/>
      <c r="J105" s="2483"/>
      <c r="K105" s="2483"/>
      <c r="L105" s="2484"/>
      <c r="M105" s="2483"/>
      <c r="N105" s="2483"/>
      <c r="O105" s="2484"/>
      <c r="P105" s="2483"/>
      <c r="Q105" s="2483"/>
      <c r="R105" s="2485"/>
    </row>
    <row r="106" spans="2:18" s="795" customFormat="1">
      <c r="B106" s="2483"/>
      <c r="C106" s="2483"/>
      <c r="D106" s="2483"/>
      <c r="E106" s="2483"/>
      <c r="F106" s="2483"/>
      <c r="G106" s="2484"/>
      <c r="H106" s="2483"/>
      <c r="I106" s="2484"/>
      <c r="J106" s="2483"/>
      <c r="K106" s="2483"/>
      <c r="L106" s="2484"/>
      <c r="M106" s="2483"/>
      <c r="N106" s="2483"/>
      <c r="O106" s="2484"/>
      <c r="P106" s="2483"/>
      <c r="Q106" s="2483"/>
      <c r="R106" s="2485"/>
    </row>
    <row r="107" spans="2:18" s="795" customFormat="1">
      <c r="B107" s="2483"/>
      <c r="C107" s="2483"/>
      <c r="D107" s="2483"/>
      <c r="E107" s="2483"/>
      <c r="F107" s="2483"/>
      <c r="G107" s="2484"/>
      <c r="H107" s="2483"/>
      <c r="I107" s="2484"/>
      <c r="J107" s="2483"/>
      <c r="K107" s="2483"/>
      <c r="L107" s="2484"/>
      <c r="M107" s="2483"/>
      <c r="N107" s="2483"/>
      <c r="O107" s="2484"/>
      <c r="P107" s="2483"/>
      <c r="Q107" s="2483"/>
      <c r="R107" s="2485"/>
    </row>
    <row r="108" spans="2:18" s="795" customFormat="1">
      <c r="B108" s="2483"/>
      <c r="C108" s="2483"/>
      <c r="D108" s="2483"/>
      <c r="E108" s="2483"/>
      <c r="F108" s="2483"/>
      <c r="G108" s="2484"/>
      <c r="H108" s="2483"/>
      <c r="I108" s="2484"/>
      <c r="J108" s="2483"/>
      <c r="K108" s="2483"/>
      <c r="L108" s="2484"/>
      <c r="M108" s="2483"/>
      <c r="N108" s="2483"/>
      <c r="O108" s="2484"/>
      <c r="P108" s="2483"/>
      <c r="Q108" s="2483"/>
      <c r="R108" s="2485"/>
    </row>
    <row r="109" spans="2:18" s="795" customFormat="1">
      <c r="B109" s="2483"/>
      <c r="C109" s="2483"/>
      <c r="D109" s="2483"/>
      <c r="E109" s="2483"/>
      <c r="F109" s="2483"/>
      <c r="G109" s="2484"/>
      <c r="H109" s="2483"/>
      <c r="I109" s="2484"/>
      <c r="J109" s="2483"/>
      <c r="K109" s="2483"/>
      <c r="L109" s="2484"/>
      <c r="M109" s="2483"/>
      <c r="N109" s="2483"/>
      <c r="O109" s="2484"/>
      <c r="P109" s="2483"/>
      <c r="Q109" s="2483"/>
      <c r="R109" s="2485"/>
    </row>
    <row r="110" spans="2:18" s="795" customFormat="1">
      <c r="B110" s="2483"/>
      <c r="C110" s="2483"/>
      <c r="D110" s="2483"/>
      <c r="E110" s="2483"/>
      <c r="F110" s="2483"/>
      <c r="G110" s="2484"/>
      <c r="H110" s="2483"/>
      <c r="I110" s="2484"/>
      <c r="J110" s="2483"/>
      <c r="K110" s="2483"/>
      <c r="L110" s="2484"/>
      <c r="M110" s="2483"/>
      <c r="N110" s="2483"/>
      <c r="O110" s="2484"/>
      <c r="P110" s="2483"/>
      <c r="Q110" s="2483"/>
      <c r="R110" s="2485"/>
    </row>
    <row r="111" spans="2:18" s="795" customFormat="1">
      <c r="B111" s="2483"/>
      <c r="C111" s="2483"/>
      <c r="D111" s="2483"/>
      <c r="E111" s="2483"/>
      <c r="F111" s="2483"/>
      <c r="G111" s="2484"/>
      <c r="H111" s="2483"/>
      <c r="I111" s="2484"/>
      <c r="J111" s="2483"/>
      <c r="K111" s="2483"/>
      <c r="L111" s="2484"/>
      <c r="M111" s="2483"/>
      <c r="N111" s="2483"/>
      <c r="O111" s="2484"/>
      <c r="P111" s="2483"/>
      <c r="Q111" s="2483"/>
      <c r="R111" s="2485"/>
    </row>
    <row r="112" spans="2:18" s="795" customFormat="1">
      <c r="B112" s="2483"/>
      <c r="C112" s="2483"/>
      <c r="D112" s="2483"/>
      <c r="E112" s="2483"/>
      <c r="F112" s="2483"/>
      <c r="G112" s="2484"/>
      <c r="H112" s="2483"/>
      <c r="I112" s="2484"/>
      <c r="J112" s="2483"/>
      <c r="K112" s="2483"/>
      <c r="L112" s="2484"/>
      <c r="M112" s="2483"/>
      <c r="N112" s="2483"/>
      <c r="O112" s="2484"/>
      <c r="P112" s="2483"/>
      <c r="Q112" s="2483"/>
      <c r="R112" s="2485"/>
    </row>
    <row r="113" spans="2:18" s="795" customFormat="1">
      <c r="B113" s="2483"/>
      <c r="C113" s="2483"/>
      <c r="D113" s="2483"/>
      <c r="E113" s="2483"/>
      <c r="F113" s="2483"/>
      <c r="G113" s="2484"/>
      <c r="H113" s="2483"/>
      <c r="I113" s="2484"/>
      <c r="J113" s="2483"/>
      <c r="K113" s="2483"/>
      <c r="L113" s="2484"/>
      <c r="M113" s="2483"/>
      <c r="N113" s="2483"/>
      <c r="O113" s="2484"/>
      <c r="P113" s="2483"/>
      <c r="Q113" s="2483"/>
      <c r="R113" s="2485"/>
    </row>
    <row r="114" spans="2:18" s="795" customFormat="1">
      <c r="B114" s="2483"/>
      <c r="C114" s="2483"/>
      <c r="D114" s="2483"/>
      <c r="E114" s="2483"/>
      <c r="F114" s="2483"/>
      <c r="G114" s="2484"/>
      <c r="H114" s="2483"/>
      <c r="I114" s="2484"/>
      <c r="J114" s="2483"/>
      <c r="K114" s="2483"/>
      <c r="L114" s="2484"/>
      <c r="M114" s="2483"/>
      <c r="N114" s="2483"/>
      <c r="O114" s="2484"/>
      <c r="P114" s="2483"/>
      <c r="Q114" s="2483"/>
      <c r="R114" s="2485"/>
    </row>
    <row r="115" spans="2:18" s="795" customFormat="1">
      <c r="B115" s="2483"/>
      <c r="C115" s="2483"/>
      <c r="D115" s="2483"/>
      <c r="E115" s="2483"/>
      <c r="F115" s="2483"/>
      <c r="G115" s="2484"/>
      <c r="H115" s="2483"/>
      <c r="I115" s="2484"/>
      <c r="J115" s="2483"/>
      <c r="K115" s="2483"/>
      <c r="L115" s="2484"/>
      <c r="M115" s="2483"/>
      <c r="N115" s="2483"/>
      <c r="O115" s="2484"/>
      <c r="P115" s="2483"/>
      <c r="Q115" s="2483"/>
      <c r="R115" s="2485"/>
    </row>
    <row r="116" spans="2:18" s="795" customFormat="1">
      <c r="B116" s="2483"/>
      <c r="C116" s="2483"/>
      <c r="D116" s="2483"/>
      <c r="E116" s="2483"/>
      <c r="F116" s="2483"/>
      <c r="G116" s="2484"/>
      <c r="H116" s="2483"/>
      <c r="I116" s="2484"/>
      <c r="J116" s="2483"/>
      <c r="K116" s="2483"/>
      <c r="L116" s="2484"/>
      <c r="M116" s="2483"/>
      <c r="N116" s="2483"/>
      <c r="O116" s="2484"/>
      <c r="P116" s="2483"/>
      <c r="Q116" s="2483"/>
      <c r="R116" s="2485"/>
    </row>
    <row r="117" spans="2:18" s="795" customFormat="1">
      <c r="B117" s="2483"/>
      <c r="C117" s="2483"/>
      <c r="D117" s="2483"/>
      <c r="E117" s="2483"/>
      <c r="F117" s="2483"/>
      <c r="G117" s="2484"/>
      <c r="H117" s="2483"/>
      <c r="I117" s="2484"/>
      <c r="J117" s="2483"/>
      <c r="K117" s="2483"/>
      <c r="L117" s="2484"/>
      <c r="M117" s="2483"/>
      <c r="N117" s="2483"/>
      <c r="O117" s="2484"/>
      <c r="P117" s="2483"/>
      <c r="Q117" s="2483"/>
      <c r="R117" s="2485"/>
    </row>
    <row r="118" spans="2:18" s="795" customFormat="1">
      <c r="B118" s="2483"/>
      <c r="C118" s="2483"/>
      <c r="D118" s="2483"/>
      <c r="E118" s="2483"/>
      <c r="F118" s="2483"/>
      <c r="G118" s="2484"/>
      <c r="H118" s="2483"/>
      <c r="I118" s="2484"/>
      <c r="J118" s="2483"/>
      <c r="K118" s="2483"/>
      <c r="L118" s="2484"/>
      <c r="M118" s="2483"/>
      <c r="N118" s="2483"/>
      <c r="O118" s="2484"/>
      <c r="P118" s="2483"/>
      <c r="Q118" s="2483"/>
      <c r="R118" s="2485"/>
    </row>
    <row r="119" spans="2:18" s="795" customFormat="1">
      <c r="B119" s="2483"/>
      <c r="C119" s="2483"/>
      <c r="D119" s="2483"/>
      <c r="E119" s="2483"/>
      <c r="F119" s="2483"/>
      <c r="G119" s="2484"/>
      <c r="H119" s="2483"/>
      <c r="I119" s="2484"/>
      <c r="J119" s="2483"/>
      <c r="K119" s="2483"/>
      <c r="L119" s="2484"/>
      <c r="M119" s="2483"/>
      <c r="N119" s="2483"/>
      <c r="O119" s="2484"/>
      <c r="P119" s="2483"/>
      <c r="Q119" s="2483"/>
      <c r="R119" s="2485"/>
    </row>
    <row r="120" spans="2:18" s="795" customFormat="1">
      <c r="B120" s="2483"/>
      <c r="C120" s="2483"/>
      <c r="D120" s="2483"/>
      <c r="E120" s="2483"/>
      <c r="F120" s="2483"/>
      <c r="G120" s="2484"/>
      <c r="H120" s="2483"/>
      <c r="I120" s="2484"/>
      <c r="J120" s="2483"/>
      <c r="K120" s="2483"/>
      <c r="L120" s="2484"/>
      <c r="M120" s="2483"/>
      <c r="N120" s="2483"/>
      <c r="O120" s="2484"/>
      <c r="P120" s="2483"/>
      <c r="Q120" s="2483"/>
      <c r="R120" s="2485"/>
    </row>
    <row r="121" spans="2:18" s="795" customFormat="1">
      <c r="B121" s="2483"/>
      <c r="C121" s="2483"/>
      <c r="D121" s="2483"/>
      <c r="E121" s="2483"/>
      <c r="F121" s="2483"/>
      <c r="G121" s="2484"/>
      <c r="H121" s="2483"/>
      <c r="I121" s="2484"/>
      <c r="J121" s="2483"/>
      <c r="K121" s="2483"/>
      <c r="L121" s="2484"/>
      <c r="M121" s="2483"/>
      <c r="N121" s="2483"/>
      <c r="O121" s="2484"/>
      <c r="P121" s="2483"/>
      <c r="Q121" s="2483"/>
      <c r="R121" s="2485"/>
    </row>
    <row r="122" spans="2:18" s="795" customFormat="1">
      <c r="B122" s="2483"/>
      <c r="C122" s="2483"/>
      <c r="D122" s="2483"/>
      <c r="E122" s="2483"/>
      <c r="F122" s="2483"/>
      <c r="G122" s="2484"/>
      <c r="H122" s="2483"/>
      <c r="I122" s="2484"/>
      <c r="J122" s="2483"/>
      <c r="K122" s="2483"/>
      <c r="L122" s="2484"/>
      <c r="M122" s="2483"/>
      <c r="N122" s="2483"/>
      <c r="O122" s="2484"/>
      <c r="P122" s="2483"/>
      <c r="Q122" s="2483"/>
      <c r="R122" s="2485"/>
    </row>
    <row r="123" spans="2:18" s="795" customFormat="1">
      <c r="B123" s="2483"/>
      <c r="C123" s="2483"/>
      <c r="D123" s="2483"/>
      <c r="E123" s="2483"/>
      <c r="F123" s="2483"/>
      <c r="G123" s="2484"/>
      <c r="H123" s="2483"/>
      <c r="I123" s="2484"/>
      <c r="J123" s="2483"/>
      <c r="K123" s="2483"/>
      <c r="L123" s="2484"/>
      <c r="M123" s="2483"/>
      <c r="N123" s="2483"/>
      <c r="O123" s="2484"/>
      <c r="P123" s="2483"/>
      <c r="Q123" s="2483"/>
      <c r="R123" s="2485"/>
    </row>
    <row r="124" spans="2:18" s="795" customFormat="1">
      <c r="B124" s="2483"/>
      <c r="C124" s="2483"/>
      <c r="D124" s="2483"/>
      <c r="E124" s="2483"/>
      <c r="F124" s="2483"/>
      <c r="G124" s="2484"/>
      <c r="H124" s="2483"/>
      <c r="I124" s="2484"/>
      <c r="J124" s="2483"/>
      <c r="K124" s="2483"/>
      <c r="L124" s="2484"/>
      <c r="M124" s="2483"/>
      <c r="N124" s="2483"/>
      <c r="O124" s="2484"/>
      <c r="P124" s="2483"/>
      <c r="Q124" s="2483"/>
      <c r="R124" s="2485"/>
    </row>
    <row r="125" spans="2:18" s="795" customFormat="1">
      <c r="B125" s="2483"/>
      <c r="C125" s="2483"/>
      <c r="D125" s="2483"/>
      <c r="E125" s="2483"/>
      <c r="F125" s="2483"/>
      <c r="G125" s="2484"/>
      <c r="H125" s="2483"/>
      <c r="I125" s="2484"/>
      <c r="J125" s="2483"/>
      <c r="K125" s="2483"/>
      <c r="L125" s="2484"/>
      <c r="M125" s="2483"/>
      <c r="N125" s="2483"/>
      <c r="O125" s="2484"/>
      <c r="P125" s="2483"/>
      <c r="Q125" s="2483"/>
      <c r="R125" s="2485"/>
    </row>
    <row r="126" spans="2:18" s="795" customFormat="1">
      <c r="B126" s="2483"/>
      <c r="C126" s="2483"/>
      <c r="D126" s="2483"/>
      <c r="E126" s="2483"/>
      <c r="F126" s="2483"/>
      <c r="G126" s="2484"/>
      <c r="H126" s="2483"/>
      <c r="I126" s="2484"/>
      <c r="J126" s="2483"/>
      <c r="K126" s="2483"/>
      <c r="L126" s="2484"/>
      <c r="M126" s="2483"/>
      <c r="N126" s="2483"/>
      <c r="O126" s="2484"/>
      <c r="P126" s="2483"/>
      <c r="Q126" s="2483"/>
      <c r="R126" s="2485"/>
    </row>
    <row r="127" spans="2:18" s="795" customFormat="1">
      <c r="B127" s="2483"/>
      <c r="C127" s="2483"/>
      <c r="D127" s="2483"/>
      <c r="E127" s="2483"/>
      <c r="F127" s="2483"/>
      <c r="G127" s="2484"/>
      <c r="H127" s="2483"/>
      <c r="I127" s="2484"/>
      <c r="J127" s="2483"/>
      <c r="K127" s="2483"/>
      <c r="L127" s="2484"/>
      <c r="M127" s="2483"/>
      <c r="N127" s="2483"/>
      <c r="O127" s="2484"/>
      <c r="P127" s="2483"/>
      <c r="Q127" s="2483"/>
      <c r="R127" s="2485"/>
    </row>
    <row r="128" spans="2:18" s="795" customFormat="1">
      <c r="B128" s="2483"/>
      <c r="C128" s="2483"/>
      <c r="D128" s="2483"/>
      <c r="E128" s="2483"/>
      <c r="F128" s="2483"/>
      <c r="G128" s="2484"/>
      <c r="H128" s="2483"/>
      <c r="I128" s="2484"/>
      <c r="J128" s="2483"/>
      <c r="K128" s="2483"/>
      <c r="L128" s="2484"/>
      <c r="M128" s="2483"/>
      <c r="N128" s="2483"/>
      <c r="O128" s="2484"/>
      <c r="P128" s="2483"/>
      <c r="Q128" s="2483"/>
      <c r="R128" s="2485"/>
    </row>
    <row r="129" spans="2:18" s="795" customFormat="1">
      <c r="B129" s="2483"/>
      <c r="C129" s="2483"/>
      <c r="D129" s="2483"/>
      <c r="E129" s="2483"/>
      <c r="F129" s="2483"/>
      <c r="G129" s="2484"/>
      <c r="H129" s="2483"/>
      <c r="I129" s="2484"/>
      <c r="J129" s="2483"/>
      <c r="K129" s="2483"/>
      <c r="L129" s="2484"/>
      <c r="M129" s="2483"/>
      <c r="N129" s="2483"/>
      <c r="O129" s="2484"/>
      <c r="P129" s="2483"/>
      <c r="Q129" s="2483"/>
      <c r="R129" s="2485"/>
    </row>
    <row r="130" spans="2:18" s="795" customFormat="1">
      <c r="B130" s="2483"/>
      <c r="C130" s="2483"/>
      <c r="D130" s="2483"/>
      <c r="E130" s="2483"/>
      <c r="F130" s="2483"/>
      <c r="G130" s="2484"/>
      <c r="H130" s="2483"/>
      <c r="I130" s="2484"/>
      <c r="J130" s="2483"/>
      <c r="K130" s="2483"/>
      <c r="L130" s="2484"/>
      <c r="M130" s="2483"/>
      <c r="N130" s="2483"/>
      <c r="O130" s="2484"/>
      <c r="P130" s="2483"/>
      <c r="Q130" s="2483"/>
      <c r="R130" s="2485"/>
    </row>
    <row r="131" spans="2:18" s="795" customFormat="1">
      <c r="B131" s="2483"/>
      <c r="C131" s="2483"/>
      <c r="D131" s="2483"/>
      <c r="E131" s="2483"/>
      <c r="F131" s="2483"/>
      <c r="G131" s="2484"/>
      <c r="H131" s="2483"/>
      <c r="I131" s="2484"/>
      <c r="J131" s="2483"/>
      <c r="K131" s="2483"/>
      <c r="L131" s="2484"/>
      <c r="M131" s="2483"/>
      <c r="N131" s="2483"/>
      <c r="O131" s="2484"/>
      <c r="P131" s="2483"/>
      <c r="Q131" s="2483"/>
      <c r="R131" s="2485"/>
    </row>
    <row r="132" spans="2:18" s="795" customFormat="1">
      <c r="B132" s="2483"/>
      <c r="C132" s="2483"/>
      <c r="D132" s="2483"/>
      <c r="E132" s="2483"/>
      <c r="F132" s="2483"/>
      <c r="G132" s="2484"/>
      <c r="H132" s="2483"/>
      <c r="I132" s="2484"/>
      <c r="J132" s="2483"/>
      <c r="K132" s="2483"/>
      <c r="L132" s="2484"/>
      <c r="M132" s="2483"/>
      <c r="N132" s="2483"/>
      <c r="O132" s="2484"/>
      <c r="P132" s="2483"/>
      <c r="Q132" s="2483"/>
      <c r="R132" s="2485"/>
    </row>
    <row r="133" spans="2:18" s="795" customFormat="1">
      <c r="B133" s="2483"/>
      <c r="C133" s="2483"/>
      <c r="D133" s="2483"/>
      <c r="E133" s="2483"/>
      <c r="F133" s="2483"/>
      <c r="G133" s="2484"/>
      <c r="H133" s="2483"/>
      <c r="I133" s="2484"/>
      <c r="J133" s="2483"/>
      <c r="K133" s="2483"/>
      <c r="L133" s="2484"/>
      <c r="M133" s="2483"/>
      <c r="N133" s="2483"/>
      <c r="O133" s="2484"/>
      <c r="P133" s="2483"/>
      <c r="Q133" s="2483"/>
      <c r="R133" s="2485"/>
    </row>
    <row r="134" spans="2:18" s="795" customFormat="1">
      <c r="B134" s="2483"/>
      <c r="C134" s="2483"/>
      <c r="D134" s="2483"/>
      <c r="E134" s="2483"/>
      <c r="F134" s="2483"/>
      <c r="G134" s="2484"/>
      <c r="H134" s="2483"/>
      <c r="I134" s="2484"/>
      <c r="J134" s="2483"/>
      <c r="K134" s="2483"/>
      <c r="L134" s="2484"/>
      <c r="M134" s="2483"/>
      <c r="N134" s="2483"/>
      <c r="O134" s="2484"/>
      <c r="P134" s="2483"/>
      <c r="Q134" s="2483"/>
      <c r="R134" s="2485"/>
    </row>
    <row r="135" spans="2:18" s="795" customFormat="1">
      <c r="B135" s="2483"/>
      <c r="C135" s="2483"/>
      <c r="D135" s="2483"/>
      <c r="E135" s="2483"/>
      <c r="F135" s="2483"/>
      <c r="G135" s="2484"/>
      <c r="H135" s="2483"/>
      <c r="I135" s="2484"/>
      <c r="J135" s="2483"/>
      <c r="K135" s="2483"/>
      <c r="L135" s="2484"/>
      <c r="M135" s="2483"/>
      <c r="N135" s="2483"/>
      <c r="O135" s="2484"/>
      <c r="P135" s="2483"/>
      <c r="Q135" s="2483"/>
      <c r="R135" s="2485"/>
    </row>
    <row r="136" spans="2:18" s="795" customFormat="1">
      <c r="B136" s="2483"/>
      <c r="C136" s="2483"/>
      <c r="D136" s="2483"/>
      <c r="E136" s="2483"/>
      <c r="F136" s="2483"/>
      <c r="G136" s="2484"/>
      <c r="H136" s="2483"/>
      <c r="I136" s="2484"/>
      <c r="J136" s="2483"/>
      <c r="K136" s="2483"/>
      <c r="L136" s="2484"/>
      <c r="M136" s="2483"/>
      <c r="N136" s="2483"/>
      <c r="O136" s="2484"/>
      <c r="P136" s="2483"/>
      <c r="Q136" s="2483"/>
      <c r="R136" s="2485"/>
    </row>
    <row r="137" spans="2:18" s="795" customFormat="1">
      <c r="B137" s="2483"/>
      <c r="C137" s="2483"/>
      <c r="D137" s="2483"/>
      <c r="E137" s="2483"/>
      <c r="F137" s="2483"/>
      <c r="G137" s="2484"/>
      <c r="H137" s="2483"/>
      <c r="I137" s="2484"/>
      <c r="J137" s="2483"/>
      <c r="K137" s="2483"/>
      <c r="L137" s="2484"/>
      <c r="M137" s="2483"/>
      <c r="N137" s="2483"/>
      <c r="O137" s="2484"/>
      <c r="P137" s="2483"/>
      <c r="Q137" s="2483"/>
      <c r="R137" s="2485"/>
    </row>
    <row r="138" spans="2:18" s="795" customFormat="1">
      <c r="B138" s="2483"/>
      <c r="C138" s="2483"/>
      <c r="D138" s="2483"/>
      <c r="E138" s="2483"/>
      <c r="F138" s="2483"/>
      <c r="G138" s="2484"/>
      <c r="H138" s="2483"/>
      <c r="I138" s="2484"/>
      <c r="J138" s="2483"/>
      <c r="K138" s="2483"/>
      <c r="L138" s="2484"/>
      <c r="M138" s="2483"/>
      <c r="N138" s="2483"/>
      <c r="O138" s="2484"/>
      <c r="P138" s="2483"/>
      <c r="Q138" s="2483"/>
      <c r="R138" s="2485"/>
    </row>
    <row r="139" spans="2:18" s="795" customFormat="1">
      <c r="B139" s="2483"/>
      <c r="C139" s="2483"/>
      <c r="D139" s="2483"/>
      <c r="E139" s="2483"/>
      <c r="F139" s="2483"/>
      <c r="G139" s="2484"/>
      <c r="H139" s="2483"/>
      <c r="I139" s="2484"/>
      <c r="J139" s="2483"/>
      <c r="K139" s="2483"/>
      <c r="L139" s="2484"/>
      <c r="M139" s="2483"/>
      <c r="N139" s="2483"/>
      <c r="O139" s="2484"/>
      <c r="P139" s="2483"/>
      <c r="Q139" s="2483"/>
      <c r="R139" s="2485"/>
    </row>
    <row r="140" spans="2:18" s="795" customFormat="1">
      <c r="B140" s="2483"/>
      <c r="C140" s="2483"/>
      <c r="D140" s="2483"/>
      <c r="E140" s="2483"/>
      <c r="F140" s="2483"/>
      <c r="G140" s="2484"/>
      <c r="H140" s="2483"/>
      <c r="I140" s="2484"/>
      <c r="J140" s="2483"/>
      <c r="K140" s="2483"/>
      <c r="L140" s="2484"/>
      <c r="M140" s="2483"/>
      <c r="N140" s="2483"/>
      <c r="O140" s="2484"/>
      <c r="P140" s="2483"/>
      <c r="Q140" s="2483"/>
      <c r="R140" s="2485"/>
    </row>
    <row r="141" spans="2:18" s="795" customFormat="1">
      <c r="B141" s="2483"/>
      <c r="C141" s="2483"/>
      <c r="D141" s="2483"/>
      <c r="E141" s="2483"/>
      <c r="F141" s="2483"/>
      <c r="G141" s="2484"/>
      <c r="H141" s="2483"/>
      <c r="I141" s="2484"/>
      <c r="J141" s="2483"/>
      <c r="K141" s="2483"/>
      <c r="L141" s="2484"/>
      <c r="M141" s="2483"/>
      <c r="N141" s="2483"/>
      <c r="O141" s="2484"/>
      <c r="P141" s="2483"/>
      <c r="Q141" s="2483"/>
      <c r="R141" s="2485"/>
    </row>
    <row r="142" spans="2:18" s="795" customFormat="1">
      <c r="B142" s="2483"/>
      <c r="C142" s="2483"/>
      <c r="D142" s="2483"/>
      <c r="E142" s="2483"/>
      <c r="F142" s="2483"/>
      <c r="G142" s="2484"/>
      <c r="H142" s="2483"/>
      <c r="I142" s="2484"/>
      <c r="J142" s="2483"/>
      <c r="K142" s="2483"/>
      <c r="L142" s="2484"/>
      <c r="M142" s="2483"/>
      <c r="N142" s="2483"/>
      <c r="O142" s="2484"/>
      <c r="P142" s="2483"/>
      <c r="Q142" s="2483"/>
      <c r="R142" s="2485"/>
    </row>
    <row r="143" spans="2:18" s="795" customFormat="1">
      <c r="B143" s="2483"/>
      <c r="C143" s="2483"/>
      <c r="D143" s="2483"/>
      <c r="E143" s="2483"/>
      <c r="F143" s="2483"/>
      <c r="G143" s="2484"/>
      <c r="H143" s="2483"/>
      <c r="I143" s="2484"/>
      <c r="J143" s="2483"/>
      <c r="K143" s="2483"/>
      <c r="L143" s="2484"/>
      <c r="M143" s="2483"/>
      <c r="N143" s="2483"/>
      <c r="O143" s="2484"/>
      <c r="P143" s="2483"/>
      <c r="Q143" s="2483"/>
      <c r="R143" s="2485"/>
    </row>
    <row r="144" spans="2:18" s="795" customFormat="1">
      <c r="B144" s="2483"/>
      <c r="C144" s="2483"/>
      <c r="D144" s="2483"/>
      <c r="E144" s="2483"/>
      <c r="F144" s="2483"/>
      <c r="G144" s="2484"/>
      <c r="H144" s="2483"/>
      <c r="I144" s="2484"/>
      <c r="J144" s="2483"/>
      <c r="K144" s="2483"/>
      <c r="L144" s="2484"/>
      <c r="M144" s="2483"/>
      <c r="N144" s="2483"/>
      <c r="O144" s="2484"/>
      <c r="P144" s="2483"/>
      <c r="Q144" s="2483"/>
      <c r="R144" s="2485"/>
    </row>
    <row r="145" spans="2:18" s="795" customFormat="1">
      <c r="B145" s="2483"/>
      <c r="C145" s="2483"/>
      <c r="D145" s="2483"/>
      <c r="E145" s="2483"/>
      <c r="F145" s="2483"/>
      <c r="G145" s="2484"/>
      <c r="H145" s="2483"/>
      <c r="I145" s="2484"/>
      <c r="J145" s="2483"/>
      <c r="K145" s="2483"/>
      <c r="L145" s="2484"/>
      <c r="M145" s="2483"/>
      <c r="N145" s="2483"/>
      <c r="O145" s="2484"/>
      <c r="P145" s="2483"/>
      <c r="Q145" s="2483"/>
      <c r="R145" s="2485"/>
    </row>
    <row r="146" spans="2:18" s="795" customFormat="1">
      <c r="B146" s="2483"/>
      <c r="C146" s="2483"/>
      <c r="D146" s="2483"/>
      <c r="E146" s="2483"/>
      <c r="F146" s="2483"/>
      <c r="G146" s="2484"/>
      <c r="H146" s="2483"/>
      <c r="I146" s="2484"/>
      <c r="J146" s="2483"/>
      <c r="K146" s="2483"/>
      <c r="L146" s="2484"/>
      <c r="M146" s="2483"/>
      <c r="N146" s="2483"/>
      <c r="O146" s="2484"/>
      <c r="P146" s="2483"/>
      <c r="Q146" s="2483"/>
      <c r="R146" s="2485"/>
    </row>
    <row r="147" spans="2:18" s="795" customFormat="1">
      <c r="B147" s="2483"/>
      <c r="C147" s="2483"/>
      <c r="D147" s="2483"/>
      <c r="E147" s="2483"/>
      <c r="F147" s="2483"/>
      <c r="G147" s="2484"/>
      <c r="H147" s="2483"/>
      <c r="I147" s="2484"/>
      <c r="J147" s="2483"/>
      <c r="K147" s="2483"/>
      <c r="L147" s="2484"/>
      <c r="M147" s="2483"/>
      <c r="N147" s="2483"/>
      <c r="O147" s="2484"/>
      <c r="P147" s="2483"/>
      <c r="Q147" s="2483"/>
      <c r="R147" s="2485"/>
    </row>
    <row r="148" spans="2:18" s="795" customFormat="1">
      <c r="B148" s="2483"/>
      <c r="C148" s="2483"/>
      <c r="D148" s="2483"/>
      <c r="E148" s="2483"/>
      <c r="F148" s="2483"/>
      <c r="G148" s="2484"/>
      <c r="H148" s="2483"/>
      <c r="I148" s="2484"/>
      <c r="J148" s="2483"/>
      <c r="K148" s="2483"/>
      <c r="L148" s="2484"/>
      <c r="M148" s="2483"/>
      <c r="N148" s="2483"/>
      <c r="O148" s="2484"/>
      <c r="P148" s="2483"/>
      <c r="Q148" s="2483"/>
      <c r="R148" s="2485"/>
    </row>
    <row r="149" spans="2:18" s="795" customFormat="1">
      <c r="B149" s="2483"/>
      <c r="C149" s="2483"/>
      <c r="D149" s="2483"/>
      <c r="E149" s="2483"/>
      <c r="F149" s="2483"/>
      <c r="G149" s="2484"/>
      <c r="H149" s="2483"/>
      <c r="I149" s="2484"/>
      <c r="J149" s="2483"/>
      <c r="K149" s="2483"/>
      <c r="L149" s="2484"/>
      <c r="M149" s="2483"/>
      <c r="N149" s="2483"/>
      <c r="O149" s="2484"/>
      <c r="P149" s="2483"/>
      <c r="Q149" s="2483"/>
      <c r="R149" s="2485"/>
    </row>
    <row r="150" spans="2:18" s="795" customFormat="1">
      <c r="B150" s="2483"/>
      <c r="C150" s="2483"/>
      <c r="D150" s="2483"/>
      <c r="E150" s="2483"/>
      <c r="F150" s="2483"/>
      <c r="G150" s="2484"/>
      <c r="H150" s="2483"/>
      <c r="I150" s="2484"/>
      <c r="J150" s="2483"/>
      <c r="K150" s="2483"/>
      <c r="L150" s="2484"/>
      <c r="M150" s="2483"/>
      <c r="N150" s="2483"/>
      <c r="O150" s="2484"/>
      <c r="P150" s="2483"/>
      <c r="Q150" s="2483"/>
      <c r="R150" s="2485"/>
    </row>
    <row r="151" spans="2:18" s="795" customFormat="1">
      <c r="B151" s="2483"/>
      <c r="C151" s="2483"/>
      <c r="D151" s="2483"/>
      <c r="E151" s="2483"/>
      <c r="F151" s="2483"/>
      <c r="G151" s="2484"/>
      <c r="H151" s="2483"/>
      <c r="I151" s="2484"/>
      <c r="J151" s="2483"/>
      <c r="K151" s="2483"/>
      <c r="L151" s="2484"/>
      <c r="M151" s="2483"/>
      <c r="N151" s="2483"/>
      <c r="O151" s="2484"/>
      <c r="P151" s="2483"/>
      <c r="Q151" s="2483"/>
      <c r="R151" s="2485"/>
    </row>
    <row r="152" spans="2:18" s="795" customFormat="1">
      <c r="B152" s="2483"/>
      <c r="C152" s="2483"/>
      <c r="D152" s="2483"/>
      <c r="E152" s="2483"/>
      <c r="F152" s="2483"/>
      <c r="G152" s="2484"/>
      <c r="H152" s="2483"/>
      <c r="I152" s="2484"/>
      <c r="J152" s="2483"/>
      <c r="K152" s="2483"/>
      <c r="L152" s="2484"/>
      <c r="M152" s="2483"/>
      <c r="N152" s="2483"/>
      <c r="O152" s="2484"/>
      <c r="P152" s="2483"/>
      <c r="Q152" s="2483"/>
      <c r="R152" s="2485"/>
    </row>
    <row r="153" spans="2:18" s="795" customFormat="1">
      <c r="B153" s="2483"/>
      <c r="C153" s="2483"/>
      <c r="D153" s="2483"/>
      <c r="E153" s="2483"/>
      <c r="F153" s="2483"/>
      <c r="G153" s="2484"/>
      <c r="H153" s="2483"/>
      <c r="I153" s="2484"/>
      <c r="J153" s="2483"/>
      <c r="K153" s="2483"/>
      <c r="L153" s="2484"/>
      <c r="M153" s="2483"/>
      <c r="N153" s="2483"/>
      <c r="O153" s="2484"/>
      <c r="P153" s="2483"/>
      <c r="Q153" s="2483"/>
      <c r="R153" s="2485"/>
    </row>
    <row r="154" spans="2:18" s="795" customFormat="1">
      <c r="B154" s="2483"/>
      <c r="C154" s="2483"/>
      <c r="D154" s="2483"/>
      <c r="E154" s="2483"/>
      <c r="F154" s="2483"/>
      <c r="G154" s="2484"/>
      <c r="H154" s="2483"/>
      <c r="I154" s="2484"/>
      <c r="J154" s="2483"/>
      <c r="K154" s="2483"/>
      <c r="L154" s="2484"/>
      <c r="M154" s="2483"/>
      <c r="N154" s="2483"/>
      <c r="O154" s="2484"/>
      <c r="P154" s="2483"/>
      <c r="Q154" s="2483"/>
      <c r="R154" s="2485"/>
    </row>
    <row r="155" spans="2:18" s="795" customFormat="1">
      <c r="B155" s="2483"/>
      <c r="C155" s="2483"/>
      <c r="D155" s="2483"/>
      <c r="E155" s="2483"/>
      <c r="F155" s="2483"/>
      <c r="G155" s="2484"/>
      <c r="H155" s="2483"/>
      <c r="I155" s="2484"/>
      <c r="J155" s="2483"/>
      <c r="K155" s="2483"/>
      <c r="L155" s="2484"/>
      <c r="M155" s="2483"/>
      <c r="N155" s="2483"/>
      <c r="O155" s="2484"/>
      <c r="P155" s="2483"/>
      <c r="Q155" s="2483"/>
      <c r="R155" s="2485"/>
    </row>
    <row r="156" spans="2:18" s="795" customFormat="1">
      <c r="B156" s="2483"/>
      <c r="C156" s="2483"/>
      <c r="D156" s="2483"/>
      <c r="E156" s="2483"/>
      <c r="F156" s="2483"/>
      <c r="G156" s="2484"/>
      <c r="H156" s="2483"/>
      <c r="I156" s="2484"/>
      <c r="J156" s="2483"/>
      <c r="K156" s="2483"/>
      <c r="L156" s="2484"/>
      <c r="M156" s="2483"/>
      <c r="N156" s="2483"/>
      <c r="O156" s="2484"/>
      <c r="P156" s="2483"/>
      <c r="Q156" s="2483"/>
      <c r="R156" s="2485"/>
    </row>
    <row r="157" spans="2:18" s="795" customFormat="1">
      <c r="B157" s="2483"/>
      <c r="C157" s="2483"/>
      <c r="D157" s="2483"/>
      <c r="E157" s="2483"/>
      <c r="F157" s="2483"/>
      <c r="G157" s="2484"/>
      <c r="H157" s="2483"/>
      <c r="I157" s="2484"/>
      <c r="J157" s="2483"/>
      <c r="K157" s="2483"/>
      <c r="L157" s="2484"/>
      <c r="M157" s="2483"/>
      <c r="N157" s="2483"/>
      <c r="O157" s="2484"/>
      <c r="P157" s="2483"/>
      <c r="Q157" s="2483"/>
      <c r="R157" s="2485"/>
    </row>
    <row r="158" spans="2:18" s="795" customFormat="1">
      <c r="B158" s="2483"/>
      <c r="C158" s="2483"/>
      <c r="D158" s="2483"/>
      <c r="E158" s="2483"/>
      <c r="F158" s="2483"/>
      <c r="G158" s="2484"/>
      <c r="H158" s="2483"/>
      <c r="I158" s="2484"/>
      <c r="J158" s="2483"/>
      <c r="K158" s="2483"/>
      <c r="L158" s="2484"/>
      <c r="M158" s="2483"/>
      <c r="N158" s="2483"/>
      <c r="O158" s="2484"/>
      <c r="P158" s="2483"/>
      <c r="Q158" s="2483"/>
      <c r="R158" s="2485"/>
    </row>
    <row r="159" spans="2:18" s="795" customFormat="1">
      <c r="B159" s="2483"/>
      <c r="C159" s="2483"/>
      <c r="D159" s="2483"/>
      <c r="E159" s="2483"/>
      <c r="F159" s="2483"/>
      <c r="G159" s="2484"/>
      <c r="H159" s="2483"/>
      <c r="I159" s="2484"/>
      <c r="J159" s="2483"/>
      <c r="K159" s="2483"/>
      <c r="L159" s="2484"/>
      <c r="M159" s="2483"/>
      <c r="N159" s="2483"/>
      <c r="O159" s="2484"/>
      <c r="P159" s="2483"/>
      <c r="Q159" s="2483"/>
      <c r="R159" s="2485"/>
    </row>
    <row r="160" spans="2:18" s="795" customFormat="1">
      <c r="B160" s="2483"/>
      <c r="C160" s="2483"/>
      <c r="D160" s="2483"/>
      <c r="E160" s="2483"/>
      <c r="F160" s="2483"/>
      <c r="G160" s="2484"/>
      <c r="H160" s="2483"/>
      <c r="I160" s="2484"/>
      <c r="J160" s="2483"/>
      <c r="K160" s="2483"/>
      <c r="L160" s="2484"/>
      <c r="M160" s="2483"/>
      <c r="N160" s="2483"/>
      <c r="O160" s="2484"/>
      <c r="P160" s="2483"/>
      <c r="Q160" s="2483"/>
      <c r="R160" s="2485"/>
    </row>
    <row r="161" spans="2:18" s="795" customFormat="1">
      <c r="B161" s="2483"/>
      <c r="C161" s="2483"/>
      <c r="D161" s="2483"/>
      <c r="E161" s="2483"/>
      <c r="F161" s="2483"/>
      <c r="G161" s="2484"/>
      <c r="H161" s="2483"/>
      <c r="I161" s="2484"/>
      <c r="J161" s="2483"/>
      <c r="K161" s="2483"/>
      <c r="L161" s="2484"/>
      <c r="M161" s="2483"/>
      <c r="N161" s="2483"/>
      <c r="O161" s="2484"/>
      <c r="P161" s="2483"/>
      <c r="Q161" s="2483"/>
      <c r="R161" s="2485"/>
    </row>
    <row r="162" spans="2:18" s="795" customFormat="1">
      <c r="B162" s="2483"/>
      <c r="C162" s="2483"/>
      <c r="D162" s="2483"/>
      <c r="E162" s="2483"/>
      <c r="F162" s="2483"/>
      <c r="G162" s="2484"/>
      <c r="H162" s="2483"/>
      <c r="I162" s="2484"/>
      <c r="J162" s="2483"/>
      <c r="K162" s="2483"/>
      <c r="L162" s="2484"/>
      <c r="M162" s="2483"/>
      <c r="N162" s="2483"/>
      <c r="O162" s="2484"/>
      <c r="P162" s="2483"/>
      <c r="Q162" s="2483"/>
      <c r="R162" s="2485"/>
    </row>
    <row r="163" spans="2:18" s="795" customFormat="1">
      <c r="B163" s="2483"/>
      <c r="C163" s="2483"/>
      <c r="D163" s="2483"/>
      <c r="E163" s="2483"/>
      <c r="F163" s="2483"/>
      <c r="G163" s="2484"/>
      <c r="H163" s="2483"/>
      <c r="I163" s="2484"/>
      <c r="J163" s="2483"/>
      <c r="K163" s="2483"/>
      <c r="L163" s="2484"/>
      <c r="M163" s="2483"/>
      <c r="N163" s="2483"/>
      <c r="O163" s="2484"/>
      <c r="P163" s="2483"/>
      <c r="Q163" s="2483"/>
      <c r="R163" s="2485"/>
    </row>
    <row r="164" spans="2:18" s="795" customFormat="1">
      <c r="B164" s="2483"/>
      <c r="C164" s="2483"/>
      <c r="D164" s="2483"/>
      <c r="E164" s="2483"/>
      <c r="F164" s="2483"/>
      <c r="G164" s="2484"/>
      <c r="H164" s="2483"/>
      <c r="I164" s="2484"/>
      <c r="J164" s="2483"/>
      <c r="K164" s="2483"/>
      <c r="L164" s="2484"/>
      <c r="M164" s="2483"/>
      <c r="N164" s="2483"/>
      <c r="O164" s="2484"/>
      <c r="P164" s="2483"/>
      <c r="Q164" s="2483"/>
      <c r="R164" s="2485"/>
    </row>
    <row r="165" spans="2:18" s="795" customFormat="1">
      <c r="B165" s="2483"/>
      <c r="C165" s="2483"/>
      <c r="D165" s="2483"/>
      <c r="E165" s="2483"/>
      <c r="F165" s="2483"/>
      <c r="G165" s="2484"/>
      <c r="H165" s="2483"/>
      <c r="I165" s="2484"/>
      <c r="J165" s="2483"/>
      <c r="K165" s="2483"/>
      <c r="L165" s="2484"/>
      <c r="M165" s="2483"/>
      <c r="N165" s="2483"/>
      <c r="O165" s="2484"/>
      <c r="P165" s="2483"/>
      <c r="Q165" s="2483"/>
      <c r="R165" s="2485"/>
    </row>
    <row r="166" spans="2:18" s="795" customFormat="1">
      <c r="B166" s="2483"/>
      <c r="C166" s="2483"/>
      <c r="D166" s="2483"/>
      <c r="E166" s="2483"/>
      <c r="F166" s="2483"/>
      <c r="G166" s="2484"/>
      <c r="H166" s="2483"/>
      <c r="I166" s="2484"/>
      <c r="J166" s="2483"/>
      <c r="K166" s="2483"/>
      <c r="L166" s="2484"/>
      <c r="M166" s="2483"/>
      <c r="N166" s="2483"/>
      <c r="O166" s="2484"/>
      <c r="P166" s="2483"/>
      <c r="Q166" s="2483"/>
      <c r="R166" s="2485"/>
    </row>
    <row r="167" spans="2:18" s="795" customFormat="1">
      <c r="B167" s="2483"/>
      <c r="C167" s="2483"/>
      <c r="D167" s="2483"/>
      <c r="E167" s="2483"/>
      <c r="F167" s="2483"/>
      <c r="G167" s="2484"/>
      <c r="H167" s="2483"/>
      <c r="I167" s="2484"/>
      <c r="J167" s="2483"/>
      <c r="K167" s="2483"/>
      <c r="L167" s="2484"/>
      <c r="M167" s="2483"/>
      <c r="N167" s="2483"/>
      <c r="O167" s="2484"/>
      <c r="P167" s="2483"/>
      <c r="Q167" s="2483"/>
      <c r="R167" s="2485"/>
    </row>
    <row r="168" spans="2:18" s="795" customFormat="1">
      <c r="B168" s="2483"/>
      <c r="C168" s="2483"/>
      <c r="D168" s="2483"/>
      <c r="E168" s="2483"/>
      <c r="F168" s="2483"/>
      <c r="G168" s="2484"/>
      <c r="H168" s="2483"/>
      <c r="I168" s="2484"/>
      <c r="J168" s="2483"/>
      <c r="K168" s="2483"/>
      <c r="L168" s="2484"/>
      <c r="M168" s="2483"/>
      <c r="N168" s="2483"/>
      <c r="O168" s="2484"/>
      <c r="P168" s="2483"/>
      <c r="Q168" s="2483"/>
      <c r="R168" s="2485"/>
    </row>
    <row r="169" spans="2:18" s="795" customFormat="1">
      <c r="B169" s="2483"/>
      <c r="C169" s="2483"/>
      <c r="D169" s="2483"/>
      <c r="E169" s="2483"/>
      <c r="F169" s="2483"/>
      <c r="G169" s="2484"/>
      <c r="H169" s="2483"/>
      <c r="I169" s="2484"/>
      <c r="J169" s="2483"/>
      <c r="K169" s="2483"/>
      <c r="L169" s="2484"/>
      <c r="M169" s="2483"/>
      <c r="N169" s="2483"/>
      <c r="O169" s="2484"/>
      <c r="P169" s="2483"/>
      <c r="Q169" s="2483"/>
      <c r="R169" s="2485"/>
    </row>
    <row r="170" spans="2:18" s="795" customFormat="1">
      <c r="B170" s="2483"/>
      <c r="C170" s="2483"/>
      <c r="D170" s="2483"/>
      <c r="E170" s="2483"/>
      <c r="F170" s="2483"/>
      <c r="G170" s="2484"/>
      <c r="H170" s="2483"/>
      <c r="I170" s="2484"/>
      <c r="J170" s="2483"/>
      <c r="K170" s="2483"/>
      <c r="L170" s="2484"/>
      <c r="M170" s="2483"/>
      <c r="N170" s="2483"/>
      <c r="O170" s="2484"/>
      <c r="P170" s="2483"/>
      <c r="Q170" s="2483"/>
      <c r="R170" s="2485"/>
    </row>
    <row r="171" spans="2:18" s="795" customFormat="1">
      <c r="B171" s="2483"/>
      <c r="C171" s="2483"/>
      <c r="D171" s="2483"/>
      <c r="E171" s="2483"/>
      <c r="F171" s="2483"/>
      <c r="G171" s="2484"/>
      <c r="H171" s="2483"/>
      <c r="I171" s="2484"/>
      <c r="J171" s="2483"/>
      <c r="K171" s="2483"/>
      <c r="L171" s="2484"/>
      <c r="M171" s="2483"/>
      <c r="N171" s="2483"/>
      <c r="O171" s="2484"/>
      <c r="P171" s="2483"/>
      <c r="Q171" s="2483"/>
      <c r="R171" s="2485"/>
    </row>
    <row r="172" spans="2:18" s="795" customFormat="1">
      <c r="B172" s="2483"/>
      <c r="C172" s="2483"/>
      <c r="D172" s="2483"/>
      <c r="E172" s="2483"/>
      <c r="F172" s="2483"/>
      <c r="G172" s="2484"/>
      <c r="H172" s="2483"/>
      <c r="I172" s="2484"/>
      <c r="J172" s="2483"/>
      <c r="K172" s="2483"/>
      <c r="L172" s="2484"/>
      <c r="M172" s="2483"/>
      <c r="N172" s="2483"/>
      <c r="O172" s="2484"/>
      <c r="P172" s="2483"/>
      <c r="Q172" s="2483"/>
      <c r="R172" s="2485"/>
    </row>
    <row r="173" spans="2:18" s="795" customFormat="1">
      <c r="B173" s="2483"/>
      <c r="C173" s="2483"/>
      <c r="D173" s="2483"/>
      <c r="E173" s="2483"/>
      <c r="F173" s="2483"/>
      <c r="G173" s="2484"/>
      <c r="H173" s="2483"/>
      <c r="I173" s="2484"/>
      <c r="J173" s="2483"/>
      <c r="K173" s="2483"/>
      <c r="L173" s="2484"/>
      <c r="M173" s="2483"/>
      <c r="N173" s="2483"/>
      <c r="O173" s="2484"/>
      <c r="P173" s="2483"/>
      <c r="Q173" s="2483"/>
      <c r="R173" s="2485"/>
    </row>
    <row r="174" spans="2:18" s="795" customFormat="1">
      <c r="B174" s="2483"/>
      <c r="C174" s="2483"/>
      <c r="D174" s="2483"/>
      <c r="E174" s="2483"/>
      <c r="F174" s="2483"/>
      <c r="G174" s="2484"/>
      <c r="H174" s="2483"/>
      <c r="I174" s="2484"/>
      <c r="J174" s="2483"/>
      <c r="K174" s="2483"/>
      <c r="L174" s="2484"/>
      <c r="M174" s="2483"/>
      <c r="N174" s="2483"/>
      <c r="O174" s="2484"/>
      <c r="P174" s="2483"/>
      <c r="Q174" s="2483"/>
      <c r="R174" s="2485"/>
    </row>
    <row r="175" spans="2:18" s="795" customFormat="1">
      <c r="B175" s="2483"/>
      <c r="C175" s="2483"/>
      <c r="D175" s="2483"/>
      <c r="E175" s="2483"/>
      <c r="F175" s="2483"/>
      <c r="G175" s="2484"/>
      <c r="H175" s="2483"/>
      <c r="I175" s="2484"/>
      <c r="J175" s="2483"/>
      <c r="K175" s="2483"/>
      <c r="L175" s="2484"/>
      <c r="M175" s="2483"/>
      <c r="N175" s="2483"/>
      <c r="O175" s="2484"/>
      <c r="P175" s="2483"/>
      <c r="Q175" s="2483"/>
      <c r="R175" s="2485"/>
    </row>
    <row r="176" spans="2:18" s="795" customFormat="1">
      <c r="B176" s="2483"/>
      <c r="C176" s="2483"/>
      <c r="D176" s="2483"/>
      <c r="E176" s="2483"/>
      <c r="F176" s="2483"/>
      <c r="G176" s="2484"/>
      <c r="H176" s="2483"/>
      <c r="I176" s="2484"/>
      <c r="J176" s="2483"/>
      <c r="K176" s="2483"/>
      <c r="L176" s="2484"/>
      <c r="M176" s="2483"/>
      <c r="N176" s="2483"/>
      <c r="O176" s="2484"/>
      <c r="P176" s="2483"/>
      <c r="Q176" s="2483"/>
      <c r="R176" s="2485"/>
    </row>
    <row r="177" spans="1:18" s="795" customFormat="1">
      <c r="B177" s="2483"/>
      <c r="C177" s="2483"/>
      <c r="D177" s="2483"/>
      <c r="E177" s="2483"/>
      <c r="F177" s="2483"/>
      <c r="G177" s="2484"/>
      <c r="H177" s="2483"/>
      <c r="I177" s="2484"/>
      <c r="J177" s="2483"/>
      <c r="K177" s="2483"/>
      <c r="L177" s="2484"/>
      <c r="M177" s="2483"/>
      <c r="N177" s="2483"/>
      <c r="O177" s="2484"/>
      <c r="P177" s="2483"/>
      <c r="Q177" s="2483"/>
      <c r="R177" s="2485"/>
    </row>
    <row r="178" spans="1:18" s="795" customFormat="1">
      <c r="B178" s="2483"/>
      <c r="C178" s="2483"/>
      <c r="D178" s="2483"/>
      <c r="E178" s="2483"/>
      <c r="F178" s="2483"/>
      <c r="G178" s="2484"/>
      <c r="H178" s="2483"/>
      <c r="I178" s="2484"/>
      <c r="J178" s="2483"/>
      <c r="K178" s="2483"/>
      <c r="L178" s="2484"/>
      <c r="M178" s="2483"/>
      <c r="N178" s="2483"/>
      <c r="O178" s="2484"/>
      <c r="P178" s="2483"/>
      <c r="Q178" s="2483"/>
      <c r="R178" s="2485"/>
    </row>
    <row r="179" spans="1:18" s="795" customFormat="1">
      <c r="B179" s="2483"/>
      <c r="C179" s="2483"/>
      <c r="D179" s="2483"/>
      <c r="E179" s="2483"/>
      <c r="F179" s="2483"/>
      <c r="G179" s="2484"/>
      <c r="H179" s="2483"/>
      <c r="I179" s="2484"/>
      <c r="J179" s="2483"/>
      <c r="K179" s="2483"/>
      <c r="L179" s="2484"/>
      <c r="M179" s="2483"/>
      <c r="N179" s="2483"/>
      <c r="O179" s="2484"/>
      <c r="P179" s="2483"/>
      <c r="Q179" s="2483"/>
      <c r="R179" s="2485"/>
    </row>
    <row r="180" spans="1:18" s="795" customFormat="1">
      <c r="B180" s="2483"/>
      <c r="C180" s="2483"/>
      <c r="D180" s="2483"/>
      <c r="E180" s="2483"/>
      <c r="F180" s="2483"/>
      <c r="G180" s="2484"/>
      <c r="H180" s="2483"/>
      <c r="I180" s="2484"/>
      <c r="J180" s="2483"/>
      <c r="K180" s="2483"/>
      <c r="L180" s="2484"/>
      <c r="M180" s="2483"/>
      <c r="N180" s="2483"/>
      <c r="O180" s="2484"/>
      <c r="P180" s="2483"/>
      <c r="Q180" s="2483"/>
      <c r="R180" s="2485"/>
    </row>
    <row r="181" spans="1:18" s="795" customFormat="1">
      <c r="B181" s="2483"/>
      <c r="C181" s="2483"/>
      <c r="D181" s="2483"/>
      <c r="E181" s="2483"/>
      <c r="F181" s="2483"/>
      <c r="G181" s="2484"/>
      <c r="H181" s="2483"/>
      <c r="I181" s="2484"/>
      <c r="J181" s="2483"/>
      <c r="K181" s="2483"/>
      <c r="L181" s="2484"/>
      <c r="M181" s="2483"/>
      <c r="N181" s="2483"/>
      <c r="O181" s="2484"/>
      <c r="P181" s="2483"/>
      <c r="Q181" s="2483"/>
      <c r="R181" s="2485"/>
    </row>
    <row r="182" spans="1:18" s="795" customFormat="1">
      <c r="B182" s="2483"/>
      <c r="C182" s="2483"/>
      <c r="D182" s="2483"/>
      <c r="E182" s="2483"/>
      <c r="F182" s="2483"/>
      <c r="G182" s="2484"/>
      <c r="H182" s="2483"/>
      <c r="I182" s="2484"/>
      <c r="J182" s="2483"/>
      <c r="K182" s="2483"/>
      <c r="L182" s="2484"/>
      <c r="M182" s="2483"/>
      <c r="N182" s="2483"/>
      <c r="O182" s="2484"/>
      <c r="P182" s="2483"/>
      <c r="Q182" s="2483"/>
      <c r="R182" s="2485"/>
    </row>
    <row r="183" spans="1:18" s="795" customFormat="1">
      <c r="B183" s="2483"/>
      <c r="C183" s="2483"/>
      <c r="D183" s="2483"/>
      <c r="E183" s="2483"/>
      <c r="F183" s="2483"/>
      <c r="G183" s="2484"/>
      <c r="H183" s="2483"/>
      <c r="I183" s="2484"/>
      <c r="J183" s="2483"/>
      <c r="K183" s="2483"/>
      <c r="L183" s="2484"/>
      <c r="M183" s="2483"/>
      <c r="N183" s="2483"/>
      <c r="O183" s="2484"/>
      <c r="P183" s="2483"/>
      <c r="Q183" s="2483"/>
      <c r="R183" s="2485"/>
    </row>
    <row r="184" spans="1:18" s="795" customFormat="1">
      <c r="B184" s="2483"/>
      <c r="C184" s="2483"/>
      <c r="D184" s="2483"/>
      <c r="E184" s="2483"/>
      <c r="F184" s="2483"/>
      <c r="G184" s="2484"/>
      <c r="H184" s="2483"/>
      <c r="I184" s="2484"/>
      <c r="J184" s="2483"/>
      <c r="K184" s="2483"/>
      <c r="L184" s="2484"/>
      <c r="M184" s="2483"/>
      <c r="N184" s="2483"/>
      <c r="O184" s="2484"/>
      <c r="P184" s="2483"/>
      <c r="Q184" s="2483"/>
      <c r="R184" s="2485"/>
    </row>
    <row r="185" spans="1:18" s="795" customFormat="1">
      <c r="B185" s="2483"/>
      <c r="C185" s="2483"/>
      <c r="D185" s="2483"/>
      <c r="E185" s="2483"/>
      <c r="F185" s="2483"/>
      <c r="G185" s="2484"/>
      <c r="H185" s="2483"/>
      <c r="I185" s="2484"/>
      <c r="J185" s="2483"/>
      <c r="K185" s="2483"/>
      <c r="L185" s="2484"/>
      <c r="M185" s="2483"/>
      <c r="N185" s="2483"/>
      <c r="O185" s="2484"/>
      <c r="P185" s="2483"/>
      <c r="Q185" s="2483"/>
      <c r="R185" s="2485"/>
    </row>
    <row r="186" spans="1:18">
      <c r="A186" s="795"/>
      <c r="B186" s="2483"/>
      <c r="C186" s="2483"/>
      <c r="E186" s="2483"/>
      <c r="F186" s="2483"/>
      <c r="G186" s="2484"/>
    </row>
    <row r="187" spans="1:18">
      <c r="A187" s="795"/>
      <c r="B187" s="2483"/>
      <c r="C187" s="2483"/>
      <c r="E187" s="2483"/>
      <c r="F187" s="2483"/>
      <c r="G187" s="2484"/>
    </row>
  </sheetData>
  <sheetProtection password="CEE9" sheet="1" objects="1" scenarios="1" formatCells="0" formatColumns="0" formatRows="0"/>
  <mergeCells count="1">
    <mergeCell ref="A1:G1"/>
  </mergeCells>
  <phoneticPr fontId="24" type="noConversion"/>
  <dataValidations count="1">
    <dataValidation type="list" allowBlank="1" showInputMessage="1" showErrorMessage="1" sqref="C23 G21">
      <formula1>临街状况</formula1>
    </dataValidation>
  </dataValidations>
  <pageMargins left="0.7" right="0.7" top="0.75" bottom="0.75" header="0.3" footer="0.3"/>
  <pageSetup paperSize="9" scale="70" fitToHeight="0"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view="pageBreakPreview" zoomScaleSheetLayoutView="100" zoomScalePageLayoutView="80" workbookViewId="0">
      <selection activeCell="D27" sqref="D27"/>
    </sheetView>
  </sheetViews>
  <sheetFormatPr defaultColWidth="12.625" defaultRowHeight="21.75" customHeight="1"/>
  <cols>
    <col min="1" max="2" width="12.625" style="1749"/>
    <col min="3" max="4" width="12.625" style="1749" customWidth="1"/>
    <col min="5" max="9" width="12.625" style="1749"/>
    <col min="10" max="11" width="12.625" style="721" customWidth="1"/>
    <col min="12" max="12" width="12.625" style="721"/>
    <col min="13" max="13" width="14.125" style="721" bestFit="1" customWidth="1"/>
    <col min="14" max="26" width="12.625" style="721"/>
    <col min="27" max="35" width="12.625" style="1748"/>
    <col min="36" max="16384" width="12.625" style="1749"/>
  </cols>
  <sheetData>
    <row r="1" spans="1:12" ht="21.75" customHeight="1" thickBot="1">
      <c r="A1" s="1633" t="s">
        <v>1262</v>
      </c>
      <c r="B1" s="1743"/>
      <c r="C1" s="1744" t="s">
        <v>3392</v>
      </c>
      <c r="D1" s="1743"/>
      <c r="E1" s="1743"/>
      <c r="F1" s="1745" t="s">
        <v>1263</v>
      </c>
      <c r="G1" s="1557" t="s">
        <v>3395</v>
      </c>
      <c r="H1" s="1746" t="str">
        <f>IF(G1="现房","——","估价对象范围")</f>
        <v>——</v>
      </c>
      <c r="I1" s="1747" t="s">
        <v>3396</v>
      </c>
    </row>
    <row r="2" spans="1:12" ht="21.75" customHeight="1" thickBot="1">
      <c r="A2" s="3682" t="str">
        <f>项目基本情况!S2</f>
        <v>北京市房地产</v>
      </c>
      <c r="B2" s="3683"/>
      <c r="C2" s="3683"/>
      <c r="D2" s="3683"/>
      <c r="E2" s="3683"/>
      <c r="F2" s="3683"/>
      <c r="G2" s="3683"/>
      <c r="H2" s="3683"/>
      <c r="I2" s="3684"/>
    </row>
    <row r="3" spans="1:12" ht="12.75">
      <c r="A3" s="3686" t="s">
        <v>1264</v>
      </c>
      <c r="B3" s="3687"/>
      <c r="C3" s="3687"/>
      <c r="D3" s="3687"/>
      <c r="E3" s="3687"/>
      <c r="F3" s="3687"/>
      <c r="G3" s="3687"/>
      <c r="H3" s="3687"/>
      <c r="I3" s="3687"/>
    </row>
    <row r="4" spans="1:12" ht="14.25">
      <c r="A4" s="1750" t="s">
        <v>1265</v>
      </c>
      <c r="B4" s="1751" t="s">
        <v>1266</v>
      </c>
      <c r="C4" s="1752" t="s">
        <v>3397</v>
      </c>
      <c r="D4" s="1752" t="s">
        <v>3398</v>
      </c>
      <c r="E4" s="3691" t="s">
        <v>1267</v>
      </c>
      <c r="F4" s="3692"/>
      <c r="G4" s="3692"/>
      <c r="H4" s="3692"/>
      <c r="I4" s="3693"/>
      <c r="K4" s="143" t="str">
        <f>IF(ISNUMBER(FIND("比较法",结果表!C4)),"比较法",IF(ISNUMBER(FIND("成本法",结果表!C4)),"成本法",IF(ISNUMBER(FIND("假设开发法",结果表!C4)),"假设开发法",IF(ISNUMBER(FIND("收益法",结果表!C4)),"收益法","基准地价系数修正法"))))</f>
        <v>成本法</v>
      </c>
      <c r="L4" s="143" t="str">
        <f>IF(ISNUMBER(FIND("比较法",结果表!D4)),"比较法",IF(ISNUMBER(FIND("成本法",结果表!D4)),"成本法",IF(ISNUMBER(FIND("假设开发法",结果表!D4)),"假设开发法",IF(ISNUMBER(FIND("收益法",结果表!D4)),"收益法","基准地价系数修正法"))))</f>
        <v>比较法</v>
      </c>
    </row>
    <row r="5" spans="1:12" ht="12.75">
      <c r="A5" s="3630" t="s">
        <v>1268</v>
      </c>
      <c r="B5" s="3685">
        <v>25</v>
      </c>
      <c r="C5" s="3688">
        <v>0.5</v>
      </c>
      <c r="D5" s="3676">
        <f>1-C5</f>
        <v>0.5</v>
      </c>
      <c r="E5" s="129" t="s">
        <v>1269</v>
      </c>
      <c r="F5" s="1753"/>
      <c r="G5" s="1753"/>
      <c r="H5" s="1753"/>
      <c r="I5" s="1369"/>
    </row>
    <row r="6" spans="1:12" ht="12.75">
      <c r="A6" s="3630"/>
      <c r="B6" s="3685"/>
      <c r="C6" s="3690"/>
      <c r="D6" s="3676"/>
      <c r="E6" s="129" t="s">
        <v>1270</v>
      </c>
      <c r="F6" s="1753"/>
      <c r="G6" s="1753"/>
      <c r="H6" s="1753"/>
      <c r="I6" s="1369"/>
    </row>
    <row r="7" spans="1:12" ht="12.75">
      <c r="A7" s="3630"/>
      <c r="B7" s="3685"/>
      <c r="C7" s="3689"/>
      <c r="D7" s="3676"/>
      <c r="E7" s="129" t="s">
        <v>1271</v>
      </c>
      <c r="F7" s="1753"/>
      <c r="G7" s="1753"/>
      <c r="H7" s="1753"/>
      <c r="I7" s="1369"/>
    </row>
    <row r="8" spans="1:12" ht="12.75" hidden="1">
      <c r="A8" s="3630" t="s">
        <v>1272</v>
      </c>
      <c r="B8" s="3685">
        <v>15</v>
      </c>
      <c r="C8" s="3688"/>
      <c r="D8" s="3676"/>
      <c r="E8" s="129" t="s">
        <v>1273</v>
      </c>
      <c r="F8" s="1753"/>
      <c r="G8" s="1753"/>
      <c r="H8" s="1753"/>
      <c r="I8" s="1369"/>
    </row>
    <row r="9" spans="1:12" ht="12.75" hidden="1">
      <c r="A9" s="3630"/>
      <c r="B9" s="3685"/>
      <c r="C9" s="3689"/>
      <c r="D9" s="3676"/>
      <c r="E9" s="129" t="s">
        <v>1274</v>
      </c>
      <c r="F9" s="1753"/>
      <c r="G9" s="1753"/>
      <c r="H9" s="1753"/>
      <c r="I9" s="1369"/>
    </row>
    <row r="10" spans="1:12" ht="12.75" hidden="1">
      <c r="A10" s="3630" t="s">
        <v>1275</v>
      </c>
      <c r="B10" s="3685">
        <v>15</v>
      </c>
      <c r="C10" s="3688"/>
      <c r="D10" s="3676"/>
      <c r="E10" s="129" t="s">
        <v>1276</v>
      </c>
      <c r="F10" s="1753"/>
      <c r="G10" s="1753"/>
      <c r="H10" s="1753"/>
      <c r="I10" s="1369"/>
    </row>
    <row r="11" spans="1:12" ht="12.75" hidden="1">
      <c r="A11" s="3630"/>
      <c r="B11" s="3685"/>
      <c r="C11" s="3689"/>
      <c r="D11" s="3676"/>
      <c r="E11" s="129" t="s">
        <v>1277</v>
      </c>
      <c r="F11" s="1753"/>
      <c r="G11" s="1753"/>
      <c r="H11" s="1753"/>
      <c r="I11" s="1369"/>
    </row>
    <row r="12" spans="1:12" ht="12.75" hidden="1">
      <c r="A12" s="3630" t="s">
        <v>1278</v>
      </c>
      <c r="B12" s="3685">
        <v>15</v>
      </c>
      <c r="C12" s="3688"/>
      <c r="D12" s="3676"/>
      <c r="E12" s="129" t="s">
        <v>1279</v>
      </c>
      <c r="F12" s="1753"/>
      <c r="G12" s="1753"/>
      <c r="H12" s="1753"/>
      <c r="I12" s="1369"/>
    </row>
    <row r="13" spans="1:12" ht="12.75" hidden="1">
      <c r="A13" s="3630"/>
      <c r="B13" s="3685"/>
      <c r="C13" s="3689"/>
      <c r="D13" s="3676"/>
      <c r="E13" s="129" t="s">
        <v>1280</v>
      </c>
      <c r="F13" s="1753"/>
      <c r="G13" s="1753"/>
      <c r="H13" s="1753"/>
      <c r="I13" s="1369"/>
    </row>
    <row r="14" spans="1:12" ht="12.75" hidden="1">
      <c r="A14" s="3630" t="s">
        <v>1281</v>
      </c>
      <c r="B14" s="3685">
        <v>30</v>
      </c>
      <c r="C14" s="3688"/>
      <c r="D14" s="3676"/>
      <c r="E14" s="129" t="s">
        <v>1282</v>
      </c>
      <c r="F14" s="1753"/>
      <c r="G14" s="1753"/>
      <c r="H14" s="1753"/>
      <c r="I14" s="1369"/>
    </row>
    <row r="15" spans="1:12" ht="12.75" hidden="1">
      <c r="A15" s="3630"/>
      <c r="B15" s="3685"/>
      <c r="C15" s="3690"/>
      <c r="D15" s="3676"/>
      <c r="E15" s="129" t="s">
        <v>1283</v>
      </c>
      <c r="F15" s="1753"/>
      <c r="G15" s="1753"/>
      <c r="H15" s="1753"/>
      <c r="I15" s="1369"/>
    </row>
    <row r="16" spans="1:12" ht="12.75" hidden="1">
      <c r="A16" s="3630"/>
      <c r="B16" s="3685"/>
      <c r="C16" s="3689"/>
      <c r="D16" s="3676"/>
      <c r="E16" s="129" t="s">
        <v>1284</v>
      </c>
      <c r="F16" s="1753"/>
      <c r="G16" s="1753"/>
      <c r="H16" s="1753"/>
      <c r="I16" s="1369"/>
    </row>
    <row r="17" spans="1:36" ht="15">
      <c r="A17" s="1754" t="s">
        <v>1285</v>
      </c>
      <c r="B17" s="56"/>
      <c r="C17" s="130">
        <f>SUM(C5:C16)</f>
        <v>0.5</v>
      </c>
      <c r="D17" s="130">
        <f>SUM(D5:D16)</f>
        <v>0.5</v>
      </c>
      <c r="E17" s="127"/>
      <c r="F17" s="127"/>
      <c r="G17" s="127"/>
      <c r="H17" s="127"/>
      <c r="I17" s="127"/>
      <c r="K17" s="299"/>
      <c r="L17" s="299" t="s">
        <v>1286</v>
      </c>
      <c r="M17" s="299" t="s">
        <v>1287</v>
      </c>
    </row>
    <row r="18" spans="1:36" ht="32.1" customHeight="1" thickBot="1">
      <c r="A18" s="1755" t="s">
        <v>1288</v>
      </c>
      <c r="B18" s="1756"/>
      <c r="C18" s="131">
        <f>ROUND(C17/SUM(C17:D17),2)</f>
        <v>0.5</v>
      </c>
      <c r="D18" s="131">
        <f>1-C18</f>
        <v>0.5</v>
      </c>
      <c r="E18" s="3707" t="s">
        <v>2131</v>
      </c>
      <c r="F18" s="3708"/>
      <c r="G18" s="3708"/>
      <c r="H18" s="3708"/>
      <c r="I18" s="3708"/>
      <c r="K18" s="299" t="s">
        <v>1289</v>
      </c>
      <c r="L18" s="299">
        <f>IF(C1="",'数据-汇总表'!E3,SUMIF(项目类型,C1,'数据-汇总表'!E17:E26)+SUMIF(项目类型,C1,'数据-汇总表'!I17:I26))</f>
        <v>1</v>
      </c>
      <c r="M18" s="299">
        <f>IF(C1="",'数据-汇总表'!E3,SUMIF(项目类型,C1,'数据-汇总表'!E17:E26))</f>
        <v>1</v>
      </c>
    </row>
    <row r="19" spans="1:36" ht="15">
      <c r="A19" s="1757" t="s">
        <v>1290</v>
      </c>
      <c r="B19" s="1758" t="s">
        <v>1291</v>
      </c>
      <c r="C19" s="132">
        <f ca="1">SUMIF(INDIRECT("'"&amp;C4&amp;"'"&amp;"!A:A"),结果表!B19,INDIRECT("'"&amp;C4&amp;"'"&amp;"!B:B"))</f>
        <v>2.9011</v>
      </c>
      <c r="D19" s="133">
        <f ca="1">SUMIF(INDIRECT("'"&amp;D4&amp;"'"&amp;"!A:A"),结果表!B19,INDIRECT("'"&amp;D4&amp;"'"&amp;"!B:B"))</f>
        <v>0</v>
      </c>
      <c r="E19" s="1757" t="s">
        <v>1292</v>
      </c>
      <c r="F19" s="1758" t="s">
        <v>1291</v>
      </c>
      <c r="G19" s="134">
        <f ca="1">ROUND(C19*$C$18+D19*$D$18,0)</f>
        <v>1</v>
      </c>
      <c r="H19" s="1759" t="s">
        <v>1293</v>
      </c>
      <c r="I19" s="127"/>
      <c r="K19" s="299" t="s">
        <v>1294</v>
      </c>
      <c r="L19" s="299">
        <f>IF(C1="",'数据-汇总表'!D3,SUMIF(项目类型,C1,'数据-汇总表'!D17:D26)+SUMIF(项目类型,C1,'数据-汇总表'!H17:H27))</f>
        <v>0.45</v>
      </c>
      <c r="M19" s="299">
        <f>IF(C1="",'数据-汇总表'!D3,SUMIF(项目类型,C1,'数据-汇总表'!D17:D26))</f>
        <v>0.45</v>
      </c>
    </row>
    <row r="20" spans="1:36" ht="15">
      <c r="A20" s="1760"/>
      <c r="B20" s="1022" t="s">
        <v>1295</v>
      </c>
      <c r="C20" s="3495">
        <f ca="1">SUMIF(INDIRECT("'"&amp;C4&amp;"'"&amp;"!A:A"),结果表!B20,INDIRECT("'"&amp;C4&amp;"'"&amp;"!B:B"))</f>
        <v>29011</v>
      </c>
      <c r="D20" s="3496">
        <f ca="1">SUMIF(INDIRECT("'"&amp;D4&amp;"'"&amp;"!A:A"),结果表!B20,INDIRECT("'"&amp;D4&amp;"'"&amp;"!B:B"))</f>
        <v>31067</v>
      </c>
      <c r="E20" s="1760"/>
      <c r="F20" s="1022" t="s">
        <v>1295</v>
      </c>
      <c r="G20" s="3497">
        <f ca="1">ROUND(C20*$C$18+D20*$D$18,0)</f>
        <v>30039</v>
      </c>
      <c r="H20" s="804" t="s">
        <v>1296</v>
      </c>
      <c r="I20" s="127"/>
    </row>
    <row r="21" spans="1:36" ht="15" customHeight="1" thickBot="1">
      <c r="A21" s="824"/>
      <c r="B21" s="1761" t="s">
        <v>1297</v>
      </c>
      <c r="C21" s="715">
        <f ca="1">ROUND(C19*10000/L19,0)</f>
        <v>64469</v>
      </c>
      <c r="D21" s="716">
        <f ca="1">ROUND(D19*10000/L19,0)</f>
        <v>0</v>
      </c>
      <c r="E21" s="824"/>
      <c r="F21" s="1761" t="s">
        <v>1297</v>
      </c>
      <c r="G21" s="137">
        <f ca="1">ROUND(G19*10000/L19,0)</f>
        <v>22222</v>
      </c>
      <c r="H21" s="1762" t="s">
        <v>1296</v>
      </c>
      <c r="I21" s="127"/>
    </row>
    <row r="22" spans="1:36" ht="15" thickBot="1">
      <c r="A22" s="1684" t="s">
        <v>1298</v>
      </c>
      <c r="B22" s="1763"/>
      <c r="C22" s="1764"/>
      <c r="D22" s="717" t="e">
        <f ca="1">IF(C19&lt;D19,D19/C19-1,C19/D19-1)</f>
        <v>#DIV/0!</v>
      </c>
      <c r="E22" s="127"/>
      <c r="F22" s="127"/>
      <c r="G22" s="127"/>
      <c r="H22" s="127"/>
      <c r="I22" s="127"/>
      <c r="J22" s="721">
        <f ca="1">(D20-C20)/C20</f>
        <v>7.0869670125124948E-2</v>
      </c>
    </row>
    <row r="23" spans="1:36" ht="13.5" thickBot="1">
      <c r="A23" s="1743"/>
      <c r="B23" s="1743"/>
      <c r="C23" s="1743"/>
      <c r="D23" s="1743"/>
      <c r="E23" s="127">
        <f ca="1">(D20-C20)/C20</f>
        <v>7.0869670125124948E-2</v>
      </c>
      <c r="F23" s="127"/>
      <c r="G23" s="127"/>
      <c r="H23" s="127"/>
      <c r="I23" s="127"/>
    </row>
    <row r="24" spans="1:36" ht="14.25">
      <c r="A24" s="3700" t="s">
        <v>1299</v>
      </c>
      <c r="B24" s="1758" t="s">
        <v>1291</v>
      </c>
      <c r="C24" s="134">
        <f>IF(B30=0,0,D30)</f>
        <v>0</v>
      </c>
      <c r="D24" s="1765"/>
      <c r="E24" s="127"/>
      <c r="F24" s="127"/>
      <c r="G24" s="127"/>
      <c r="H24" s="127"/>
      <c r="I24" s="127"/>
    </row>
    <row r="25" spans="1:36" ht="14.25">
      <c r="A25" s="3701"/>
      <c r="B25" s="1022" t="s">
        <v>1295</v>
      </c>
      <c r="C25" s="138">
        <f>IF(B30=0,0,C30)</f>
        <v>0</v>
      </c>
      <c r="D25" s="1766"/>
      <c r="E25" s="127"/>
      <c r="F25" s="127"/>
      <c r="G25" s="127"/>
      <c r="H25" s="127"/>
      <c r="I25" s="127"/>
    </row>
    <row r="26" spans="1:36" ht="13.5" customHeight="1">
      <c r="A26" s="1767" t="s">
        <v>1300</v>
      </c>
      <c r="B26" s="139" t="s">
        <v>1301</v>
      </c>
      <c r="C26" s="139" t="s">
        <v>1302</v>
      </c>
      <c r="D26" s="140" t="s">
        <v>1303</v>
      </c>
      <c r="E26" s="127"/>
      <c r="F26" s="127"/>
      <c r="G26" s="127"/>
      <c r="H26" s="127"/>
      <c r="I26" s="127"/>
    </row>
    <row r="27" spans="1:36" ht="14.25">
      <c r="A27" s="1767"/>
      <c r="B27" s="139">
        <v>0</v>
      </c>
      <c r="C27" s="139">
        <v>0</v>
      </c>
      <c r="D27" s="140">
        <f>ROUND(C27*B27/10000,0)</f>
        <v>0</v>
      </c>
      <c r="E27" s="127"/>
      <c r="F27" s="127"/>
      <c r="G27" s="127"/>
      <c r="H27" s="127"/>
      <c r="I27" s="127"/>
    </row>
    <row r="28" spans="1:36" ht="14.25">
      <c r="A28" s="1767"/>
      <c r="B28" s="139"/>
      <c r="C28" s="139"/>
      <c r="D28" s="140"/>
      <c r="E28" s="127"/>
      <c r="F28" s="127"/>
      <c r="G28" s="127"/>
      <c r="H28" s="127"/>
      <c r="I28" s="127"/>
    </row>
    <row r="29" spans="1:36" ht="14.25">
      <c r="A29" s="1767"/>
      <c r="B29" s="139"/>
      <c r="C29" s="139"/>
      <c r="D29" s="140"/>
      <c r="E29" s="127"/>
      <c r="F29" s="127"/>
      <c r="G29" s="127"/>
      <c r="H29" s="127"/>
      <c r="I29" s="127"/>
    </row>
    <row r="30" spans="1:36" ht="15" thickBot="1">
      <c r="A30" s="139" t="s">
        <v>1304</v>
      </c>
      <c r="B30" s="139"/>
      <c r="C30" s="139"/>
      <c r="D30" s="139"/>
      <c r="E30" s="2296" t="s">
        <v>2132</v>
      </c>
      <c r="F30" s="127"/>
      <c r="G30" s="127"/>
      <c r="H30" s="127"/>
      <c r="I30" s="127"/>
    </row>
    <row r="31" spans="1:36" s="2302" customFormat="1" ht="26.45" customHeight="1" thickTop="1" thickBot="1">
      <c r="A31" s="2297"/>
      <c r="B31" s="2298"/>
      <c r="C31" s="2298"/>
      <c r="D31" s="2298"/>
      <c r="E31" s="2298"/>
      <c r="F31" s="2298"/>
      <c r="G31" s="2298"/>
      <c r="H31" s="2298"/>
      <c r="I31" s="2299" t="s">
        <v>2133</v>
      </c>
      <c r="J31" s="2681"/>
      <c r="K31" s="2300"/>
      <c r="L31" s="2300"/>
      <c r="M31" s="2300"/>
      <c r="N31" s="2300"/>
      <c r="O31" s="2300"/>
      <c r="P31" s="2300"/>
      <c r="Q31" s="2300"/>
      <c r="R31" s="2300"/>
      <c r="S31" s="2300"/>
      <c r="T31" s="2300"/>
      <c r="U31" s="2300"/>
      <c r="V31" s="2300"/>
      <c r="W31" s="2300"/>
      <c r="X31" s="2300"/>
      <c r="Y31" s="2300"/>
      <c r="Z31" s="2300"/>
      <c r="AA31" s="2300"/>
      <c r="AB31" s="2301"/>
      <c r="AC31" s="2301"/>
      <c r="AD31" s="2301"/>
      <c r="AE31" s="2301"/>
      <c r="AF31" s="2301"/>
      <c r="AG31" s="2301"/>
      <c r="AH31" s="2301"/>
      <c r="AI31" s="2301"/>
      <c r="AJ31" s="2301"/>
    </row>
    <row r="32" spans="1:36" ht="16.5" thickTop="1" thickBot="1">
      <c r="A32" s="1769" t="s">
        <v>1305</v>
      </c>
      <c r="B32" s="1770"/>
      <c r="C32" s="141">
        <f ca="1">IF(D32="总价",G19-C24,G20-C25)</f>
        <v>30039</v>
      </c>
      <c r="D32" s="1771" t="s">
        <v>3399</v>
      </c>
      <c r="E32" s="127"/>
      <c r="F32" s="127"/>
      <c r="G32" s="127"/>
      <c r="H32" s="127"/>
      <c r="I32" s="127"/>
    </row>
    <row r="33" spans="1:15" ht="15">
      <c r="A33" s="782" t="s">
        <v>1306</v>
      </c>
      <c r="B33" s="1772"/>
      <c r="C33" s="1773"/>
      <c r="D33" s="1774"/>
      <c r="E33" s="1775" t="s">
        <v>1307</v>
      </c>
      <c r="F33" s="1776" t="str">
        <f>IF(D32="楼面单价","取值（单价）","取值（总价）")</f>
        <v>取值（单价）</v>
      </c>
      <c r="G33" s="127"/>
      <c r="H33" s="127"/>
      <c r="I33" s="127"/>
    </row>
    <row r="34" spans="1:15" ht="15">
      <c r="A34" s="1777"/>
      <c r="B34" s="1778" t="s">
        <v>1308</v>
      </c>
      <c r="C34" s="145" t="e">
        <f ca="1">IF(C33="自定义",F34,C32-C35)</f>
        <v>#REF!</v>
      </c>
      <c r="D34" s="857" t="e">
        <f ca="1">IF(C33="自定义",ROUND(C34/C32,3),IF(C33="收益比率",SUMIF(INDIRECT("'"&amp;D33&amp;"'"&amp;"!b:b"),"土地收益比率",INDIRECT("'"&amp;D33&amp;"'"&amp;"!c:c")),SUMIF(INDIRECT("'"&amp;D33&amp;"'"&amp;"!b:b"),"土地成本比率",INDIRECT("'"&amp;D33&amp;"'"&amp;"!c:c"))))</f>
        <v>#REF!</v>
      </c>
      <c r="E34" s="1779" t="s">
        <v>1309</v>
      </c>
      <c r="F34" s="1326"/>
      <c r="G34" s="127"/>
      <c r="H34" s="127"/>
      <c r="I34" s="127"/>
    </row>
    <row r="35" spans="1:15" ht="15.75" thickBot="1">
      <c r="A35" s="1780"/>
      <c r="B35" s="1781" t="s">
        <v>1310</v>
      </c>
      <c r="C35" s="1166" t="e">
        <f ca="1">IF(C33="自定义",F35,ROUND(C32*D35,0))</f>
        <v>#REF!</v>
      </c>
      <c r="D35" s="1167" t="e">
        <f ca="1">IF(C33="自定义",ROUND(C35/C32,3),IF(C33="收益比率",SUMIF(INDIRECT("'"&amp;D33&amp;"'"&amp;"!b:b"),"建筑物收益比率",INDIRECT("'"&amp;D33&amp;"'"&amp;"!c:c")),SUMIF(INDIRECT("'"&amp;D33&amp;"'"&amp;"!b:b"),"建筑物成本比率",INDIRECT("'"&amp;D33&amp;"'"&amp;"!c:c"))))</f>
        <v>#REF!</v>
      </c>
      <c r="E35" s="1782" t="s">
        <v>1311</v>
      </c>
      <c r="F35" s="151"/>
      <c r="G35" s="127"/>
      <c r="H35" s="127"/>
      <c r="I35" s="127"/>
    </row>
    <row r="36" spans="1:15" ht="15.75" thickBot="1">
      <c r="A36" s="3677" t="s">
        <v>1312</v>
      </c>
      <c r="B36" s="1783" t="s">
        <v>1313</v>
      </c>
      <c r="C36" s="142"/>
      <c r="D36" s="1784"/>
      <c r="E36" s="1785"/>
      <c r="F36" s="1786"/>
      <c r="G36" s="127"/>
      <c r="H36" s="127"/>
      <c r="I36" s="127"/>
    </row>
    <row r="37" spans="1:15" ht="15.75" thickBot="1">
      <c r="A37" s="3678"/>
      <c r="B37" s="1670" t="s">
        <v>1314</v>
      </c>
      <c r="C37" s="144"/>
      <c r="D37" s="1135"/>
      <c r="E37" s="1135"/>
      <c r="F37" s="1786"/>
      <c r="G37" s="127"/>
      <c r="H37" s="127"/>
      <c r="I37" s="127"/>
    </row>
    <row r="38" spans="1:15" ht="15.75" thickBot="1">
      <c r="A38" s="3679"/>
      <c r="B38" s="1787" t="s">
        <v>1315</v>
      </c>
      <c r="C38" s="670"/>
      <c r="D38" s="1788" t="s">
        <v>1316</v>
      </c>
      <c r="E38" s="1135"/>
      <c r="F38" s="1786"/>
      <c r="G38" s="127"/>
      <c r="H38" s="127"/>
      <c r="I38" s="127"/>
    </row>
    <row r="39" spans="1:15" ht="15">
      <c r="A39" s="1760" t="s">
        <v>1317</v>
      </c>
      <c r="B39" s="1789" t="s">
        <v>1318</v>
      </c>
      <c r="C39" s="1790" t="s">
        <v>1319</v>
      </c>
      <c r="D39" s="1790" t="s">
        <v>1320</v>
      </c>
      <c r="E39" s="1791" t="s">
        <v>1321</v>
      </c>
      <c r="F39" s="1786"/>
      <c r="G39" s="127"/>
      <c r="H39" s="127"/>
      <c r="I39" s="127"/>
    </row>
    <row r="40" spans="1:15" ht="14.25">
      <c r="A40" s="1792" t="s">
        <v>1322</v>
      </c>
      <c r="B40" s="146"/>
      <c r="C40" s="147"/>
      <c r="D40" s="147"/>
      <c r="E40" s="148"/>
      <c r="F40" s="1786"/>
      <c r="G40" s="127"/>
      <c r="H40" s="127"/>
      <c r="I40" s="127"/>
    </row>
    <row r="41" spans="1:15" ht="14.25">
      <c r="A41" s="1792" t="s">
        <v>1323</v>
      </c>
      <c r="B41" s="146"/>
      <c r="C41" s="147"/>
      <c r="D41" s="147"/>
      <c r="E41" s="148"/>
      <c r="F41" s="1786"/>
      <c r="G41" s="127"/>
      <c r="H41" s="127"/>
      <c r="I41" s="127"/>
    </row>
    <row r="42" spans="1:15" ht="15" thickBot="1">
      <c r="A42" s="1793"/>
      <c r="B42" s="149"/>
      <c r="C42" s="150"/>
      <c r="D42" s="150"/>
      <c r="E42" s="151"/>
      <c r="F42" s="1786"/>
      <c r="G42" s="127"/>
      <c r="H42" s="127"/>
      <c r="I42" s="127"/>
    </row>
    <row r="43" spans="1:15" ht="12.75">
      <c r="A43" s="1573"/>
      <c r="B43" s="1573"/>
      <c r="C43" s="1573"/>
      <c r="D43" s="1573"/>
      <c r="E43" s="1573"/>
      <c r="F43" s="1794"/>
      <c r="G43" s="1794"/>
      <c r="H43" s="1794"/>
      <c r="I43" s="1795"/>
    </row>
    <row r="44" spans="1:15" ht="18.75">
      <c r="A44" s="1796" t="s">
        <v>1324</v>
      </c>
      <c r="B44" s="1797"/>
      <c r="C44" s="1797"/>
      <c r="D44" s="1798"/>
      <c r="E44" s="1798"/>
      <c r="F44" s="1799"/>
      <c r="G44" s="1799"/>
      <c r="H44" s="1799"/>
      <c r="I44" s="1799"/>
      <c r="J44" s="1800" t="s">
        <v>1325</v>
      </c>
      <c r="K44" s="1801"/>
      <c r="L44" s="1801"/>
      <c r="M44" s="1801"/>
      <c r="N44" s="1801"/>
      <c r="O44" s="1801"/>
    </row>
    <row r="45" spans="1:15" ht="14.25" customHeight="1" thickBot="1">
      <c r="A45" s="3697" t="s">
        <v>1326</v>
      </c>
      <c r="B45" s="3698"/>
      <c r="C45" s="3699"/>
      <c r="D45" s="152">
        <f ca="1">ROUND(H101*F45,0)</f>
        <v>3</v>
      </c>
      <c r="E45" s="153" t="s">
        <v>1327</v>
      </c>
      <c r="F45" s="154">
        <v>1</v>
      </c>
      <c r="G45" s="155" t="s">
        <v>1328</v>
      </c>
      <c r="H45" s="127"/>
      <c r="I45" s="127"/>
      <c r="J45" s="3617" t="s">
        <v>1329</v>
      </c>
      <c r="K45" s="3617"/>
      <c r="L45" s="3617"/>
      <c r="M45" s="3617"/>
      <c r="N45" s="3617"/>
      <c r="O45" s="3617"/>
    </row>
    <row r="46" spans="1:15" ht="14.25" customHeight="1">
      <c r="A46" s="3694" t="s">
        <v>1330</v>
      </c>
      <c r="B46" s="3695"/>
      <c r="C46" s="3695"/>
      <c r="D46" s="3695"/>
      <c r="E46" s="3695"/>
      <c r="F46" s="3695"/>
      <c r="G46" s="3696"/>
      <c r="H46" s="1802"/>
      <c r="I46" s="156"/>
      <c r="J46" s="2515">
        <v>1</v>
      </c>
      <c r="K46" s="3618" t="s">
        <v>1331</v>
      </c>
      <c r="L46" s="3618"/>
      <c r="M46" s="3619"/>
      <c r="N46" s="3619"/>
      <c r="O46" s="3619"/>
    </row>
    <row r="47" spans="1:15" ht="12" customHeight="1">
      <c r="A47" s="157" t="s">
        <v>1332</v>
      </c>
      <c r="B47" s="158"/>
      <c r="C47" s="159"/>
      <c r="D47" s="1083" t="s">
        <v>1333</v>
      </c>
      <c r="E47" s="299" t="s">
        <v>1334</v>
      </c>
      <c r="F47" s="160" t="s">
        <v>1335</v>
      </c>
      <c r="G47" s="2538" t="s">
        <v>1336</v>
      </c>
      <c r="H47" s="2539"/>
      <c r="I47" s="156"/>
      <c r="J47" s="2515">
        <v>2</v>
      </c>
      <c r="K47" s="3618" t="s">
        <v>1337</v>
      </c>
      <c r="L47" s="3618"/>
      <c r="M47" s="3620">
        <f>'数据-取费表'!B2</f>
        <v>45114</v>
      </c>
      <c r="N47" s="3620"/>
      <c r="O47" s="3620"/>
    </row>
    <row r="48" spans="1:15" ht="25.5">
      <c r="A48" s="3680" t="s">
        <v>1338</v>
      </c>
      <c r="B48" s="3681"/>
      <c r="C48" s="3681"/>
      <c r="D48" s="2317" t="b">
        <f>IF(H48="情况1",0,IF(H48="情况2",D52,IF(H48="情况3",D53,IF(H48="情况4",D54))))</f>
        <v>0</v>
      </c>
      <c r="E48" s="2327" t="str">
        <f>IF(H48="情况4","(销售额-原购置价)×税（费）率","销售额×税（费）率")</f>
        <v>销售额×税（费）率</v>
      </c>
      <c r="F48" s="2540">
        <f>IF(H48="情况1","免征",'数据-取费表'!B41)</f>
        <v>5.5000000000000007E-2</v>
      </c>
      <c r="G48" s="2541" t="s">
        <v>1339</v>
      </c>
      <c r="H48" s="2542"/>
      <c r="I48" s="1802"/>
      <c r="J48" s="2515">
        <v>3</v>
      </c>
      <c r="K48" s="3618" t="s">
        <v>1340</v>
      </c>
      <c r="L48" s="3618"/>
      <c r="M48" s="3621">
        <f ca="1">H101</f>
        <v>3</v>
      </c>
      <c r="N48" s="3621"/>
      <c r="O48" s="3621"/>
    </row>
    <row r="49" spans="1:35" ht="25.5" customHeight="1">
      <c r="A49" s="2326" t="s">
        <v>1341</v>
      </c>
      <c r="B49" s="3666" t="s">
        <v>1342</v>
      </c>
      <c r="C49" s="3666"/>
      <c r="D49" s="1586">
        <v>0</v>
      </c>
      <c r="E49" s="321" t="s">
        <v>1343</v>
      </c>
      <c r="F49" s="2417" t="s">
        <v>28</v>
      </c>
      <c r="G49" s="3649"/>
      <c r="H49" s="2303" t="s">
        <v>2134</v>
      </c>
      <c r="I49" s="2304"/>
      <c r="J49" s="2515">
        <v>4</v>
      </c>
      <c r="K49" s="3618" t="str">
        <f>IF(项目基本情况!E8="房地产抵押价值","房地产抵押价值","抵押担保权已注销时的房地产抵押价值")</f>
        <v>抵押担保权已注销时的房地产抵押价值</v>
      </c>
      <c r="L49" s="3618"/>
      <c r="M49" s="3621" t="str">
        <f>IF(项目基本情况!E8="房地产抵押价值",H107,H109)</f>
        <v>——</v>
      </c>
      <c r="N49" s="3621"/>
      <c r="O49" s="3621"/>
    </row>
    <row r="50" spans="1:35" ht="25.5" customHeight="1">
      <c r="A50" s="2543"/>
      <c r="B50" s="3666" t="s">
        <v>1344</v>
      </c>
      <c r="C50" s="3666"/>
      <c r="D50" s="2544"/>
      <c r="E50" s="329"/>
      <c r="F50" s="2417"/>
      <c r="G50" s="3650"/>
      <c r="H50" s="2305" t="s">
        <v>2135</v>
      </c>
      <c r="I50" s="2304"/>
      <c r="J50" s="3617" t="s">
        <v>1345</v>
      </c>
      <c r="K50" s="3617"/>
      <c r="L50" s="3617"/>
      <c r="M50" s="3617"/>
      <c r="N50" s="3617"/>
      <c r="O50" s="3617"/>
    </row>
    <row r="51" spans="1:35" ht="20.45" customHeight="1">
      <c r="A51" s="2545"/>
      <c r="B51" s="3666" t="s">
        <v>1346</v>
      </c>
      <c r="C51" s="3666"/>
      <c r="D51" s="1083"/>
      <c r="E51" s="324"/>
      <c r="F51" s="2417"/>
      <c r="G51" s="3651"/>
      <c r="H51" s="2305" t="s">
        <v>2136</v>
      </c>
      <c r="I51" s="2304"/>
      <c r="J51" s="2516" t="s">
        <v>1347</v>
      </c>
      <c r="K51" s="3618" t="s">
        <v>1348</v>
      </c>
      <c r="L51" s="3618"/>
      <c r="M51" s="2516" t="s">
        <v>1349</v>
      </c>
      <c r="N51" s="2516" t="s">
        <v>1350</v>
      </c>
      <c r="O51" s="2516" t="s">
        <v>1351</v>
      </c>
    </row>
    <row r="52" spans="1:35" ht="24" customHeight="1">
      <c r="A52" s="2328" t="s">
        <v>1352</v>
      </c>
      <c r="B52" s="3666" t="s">
        <v>1353</v>
      </c>
      <c r="C52" s="3666"/>
      <c r="D52" s="1083">
        <f ca="1">ROUND(D45*'数据-取费表'!B41/(1+'数据-取费表'!C42),0)</f>
        <v>0</v>
      </c>
      <c r="E52" s="2327" t="s">
        <v>1354</v>
      </c>
      <c r="F52" s="2546">
        <f>'数据-取费表'!B41</f>
        <v>5.5000000000000007E-2</v>
      </c>
      <c r="G52" s="2547"/>
      <c r="H52" s="2536"/>
      <c r="I52" s="1803"/>
      <c r="J52" s="2515">
        <v>1</v>
      </c>
      <c r="K52" s="3643" t="s">
        <v>1355</v>
      </c>
      <c r="L52" s="3643"/>
      <c r="M52" s="2517" t="b">
        <f>D48</f>
        <v>0</v>
      </c>
      <c r="N52" s="2515" t="str">
        <f>E48</f>
        <v>销售额×税（费）率</v>
      </c>
      <c r="O52" s="2518">
        <f>F48</f>
        <v>5.5000000000000007E-2</v>
      </c>
    </row>
    <row r="53" spans="1:35" ht="12" customHeight="1">
      <c r="A53" s="2328" t="s">
        <v>1356</v>
      </c>
      <c r="B53" s="3667" t="s">
        <v>2288</v>
      </c>
      <c r="C53" s="3668"/>
      <c r="D53" s="1083">
        <f ca="1">ROUND(D45*'数据-取费表'!B41/(1+'数据-取费表'!C42),0)</f>
        <v>0</v>
      </c>
      <c r="E53" s="2327" t="s">
        <v>1354</v>
      </c>
      <c r="F53" s="2546">
        <f>'数据-取费表'!B41</f>
        <v>5.5000000000000007E-2</v>
      </c>
      <c r="G53" s="2547"/>
      <c r="H53" s="2536"/>
      <c r="I53" s="1803"/>
      <c r="J53" s="2515">
        <v>2</v>
      </c>
      <c r="K53" s="3643" t="s">
        <v>1357</v>
      </c>
      <c r="L53" s="3643"/>
      <c r="M53" s="2517">
        <f t="shared" ref="M53:O54" ca="1" si="0">D55</f>
        <v>0</v>
      </c>
      <c r="N53" s="2515" t="str">
        <f t="shared" si="0"/>
        <v>销售额×税（费）率</v>
      </c>
      <c r="O53" s="2518" t="str">
        <f t="shared" si="0"/>
        <v>免征</v>
      </c>
    </row>
    <row r="54" spans="1:35" ht="12" customHeight="1">
      <c r="A54" s="2328" t="s">
        <v>1358</v>
      </c>
      <c r="B54" s="3667" t="s">
        <v>2289</v>
      </c>
      <c r="C54" s="3668"/>
      <c r="D54" s="1083">
        <f ca="1">C68</f>
        <v>0</v>
      </c>
      <c r="E54" s="324" t="s">
        <v>1359</v>
      </c>
      <c r="F54" s="2546">
        <f>'数据-取费表'!B41</f>
        <v>5.5000000000000007E-2</v>
      </c>
      <c r="G54" s="2547"/>
      <c r="H54" s="2548"/>
      <c r="I54" s="1803"/>
      <c r="J54" s="2515">
        <v>3</v>
      </c>
      <c r="K54" s="3643" t="s">
        <v>1360</v>
      </c>
      <c r="L54" s="3643"/>
      <c r="M54" s="2517" t="e">
        <f t="shared" ca="1" si="0"/>
        <v>#DIV/0!</v>
      </c>
      <c r="N54" s="2515" t="str">
        <f t="shared" si="0"/>
        <v>增值额×税（费）率</v>
      </c>
      <c r="O54" s="2519" t="str">
        <f t="shared" si="0"/>
        <v>免征</v>
      </c>
    </row>
    <row r="55" spans="1:35" ht="24" customHeight="1">
      <c r="A55" s="3703" t="s">
        <v>1361</v>
      </c>
      <c r="B55" s="3681"/>
      <c r="C55" s="3681"/>
      <c r="D55" s="2317">
        <f ca="1">IF(H55="个人住宅",0,ROUND(D45*I55,0))</f>
        <v>0</v>
      </c>
      <c r="E55" s="2327" t="s">
        <v>1362</v>
      </c>
      <c r="F55" s="2546" t="str">
        <f>IF(H55="正常",I55,"免征")</f>
        <v>免征</v>
      </c>
      <c r="G55" s="2547"/>
      <c r="H55" s="2542"/>
      <c r="I55" s="162">
        <f>'数据-取费表'!B49</f>
        <v>0</v>
      </c>
      <c r="J55" s="2515">
        <f>IF(H59="非个人房产","",4)</f>
        <v>4</v>
      </c>
      <c r="K55" s="3643" t="str">
        <f>IF(H59="非个人房产","——","个人所得税")</f>
        <v>个人所得税</v>
      </c>
      <c r="L55" s="3643"/>
      <c r="M55" s="2520">
        <f ca="1">D59</f>
        <v>0</v>
      </c>
      <c r="N55" s="2033" t="str">
        <f>E59</f>
        <v>差额计税</v>
      </c>
      <c r="O55" s="2521">
        <f>F59</f>
        <v>0.01</v>
      </c>
    </row>
    <row r="56" spans="1:35" ht="24.75">
      <c r="A56" s="3703" t="s">
        <v>1363</v>
      </c>
      <c r="B56" s="3681"/>
      <c r="C56" s="3681"/>
      <c r="D56" s="2317" t="e">
        <f ca="1">IF(H56="个人住宅",D57,D58)</f>
        <v>#DIV/0!</v>
      </c>
      <c r="E56" s="2327" t="s">
        <v>1364</v>
      </c>
      <c r="F56" s="2546" t="str">
        <f>IF(H56="正常",F58,"免征")</f>
        <v>免征</v>
      </c>
      <c r="G56" s="2549" t="s">
        <v>1365</v>
      </c>
      <c r="H56" s="2550"/>
      <c r="I56" s="1804"/>
      <c r="J56" s="2515" t="str">
        <f>IF(项目基本情况!K6="上海银行",IF(J55="",4,J55+1),"")</f>
        <v/>
      </c>
      <c r="K56" s="3624" t="str">
        <f>IF(项目基本情况!K6="上海银行","其他处置费用","")</f>
        <v/>
      </c>
      <c r="L56" s="3625"/>
      <c r="M56" s="2517" t="str">
        <f>IF(项目基本情况!K6="上海银行",M69,"")</f>
        <v/>
      </c>
      <c r="N56" s="3624" t="str">
        <f>IF(项目基本情况!K6="上海银行","包含处置中涉及的律师、诉讼、拍卖、评估等费用","")</f>
        <v/>
      </c>
      <c r="O56" s="3627"/>
    </row>
    <row r="57" spans="1:35" ht="12.75">
      <c r="A57" s="2328" t="s">
        <v>1341</v>
      </c>
      <c r="B57" s="3667" t="s">
        <v>1366</v>
      </c>
      <c r="C57" s="3668"/>
      <c r="D57" s="1586">
        <v>0</v>
      </c>
      <c r="E57" s="321" t="s">
        <v>1343</v>
      </c>
      <c r="F57" s="299"/>
      <c r="G57" s="2547"/>
      <c r="H57" s="2551"/>
      <c r="I57" s="1804"/>
      <c r="J57" s="3643">
        <f>IF(AND(J55="",J56=""),4,IF(项目基本情况!K6="上海银行",结果表!J56+1,结果表!J55+1))</f>
        <v>5</v>
      </c>
      <c r="K57" s="3643" t="s">
        <v>1367</v>
      </c>
      <c r="L57" s="2522" t="s">
        <v>1368</v>
      </c>
      <c r="M57" s="2523"/>
      <c r="N57" s="2524">
        <f ca="1">SUMIF(M52:M56,"&lt;9e307")</f>
        <v>0</v>
      </c>
      <c r="O57" s="2525"/>
      <c r="P57" s="2682" t="e">
        <f ca="1">N57/M49</f>
        <v>#VALUE!</v>
      </c>
    </row>
    <row r="58" spans="1:35" ht="24.75">
      <c r="A58" s="2328" t="s">
        <v>1352</v>
      </c>
      <c r="B58" s="3667" t="s">
        <v>1369</v>
      </c>
      <c r="C58" s="3666"/>
      <c r="D58" s="2317" t="e">
        <f ca="1">IF(H58="转让取得",C81,C97)</f>
        <v>#DIV/0!</v>
      </c>
      <c r="E58" s="2327" t="s">
        <v>1364</v>
      </c>
      <c r="F58" s="299" t="s">
        <v>28</v>
      </c>
      <c r="G58" s="2547"/>
      <c r="H58" s="2550"/>
      <c r="I58" s="1804"/>
      <c r="J58" s="3643"/>
      <c r="K58" s="3643"/>
      <c r="L58" s="2522" t="s">
        <v>1370</v>
      </c>
      <c r="M58" s="2526"/>
      <c r="N58" s="2527" t="str">
        <f ca="1">NUMBERSTRING(INT(N57*10000),2)&amp;"元整"</f>
        <v>零元整</v>
      </c>
      <c r="O58" s="2528"/>
    </row>
    <row r="59" spans="1:35" ht="24.75" thickBot="1">
      <c r="A59" s="3647" t="s">
        <v>1371</v>
      </c>
      <c r="B59" s="3648"/>
      <c r="C59" s="3648"/>
      <c r="D59" s="2552">
        <f ca="1">IF(H59="非个人房产","——",IF(H59="个人住宅（满五唯一有凭证）",0,IF(H59="个人其他（无凭证）",ROUND(D45*F59,0),ROUND(C67*F59,0))))</f>
        <v>0</v>
      </c>
      <c r="E59" s="2553" t="str">
        <f>IF(H59="非个人房产","——",IF(H59="个人其他（无凭证）","销售额×税（费）率",IF(H59="个人住宅（满五唯一有凭证）","免征","差额计税")))</f>
        <v>差额计税</v>
      </c>
      <c r="F59" s="2554">
        <f>IF(OR(H59="非个人房产",H59="个人住宅（满五唯一有凭证）"),"——",IF(H59="个人其他（有凭证）",20%,1%))</f>
        <v>0.01</v>
      </c>
      <c r="G59" s="2555" t="s">
        <v>1365</v>
      </c>
      <c r="H59" s="2307"/>
      <c r="I59" s="2306" t="s">
        <v>2137</v>
      </c>
      <c r="J59" s="3645">
        <f>J57+1</f>
        <v>6</v>
      </c>
      <c r="K59" s="3643" t="s">
        <v>1372</v>
      </c>
      <c r="L59" s="2515" t="s">
        <v>1368</v>
      </c>
      <c r="M59" s="2529"/>
      <c r="N59" s="2530" t="e">
        <f ca="1">M49-N57</f>
        <v>#VALUE!</v>
      </c>
      <c r="O59" s="2531"/>
    </row>
    <row r="60" spans="1:35" ht="12" customHeight="1">
      <c r="A60" s="1805"/>
      <c r="B60" s="1743"/>
      <c r="C60" s="1743"/>
      <c r="D60" s="1743"/>
      <c r="E60" s="1574"/>
      <c r="F60" s="1804"/>
      <c r="G60" s="1804"/>
      <c r="H60" s="1806"/>
      <c r="I60" s="127"/>
      <c r="J60" s="3646"/>
      <c r="K60" s="3643"/>
      <c r="L60" s="2522" t="s">
        <v>1370</v>
      </c>
      <c r="M60" s="2526"/>
      <c r="N60" s="2527" t="e">
        <f ca="1">NUMBERSTRING(INT(N59*10000),2)&amp;"元整"</f>
        <v>#VALUE!</v>
      </c>
      <c r="O60" s="2528"/>
    </row>
    <row r="61" spans="1:35" ht="13.5" thickBot="1">
      <c r="A61" s="3702" t="s">
        <v>1373</v>
      </c>
      <c r="B61" s="3702"/>
      <c r="C61" s="3702"/>
      <c r="D61" s="3702"/>
      <c r="E61" s="3702"/>
      <c r="F61" s="1804"/>
      <c r="G61" s="1804"/>
      <c r="H61" s="1806"/>
      <c r="I61" s="127"/>
      <c r="J61" s="2515">
        <f>J59+1</f>
        <v>7</v>
      </c>
      <c r="K61" s="3643" t="s">
        <v>1374</v>
      </c>
      <c r="L61" s="3643"/>
      <c r="M61" s="2532"/>
      <c r="N61" s="2533" t="e">
        <f ca="1">ROUND(N59*10000/'数据-汇总表'!E3,0)</f>
        <v>#VALUE!</v>
      </c>
      <c r="O61" s="2534"/>
    </row>
    <row r="62" spans="1:35" ht="12.75">
      <c r="A62" s="3662" t="s">
        <v>1375</v>
      </c>
      <c r="B62" s="3663"/>
      <c r="C62" s="2014"/>
      <c r="D62" s="2014" t="s">
        <v>1376</v>
      </c>
      <c r="E62" s="163" t="s">
        <v>1377</v>
      </c>
      <c r="F62" s="1804"/>
      <c r="G62" s="1804"/>
      <c r="H62" s="1806"/>
      <c r="I62" s="127"/>
    </row>
    <row r="63" spans="1:35" ht="12.75">
      <c r="A63" s="170" t="s">
        <v>330</v>
      </c>
      <c r="B63" s="164" t="s">
        <v>1378</v>
      </c>
      <c r="C63" s="2556">
        <f ca="1">ROUND((C64+C65)/(1+'数据-取费表'!C42),0)</f>
        <v>3</v>
      </c>
      <c r="D63" s="164"/>
      <c r="E63" s="165"/>
      <c r="F63" s="1804"/>
      <c r="G63" s="1804"/>
      <c r="H63" s="1806"/>
      <c r="I63" s="127"/>
      <c r="J63" s="3626" t="s">
        <v>1379</v>
      </c>
      <c r="K63" s="1328" t="s">
        <v>1380</v>
      </c>
      <c r="L63" s="1328" t="e">
        <f>IF(M49&gt;10000,M49*0.5%,IF(AND(M49&gt;1000,M49&lt;=10000),M49*1%,IF(AND(M49&gt;100,M49&lt;=1000),M49*3%,IF(AND(M49&gt;10,M49&lt;=100),M49*5%,M49*8%))))</f>
        <v>#VALUE!</v>
      </c>
      <c r="M63" s="299" t="e">
        <f>ROUND(L63,1)</f>
        <v>#VALUE!</v>
      </c>
      <c r="N63" s="2535"/>
      <c r="Z63" s="1748"/>
      <c r="AI63" s="1749"/>
    </row>
    <row r="64" spans="1:35" ht="14.25" customHeight="1">
      <c r="A64" s="166" t="s">
        <v>325</v>
      </c>
      <c r="B64" s="167" t="s">
        <v>1381</v>
      </c>
      <c r="C64" s="2557">
        <f ca="1">D45</f>
        <v>3</v>
      </c>
      <c r="D64" s="167" t="s">
        <v>26</v>
      </c>
      <c r="E64" s="169"/>
      <c r="F64" s="1804"/>
      <c r="G64" s="1804"/>
      <c r="H64" s="1806"/>
      <c r="I64" s="127"/>
      <c r="J64" s="3626"/>
      <c r="K64" s="1328" t="s">
        <v>1382</v>
      </c>
      <c r="L64" s="1328" t="e">
        <f>IF(M49&gt;2000,M49*0.5%,IF(AND(M49&gt;1000,M49&lt;=2000),M49*0.6%,IF(AND(M49&gt;500,M49&lt;=1000),M49*0.7%,IF(AND(M49&gt;200,M49&lt;=500),M49*0.8%,IF(AND(M49&gt;100,M49&lt;=200),M49*0.9%,IF(AND(M49&gt;50,M49&lt;=100),M49*1%,IF(AND(M49&gt;20,M49&lt;=50),M49*1.5%,IF(AND(M49&gt;10,M49&lt;=20),M49*2%,IF(AND(M49&gt;1,M49&lt;=10),M49*2.5%)))))))))</f>
        <v>#VALUE!</v>
      </c>
      <c r="M64" s="299" t="e">
        <f t="shared" ref="M64:M65" si="1">ROUND(L64,1)</f>
        <v>#VALUE!</v>
      </c>
      <c r="N64" s="2536" t="s">
        <v>1383</v>
      </c>
      <c r="Z64" s="1748"/>
      <c r="AI64" s="1749"/>
    </row>
    <row r="65" spans="1:35" ht="14.25" customHeight="1">
      <c r="A65" s="166" t="s">
        <v>326</v>
      </c>
      <c r="B65" s="167" t="s">
        <v>1384</v>
      </c>
      <c r="C65" s="2558"/>
      <c r="D65" s="167"/>
      <c r="E65" s="169"/>
      <c r="F65" s="1804"/>
      <c r="G65" s="1804"/>
      <c r="H65" s="1806"/>
      <c r="I65" s="127"/>
      <c r="J65" s="3626"/>
      <c r="K65" s="1328" t="s">
        <v>1385</v>
      </c>
      <c r="L65" s="1328" t="e">
        <f>IF(M49&gt;1000,M49*0.1%,IF(AND(M49&gt;500,M49&lt;=1000),M49*0.5%,IF(AND(M49&gt;50,M49&lt;=500),M49*1%,IF(AND(M49&gt;1,M49&lt;=50),M49*1.5%))))</f>
        <v>#VALUE!</v>
      </c>
      <c r="M65" s="299" t="e">
        <f t="shared" si="1"/>
        <v>#VALUE!</v>
      </c>
      <c r="N65" s="2536" t="s">
        <v>1383</v>
      </c>
      <c r="Z65" s="1748"/>
      <c r="AI65" s="1749"/>
    </row>
    <row r="66" spans="1:35" ht="14.25" customHeight="1">
      <c r="A66" s="170" t="s">
        <v>327</v>
      </c>
      <c r="B66" s="171" t="s">
        <v>1386</v>
      </c>
      <c r="C66" s="2559"/>
      <c r="D66" s="171" t="s">
        <v>26</v>
      </c>
      <c r="E66" s="1334" t="s">
        <v>671</v>
      </c>
      <c r="F66" s="1804"/>
      <c r="G66" s="1804"/>
      <c r="H66" s="1806"/>
      <c r="I66" s="127"/>
      <c r="J66" s="3626"/>
      <c r="K66" s="1328" t="s">
        <v>1387</v>
      </c>
      <c r="L66" s="1328" t="e">
        <f>M49*0.5%</f>
        <v>#VALUE!</v>
      </c>
      <c r="M66" s="299" t="e">
        <f>IF(L66&gt;0.5,0.5,ROUND(L66,0))</f>
        <v>#VALUE!</v>
      </c>
      <c r="N66" s="2536" t="s">
        <v>1388</v>
      </c>
      <c r="Z66" s="1748"/>
      <c r="AI66" s="1749"/>
    </row>
    <row r="67" spans="1:35" ht="14.25" customHeight="1">
      <c r="A67" s="170" t="s">
        <v>328</v>
      </c>
      <c r="B67" s="171" t="s">
        <v>1389</v>
      </c>
      <c r="C67" s="2560">
        <f ca="1">C63-C66</f>
        <v>3</v>
      </c>
      <c r="D67" s="167" t="s">
        <v>26</v>
      </c>
      <c r="E67" s="169"/>
      <c r="F67" s="1804"/>
      <c r="G67" s="1804"/>
      <c r="H67" s="1806"/>
      <c r="I67" s="127"/>
      <c r="J67" s="3626"/>
      <c r="K67" s="1328" t="s">
        <v>1390</v>
      </c>
      <c r="L67" s="1328" t="e">
        <f>IF(M49&gt;=10000,(8.25+(M49-10000)*0.01%),IF(AND(M49&gt;=8000,M49&lt;10000),(7.85+(M49-8000)*0.02%),IF(AND(M49&gt;=5000,M49&lt;8000),(6.65+(M49-5000)*0.04%),IF(AND(M49&gt;=2000,M49&lt;5000),(4.25+(PM49-2000)*0.08%),IF(AND(M49&gt;=1000,M49&lt;2000),(2.75+(M49-1000)*0.15%),IF(AND(M49&gt;=100,M49&lt;1000),(0.5+(M49-100)*0.25%),IF(AND(M49&gt;0,M49&lt;100),M49*0.5%)))))))</f>
        <v>#VALUE!</v>
      </c>
      <c r="M67" s="299" t="e">
        <f>ROUND(L67*0.9,1)</f>
        <v>#VALUE!</v>
      </c>
      <c r="N67" s="2535"/>
      <c r="Z67" s="1748"/>
      <c r="AI67" s="1749"/>
    </row>
    <row r="68" spans="1:35" ht="14.25" customHeight="1" thickBot="1">
      <c r="A68" s="173" t="s">
        <v>329</v>
      </c>
      <c r="B68" s="174" t="s">
        <v>1391</v>
      </c>
      <c r="C68" s="2561">
        <f ca="1">IF(C67&lt;=0,0,ROUND(C67*D68,0))</f>
        <v>0</v>
      </c>
      <c r="D68" s="2562">
        <f>'数据-取费表'!B41</f>
        <v>5.5000000000000007E-2</v>
      </c>
      <c r="E68" s="175"/>
      <c r="F68" s="1804"/>
      <c r="G68" s="1804"/>
      <c r="H68" s="1806"/>
      <c r="I68" s="127"/>
      <c r="J68" s="3626"/>
      <c r="K68" s="1328" t="s">
        <v>1392</v>
      </c>
      <c r="L68" s="1328" t="e">
        <f>IF(M49&gt;10000,M49*0.5%,IF(AND(M49&gt;5000,M49&lt;=10000),M49*1%,IF(AND(M49&gt;1000,M49&lt;=5000),M49*2%,IF(AND(M49&gt;200,M49&lt;=1000),M49*3%,M49*5%))))</f>
        <v>#VALUE!</v>
      </c>
      <c r="M68" s="299" t="e">
        <f>ROUND(L68,1)</f>
        <v>#VALUE!</v>
      </c>
      <c r="N68" s="2535"/>
      <c r="Z68" s="1748"/>
      <c r="AI68" s="1749"/>
    </row>
    <row r="69" spans="1:35" s="1768" customFormat="1" ht="16.5" customHeight="1">
      <c r="A69" s="1807"/>
      <c r="B69" s="1808"/>
      <c r="C69" s="1809"/>
      <c r="D69" s="1810"/>
      <c r="E69" s="1811"/>
      <c r="F69" s="1574"/>
      <c r="G69" s="1574"/>
      <c r="H69" s="1573"/>
      <c r="I69" s="1743"/>
      <c r="J69" s="3626"/>
      <c r="K69" s="1328" t="s">
        <v>1393</v>
      </c>
      <c r="L69" s="1328"/>
      <c r="M69" s="299" t="e">
        <f>ROUND(SUM(M63:M68),0)</f>
        <v>#VALUE!</v>
      </c>
      <c r="N69" s="2537" t="e">
        <f>M69/M49</f>
        <v>#VALUE!</v>
      </c>
      <c r="O69" s="721"/>
      <c r="P69" s="721"/>
      <c r="Q69" s="721"/>
      <c r="R69" s="721"/>
      <c r="S69" s="721"/>
      <c r="T69" s="721"/>
      <c r="U69" s="721"/>
      <c r="V69" s="721"/>
      <c r="W69" s="721"/>
      <c r="X69" s="721"/>
      <c r="Y69" s="721"/>
      <c r="Z69" s="1748"/>
      <c r="AA69" s="1748"/>
      <c r="AB69" s="1748"/>
      <c r="AC69" s="1748"/>
      <c r="AD69" s="1748"/>
      <c r="AE69" s="1748"/>
      <c r="AF69" s="1748"/>
      <c r="AG69" s="1748"/>
      <c r="AH69" s="1748"/>
    </row>
    <row r="70" spans="1:35" s="1813" customFormat="1" ht="15" thickBot="1">
      <c r="A70" s="3670" t="s">
        <v>1394</v>
      </c>
      <c r="B70" s="3671"/>
      <c r="C70" s="3671"/>
      <c r="D70" s="3671"/>
      <c r="E70" s="3671"/>
      <c r="F70" s="3671"/>
      <c r="G70" s="3671"/>
      <c r="H70" s="3671"/>
      <c r="I70" s="1812"/>
      <c r="J70" s="2683"/>
      <c r="K70" s="2683"/>
      <c r="L70" s="2683"/>
      <c r="M70" s="2683"/>
      <c r="N70" s="1814"/>
      <c r="O70" s="1814"/>
      <c r="P70" s="1814"/>
      <c r="Q70" s="1814"/>
      <c r="R70" s="1814"/>
      <c r="S70" s="1814"/>
      <c r="T70" s="1814"/>
      <c r="U70" s="1814"/>
      <c r="V70" s="1814"/>
      <c r="W70" s="1814"/>
      <c r="X70" s="1814"/>
      <c r="Y70" s="1814"/>
      <c r="Z70" s="1814"/>
      <c r="AA70" s="1815"/>
      <c r="AB70" s="1815"/>
      <c r="AC70" s="1815"/>
      <c r="AD70" s="1815"/>
      <c r="AE70" s="1815"/>
      <c r="AF70" s="1815"/>
      <c r="AG70" s="1815"/>
      <c r="AH70" s="1815"/>
      <c r="AI70" s="1815"/>
    </row>
    <row r="71" spans="1:35" s="1813" customFormat="1" ht="14.25">
      <c r="A71" s="3662" t="s">
        <v>1375</v>
      </c>
      <c r="B71" s="3663"/>
      <c r="C71" s="2014"/>
      <c r="D71" s="2014" t="s">
        <v>1376</v>
      </c>
      <c r="E71" s="176" t="s">
        <v>1377</v>
      </c>
      <c r="F71" s="177"/>
      <c r="G71" s="177"/>
      <c r="H71" s="178"/>
      <c r="I71" s="1816"/>
      <c r="J71" s="2683"/>
      <c r="K71" s="2683"/>
      <c r="L71" s="2683"/>
      <c r="M71" s="2683"/>
      <c r="N71" s="1814"/>
      <c r="O71" s="1814"/>
      <c r="P71" s="1814"/>
      <c r="Q71" s="1814"/>
      <c r="R71" s="1814"/>
      <c r="S71" s="1814"/>
      <c r="T71" s="1814"/>
      <c r="U71" s="1814"/>
      <c r="V71" s="1814"/>
      <c r="W71" s="1814"/>
      <c r="X71" s="1814"/>
      <c r="Y71" s="1814"/>
      <c r="Z71" s="1814"/>
      <c r="AA71" s="1815"/>
      <c r="AB71" s="1815"/>
      <c r="AC71" s="1815"/>
      <c r="AD71" s="1815"/>
      <c r="AE71" s="1815"/>
      <c r="AF71" s="1815"/>
      <c r="AG71" s="1815"/>
      <c r="AH71" s="1815"/>
      <c r="AI71" s="1815"/>
    </row>
    <row r="72" spans="1:35" s="1813" customFormat="1" ht="14.25">
      <c r="A72" s="170" t="s">
        <v>330</v>
      </c>
      <c r="B72" s="171" t="s">
        <v>1395</v>
      </c>
      <c r="C72" s="2560">
        <f ca="1">ROUND(D45/(1+'数据-取费表'!C42),0)</f>
        <v>3</v>
      </c>
      <c r="D72" s="167" t="s">
        <v>26</v>
      </c>
      <c r="E72" s="2324"/>
      <c r="F72" s="2323"/>
      <c r="G72" s="2323"/>
      <c r="H72" s="179"/>
      <c r="I72" s="1816"/>
      <c r="J72" s="2683"/>
      <c r="K72" s="2683"/>
      <c r="L72" s="2683"/>
      <c r="M72" s="2683"/>
      <c r="N72" s="1814"/>
      <c r="O72" s="1814"/>
      <c r="P72" s="1814"/>
      <c r="Q72" s="1814"/>
      <c r="R72" s="1814"/>
      <c r="S72" s="1814"/>
      <c r="T72" s="1814"/>
      <c r="U72" s="1814"/>
      <c r="V72" s="1814"/>
      <c r="W72" s="1814"/>
      <c r="X72" s="1814"/>
      <c r="Y72" s="1814"/>
      <c r="Z72" s="1814"/>
      <c r="AA72" s="1815"/>
      <c r="AB72" s="1815"/>
      <c r="AC72" s="1815"/>
      <c r="AD72" s="1815"/>
      <c r="AE72" s="1815"/>
      <c r="AF72" s="1815"/>
      <c r="AG72" s="1815"/>
      <c r="AH72" s="1815"/>
      <c r="AI72" s="1815"/>
    </row>
    <row r="73" spans="1:35" s="1813" customFormat="1" ht="14.25">
      <c r="A73" s="170" t="s">
        <v>327</v>
      </c>
      <c r="B73" s="160" t="s">
        <v>1396</v>
      </c>
      <c r="C73" s="2560">
        <f ca="1">C74+C78</f>
        <v>0</v>
      </c>
      <c r="D73" s="167" t="s">
        <v>26</v>
      </c>
      <c r="E73" s="2324"/>
      <c r="F73" s="2323"/>
      <c r="G73" s="2323"/>
      <c r="H73" s="179"/>
      <c r="I73" s="1816"/>
      <c r="J73" s="1814"/>
      <c r="K73" s="1814"/>
      <c r="L73" s="1814"/>
      <c r="M73" s="1814"/>
      <c r="N73" s="1814"/>
      <c r="O73" s="1814"/>
      <c r="P73" s="1814"/>
      <c r="Q73" s="1814"/>
      <c r="R73" s="1814"/>
      <c r="S73" s="1814"/>
      <c r="T73" s="1814"/>
      <c r="U73" s="1814"/>
      <c r="V73" s="1814"/>
      <c r="W73" s="1814"/>
      <c r="X73" s="1814"/>
      <c r="Y73" s="1814"/>
      <c r="Z73" s="1814"/>
      <c r="AA73" s="1815"/>
      <c r="AB73" s="1815"/>
      <c r="AC73" s="1815"/>
      <c r="AD73" s="1815"/>
      <c r="AE73" s="1815"/>
      <c r="AF73" s="1815"/>
      <c r="AG73" s="1815"/>
      <c r="AH73" s="1815"/>
      <c r="AI73" s="1815"/>
    </row>
    <row r="74" spans="1:35" s="1813" customFormat="1" ht="24">
      <c r="A74" s="166" t="s">
        <v>325</v>
      </c>
      <c r="B74" s="167" t="s">
        <v>1397</v>
      </c>
      <c r="C74" s="167">
        <f>ROUND(IF(G77="2016年5月1日后购买",C75/(1+'数据-取费表'!C42)+C76+C77,C75+C76+C77),0)</f>
        <v>0</v>
      </c>
      <c r="D74" s="167" t="s">
        <v>26</v>
      </c>
      <c r="E74" s="2324"/>
      <c r="F74" s="2323"/>
      <c r="G74" s="2323"/>
      <c r="H74" s="179"/>
      <c r="I74" s="1816"/>
      <c r="J74" s="1814"/>
      <c r="K74" s="1814"/>
      <c r="L74" s="1814"/>
      <c r="M74" s="1814"/>
      <c r="N74" s="1814"/>
      <c r="O74" s="1814"/>
      <c r="P74" s="1814"/>
      <c r="Q74" s="1814"/>
      <c r="R74" s="1814"/>
      <c r="S74" s="1814"/>
      <c r="T74" s="1814"/>
      <c r="U74" s="1814"/>
      <c r="V74" s="1814"/>
      <c r="W74" s="1814"/>
      <c r="X74" s="1814"/>
      <c r="Y74" s="1814"/>
      <c r="Z74" s="1814"/>
      <c r="AA74" s="1815"/>
      <c r="AB74" s="1815"/>
      <c r="AC74" s="1815"/>
      <c r="AD74" s="1815"/>
      <c r="AE74" s="1815"/>
      <c r="AF74" s="1815"/>
      <c r="AG74" s="1815"/>
      <c r="AH74" s="1815"/>
      <c r="AI74" s="1815"/>
    </row>
    <row r="75" spans="1:35" s="1813" customFormat="1" ht="14.25">
      <c r="A75" s="166" t="s">
        <v>331</v>
      </c>
      <c r="B75" s="167" t="s">
        <v>1398</v>
      </c>
      <c r="C75" s="2563"/>
      <c r="D75" s="167" t="s">
        <v>26</v>
      </c>
      <c r="E75" s="181" t="s">
        <v>1399</v>
      </c>
      <c r="F75" s="2564"/>
      <c r="G75" s="181" t="s">
        <v>1400</v>
      </c>
      <c r="H75" s="2565"/>
      <c r="I75" s="1817"/>
      <c r="J75" s="1814"/>
      <c r="K75" s="1814"/>
      <c r="L75" s="1814"/>
      <c r="M75" s="1814"/>
      <c r="N75" s="1814"/>
      <c r="O75" s="1814"/>
      <c r="P75" s="1814"/>
      <c r="Q75" s="1814"/>
      <c r="R75" s="1814"/>
      <c r="S75" s="1814"/>
      <c r="T75" s="1814"/>
      <c r="U75" s="1814"/>
      <c r="V75" s="1814"/>
      <c r="W75" s="1814"/>
      <c r="X75" s="1814"/>
      <c r="Y75" s="1814"/>
      <c r="Z75" s="1814"/>
      <c r="AA75" s="1815"/>
      <c r="AB75" s="1815"/>
      <c r="AC75" s="1815"/>
      <c r="AD75" s="1815"/>
      <c r="AE75" s="1815"/>
      <c r="AF75" s="1815"/>
      <c r="AG75" s="1815"/>
      <c r="AH75" s="1815"/>
      <c r="AI75" s="1815"/>
    </row>
    <row r="76" spans="1:35" s="1813" customFormat="1" ht="24.75" customHeight="1">
      <c r="A76" s="166" t="s">
        <v>332</v>
      </c>
      <c r="B76" s="182" t="s">
        <v>1401</v>
      </c>
      <c r="C76" s="167">
        <f>IF(F75="购房发票",ROUND(C75*H75*D76,0),0)</f>
        <v>0</v>
      </c>
      <c r="D76" s="2566">
        <v>0.05</v>
      </c>
      <c r="E76" s="3667" t="s">
        <v>1402</v>
      </c>
      <c r="F76" s="3666"/>
      <c r="G76" s="3666"/>
      <c r="H76" s="3669"/>
      <c r="I76" s="1816"/>
      <c r="J76" s="1814"/>
      <c r="K76" s="1814"/>
      <c r="L76" s="1814"/>
      <c r="M76" s="1814"/>
      <c r="N76" s="1814"/>
      <c r="O76" s="1814"/>
      <c r="P76" s="1814"/>
      <c r="Q76" s="1814"/>
      <c r="R76" s="1814"/>
      <c r="S76" s="1814"/>
      <c r="T76" s="1814"/>
      <c r="U76" s="1814"/>
      <c r="V76" s="1814"/>
      <c r="W76" s="1814"/>
      <c r="X76" s="1814"/>
      <c r="Y76" s="1814"/>
      <c r="Z76" s="1814"/>
      <c r="AA76" s="1815"/>
      <c r="AB76" s="1815"/>
      <c r="AC76" s="1815"/>
      <c r="AD76" s="1815"/>
      <c r="AE76" s="1815"/>
      <c r="AF76" s="1815"/>
      <c r="AG76" s="1815"/>
      <c r="AH76" s="1815"/>
      <c r="AI76" s="1815"/>
    </row>
    <row r="77" spans="1:35" s="1813" customFormat="1" ht="24.75" customHeight="1">
      <c r="A77" s="166" t="s">
        <v>333</v>
      </c>
      <c r="B77" s="167" t="s">
        <v>1403</v>
      </c>
      <c r="C77" s="167">
        <f>ROUND(IF(G77="个人住宅",0,IF(G77="2016年5月1日前购买",C75*D77,C75*D77/(1+'数据-取费表'!C42))),0)</f>
        <v>0</v>
      </c>
      <c r="D77" s="2567">
        <f>'数据-取费表'!B48+'数据-取费表'!B49</f>
        <v>0</v>
      </c>
      <c r="E77" s="2317" t="s">
        <v>1404</v>
      </c>
      <c r="F77" s="183"/>
      <c r="G77" s="1818"/>
      <c r="H77" s="2325" t="str">
        <f>IF(G77="个人买卖住房","免征印花税"," ")</f>
        <v xml:space="preserve"> </v>
      </c>
      <c r="I77" s="1816"/>
      <c r="J77" s="1814"/>
      <c r="K77" s="1814"/>
      <c r="L77" s="1814"/>
      <c r="M77" s="1814"/>
      <c r="N77" s="1814"/>
      <c r="O77" s="1814"/>
      <c r="P77" s="1814"/>
      <c r="Q77" s="1814"/>
      <c r="R77" s="1814"/>
      <c r="S77" s="1814"/>
      <c r="T77" s="1814"/>
      <c r="U77" s="1814"/>
      <c r="V77" s="1814"/>
      <c r="W77" s="1814"/>
      <c r="X77" s="1814"/>
      <c r="Y77" s="1814"/>
      <c r="Z77" s="1814"/>
      <c r="AA77" s="1815"/>
      <c r="AB77" s="1815"/>
      <c r="AC77" s="1815"/>
      <c r="AD77" s="1815"/>
      <c r="AE77" s="1815"/>
      <c r="AF77" s="1815"/>
      <c r="AG77" s="1815"/>
      <c r="AH77" s="1815"/>
      <c r="AI77" s="1815"/>
    </row>
    <row r="78" spans="1:35" s="1813" customFormat="1" ht="24.75" customHeight="1">
      <c r="A78" s="166" t="s">
        <v>326</v>
      </c>
      <c r="B78" s="167" t="s">
        <v>1405</v>
      </c>
      <c r="C78" s="2568">
        <f ca="1">ROUND(D45*D78/(1+'数据-取费表'!C42),0)</f>
        <v>0</v>
      </c>
      <c r="D78" s="2569">
        <f>'数据-取费表'!B43</f>
        <v>5.000000000000001E-3</v>
      </c>
      <c r="E78" s="3659" t="s">
        <v>1406</v>
      </c>
      <c r="F78" s="3660"/>
      <c r="G78" s="3660"/>
      <c r="H78" s="3661"/>
      <c r="I78" s="1819"/>
      <c r="J78" s="1814"/>
      <c r="K78" s="1814"/>
      <c r="L78" s="1814"/>
      <c r="M78" s="1814"/>
      <c r="N78" s="1814"/>
      <c r="O78" s="1814"/>
      <c r="P78" s="1814"/>
      <c r="Q78" s="1814"/>
      <c r="R78" s="1814"/>
      <c r="S78" s="1814"/>
      <c r="T78" s="1814"/>
      <c r="U78" s="1814"/>
      <c r="V78" s="1814"/>
      <c r="W78" s="1814"/>
      <c r="X78" s="1814"/>
      <c r="Y78" s="1814"/>
      <c r="Z78" s="1814"/>
      <c r="AA78" s="1815"/>
      <c r="AB78" s="1815"/>
      <c r="AC78" s="1815"/>
      <c r="AD78" s="1815"/>
      <c r="AE78" s="1815"/>
      <c r="AF78" s="1815"/>
      <c r="AG78" s="1815"/>
      <c r="AH78" s="1815"/>
      <c r="AI78" s="1815"/>
    </row>
    <row r="79" spans="1:35" s="1813" customFormat="1" ht="14.25">
      <c r="A79" s="170" t="s">
        <v>334</v>
      </c>
      <c r="B79" s="171" t="s">
        <v>1407</v>
      </c>
      <c r="C79" s="2560">
        <f ca="1">C72-C73</f>
        <v>3</v>
      </c>
      <c r="D79" s="167" t="s">
        <v>26</v>
      </c>
      <c r="E79" s="2324"/>
      <c r="F79" s="2323"/>
      <c r="G79" s="2323"/>
      <c r="H79" s="179"/>
      <c r="I79" s="1816"/>
      <c r="J79" s="1814"/>
      <c r="K79" s="1814"/>
      <c r="L79" s="1814"/>
      <c r="M79" s="1814"/>
      <c r="N79" s="1814"/>
      <c r="O79" s="1814"/>
      <c r="P79" s="1814"/>
      <c r="Q79" s="1814"/>
      <c r="R79" s="1814"/>
      <c r="S79" s="1814"/>
      <c r="T79" s="1814"/>
      <c r="U79" s="1814"/>
      <c r="V79" s="1814"/>
      <c r="W79" s="1814"/>
      <c r="X79" s="1814"/>
      <c r="Y79" s="1814"/>
      <c r="Z79" s="1814"/>
      <c r="AA79" s="1815"/>
      <c r="AB79" s="1815"/>
      <c r="AC79" s="1815"/>
      <c r="AD79" s="1815"/>
      <c r="AE79" s="1815"/>
      <c r="AF79" s="1815"/>
      <c r="AG79" s="1815"/>
      <c r="AH79" s="1815"/>
      <c r="AI79" s="1815"/>
    </row>
    <row r="80" spans="1:35" s="1813" customFormat="1" ht="24">
      <c r="A80" s="170" t="s">
        <v>335</v>
      </c>
      <c r="B80" s="171" t="s">
        <v>1408</v>
      </c>
      <c r="C80" s="2570" t="e">
        <f ca="1">IF(C79&lt;=0,0,C79/C73)</f>
        <v>#DIV/0!</v>
      </c>
      <c r="D80" s="167" t="s">
        <v>26</v>
      </c>
      <c r="E80" s="2317" t="e">
        <f ca="1">IF(C80&gt;=200%,"增值额超过扣除项目金额200%",IF(C80&gt;=100%,"增值额超过扣除项目金额100%，未超过200%",IF(C80&gt;=50%,"增值额超过扣除项目金额50%，未超过100%",IF(C80&lt;50%,"增值额未超过扣除项目金额50%"))))</f>
        <v>#DIV/0!</v>
      </c>
      <c r="F80" s="2323"/>
      <c r="G80" s="2323"/>
      <c r="H80" s="179"/>
      <c r="I80" s="1816"/>
      <c r="J80" s="1814"/>
      <c r="K80" s="1814"/>
      <c r="L80" s="1814"/>
      <c r="M80" s="1814"/>
      <c r="N80" s="1814"/>
      <c r="O80" s="1814"/>
      <c r="P80" s="1814"/>
      <c r="Q80" s="1814"/>
      <c r="R80" s="1814"/>
      <c r="S80" s="1814"/>
      <c r="T80" s="1814"/>
      <c r="U80" s="1814"/>
      <c r="V80" s="1814"/>
      <c r="W80" s="1814"/>
      <c r="X80" s="1814"/>
      <c r="Y80" s="1814"/>
      <c r="Z80" s="1814"/>
      <c r="AA80" s="1815"/>
      <c r="AB80" s="1815"/>
      <c r="AC80" s="1815"/>
      <c r="AD80" s="1815"/>
      <c r="AE80" s="1815"/>
      <c r="AF80" s="1815"/>
      <c r="AG80" s="1815"/>
      <c r="AH80" s="1815"/>
      <c r="AI80" s="1815"/>
    </row>
    <row r="81" spans="1:35" s="1813" customFormat="1" ht="24.75" thickBot="1">
      <c r="A81" s="173" t="s">
        <v>336</v>
      </c>
      <c r="B81" s="174" t="s">
        <v>1409</v>
      </c>
      <c r="C81" s="2571" t="e">
        <f ca="1">ROUND(IF(C79&lt;=0,0,IF(C80&gt;=200%,C79*60%-C73*35%,IF(C80&gt;=100%,C79*50%-C73*15%,IF(C80&gt;=50%,C79*40%-C73*5%,IF(C80&lt;50%,C79*30%,0))))),0)</f>
        <v>#DIV/0!</v>
      </c>
      <c r="D81" s="2572" t="s">
        <v>26</v>
      </c>
      <c r="E81" s="185"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#DIV/0!</v>
      </c>
      <c r="F81" s="186"/>
      <c r="G81" s="186"/>
      <c r="H81" s="187"/>
      <c r="I81" s="1816"/>
      <c r="J81" s="1814"/>
      <c r="K81" s="1814"/>
      <c r="L81" s="1814"/>
      <c r="M81" s="1814"/>
      <c r="N81" s="1814"/>
      <c r="O81" s="1814"/>
      <c r="P81" s="1814"/>
      <c r="Q81" s="1814"/>
      <c r="R81" s="1814"/>
      <c r="S81" s="1814"/>
      <c r="T81" s="1814"/>
      <c r="U81" s="1814"/>
      <c r="V81" s="1814"/>
      <c r="W81" s="1814"/>
      <c r="X81" s="1814"/>
      <c r="Y81" s="1814"/>
      <c r="Z81" s="1814"/>
      <c r="AA81" s="1815"/>
      <c r="AB81" s="1815"/>
      <c r="AC81" s="1815"/>
      <c r="AD81" s="1815"/>
      <c r="AE81" s="1815"/>
      <c r="AF81" s="1815"/>
      <c r="AG81" s="1815"/>
      <c r="AH81" s="1815"/>
      <c r="AI81" s="1815"/>
    </row>
    <row r="82" spans="1:35" s="1813" customFormat="1" ht="7.5" customHeight="1">
      <c r="A82" s="676"/>
      <c r="B82" s="677"/>
      <c r="C82" s="4"/>
      <c r="D82" s="4"/>
      <c r="E82" s="677"/>
      <c r="F82" s="677"/>
      <c r="G82" s="677"/>
      <c r="H82" s="678"/>
      <c r="I82" s="1819"/>
      <c r="J82" s="1814"/>
      <c r="K82" s="1814"/>
      <c r="L82" s="1814"/>
      <c r="M82" s="1814"/>
      <c r="N82" s="1814"/>
      <c r="O82" s="1814"/>
      <c r="P82" s="1814"/>
      <c r="Q82" s="1814"/>
      <c r="R82" s="1814"/>
      <c r="S82" s="1814"/>
      <c r="T82" s="1814"/>
      <c r="U82" s="1814"/>
      <c r="V82" s="1814"/>
      <c r="W82" s="1814"/>
      <c r="X82" s="1814"/>
      <c r="Y82" s="1814"/>
      <c r="Z82" s="1814"/>
      <c r="AA82" s="1815"/>
      <c r="AB82" s="1815"/>
      <c r="AC82" s="1815"/>
      <c r="AD82" s="1815"/>
      <c r="AE82" s="1815"/>
      <c r="AF82" s="1815"/>
      <c r="AG82" s="1815"/>
      <c r="AH82" s="1815"/>
      <c r="AI82" s="1815"/>
    </row>
    <row r="83" spans="1:35" s="1813" customFormat="1" ht="15" thickBot="1">
      <c r="A83" s="3670" t="s">
        <v>1410</v>
      </c>
      <c r="B83" s="3671"/>
      <c r="C83" s="3671"/>
      <c r="D83" s="3671"/>
      <c r="E83" s="3671"/>
      <c r="F83" s="3671"/>
      <c r="G83" s="3671"/>
      <c r="H83" s="3671"/>
      <c r="I83" s="1817"/>
      <c r="J83" s="1814"/>
      <c r="K83" s="1814"/>
      <c r="L83" s="1814"/>
      <c r="M83" s="1814"/>
      <c r="N83" s="1814"/>
      <c r="O83" s="1814"/>
      <c r="P83" s="1814"/>
      <c r="Q83" s="1814"/>
      <c r="R83" s="1814"/>
      <c r="S83" s="1814"/>
      <c r="T83" s="1814"/>
      <c r="U83" s="1814"/>
      <c r="V83" s="1814"/>
      <c r="W83" s="1814"/>
      <c r="X83" s="1814"/>
      <c r="Y83" s="1814"/>
      <c r="Z83" s="1814"/>
      <c r="AA83" s="1815"/>
      <c r="AB83" s="1815"/>
      <c r="AC83" s="1815"/>
      <c r="AD83" s="1815"/>
      <c r="AE83" s="1815"/>
      <c r="AF83" s="1815"/>
      <c r="AG83" s="1815"/>
      <c r="AH83" s="1815"/>
      <c r="AI83" s="1815"/>
    </row>
    <row r="84" spans="1:35" s="1813" customFormat="1" ht="14.25">
      <c r="A84" s="3662" t="s">
        <v>1375</v>
      </c>
      <c r="B84" s="3663"/>
      <c r="C84" s="2014"/>
      <c r="D84" s="2014" t="s">
        <v>1376</v>
      </c>
      <c r="E84" s="176" t="s">
        <v>1377</v>
      </c>
      <c r="F84" s="177"/>
      <c r="G84" s="177"/>
      <c r="H84" s="188"/>
      <c r="I84" s="1817"/>
      <c r="J84" s="1814"/>
      <c r="K84" s="1814"/>
      <c r="L84" s="1814"/>
      <c r="M84" s="1814"/>
      <c r="N84" s="1814"/>
      <c r="O84" s="1814"/>
      <c r="P84" s="1814"/>
      <c r="Q84" s="1814"/>
      <c r="R84" s="1814"/>
      <c r="S84" s="1814"/>
      <c r="T84" s="1814"/>
      <c r="U84" s="1814"/>
      <c r="V84" s="1814"/>
      <c r="W84" s="1814"/>
      <c r="X84" s="1814"/>
      <c r="Y84" s="1814"/>
      <c r="Z84" s="1814"/>
      <c r="AA84" s="1815"/>
      <c r="AB84" s="1815"/>
      <c r="AC84" s="1815"/>
      <c r="AD84" s="1815"/>
      <c r="AE84" s="1815"/>
      <c r="AF84" s="1815"/>
      <c r="AG84" s="1815"/>
      <c r="AH84" s="1815"/>
      <c r="AI84" s="1815"/>
    </row>
    <row r="85" spans="1:35" s="1813" customFormat="1" ht="14.25">
      <c r="A85" s="170" t="s">
        <v>330</v>
      </c>
      <c r="B85" s="171" t="s">
        <v>1395</v>
      </c>
      <c r="C85" s="2560">
        <f ca="1">ROUND(D45/(1+'数据-取费表'!C42),0)</f>
        <v>3</v>
      </c>
      <c r="D85" s="167" t="s">
        <v>26</v>
      </c>
      <c r="E85" s="2324"/>
      <c r="F85" s="2323"/>
      <c r="G85" s="2323"/>
      <c r="H85" s="189"/>
      <c r="I85" s="1817"/>
      <c r="J85" s="1814"/>
      <c r="K85" s="1814"/>
      <c r="L85" s="1814"/>
      <c r="M85" s="1814"/>
      <c r="N85" s="1814"/>
      <c r="O85" s="1814"/>
      <c r="P85" s="1814"/>
      <c r="Q85" s="1814"/>
      <c r="R85" s="1814"/>
      <c r="S85" s="1814"/>
      <c r="T85" s="1814"/>
      <c r="U85" s="1814"/>
      <c r="V85" s="1814"/>
      <c r="W85" s="1814"/>
      <c r="X85" s="1814"/>
      <c r="Y85" s="1814"/>
      <c r="Z85" s="1814"/>
      <c r="AA85" s="1815"/>
      <c r="AB85" s="1815"/>
      <c r="AC85" s="1815"/>
      <c r="AD85" s="1815"/>
      <c r="AE85" s="1815"/>
      <c r="AF85" s="1815"/>
      <c r="AG85" s="1815"/>
      <c r="AH85" s="1815"/>
      <c r="AI85" s="1815"/>
    </row>
    <row r="86" spans="1:35" s="1813" customFormat="1" ht="14.25">
      <c r="A86" s="170" t="s">
        <v>327</v>
      </c>
      <c r="B86" s="160" t="s">
        <v>1396</v>
      </c>
      <c r="C86" s="2560">
        <f ca="1">IF(H88="仅含出让金",C87+C90+C91+C92+C93+C94,C87+C91+C92+C93+C94)</f>
        <v>0</v>
      </c>
      <c r="D86" s="2573"/>
      <c r="E86" s="2324"/>
      <c r="F86" s="2323"/>
      <c r="G86" s="2323"/>
      <c r="H86" s="189"/>
      <c r="I86" s="1817"/>
      <c r="J86" s="1814"/>
      <c r="K86" s="1814"/>
      <c r="L86" s="1814"/>
      <c r="M86" s="1814"/>
      <c r="N86" s="1814"/>
      <c r="O86" s="1814"/>
      <c r="P86" s="1814"/>
      <c r="Q86" s="1814"/>
      <c r="R86" s="1814"/>
      <c r="S86" s="1814"/>
      <c r="T86" s="1814"/>
      <c r="U86" s="1814"/>
      <c r="V86" s="1814"/>
      <c r="W86" s="1814"/>
      <c r="X86" s="1814"/>
      <c r="Y86" s="1814"/>
      <c r="Z86" s="1814"/>
      <c r="AA86" s="1815"/>
      <c r="AB86" s="1815"/>
      <c r="AC86" s="1815"/>
      <c r="AD86" s="1815"/>
      <c r="AE86" s="1815"/>
      <c r="AF86" s="1815"/>
      <c r="AG86" s="1815"/>
      <c r="AH86" s="1815"/>
      <c r="AI86" s="1815"/>
    </row>
    <row r="87" spans="1:35" s="1813" customFormat="1" ht="14.25">
      <c r="A87" s="166" t="s">
        <v>325</v>
      </c>
      <c r="B87" s="167" t="s">
        <v>1411</v>
      </c>
      <c r="C87" s="2568">
        <f>C88+C89</f>
        <v>0</v>
      </c>
      <c r="D87" s="2569"/>
      <c r="E87" s="2319"/>
      <c r="F87" s="2320"/>
      <c r="G87" s="2320"/>
      <c r="H87" s="2321"/>
      <c r="I87" s="1817"/>
      <c r="J87" s="1814"/>
      <c r="K87" s="1814"/>
      <c r="L87" s="1814"/>
      <c r="M87" s="1814"/>
      <c r="N87" s="1814"/>
      <c r="O87" s="1814"/>
      <c r="P87" s="1814"/>
      <c r="Q87" s="1814"/>
      <c r="R87" s="1814"/>
      <c r="S87" s="1814"/>
      <c r="T87" s="1814"/>
      <c r="U87" s="1814"/>
      <c r="V87" s="1814"/>
      <c r="W87" s="1814"/>
      <c r="X87" s="1814"/>
      <c r="Y87" s="1814"/>
      <c r="Z87" s="1814"/>
      <c r="AA87" s="1815"/>
      <c r="AB87" s="1815"/>
      <c r="AC87" s="1815"/>
      <c r="AD87" s="1815"/>
      <c r="AE87" s="1815"/>
      <c r="AF87" s="1815"/>
      <c r="AG87" s="1815"/>
      <c r="AH87" s="1815"/>
      <c r="AI87" s="1815"/>
    </row>
    <row r="88" spans="1:35" s="1813" customFormat="1" ht="14.25">
      <c r="A88" s="166" t="s">
        <v>331</v>
      </c>
      <c r="B88" s="167" t="s">
        <v>1412</v>
      </c>
      <c r="C88" s="2574"/>
      <c r="D88" s="2569"/>
      <c r="E88" s="190" t="s">
        <v>1413</v>
      </c>
      <c r="F88" s="2320"/>
      <c r="G88" s="191" t="s">
        <v>1414</v>
      </c>
      <c r="H88" s="1820"/>
      <c r="I88" s="1817"/>
      <c r="J88" s="2513" t="s">
        <v>2285</v>
      </c>
      <c r="K88" s="1814"/>
      <c r="L88" s="1814"/>
      <c r="M88" s="1814"/>
      <c r="N88" s="1814"/>
      <c r="O88" s="1814"/>
      <c r="P88" s="1814"/>
      <c r="Q88" s="1814"/>
      <c r="R88" s="1814"/>
      <c r="S88" s="1814"/>
      <c r="T88" s="1814"/>
      <c r="U88" s="1814"/>
      <c r="V88" s="1814"/>
      <c r="W88" s="1814"/>
      <c r="X88" s="1814"/>
      <c r="Y88" s="1814"/>
      <c r="Z88" s="1814"/>
      <c r="AA88" s="1815"/>
      <c r="AB88" s="1815"/>
      <c r="AC88" s="1815"/>
      <c r="AD88" s="1815"/>
      <c r="AE88" s="1815"/>
      <c r="AF88" s="1815"/>
      <c r="AG88" s="1815"/>
      <c r="AH88" s="1815"/>
      <c r="AI88" s="1815"/>
    </row>
    <row r="89" spans="1:35" s="1813" customFormat="1" ht="14.25">
      <c r="A89" s="166" t="s">
        <v>332</v>
      </c>
      <c r="B89" s="167" t="s">
        <v>1403</v>
      </c>
      <c r="C89" s="2568">
        <f>ROUND(C88*D89,0)</f>
        <v>0</v>
      </c>
      <c r="D89" s="2569">
        <f>'数据-取费表'!B48+'数据-取费表'!B49</f>
        <v>0</v>
      </c>
      <c r="E89" s="190" t="s">
        <v>1415</v>
      </c>
      <c r="F89" s="2320"/>
      <c r="G89" s="2320"/>
      <c r="H89" s="2321"/>
      <c r="I89" s="1817"/>
      <c r="J89" s="1814"/>
      <c r="K89" s="1814"/>
      <c r="L89" s="1814"/>
      <c r="M89" s="1814"/>
      <c r="N89" s="1814"/>
      <c r="O89" s="1814"/>
      <c r="P89" s="1814"/>
      <c r="Q89" s="1814"/>
      <c r="R89" s="1814"/>
      <c r="S89" s="1814"/>
      <c r="T89" s="1814"/>
      <c r="U89" s="1814"/>
      <c r="V89" s="1814"/>
      <c r="W89" s="1814"/>
      <c r="X89" s="1814"/>
      <c r="Y89" s="1814"/>
      <c r="Z89" s="1814"/>
      <c r="AA89" s="1815"/>
      <c r="AB89" s="1815"/>
      <c r="AC89" s="1815"/>
      <c r="AD89" s="1815"/>
      <c r="AE89" s="1815"/>
      <c r="AF89" s="1815"/>
      <c r="AG89" s="1815"/>
      <c r="AH89" s="1815"/>
      <c r="AI89" s="1815"/>
    </row>
    <row r="90" spans="1:35" s="1813" customFormat="1" ht="14.25">
      <c r="A90" s="166" t="s">
        <v>326</v>
      </c>
      <c r="B90" s="167" t="s">
        <v>1416</v>
      </c>
      <c r="C90" s="2574"/>
      <c r="D90" s="2569"/>
      <c r="E90" s="190" t="str">
        <f>IF(H88="-","土地取得成本中已包含该笔费用"," ")</f>
        <v xml:space="preserve"> </v>
      </c>
      <c r="F90" s="2320"/>
      <c r="G90" s="3628" t="s">
        <v>2129</v>
      </c>
      <c r="H90" s="3629"/>
      <c r="I90" s="1817"/>
      <c r="J90" s="2513" t="s">
        <v>2286</v>
      </c>
      <c r="K90" s="1814"/>
      <c r="L90" s="1814"/>
      <c r="M90" s="1814"/>
      <c r="N90" s="1814"/>
      <c r="O90" s="1814"/>
      <c r="P90" s="1814"/>
      <c r="Q90" s="1814"/>
      <c r="R90" s="1814"/>
      <c r="S90" s="1814"/>
      <c r="T90" s="1814"/>
      <c r="U90" s="1814"/>
      <c r="V90" s="1814"/>
      <c r="W90" s="1814"/>
      <c r="X90" s="1814"/>
      <c r="Y90" s="1814"/>
      <c r="Z90" s="1814"/>
      <c r="AA90" s="1815"/>
      <c r="AB90" s="1815"/>
      <c r="AC90" s="1815"/>
      <c r="AD90" s="1815"/>
      <c r="AE90" s="1815"/>
      <c r="AF90" s="1815"/>
      <c r="AG90" s="1815"/>
      <c r="AH90" s="1815"/>
      <c r="AI90" s="1815"/>
    </row>
    <row r="91" spans="1:35" s="1813" customFormat="1" ht="27.75" customHeight="1">
      <c r="A91" s="166" t="s">
        <v>1417</v>
      </c>
      <c r="B91" s="167" t="s">
        <v>1418</v>
      </c>
      <c r="C91" s="2568">
        <f>IF(H91="——",成本法!C33,I91)</f>
        <v>0</v>
      </c>
      <c r="D91" s="2569"/>
      <c r="E91" s="3659" t="s">
        <v>1419</v>
      </c>
      <c r="F91" s="3660"/>
      <c r="G91" s="3660"/>
      <c r="H91" s="1821"/>
      <c r="I91" s="1822"/>
      <c r="J91" s="1814"/>
      <c r="K91" s="1814"/>
      <c r="L91" s="1814"/>
      <c r="M91" s="1814"/>
      <c r="N91" s="1814"/>
      <c r="O91" s="1814"/>
      <c r="P91" s="1814"/>
      <c r="Q91" s="1814"/>
      <c r="R91" s="1814"/>
      <c r="S91" s="1814"/>
      <c r="T91" s="1814"/>
      <c r="U91" s="1814"/>
      <c r="V91" s="1814"/>
      <c r="W91" s="1814"/>
      <c r="X91" s="1814"/>
      <c r="Y91" s="1814"/>
      <c r="Z91" s="1814"/>
      <c r="AA91" s="1815"/>
      <c r="AB91" s="1815"/>
      <c r="AC91" s="1815"/>
      <c r="AD91" s="1815"/>
      <c r="AE91" s="1815"/>
      <c r="AF91" s="1815"/>
      <c r="AG91" s="1815"/>
      <c r="AH91" s="1815"/>
      <c r="AI91" s="1815"/>
    </row>
    <row r="92" spans="1:35" s="1813" customFormat="1" ht="25.5" customHeight="1">
      <c r="A92" s="166" t="s">
        <v>1420</v>
      </c>
      <c r="B92" s="167" t="s">
        <v>1421</v>
      </c>
      <c r="C92" s="2568">
        <f>ROUND((C87+C90+C91)*D92,0)</f>
        <v>0</v>
      </c>
      <c r="D92" s="2575"/>
      <c r="E92" s="3659" t="s">
        <v>1422</v>
      </c>
      <c r="F92" s="3660"/>
      <c r="G92" s="3660"/>
      <c r="H92" s="3661"/>
      <c r="I92" s="1817"/>
      <c r="J92" s="2514" t="s">
        <v>2287</v>
      </c>
      <c r="K92" s="1814"/>
      <c r="L92" s="1814"/>
      <c r="M92" s="1814"/>
      <c r="N92" s="1814"/>
      <c r="O92" s="1814"/>
      <c r="P92" s="1814"/>
      <c r="Q92" s="1814"/>
      <c r="R92" s="1814"/>
      <c r="S92" s="1814"/>
      <c r="T92" s="1814"/>
      <c r="U92" s="1814"/>
      <c r="V92" s="1814"/>
      <c r="W92" s="1814"/>
      <c r="X92" s="1814"/>
      <c r="Y92" s="1814"/>
      <c r="Z92" s="1814"/>
      <c r="AA92" s="1815"/>
      <c r="AB92" s="1815"/>
      <c r="AC92" s="1815"/>
      <c r="AD92" s="1815"/>
      <c r="AE92" s="1815"/>
      <c r="AF92" s="1815"/>
      <c r="AG92" s="1815"/>
      <c r="AH92" s="1815"/>
      <c r="AI92" s="1815"/>
    </row>
    <row r="93" spans="1:35" s="1813" customFormat="1" ht="25.5" customHeight="1">
      <c r="A93" s="166" t="s">
        <v>1423</v>
      </c>
      <c r="B93" s="167" t="s">
        <v>1405</v>
      </c>
      <c r="C93" s="2568">
        <f ca="1">ROUND(D45*D93/(1+'数据-取费表'!C42),0)</f>
        <v>0</v>
      </c>
      <c r="D93" s="2569">
        <f>'数据-取费表'!B43</f>
        <v>5.000000000000001E-3</v>
      </c>
      <c r="E93" s="3659" t="s">
        <v>1406</v>
      </c>
      <c r="F93" s="3660"/>
      <c r="G93" s="3660"/>
      <c r="H93" s="3661"/>
      <c r="I93" s="1817"/>
      <c r="J93" s="1814"/>
      <c r="K93" s="1814"/>
      <c r="L93" s="1814"/>
      <c r="M93" s="1814"/>
      <c r="N93" s="1814"/>
      <c r="O93" s="1814"/>
      <c r="P93" s="1814"/>
      <c r="Q93" s="1814"/>
      <c r="R93" s="1814"/>
      <c r="S93" s="1814"/>
      <c r="T93" s="1814"/>
      <c r="U93" s="1814"/>
      <c r="V93" s="1814"/>
      <c r="W93" s="1814"/>
      <c r="X93" s="1814"/>
      <c r="Y93" s="1814"/>
      <c r="Z93" s="1814"/>
      <c r="AA93" s="1815"/>
      <c r="AB93" s="1815"/>
      <c r="AC93" s="1815"/>
      <c r="AD93" s="1815"/>
      <c r="AE93" s="1815"/>
      <c r="AF93" s="1815"/>
      <c r="AG93" s="1815"/>
      <c r="AH93" s="1815"/>
      <c r="AI93" s="1815"/>
    </row>
    <row r="94" spans="1:35" s="1813" customFormat="1" ht="36.75" customHeight="1">
      <c r="A94" s="166" t="s">
        <v>1424</v>
      </c>
      <c r="B94" s="167" t="s">
        <v>1425</v>
      </c>
      <c r="C94" s="2574">
        <f>ROUND((C87+C90+C91)*D94,0)</f>
        <v>0</v>
      </c>
      <c r="D94" s="2569">
        <v>0.2</v>
      </c>
      <c r="E94" s="3704" t="s">
        <v>1426</v>
      </c>
      <c r="F94" s="3705"/>
      <c r="G94" s="3705"/>
      <c r="H94" s="3706"/>
      <c r="I94" s="1817"/>
      <c r="J94" s="1814"/>
      <c r="K94" s="1814"/>
      <c r="L94" s="1814"/>
      <c r="M94" s="1814"/>
      <c r="N94" s="1814"/>
      <c r="O94" s="1814"/>
      <c r="P94" s="1814"/>
      <c r="Q94" s="1814"/>
      <c r="R94" s="1814"/>
      <c r="S94" s="1814"/>
      <c r="T94" s="1814"/>
      <c r="U94" s="1814"/>
      <c r="V94" s="1814"/>
      <c r="W94" s="1814"/>
      <c r="X94" s="1814"/>
      <c r="Y94" s="1814"/>
      <c r="Z94" s="1814"/>
      <c r="AA94" s="1815"/>
      <c r="AB94" s="1815"/>
      <c r="AC94" s="1815"/>
      <c r="AD94" s="1815"/>
      <c r="AE94" s="1815"/>
      <c r="AF94" s="1815"/>
      <c r="AG94" s="1815"/>
      <c r="AH94" s="1815"/>
      <c r="AI94" s="1815"/>
    </row>
    <row r="95" spans="1:35" s="1813" customFormat="1" ht="14.25">
      <c r="A95" s="170" t="s">
        <v>334</v>
      </c>
      <c r="B95" s="171" t="s">
        <v>1407</v>
      </c>
      <c r="C95" s="2560">
        <f ca="1">ROUND(C85-C86,0)</f>
        <v>3</v>
      </c>
      <c r="D95" s="167" t="s">
        <v>26</v>
      </c>
      <c r="E95" s="2324"/>
      <c r="F95" s="2323"/>
      <c r="G95" s="2323"/>
      <c r="H95" s="189"/>
      <c r="I95" s="1817"/>
      <c r="J95" s="1814"/>
      <c r="K95" s="1814"/>
      <c r="L95" s="1814"/>
      <c r="M95" s="1814"/>
      <c r="N95" s="1814"/>
      <c r="O95" s="1814"/>
      <c r="P95" s="1814"/>
      <c r="Q95" s="1814"/>
      <c r="R95" s="1814"/>
      <c r="S95" s="1814"/>
      <c r="T95" s="1814"/>
      <c r="U95" s="1814"/>
      <c r="V95" s="1814"/>
      <c r="W95" s="1814"/>
      <c r="X95" s="1814"/>
      <c r="Y95" s="1814"/>
      <c r="Z95" s="1814"/>
      <c r="AA95" s="1815"/>
      <c r="AB95" s="1815"/>
      <c r="AC95" s="1815"/>
      <c r="AD95" s="1815"/>
      <c r="AE95" s="1815"/>
      <c r="AF95" s="1815"/>
      <c r="AG95" s="1815"/>
      <c r="AH95" s="1815"/>
      <c r="AI95" s="1815"/>
    </row>
    <row r="96" spans="1:35" s="1813" customFormat="1" ht="24">
      <c r="A96" s="170" t="s">
        <v>335</v>
      </c>
      <c r="B96" s="171" t="s">
        <v>1408</v>
      </c>
      <c r="C96" s="2570" t="e">
        <f ca="1">IF(C95&lt;=0,0,C95/C86)</f>
        <v>#DIV/0!</v>
      </c>
      <c r="D96" s="167" t="s">
        <v>26</v>
      </c>
      <c r="E96" s="2317" t="e">
        <f ca="1">IF(C96&gt;=200%,"增值额超过扣除项目金额200%",IF(C96&gt;=100%,"增值额超过扣除项目金额100%，未超过200%",IF(C96&gt;=50%,"增值额超过扣除项目金额50%，未超过100%",IF(C96&lt;50%,"增值额未超过扣除项目金额50%"))))</f>
        <v>#DIV/0!</v>
      </c>
      <c r="F96" s="2323"/>
      <c r="G96" s="2323"/>
      <c r="H96" s="189"/>
      <c r="I96" s="1817"/>
      <c r="J96" s="1814"/>
      <c r="K96" s="1814"/>
      <c r="L96" s="1814"/>
      <c r="M96" s="1814"/>
      <c r="N96" s="1814"/>
      <c r="O96" s="1814"/>
      <c r="P96" s="1814"/>
      <c r="Q96" s="1814"/>
      <c r="R96" s="1814"/>
      <c r="S96" s="1814"/>
      <c r="T96" s="1814"/>
      <c r="U96" s="1814"/>
      <c r="V96" s="1814"/>
      <c r="W96" s="1814"/>
      <c r="X96" s="1814"/>
      <c r="Y96" s="1814"/>
      <c r="Z96" s="1814"/>
      <c r="AA96" s="1815"/>
      <c r="AB96" s="1815"/>
      <c r="AC96" s="1815"/>
      <c r="AD96" s="1815"/>
      <c r="AE96" s="1815"/>
      <c r="AF96" s="1815"/>
      <c r="AG96" s="1815"/>
      <c r="AH96" s="1815"/>
      <c r="AI96" s="1815"/>
    </row>
    <row r="97" spans="1:35" s="1813" customFormat="1" ht="24.75" thickBot="1">
      <c r="A97" s="173" t="s">
        <v>336</v>
      </c>
      <c r="B97" s="174" t="s">
        <v>1409</v>
      </c>
      <c r="C97" s="2571" t="e">
        <f ca="1">ROUND(IF(C95&lt;=0,0,IF(C96&gt;=200%,C95*60%-C86*35%,IF(C96&gt;=100%,C95*50%-C86*15%,IF(C96&gt;=50%,C95*40%-C86*5%,IF(C96&lt;50%,C95*30%,0))))),0)</f>
        <v>#DIV/0!</v>
      </c>
      <c r="D97" s="2572" t="s">
        <v>26</v>
      </c>
      <c r="E97" s="185"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#DIV/0!</v>
      </c>
      <c r="F97" s="186"/>
      <c r="G97" s="186"/>
      <c r="H97" s="192"/>
      <c r="I97" s="1817"/>
      <c r="J97" s="1814"/>
      <c r="K97" s="1814"/>
      <c r="L97" s="1814"/>
      <c r="M97" s="1814"/>
      <c r="N97" s="1814"/>
      <c r="O97" s="1814"/>
      <c r="P97" s="1814"/>
      <c r="Q97" s="1814"/>
      <c r="R97" s="1814"/>
      <c r="S97" s="1814"/>
      <c r="T97" s="1814"/>
      <c r="U97" s="1814"/>
      <c r="V97" s="1814"/>
      <c r="W97" s="1814"/>
      <c r="X97" s="1814"/>
      <c r="Y97" s="1814"/>
      <c r="Z97" s="1814"/>
      <c r="AA97" s="1815"/>
      <c r="AB97" s="1815"/>
      <c r="AC97" s="1815"/>
      <c r="AD97" s="1815"/>
      <c r="AE97" s="1815"/>
      <c r="AF97" s="1815"/>
      <c r="AG97" s="1815"/>
      <c r="AH97" s="1815"/>
      <c r="AI97" s="1815"/>
    </row>
    <row r="98" spans="1:35" ht="21.75" customHeight="1">
      <c r="A98" s="1805"/>
      <c r="B98" s="1743"/>
      <c r="C98" s="1743"/>
      <c r="D98" s="1743"/>
      <c r="E98" s="1574"/>
      <c r="F98" s="1574"/>
      <c r="G98" s="1574"/>
      <c r="H98" s="1573"/>
      <c r="I98" s="127"/>
    </row>
    <row r="99" spans="1:35" ht="21.75" customHeight="1" thickBot="1">
      <c r="A99" s="1796" t="s">
        <v>1427</v>
      </c>
      <c r="B99" s="1743"/>
      <c r="C99" s="1743"/>
      <c r="D99" s="1743"/>
      <c r="E99" s="1574"/>
      <c r="F99" s="1574"/>
      <c r="G99" s="1574"/>
      <c r="H99" s="1573"/>
      <c r="I99" s="127"/>
    </row>
    <row r="100" spans="1:35" ht="18.75" customHeight="1">
      <c r="A100" s="3609" t="s">
        <v>1428</v>
      </c>
      <c r="B100" s="3610"/>
      <c r="C100" s="3610"/>
      <c r="D100" s="3644"/>
      <c r="E100" s="3610" t="s">
        <v>1429</v>
      </c>
      <c r="F100" s="3610"/>
      <c r="G100" s="3610"/>
      <c r="H100" s="3644"/>
      <c r="I100" s="127"/>
    </row>
    <row r="101" spans="1:35" ht="18.75" customHeight="1">
      <c r="A101" s="3652" t="s">
        <v>1430</v>
      </c>
      <c r="B101" s="3653"/>
      <c r="C101" s="2577" t="str">
        <f>C4</f>
        <v>成本法 (元)</v>
      </c>
      <c r="D101" s="2578" t="str">
        <f>D4</f>
        <v>比较法-住宅</v>
      </c>
      <c r="E101" s="3622" t="s">
        <v>1431</v>
      </c>
      <c r="F101" s="3623"/>
      <c r="G101" s="1823" t="s">
        <v>1432</v>
      </c>
      <c r="H101" s="2587">
        <f ca="1">H118</f>
        <v>3</v>
      </c>
      <c r="I101" s="127"/>
    </row>
    <row r="102" spans="1:35" ht="18.75" customHeight="1">
      <c r="A102" s="3654" t="s">
        <v>1433</v>
      </c>
      <c r="B102" s="2576" t="s">
        <v>1432</v>
      </c>
      <c r="C102" s="2577">
        <f ca="1">IF(D32="楼面单价",ROUND(C19,0),C19)</f>
        <v>3</v>
      </c>
      <c r="D102" s="2578">
        <f ca="1">IF(D32="楼面单价",ROUND(D19,0),D19)</f>
        <v>0</v>
      </c>
      <c r="E102" s="3622"/>
      <c r="F102" s="3623"/>
      <c r="G102" s="1823" t="s">
        <v>1434</v>
      </c>
      <c r="H102" s="2547">
        <f ca="1">I118</f>
        <v>30039</v>
      </c>
      <c r="I102" s="127"/>
    </row>
    <row r="103" spans="1:35" ht="42.75" customHeight="1">
      <c r="A103" s="3654"/>
      <c r="B103" s="2576" t="s">
        <v>1434</v>
      </c>
      <c r="C103" s="2579">
        <f ca="1">C20</f>
        <v>29011</v>
      </c>
      <c r="D103" s="2580">
        <f ca="1">D20</f>
        <v>31067</v>
      </c>
      <c r="E103" s="3615" t="s">
        <v>1435</v>
      </c>
      <c r="F103" s="3616"/>
      <c r="G103" s="1824" t="s">
        <v>1436</v>
      </c>
      <c r="H103" s="2587">
        <f>IF(D36="正常操作",H104+H105+H106,H105+H106)</f>
        <v>0</v>
      </c>
      <c r="I103" s="127"/>
    </row>
    <row r="104" spans="1:35" ht="18.75" customHeight="1">
      <c r="A104" s="3654" t="s">
        <v>1437</v>
      </c>
      <c r="B104" s="2581" t="s">
        <v>1432</v>
      </c>
      <c r="C104" s="2582">
        <f ca="1">H118</f>
        <v>3</v>
      </c>
      <c r="D104" s="2583"/>
      <c r="E104" s="1670" t="s">
        <v>1438</v>
      </c>
      <c r="F104" s="1662"/>
      <c r="G104" s="1824" t="s">
        <v>1436</v>
      </c>
      <c r="H104" s="2588">
        <f>IF(D36="同一抵押权人同一抵押物续贷",C36&amp;"（续贷，未扣减，详见特别提示）",C36)</f>
        <v>0</v>
      </c>
      <c r="I104" s="127"/>
    </row>
    <row r="105" spans="1:35" ht="18.75" customHeight="1" thickBot="1">
      <c r="A105" s="3664"/>
      <c r="B105" s="2584" t="s">
        <v>1434</v>
      </c>
      <c r="C105" s="2585">
        <f ca="1">I118</f>
        <v>30039</v>
      </c>
      <c r="D105" s="2586"/>
      <c r="E105" s="1670" t="s">
        <v>1439</v>
      </c>
      <c r="F105" s="1662"/>
      <c r="G105" s="1824" t="s">
        <v>1436</v>
      </c>
      <c r="H105" s="2589">
        <f>C37</f>
        <v>0</v>
      </c>
      <c r="I105" s="127"/>
    </row>
    <row r="106" spans="1:35" ht="18.75" customHeight="1">
      <c r="A106" s="1743" t="s">
        <v>1440</v>
      </c>
      <c r="B106" s="1743"/>
      <c r="C106" s="1743"/>
      <c r="D106" s="1743"/>
      <c r="E106" s="1825" t="s">
        <v>1441</v>
      </c>
      <c r="F106" s="1662"/>
      <c r="G106" s="1824" t="s">
        <v>1436</v>
      </c>
      <c r="H106" s="2589">
        <f>C38</f>
        <v>0</v>
      </c>
      <c r="I106" s="127"/>
    </row>
    <row r="107" spans="1:35" ht="18.75" customHeight="1">
      <c r="A107" s="127"/>
      <c r="B107" s="127"/>
      <c r="C107" s="127"/>
      <c r="D107" s="127"/>
      <c r="E107" s="3655" t="str">
        <f>IF(项目基本情况!E8="已注销","——","3.房地产抵押价值")</f>
        <v>3.房地产抵押价值</v>
      </c>
      <c r="F107" s="3623"/>
      <c r="G107" s="1823" t="s">
        <v>1432</v>
      </c>
      <c r="H107" s="2587">
        <f ca="1">IF(E107="——","——",H101-H103)</f>
        <v>3</v>
      </c>
      <c r="I107" s="127"/>
    </row>
    <row r="108" spans="1:35" ht="18.75" customHeight="1">
      <c r="A108" s="127"/>
      <c r="B108" s="127"/>
      <c r="C108" s="127"/>
      <c r="D108" s="127"/>
      <c r="E108" s="3655"/>
      <c r="F108" s="3623"/>
      <c r="G108" s="1823" t="s">
        <v>1434</v>
      </c>
      <c r="H108" s="2547">
        <f ca="1">IF(H107=H101,H102,ROUND(H107*10000/'数据-汇总表'!E3,0))</f>
        <v>30039</v>
      </c>
      <c r="I108" s="127"/>
    </row>
    <row r="109" spans="1:35" ht="18.75" customHeight="1">
      <c r="A109" s="127"/>
      <c r="B109" s="127"/>
      <c r="C109" s="127"/>
      <c r="D109" s="127"/>
      <c r="E109" s="3655" t="str">
        <f>IF(项目基本情况!E8="已注销及未注销","4.抵押担保权已注销时的房地产抵押价值",IF(项目基本情况!E8="已注销","3.抵押担保权已注销时的房地产抵押价值","——"))</f>
        <v>——</v>
      </c>
      <c r="F109" s="3623"/>
      <c r="G109" s="1823" t="s">
        <v>1432</v>
      </c>
      <c r="H109" s="2590" t="str">
        <f>IF(E109="——","——",H101-H105-H106)</f>
        <v>——</v>
      </c>
      <c r="I109" s="127"/>
    </row>
    <row r="110" spans="1:35" ht="18.75" customHeight="1">
      <c r="A110" s="127"/>
      <c r="B110" s="127"/>
      <c r="C110" s="127"/>
      <c r="D110" s="127"/>
      <c r="E110" s="3655"/>
      <c r="F110" s="3623"/>
      <c r="G110" s="1823" t="s">
        <v>1434</v>
      </c>
      <c r="H110" s="2547" t="str">
        <f>IF(H109="——","——",ROUND(H109*10000/'数据-汇总表'!E3,0))</f>
        <v>——</v>
      </c>
      <c r="I110" s="127"/>
    </row>
    <row r="111" spans="1:35" ht="18.75" customHeight="1">
      <c r="A111" s="127"/>
      <c r="B111" s="127"/>
      <c r="C111" s="127"/>
      <c r="D111" s="127"/>
      <c r="E111" s="3656" t="str">
        <f>IF(项目基本情况!E9="抵押净值",IF(OR(项目基本情况!E8="已注销",项目基本情况!E8="房地产抵押价值"),"4.抵押净值","5.抵押净值"),"——")</f>
        <v>——</v>
      </c>
      <c r="F111" s="3642"/>
      <c r="G111" s="1823" t="s">
        <v>1432</v>
      </c>
      <c r="H111" s="2587" t="str">
        <f>IF(E111="——","——",N59)</f>
        <v>——</v>
      </c>
      <c r="I111" s="127"/>
    </row>
    <row r="112" spans="1:35" ht="18.75" customHeight="1" thickBot="1">
      <c r="A112" s="127"/>
      <c r="B112" s="127"/>
      <c r="C112" s="127"/>
      <c r="D112" s="127"/>
      <c r="E112" s="3657"/>
      <c r="F112" s="3658"/>
      <c r="G112" s="1826" t="s">
        <v>1434</v>
      </c>
      <c r="H112" s="2591" t="str">
        <f>IF(E111="——","——",N61)</f>
        <v>——</v>
      </c>
      <c r="I112" s="127"/>
    </row>
    <row r="113" spans="1:27" ht="18.75" customHeight="1">
      <c r="A113" s="127"/>
      <c r="B113" s="127"/>
      <c r="C113" s="127"/>
      <c r="D113" s="127"/>
      <c r="E113" s="3665" t="s">
        <v>1440</v>
      </c>
      <c r="F113" s="3665"/>
      <c r="G113" s="3665"/>
      <c r="H113" s="3665"/>
      <c r="I113" s="127"/>
    </row>
    <row r="114" spans="1:27" ht="3.75" customHeight="1">
      <c r="A114" s="1743"/>
      <c r="B114" s="1743"/>
      <c r="C114" s="1743"/>
      <c r="D114" s="1743"/>
      <c r="E114" s="1805"/>
      <c r="F114" s="1805"/>
      <c r="G114" s="1805"/>
      <c r="H114" s="1805"/>
      <c r="I114" s="1743"/>
    </row>
    <row r="115" spans="1:27" ht="18.75" customHeight="1">
      <c r="A115" s="3673" t="s">
        <v>1442</v>
      </c>
      <c r="B115" s="3674"/>
      <c r="C115" s="3674"/>
      <c r="D115" s="3674"/>
      <c r="E115" s="3674"/>
      <c r="F115" s="3674"/>
      <c r="G115" s="3674"/>
      <c r="H115" s="3674"/>
      <c r="I115" s="3675"/>
    </row>
    <row r="116" spans="1:27" ht="27" customHeight="1">
      <c r="A116" s="3630" t="s">
        <v>1443</v>
      </c>
      <c r="B116" s="3634" t="s">
        <v>1444</v>
      </c>
      <c r="C116" s="3634" t="s">
        <v>1445</v>
      </c>
      <c r="D116" s="3640" t="s">
        <v>1446</v>
      </c>
      <c r="E116" s="3641"/>
      <c r="F116" s="3672" t="s">
        <v>1447</v>
      </c>
      <c r="G116" s="3672"/>
      <c r="H116" s="3630" t="s">
        <v>1448</v>
      </c>
      <c r="I116" s="3630"/>
    </row>
    <row r="117" spans="1:27" ht="18.75" customHeight="1">
      <c r="A117" s="3630"/>
      <c r="B117" s="3635"/>
      <c r="C117" s="3635"/>
      <c r="D117" s="2322" t="s">
        <v>1449</v>
      </c>
      <c r="E117" s="2322" t="s">
        <v>1450</v>
      </c>
      <c r="F117" s="2322" t="s">
        <v>1449</v>
      </c>
      <c r="G117" s="2322" t="s">
        <v>1451</v>
      </c>
      <c r="H117" s="2322" t="s">
        <v>1449</v>
      </c>
      <c r="I117" s="2322" t="s">
        <v>1451</v>
      </c>
    </row>
    <row r="118" spans="1:27" ht="24.75" customHeight="1">
      <c r="A118" s="2592" t="str">
        <f>项目基本情况!S2</f>
        <v>北京市房地产</v>
      </c>
      <c r="B118" s="2322">
        <f>M18</f>
        <v>1</v>
      </c>
      <c r="C118" s="2322">
        <f>M19</f>
        <v>0.45</v>
      </c>
      <c r="D118" s="2322" t="e">
        <f ca="1">ROUND(IF(D32="总价",C34,E118*B118/10000),0)</f>
        <v>#REF!</v>
      </c>
      <c r="E118" s="2322" t="e">
        <f ca="1">ROUND(IF(C33="自定义",IF(D32="楼面单价",C34,D118*10000/B118),I118-G118),0)</f>
        <v>#REF!</v>
      </c>
      <c r="F118" s="2322" t="e">
        <f ca="1">ROUND(IF(D32="总价",C35,G118*B118/10000),0)</f>
        <v>#REF!</v>
      </c>
      <c r="G118" s="2322" t="e">
        <f ca="1">ROUND(IF(D32="楼面单价",C35,F118*10000/B118),0)</f>
        <v>#REF!</v>
      </c>
      <c r="H118" s="2322">
        <f ca="1">ROUND(IF(D32="总价",C32,I118*B118/10000),0)</f>
        <v>3</v>
      </c>
      <c r="I118" s="2322">
        <f ca="1">ROUND(IF(D32="楼面单价",C32,H118*10000/B118),0)</f>
        <v>30039</v>
      </c>
    </row>
    <row r="119" spans="1:27" ht="18.75" customHeight="1">
      <c r="A119" s="3630" t="s">
        <v>1452</v>
      </c>
      <c r="B119" s="3630"/>
      <c r="C119" s="3630"/>
      <c r="D119" s="3636" t="e">
        <f ca="1">NUMBERSTRING(INT(D118*10000),2)&amp;"元整"</f>
        <v>#REF!</v>
      </c>
      <c r="E119" s="3637"/>
      <c r="F119" s="3636" t="e">
        <f ca="1">NUMBERSTRING(INT(F118*10000),2)&amp;"元整"</f>
        <v>#REF!</v>
      </c>
      <c r="G119" s="3637"/>
      <c r="H119" s="3636" t="str">
        <f ca="1">NUMBERSTRING(INT(H118*10000),2)&amp;"元整"</f>
        <v>叁万元整</v>
      </c>
      <c r="I119" s="3637"/>
    </row>
    <row r="120" spans="1:27" ht="18.75" customHeight="1">
      <c r="A120" s="3631" t="str">
        <f>IF(项目基本情况!B9="房地产市场价值","",MID(E103,3,LEN(E103)-2))</f>
        <v/>
      </c>
      <c r="B120" s="3632"/>
      <c r="C120" s="3633"/>
      <c r="D120" s="3631">
        <f>H103</f>
        <v>0</v>
      </c>
      <c r="E120" s="3632"/>
      <c r="F120" s="3632"/>
      <c r="G120" s="3632"/>
      <c r="H120" s="3632"/>
      <c r="I120" s="3633"/>
      <c r="J120" s="1748"/>
      <c r="K120" s="1748" t="str">
        <f>IF(D120=0,"故，本次评估不存在"&amp;A120,"故，本次评估"&amp;A120&amp;"为人民币"&amp;D120&amp;"万元整。")</f>
        <v>故，本次评估不存在</v>
      </c>
      <c r="L120" s="1748"/>
      <c r="M120" s="1748"/>
      <c r="N120" s="1748"/>
      <c r="O120" s="1748"/>
      <c r="P120" s="1748"/>
      <c r="Q120" s="1748"/>
      <c r="R120" s="1748"/>
      <c r="S120" s="1748"/>
    </row>
    <row r="121" spans="1:27" ht="18.75" customHeight="1">
      <c r="A121" s="3636" t="s">
        <v>1452</v>
      </c>
      <c r="B121" s="3638"/>
      <c r="C121" s="3637"/>
      <c r="D121" s="3636" t="str">
        <f>IF(D120=0,"零元整",NUMBERSTRING(INT(D120*10000),2)&amp;"元整")</f>
        <v>零元整</v>
      </c>
      <c r="E121" s="3638"/>
      <c r="F121" s="3638"/>
      <c r="G121" s="3638"/>
      <c r="H121" s="3638"/>
      <c r="I121" s="3637"/>
      <c r="AA121" s="721"/>
    </row>
    <row r="122" spans="1:27" ht="18.75" customHeight="1">
      <c r="A122" s="3642" t="str">
        <f>IF(项目基本情况!B9="房地产市场价值","",MID(E107,3,LEN(E107)-2))</f>
        <v/>
      </c>
      <c r="B122" s="3642"/>
      <c r="C122" s="3642"/>
      <c r="D122" s="3631">
        <f ca="1">H107</f>
        <v>3</v>
      </c>
      <c r="E122" s="3632"/>
      <c r="F122" s="3632"/>
      <c r="G122" s="3632"/>
      <c r="H122" s="3632"/>
      <c r="I122" s="3633"/>
      <c r="AA122" s="721"/>
    </row>
    <row r="123" spans="1:27" ht="18.75" customHeight="1">
      <c r="A123" s="3630" t="s">
        <v>1452</v>
      </c>
      <c r="B123" s="3630"/>
      <c r="C123" s="3630"/>
      <c r="D123" s="3636" t="str">
        <f ca="1">NUMBERSTRING(INT(D122*10000),2)&amp;"元整"</f>
        <v>叁万元整</v>
      </c>
      <c r="E123" s="3638"/>
      <c r="F123" s="3638"/>
      <c r="G123" s="3638"/>
      <c r="H123" s="3638"/>
      <c r="I123" s="3637"/>
      <c r="AA123" s="721"/>
    </row>
    <row r="124" spans="1:27" ht="18.75" customHeight="1">
      <c r="A124" s="3642" t="str">
        <f>IF(项目基本情况!B9="房地产市场价值","",MID(E109,3,LEN(E109)-2))</f>
        <v/>
      </c>
      <c r="B124" s="3642"/>
      <c r="C124" s="3642"/>
      <c r="D124" s="3631" t="str">
        <f>H109</f>
        <v>——</v>
      </c>
      <c r="E124" s="3632"/>
      <c r="F124" s="3632"/>
      <c r="G124" s="3632"/>
      <c r="H124" s="3632"/>
      <c r="I124" s="3633"/>
      <c r="AA124" s="721"/>
    </row>
    <row r="125" spans="1:27" ht="18.75" customHeight="1">
      <c r="A125" s="3630" t="s">
        <v>1452</v>
      </c>
      <c r="B125" s="3630"/>
      <c r="C125" s="3630"/>
      <c r="D125" s="3636" t="e">
        <f>NUMBERSTRING(INT(D124*10000),2)&amp;"元整"</f>
        <v>#VALUE!</v>
      </c>
      <c r="E125" s="3638"/>
      <c r="F125" s="3638"/>
      <c r="G125" s="3638"/>
      <c r="H125" s="3638"/>
      <c r="I125" s="3637"/>
      <c r="AA125" s="721"/>
    </row>
    <row r="126" spans="1:27" ht="18.75" customHeight="1">
      <c r="A126" s="3642" t="str">
        <f>IF(项目基本情况!B9="房地产市场价值","",MID(E111,3,LEN(E111)-2))</f>
        <v/>
      </c>
      <c r="B126" s="3642"/>
      <c r="C126" s="3642"/>
      <c r="D126" s="3631" t="str">
        <f>H111</f>
        <v>——</v>
      </c>
      <c r="E126" s="3632"/>
      <c r="F126" s="3632"/>
      <c r="G126" s="3632"/>
      <c r="H126" s="3632"/>
      <c r="I126" s="3633"/>
      <c r="AA126" s="721"/>
    </row>
    <row r="127" spans="1:27" ht="18.75" customHeight="1">
      <c r="A127" s="3630" t="s">
        <v>1452</v>
      </c>
      <c r="B127" s="3630"/>
      <c r="C127" s="3630"/>
      <c r="D127" s="3636" t="e">
        <f>NUMBERSTRING(INT(D126*10000),2)&amp;"元整"</f>
        <v>#VALUE!</v>
      </c>
      <c r="E127" s="3638"/>
      <c r="F127" s="3638"/>
      <c r="G127" s="3638"/>
      <c r="H127" s="3638"/>
      <c r="I127" s="3637"/>
      <c r="AA127" s="721"/>
    </row>
    <row r="128" spans="1:27" ht="21.75" customHeight="1">
      <c r="A128" s="3639" t="s">
        <v>1453</v>
      </c>
      <c r="B128" s="3639"/>
      <c r="C128" s="3639"/>
      <c r="D128" s="3639"/>
      <c r="E128" s="3639"/>
      <c r="F128" s="3639"/>
      <c r="G128" s="3639"/>
      <c r="H128" s="3639"/>
      <c r="I128" s="3639"/>
      <c r="AA128" s="721"/>
    </row>
    <row r="129" spans="1:35" ht="21.75" customHeight="1">
      <c r="A129" s="1827" t="s">
        <v>1454</v>
      </c>
      <c r="B129" s="1828"/>
      <c r="C129" s="1829" t="s">
        <v>1455</v>
      </c>
      <c r="D129" s="1830"/>
      <c r="E129" s="1830"/>
      <c r="F129" s="1830"/>
      <c r="G129" s="1830"/>
      <c r="H129" s="1831"/>
      <c r="I129" s="1832"/>
      <c r="AA129" s="721"/>
    </row>
    <row r="130" spans="1:35" ht="21.75" customHeight="1">
      <c r="A130" s="1833">
        <v>1</v>
      </c>
      <c r="B130" s="1834"/>
      <c r="C130" s="1834"/>
      <c r="D130" s="1835"/>
      <c r="E130" s="1835"/>
      <c r="F130" s="1835"/>
      <c r="G130" s="1835"/>
      <c r="H130" s="1836"/>
      <c r="I130" s="1837"/>
      <c r="AA130" s="721"/>
    </row>
    <row r="131" spans="1:35" ht="21.75" customHeight="1">
      <c r="A131" s="1833">
        <v>2</v>
      </c>
      <c r="B131" s="1834"/>
      <c r="C131" s="1834"/>
      <c r="D131" s="1835"/>
      <c r="E131" s="1835"/>
      <c r="F131" s="1835"/>
      <c r="G131" s="1835"/>
      <c r="H131" s="1836"/>
      <c r="I131" s="1837"/>
      <c r="AA131" s="721"/>
    </row>
    <row r="132" spans="1:35" ht="21.75" customHeight="1">
      <c r="A132" s="1833">
        <v>3</v>
      </c>
      <c r="B132" s="1834"/>
      <c r="C132" s="1834"/>
      <c r="D132" s="1835"/>
      <c r="E132" s="1835"/>
      <c r="F132" s="1835"/>
      <c r="G132" s="1835"/>
      <c r="H132" s="1836"/>
      <c r="I132" s="1837"/>
      <c r="AA132" s="721"/>
    </row>
    <row r="133" spans="1:35" ht="21.75" customHeight="1">
      <c r="A133" s="1838"/>
      <c r="B133" s="1839"/>
      <c r="C133" s="1839"/>
      <c r="D133" s="1840"/>
      <c r="E133" s="1840"/>
      <c r="F133" s="1840"/>
      <c r="G133" s="1840"/>
      <c r="H133" s="1841"/>
      <c r="I133" s="1842"/>
    </row>
    <row r="134" spans="1:35" ht="21.75" customHeight="1">
      <c r="A134" s="1834"/>
      <c r="B134" s="1834"/>
      <c r="C134" s="1834"/>
      <c r="D134" s="1835"/>
      <c r="E134" s="1835"/>
      <c r="F134" s="1835"/>
      <c r="G134" s="1835"/>
      <c r="H134" s="1836"/>
      <c r="I134" s="721"/>
    </row>
    <row r="135" spans="1:35" ht="21.75" customHeight="1">
      <c r="A135" s="721"/>
      <c r="B135" s="721"/>
      <c r="C135" s="721"/>
      <c r="D135" s="721"/>
      <c r="E135" s="721"/>
      <c r="F135" s="1843" t="s">
        <v>1456</v>
      </c>
      <c r="G135" s="1844"/>
      <c r="H135" s="1844"/>
      <c r="I135" s="1845" t="s">
        <v>1457</v>
      </c>
    </row>
    <row r="136" spans="1:35" ht="21.75" customHeight="1">
      <c r="A136" s="721"/>
      <c r="B136" s="1846" t="s">
        <v>1458</v>
      </c>
      <c r="C136" s="721"/>
      <c r="D136" s="721"/>
      <c r="E136" s="721"/>
      <c r="F136" s="721"/>
      <c r="G136" s="721"/>
      <c r="H136" s="721"/>
      <c r="I136" s="721"/>
    </row>
    <row r="137" spans="1:35" ht="21.75" customHeight="1">
      <c r="A137" s="721"/>
      <c r="B137" s="721"/>
      <c r="C137" s="721"/>
      <c r="D137" s="721"/>
      <c r="E137" s="721"/>
      <c r="F137" s="721"/>
      <c r="G137" s="721"/>
      <c r="H137" s="721"/>
      <c r="I137" s="721"/>
    </row>
    <row r="138" spans="1:35" ht="21.75" customHeight="1">
      <c r="A138" s="721"/>
      <c r="B138" s="1844"/>
      <c r="C138" s="1844"/>
      <c r="D138" s="1844"/>
      <c r="E138" s="1844"/>
      <c r="F138" s="1844"/>
      <c r="G138" s="1844"/>
      <c r="H138" s="1844"/>
      <c r="I138" s="1845" t="s">
        <v>1459</v>
      </c>
    </row>
    <row r="139" spans="1:35" ht="21.75" customHeight="1">
      <c r="A139" s="721"/>
      <c r="B139" s="1846" t="s">
        <v>1460</v>
      </c>
      <c r="C139" s="721"/>
      <c r="D139" s="721"/>
      <c r="E139" s="721"/>
      <c r="F139" s="721"/>
      <c r="G139" s="721"/>
      <c r="H139" s="721"/>
      <c r="I139" s="721"/>
    </row>
    <row r="140" spans="1:35" ht="21.75" customHeight="1">
      <c r="A140" s="721"/>
      <c r="B140" s="1846"/>
      <c r="C140" s="721"/>
      <c r="D140" s="721"/>
      <c r="E140" s="721"/>
      <c r="F140" s="721"/>
      <c r="G140" s="721"/>
      <c r="H140" s="721"/>
      <c r="I140" s="721"/>
    </row>
    <row r="141" spans="1:35" ht="21.75" customHeight="1">
      <c r="A141" s="721"/>
      <c r="B141" s="1844"/>
      <c r="C141" s="1844"/>
      <c r="D141" s="1844"/>
      <c r="E141" s="1844"/>
      <c r="F141" s="1844"/>
      <c r="G141" s="1844"/>
      <c r="H141" s="1844"/>
      <c r="I141" s="1845" t="s">
        <v>1459</v>
      </c>
    </row>
    <row r="142" spans="1:35" ht="21.75" customHeight="1">
      <c r="A142" s="721"/>
      <c r="B142" s="1846"/>
      <c r="C142" s="1847"/>
      <c r="D142" s="1848"/>
      <c r="E142" s="1848"/>
      <c r="F142" s="1737"/>
      <c r="G142" s="721"/>
      <c r="H142" s="721"/>
      <c r="I142" s="721"/>
    </row>
    <row r="143" spans="1:35" s="128" customFormat="1" ht="21.75" customHeight="1">
      <c r="A143" s="721"/>
      <c r="B143" s="1846"/>
      <c r="C143" s="1847"/>
      <c r="D143" s="1848"/>
      <c r="E143" s="1848"/>
      <c r="F143" s="1737"/>
      <c r="G143" s="721"/>
      <c r="H143" s="721"/>
      <c r="I143" s="721"/>
      <c r="J143" s="721"/>
      <c r="K143" s="721"/>
      <c r="L143" s="721"/>
      <c r="M143" s="721"/>
      <c r="N143" s="721"/>
      <c r="O143" s="721"/>
      <c r="P143" s="721"/>
      <c r="Q143" s="721"/>
      <c r="R143" s="721"/>
      <c r="S143" s="721"/>
      <c r="T143" s="721"/>
      <c r="U143" s="721"/>
      <c r="V143" s="721"/>
      <c r="W143" s="721"/>
      <c r="X143" s="721"/>
      <c r="Y143" s="721"/>
      <c r="Z143" s="721"/>
      <c r="AA143" s="721"/>
      <c r="AB143" s="721"/>
      <c r="AC143" s="721"/>
      <c r="AD143" s="721"/>
      <c r="AE143" s="721"/>
      <c r="AF143" s="721"/>
      <c r="AG143" s="721"/>
      <c r="AH143" s="721"/>
      <c r="AI143" s="721"/>
    </row>
    <row r="144" spans="1:35" s="128" customFormat="1" ht="21.75" customHeight="1">
      <c r="A144" s="721"/>
      <c r="B144" s="721"/>
      <c r="C144" s="721"/>
      <c r="D144" s="721"/>
      <c r="E144" s="721"/>
      <c r="F144" s="721"/>
      <c r="G144" s="721"/>
      <c r="H144" s="721"/>
      <c r="I144" s="721"/>
      <c r="J144" s="721"/>
      <c r="K144" s="721"/>
      <c r="L144" s="721"/>
      <c r="M144" s="721"/>
      <c r="N144" s="721"/>
      <c r="O144" s="721"/>
      <c r="P144" s="721"/>
      <c r="Q144" s="721"/>
      <c r="R144" s="721"/>
      <c r="S144" s="721"/>
      <c r="T144" s="721"/>
      <c r="U144" s="721"/>
      <c r="V144" s="721"/>
      <c r="W144" s="721"/>
      <c r="X144" s="721"/>
      <c r="Y144" s="721"/>
      <c r="Z144" s="721"/>
      <c r="AA144" s="721"/>
      <c r="AB144" s="721"/>
      <c r="AC144" s="721"/>
      <c r="AD144" s="721"/>
      <c r="AE144" s="721"/>
      <c r="AF144" s="721"/>
      <c r="AG144" s="721"/>
      <c r="AH144" s="721"/>
      <c r="AI144" s="721"/>
    </row>
    <row r="145" spans="1:35" s="128" customFormat="1" ht="21.75" customHeight="1">
      <c r="A145" s="721"/>
      <c r="B145" s="721"/>
      <c r="C145" s="721"/>
      <c r="D145" s="721"/>
      <c r="E145" s="721"/>
      <c r="F145" s="721"/>
      <c r="G145" s="721"/>
      <c r="H145" s="721"/>
      <c r="I145" s="721"/>
      <c r="J145" s="721"/>
      <c r="K145" s="721"/>
      <c r="L145" s="721"/>
      <c r="M145" s="721"/>
      <c r="N145" s="721"/>
      <c r="O145" s="721"/>
      <c r="P145" s="721"/>
      <c r="Q145" s="721"/>
      <c r="R145" s="721"/>
      <c r="S145" s="721"/>
      <c r="T145" s="721"/>
      <c r="U145" s="721"/>
      <c r="V145" s="721"/>
      <c r="W145" s="721"/>
      <c r="X145" s="721"/>
      <c r="Y145" s="721"/>
      <c r="Z145" s="721"/>
      <c r="AA145" s="721"/>
      <c r="AB145" s="721"/>
      <c r="AC145" s="721"/>
      <c r="AD145" s="721"/>
      <c r="AE145" s="721"/>
      <c r="AF145" s="721"/>
      <c r="AG145" s="721"/>
      <c r="AH145" s="721"/>
      <c r="AI145" s="721"/>
    </row>
    <row r="146" spans="1:35" s="721" customFormat="1" ht="21.75" customHeight="1"/>
    <row r="147" spans="1:35" s="721" customFormat="1" ht="21.75" customHeight="1"/>
    <row r="148" spans="1:35" s="721" customFormat="1" ht="21.75" customHeight="1"/>
    <row r="149" spans="1:35" s="721" customFormat="1" ht="21.75" customHeight="1"/>
    <row r="150" spans="1:35" s="721" customFormat="1" ht="21.75" customHeight="1"/>
    <row r="151" spans="1:35" s="721" customFormat="1" ht="21.75" customHeight="1"/>
    <row r="152" spans="1:35" s="721" customFormat="1" ht="21.75" customHeight="1"/>
    <row r="153" spans="1:35" s="721" customFormat="1" ht="21.75" customHeight="1"/>
    <row r="154" spans="1:35" s="721" customFormat="1" ht="21.75" customHeight="1"/>
    <row r="155" spans="1:35" s="721" customFormat="1" ht="21.75" customHeight="1"/>
    <row r="156" spans="1:35" s="721" customFormat="1" ht="21.75" customHeight="1"/>
    <row r="157" spans="1:35" s="721" customFormat="1" ht="21.75" customHeight="1"/>
    <row r="158" spans="1:35" s="721" customFormat="1" ht="21.75" customHeight="1"/>
    <row r="159" spans="1:35" s="721" customFormat="1" ht="21.75" customHeight="1"/>
    <row r="160" spans="1:35" s="721" customFormat="1" ht="21.75" customHeight="1"/>
    <row r="161" s="721" customFormat="1" ht="21.75" customHeight="1"/>
    <row r="162" s="721" customFormat="1" ht="21.75" customHeight="1"/>
    <row r="163" s="721" customFormat="1" ht="21.75" customHeight="1"/>
    <row r="164" s="721" customFormat="1" ht="21.75" customHeight="1"/>
    <row r="165" s="721" customFormat="1" ht="21.75" customHeight="1"/>
    <row r="166" s="721" customFormat="1" ht="21.75" customHeight="1"/>
    <row r="167" s="721" customFormat="1" ht="21.75" customHeight="1"/>
    <row r="168" s="721" customFormat="1" ht="21.75" customHeight="1"/>
    <row r="169" s="721" customFormat="1" ht="21.75" customHeight="1"/>
    <row r="170" s="721" customFormat="1" ht="21.75" customHeight="1"/>
    <row r="171" s="721" customFormat="1" ht="21.75" customHeight="1"/>
    <row r="172" s="721" customFormat="1" ht="21.75" customHeight="1"/>
    <row r="173" s="721" customFormat="1" ht="21.75" customHeight="1"/>
    <row r="174" s="721" customFormat="1" ht="21.75" customHeight="1"/>
    <row r="175" s="721" customFormat="1" ht="21.75" customHeight="1"/>
    <row r="176" s="721" customFormat="1" ht="21.75" customHeight="1"/>
    <row r="177" s="721" customFormat="1" ht="21.75" customHeight="1"/>
    <row r="178" s="721" customFormat="1" ht="21.75" customHeight="1"/>
    <row r="179" s="721" customFormat="1" ht="21.75" customHeight="1"/>
    <row r="180" s="721" customFormat="1" ht="21.75" customHeight="1"/>
    <row r="181" s="721" customFormat="1" ht="21.75" customHeight="1"/>
    <row r="182" s="721" customFormat="1" ht="21.75" customHeight="1"/>
    <row r="183" s="721" customFormat="1" ht="21.75" customHeight="1"/>
    <row r="184" s="721" customFormat="1" ht="21.75" customHeight="1"/>
    <row r="185" s="721" customFormat="1" ht="21.75" customHeight="1"/>
    <row r="186" s="721" customFormat="1" ht="21.75" customHeight="1"/>
    <row r="187" s="721" customFormat="1" ht="21.75" customHeight="1"/>
    <row r="188" s="721" customFormat="1" ht="21.75" customHeight="1"/>
    <row r="189" s="721" customFormat="1" ht="21.75" customHeight="1"/>
    <row r="190" s="721" customFormat="1" ht="21.75" customHeight="1"/>
    <row r="191" s="721" customFormat="1" ht="21.75" customHeight="1"/>
    <row r="192" s="721" customFormat="1" ht="21.75" customHeight="1"/>
    <row r="193" s="721" customFormat="1" ht="21.75" customHeight="1"/>
    <row r="194" s="721" customFormat="1" ht="21.75" customHeight="1"/>
    <row r="195" s="721" customFormat="1" ht="21.75" customHeight="1"/>
    <row r="196" s="721" customFormat="1" ht="21.75" customHeight="1"/>
    <row r="197" s="721" customFormat="1" ht="21.75" customHeight="1"/>
    <row r="198" s="721" customFormat="1" ht="21.75" customHeight="1"/>
    <row r="199" s="721" customFormat="1" ht="21.75" customHeight="1"/>
    <row r="200" s="721" customFormat="1" ht="21.75" customHeight="1"/>
    <row r="201" s="721" customFormat="1" ht="21.75" customHeight="1"/>
    <row r="202" s="721" customFormat="1" ht="21.75" customHeight="1"/>
    <row r="203" s="721" customFormat="1" ht="21.75" customHeight="1"/>
    <row r="204" s="721" customFormat="1" ht="21.75" customHeight="1"/>
    <row r="205" s="721" customFormat="1" ht="21.75" customHeight="1"/>
    <row r="206" s="721" customFormat="1" ht="21.75" customHeight="1"/>
    <row r="207" s="721" customFormat="1" ht="21.75" customHeight="1"/>
    <row r="208" s="721" customFormat="1" ht="21.75" customHeight="1"/>
    <row r="209" s="721" customFormat="1" ht="21.75" customHeight="1"/>
    <row r="210" s="721" customFormat="1" ht="21.75" customHeight="1"/>
    <row r="211" s="721" customFormat="1" ht="21.75" customHeight="1"/>
    <row r="212" s="721" customFormat="1" ht="21.75" customHeight="1"/>
    <row r="213" s="721" customFormat="1" ht="21.75" customHeight="1"/>
    <row r="214" s="721" customFormat="1" ht="21.75" customHeight="1"/>
    <row r="215" s="721" customFormat="1" ht="21.75" customHeight="1"/>
    <row r="216" s="721" customFormat="1" ht="21.75" customHeight="1"/>
    <row r="217" s="721" customFormat="1" ht="21.75" customHeight="1"/>
    <row r="218" s="721" customFormat="1" ht="21.75" customHeight="1"/>
    <row r="219" s="721" customFormat="1" ht="21.75" customHeight="1"/>
    <row r="220" s="721" customFormat="1" ht="21.75" customHeight="1"/>
    <row r="221" s="721" customFormat="1" ht="21.75" customHeight="1"/>
    <row r="222" s="721" customFormat="1" ht="21.75" customHeight="1"/>
    <row r="223" s="721" customFormat="1" ht="21.75" customHeight="1"/>
    <row r="224" s="721" customFormat="1" ht="21.75" customHeight="1"/>
    <row r="225" s="721" customFormat="1" ht="21.75" customHeight="1"/>
    <row r="226" s="721" customFormat="1" ht="21.75" customHeight="1"/>
    <row r="227" s="721" customFormat="1" ht="21.75" customHeight="1"/>
    <row r="228" s="721" customFormat="1" ht="21.75" customHeight="1"/>
    <row r="229" s="721" customFormat="1" ht="21.75" customHeight="1"/>
    <row r="230" s="721" customFormat="1" ht="21.75" customHeight="1"/>
    <row r="231" s="721" customFormat="1" ht="21.75" customHeight="1"/>
    <row r="232" s="721" customFormat="1" ht="21.75" customHeight="1"/>
    <row r="233" s="721" customFormat="1" ht="21.75" customHeight="1"/>
    <row r="234" s="721" customFormat="1" ht="21.75" customHeight="1"/>
    <row r="235" s="721" customFormat="1" ht="21.75" customHeight="1"/>
    <row r="236" s="721" customFormat="1" ht="21.75" customHeight="1"/>
    <row r="237" s="721" customFormat="1" ht="21.75" customHeight="1"/>
    <row r="238" s="721" customFormat="1" ht="21.75" customHeight="1"/>
    <row r="239" s="721" customFormat="1" ht="21.75" customHeight="1"/>
    <row r="240" s="721" customFormat="1" ht="21.75" customHeight="1"/>
    <row r="241" s="721" customFormat="1" ht="21.75" customHeight="1"/>
    <row r="242" s="721" customFormat="1" ht="21.75" customHeight="1"/>
    <row r="243" s="721" customFormat="1" ht="21.75" customHeight="1"/>
    <row r="244" s="721" customFormat="1" ht="21.75" customHeight="1"/>
    <row r="245" s="721" customFormat="1" ht="21.75" customHeight="1"/>
    <row r="246" s="721" customFormat="1" ht="21.75" customHeight="1"/>
    <row r="247" s="721" customFormat="1" ht="21.75" customHeight="1"/>
    <row r="248" s="721" customFormat="1" ht="21.75" customHeight="1"/>
    <row r="249" s="721" customFormat="1" ht="21.75" customHeight="1"/>
    <row r="250" s="721" customFormat="1" ht="21.75" customHeight="1"/>
    <row r="251" s="721" customFormat="1" ht="21.75" customHeight="1"/>
    <row r="252" s="721" customFormat="1" ht="21.75" customHeight="1"/>
    <row r="253" s="721" customFormat="1" ht="21.75" customHeight="1"/>
    <row r="254" s="721" customFormat="1" ht="21.75" customHeight="1"/>
    <row r="255" s="721" customFormat="1" ht="21.75" customHeight="1"/>
    <row r="256" s="721" customFormat="1" ht="21.75" customHeight="1"/>
    <row r="257" s="721" customFormat="1" ht="21.75" customHeight="1"/>
    <row r="258" s="721" customFormat="1" ht="21.75" customHeight="1"/>
    <row r="259" s="721" customFormat="1" ht="21.75" customHeight="1"/>
    <row r="260" s="721" customFormat="1" ht="21.75" customHeight="1"/>
    <row r="261" s="721" customFormat="1" ht="21.75" customHeight="1"/>
    <row r="262" s="721" customFormat="1" ht="21.75" customHeight="1"/>
    <row r="263" s="721" customFormat="1" ht="21.75" customHeight="1"/>
    <row r="264" s="721" customFormat="1" ht="21.75" customHeight="1"/>
    <row r="265" s="721" customFormat="1" ht="21.75" customHeight="1"/>
    <row r="266" s="721" customFormat="1" ht="21.75" customHeight="1"/>
    <row r="267" s="721" customFormat="1" ht="21.75" customHeight="1"/>
    <row r="268" s="721" customFormat="1" ht="21.75" customHeight="1"/>
    <row r="269" s="721" customFormat="1" ht="21.75" customHeight="1"/>
    <row r="270" s="721" customFormat="1" ht="21.75" customHeight="1"/>
    <row r="271" s="721" customFormat="1" ht="21.75" customHeight="1"/>
    <row r="272" s="721" customFormat="1" ht="21.75" customHeight="1"/>
    <row r="273" s="721" customFormat="1" ht="21.75" customHeight="1"/>
    <row r="274" s="721" customFormat="1" ht="21.75" customHeight="1"/>
    <row r="275" s="721" customFormat="1" ht="21.75" customHeight="1"/>
    <row r="276" s="721" customFormat="1" ht="21.75" customHeight="1"/>
    <row r="277" s="721" customFormat="1" ht="21.75" customHeight="1"/>
    <row r="278" s="721" customFormat="1" ht="21.75" customHeight="1"/>
    <row r="279" s="721" customFormat="1" ht="21.75" customHeight="1"/>
    <row r="280" s="721" customFormat="1" ht="21.75" customHeight="1"/>
    <row r="281" s="721" customFormat="1" ht="21.75" customHeight="1"/>
    <row r="282" s="721" customFormat="1" ht="21.75" customHeight="1"/>
    <row r="283" s="721" customFormat="1" ht="21.75" customHeight="1"/>
    <row r="284" s="721" customFormat="1" ht="21.75" customHeight="1"/>
    <row r="285" s="721" customFormat="1" ht="21.75" customHeight="1"/>
    <row r="286" s="721" customFormat="1" ht="21.75" customHeight="1"/>
    <row r="287" s="721" customFormat="1" ht="21.75" customHeight="1"/>
    <row r="288" s="721" customFormat="1" ht="21.75" customHeight="1"/>
    <row r="289" s="721" customFormat="1" ht="21.75" customHeight="1"/>
    <row r="290" s="721" customFormat="1" ht="21.75" customHeight="1"/>
    <row r="291" s="721" customFormat="1" ht="21.75" customHeight="1"/>
    <row r="292" s="721" customFormat="1" ht="21.75" customHeight="1"/>
    <row r="293" s="721" customFormat="1" ht="21.75" customHeight="1"/>
    <row r="294" s="721" customFormat="1" ht="21.75" customHeight="1"/>
    <row r="295" s="721" customFormat="1" ht="21.75" customHeight="1"/>
    <row r="296" s="721" customFormat="1" ht="21.75" customHeight="1"/>
    <row r="297" s="721" customFormat="1" ht="21.75" customHeight="1"/>
    <row r="298" s="721" customFormat="1" ht="21.75" customHeight="1"/>
    <row r="299" s="721" customFormat="1" ht="21.75" customHeight="1"/>
    <row r="300" s="721" customFormat="1" ht="21.75" customHeight="1"/>
    <row r="301" s="721" customFormat="1" ht="21.75" customHeight="1"/>
    <row r="302" s="721" customFormat="1" ht="21.75" customHeight="1"/>
    <row r="303" s="721" customFormat="1" ht="21.75" customHeight="1"/>
    <row r="304" s="721" customFormat="1" ht="21.75" customHeight="1"/>
    <row r="305" s="721" customFormat="1" ht="21.75" customHeight="1"/>
    <row r="306" s="721" customFormat="1" ht="21.75" customHeight="1"/>
    <row r="307" s="721" customFormat="1" ht="21.75" customHeight="1"/>
    <row r="308" s="721" customFormat="1" ht="21.75" customHeight="1"/>
    <row r="309" s="721" customFormat="1" ht="21.75" customHeight="1"/>
    <row r="310" s="721" customFormat="1" ht="21.75" customHeight="1"/>
    <row r="311" s="721" customFormat="1" ht="21.75" customHeight="1"/>
    <row r="312" s="721" customFormat="1" ht="21.75" customHeight="1"/>
    <row r="313" s="721" customFormat="1" ht="21.75" customHeight="1"/>
    <row r="314" s="721" customFormat="1" ht="21.75" customHeight="1"/>
    <row r="315" s="721" customFormat="1" ht="21.75" customHeight="1"/>
    <row r="316" s="721" customFormat="1" ht="21.75" customHeight="1"/>
    <row r="317" s="721" customFormat="1" ht="21.75" customHeight="1"/>
    <row r="318" s="721" customFormat="1" ht="21.75" customHeight="1"/>
    <row r="319" s="721" customFormat="1" ht="21.75" customHeight="1"/>
    <row r="320" s="721" customFormat="1" ht="21.75" customHeight="1"/>
    <row r="321" s="721" customFormat="1" ht="21.75" customHeight="1"/>
    <row r="322" s="721" customFormat="1" ht="21.75" customHeight="1"/>
    <row r="323" s="721" customFormat="1" ht="21.75" customHeight="1"/>
    <row r="324" s="721" customFormat="1" ht="21.75" customHeight="1"/>
    <row r="325" s="721" customFormat="1" ht="21.75" customHeight="1"/>
    <row r="326" s="721" customFormat="1" ht="21.75" customHeight="1"/>
    <row r="327" s="721" customFormat="1" ht="21.75" customHeight="1"/>
    <row r="328" s="721" customFormat="1" ht="21.75" customHeight="1"/>
    <row r="329" s="721" customFormat="1" ht="21.75" customHeight="1"/>
    <row r="330" s="721" customFormat="1" ht="21.75" customHeight="1"/>
    <row r="331" s="721" customFormat="1" ht="21.75" customHeight="1"/>
    <row r="332" s="721" customFormat="1" ht="21.75" customHeight="1"/>
    <row r="333" s="721" customFormat="1" ht="21.75" customHeight="1"/>
    <row r="334" s="721" customFormat="1" ht="21.75" customHeight="1"/>
    <row r="335" s="721" customFormat="1" ht="21.75" customHeight="1"/>
    <row r="336" s="721" customFormat="1" ht="21.75" customHeight="1"/>
    <row r="337" s="721" customFormat="1" ht="21.75" customHeight="1"/>
    <row r="338" s="721" customFormat="1" ht="21.75" customHeight="1"/>
    <row r="339" s="721" customFormat="1" ht="21.75" customHeight="1"/>
    <row r="340" s="721" customFormat="1" ht="21.75" customHeight="1"/>
    <row r="341" s="721" customFormat="1" ht="21.75" customHeight="1"/>
    <row r="342" s="721" customFormat="1" ht="21.75" customHeight="1"/>
    <row r="343" s="721" customFormat="1" ht="21.75" customHeight="1"/>
    <row r="344" s="721" customFormat="1" ht="21.75" customHeight="1"/>
    <row r="345" s="721" customFormat="1" ht="21.75" customHeight="1"/>
    <row r="346" s="721" customFormat="1" ht="21.75" customHeight="1"/>
    <row r="347" s="721" customFormat="1" ht="21.75" customHeight="1"/>
    <row r="348" s="721" customFormat="1" ht="21.75" customHeight="1"/>
    <row r="349" s="721" customFormat="1" ht="21.75" customHeight="1"/>
    <row r="350" s="721" customFormat="1" ht="21.75" customHeight="1"/>
    <row r="351" s="721" customFormat="1" ht="21.75" customHeight="1"/>
    <row r="352" s="721" customFormat="1" ht="21.75" customHeight="1"/>
    <row r="353" s="721" customFormat="1" ht="21.75" customHeight="1"/>
    <row r="354" s="721" customFormat="1" ht="21.75" customHeight="1"/>
    <row r="355" s="721" customFormat="1" ht="21.75" customHeight="1"/>
    <row r="356" s="721" customFormat="1" ht="21.75" customHeight="1"/>
    <row r="357" s="721" customFormat="1" ht="21.75" customHeight="1"/>
    <row r="358" s="721" customFormat="1" ht="21.75" customHeight="1"/>
    <row r="359" s="721" customFormat="1" ht="21.75" customHeight="1"/>
    <row r="360" s="721" customFormat="1" ht="21.75" customHeight="1"/>
    <row r="361" s="721" customFormat="1" ht="21.75" customHeight="1"/>
    <row r="362" s="721" customFormat="1" ht="21.75" customHeight="1"/>
    <row r="363" s="721" customFormat="1" ht="21.75" customHeight="1"/>
    <row r="364" s="721" customFormat="1" ht="21.75" customHeight="1"/>
    <row r="365" s="721" customFormat="1" ht="21.75" customHeight="1"/>
    <row r="366" s="721" customFormat="1" ht="21.75" customHeight="1"/>
    <row r="367" s="721" customFormat="1" ht="21.75" customHeight="1"/>
    <row r="368" s="721" customFormat="1" ht="21.75" customHeight="1"/>
    <row r="369" s="721" customFormat="1" ht="21.75" customHeight="1"/>
    <row r="370" s="721" customFormat="1" ht="21.75" customHeight="1"/>
    <row r="371" s="721" customFormat="1" ht="21.75" customHeight="1"/>
    <row r="372" s="721" customFormat="1" ht="21.75" customHeight="1"/>
    <row r="373" s="721" customFormat="1" ht="21.75" customHeight="1"/>
    <row r="374" s="721" customFormat="1" ht="21.75" customHeight="1"/>
    <row r="375" s="721" customFormat="1" ht="21.75" customHeight="1"/>
    <row r="376" s="721" customFormat="1" ht="21.75" customHeight="1"/>
    <row r="377" s="721" customFormat="1" ht="21.75" customHeight="1"/>
    <row r="378" s="721" customFormat="1" ht="21.75" customHeight="1"/>
    <row r="379" s="721" customFormat="1" ht="21.75" customHeight="1"/>
    <row r="380" s="721" customFormat="1" ht="21.75" customHeight="1"/>
    <row r="381" s="721" customFormat="1" ht="21.75" customHeight="1"/>
    <row r="382" s="721" customFormat="1" ht="21.75" customHeight="1"/>
    <row r="383" s="721" customFormat="1" ht="21.75" customHeight="1"/>
    <row r="384" s="721" customFormat="1" ht="21.75" customHeight="1"/>
    <row r="385" s="721" customFormat="1" ht="21.75" customHeight="1"/>
    <row r="386" s="721" customFormat="1" ht="21.75" customHeight="1"/>
    <row r="387" s="721" customFormat="1" ht="21.75" customHeight="1"/>
    <row r="388" s="721" customFormat="1" ht="21.75" customHeight="1"/>
    <row r="389" s="721" customFormat="1" ht="21.75" customHeight="1"/>
    <row r="390" s="721" customFormat="1" ht="21.75" customHeight="1"/>
    <row r="391" s="721" customFormat="1" ht="21.75" customHeight="1"/>
    <row r="392" s="721" customFormat="1" ht="21.75" customHeight="1"/>
    <row r="393" s="721" customFormat="1" ht="21.75" customHeight="1"/>
    <row r="394" s="721" customFormat="1" ht="21.75" customHeight="1"/>
    <row r="395" s="721" customFormat="1" ht="21.75" customHeight="1"/>
    <row r="396" s="721" customFormat="1" ht="21.75" customHeight="1"/>
    <row r="397" s="721" customFormat="1" ht="21.75" customHeight="1"/>
    <row r="398" s="721" customFormat="1" ht="21.75" customHeight="1"/>
    <row r="399" s="721" customFormat="1" ht="21.75" customHeight="1"/>
    <row r="400" s="721" customFormat="1" ht="21.75" customHeight="1"/>
    <row r="401" spans="10:26" s="721" customFormat="1" ht="21.75" customHeight="1"/>
    <row r="402" spans="10:26" s="721" customFormat="1" ht="21.75" customHeight="1"/>
    <row r="403" spans="10:26" s="721" customFormat="1" ht="21.75" customHeight="1"/>
    <row r="404" spans="10:26" s="721" customFormat="1" ht="21.75" customHeight="1"/>
    <row r="405" spans="10:26" s="721" customFormat="1" ht="21.75" customHeight="1"/>
    <row r="406" spans="10:26" s="721" customFormat="1" ht="21.75" customHeight="1"/>
    <row r="407" spans="10:26" s="721" customFormat="1" ht="21.75" customHeight="1"/>
    <row r="408" spans="10:26" s="721" customFormat="1" ht="21.75" customHeight="1"/>
    <row r="409" spans="10:26" s="1748" customFormat="1" ht="21.75" customHeight="1">
      <c r="J409" s="721"/>
      <c r="K409" s="721"/>
      <c r="L409" s="721"/>
      <c r="M409" s="721"/>
      <c r="N409" s="721"/>
      <c r="O409" s="721"/>
      <c r="P409" s="721"/>
      <c r="Q409" s="721"/>
      <c r="R409" s="721"/>
      <c r="S409" s="721"/>
      <c r="T409" s="721"/>
      <c r="U409" s="721"/>
      <c r="V409" s="721"/>
      <c r="W409" s="721"/>
      <c r="X409" s="721"/>
      <c r="Y409" s="721"/>
      <c r="Z409" s="721"/>
    </row>
    <row r="410" spans="10:26" s="1748" customFormat="1" ht="21.75" customHeight="1">
      <c r="J410" s="721"/>
      <c r="K410" s="721"/>
      <c r="L410" s="721"/>
      <c r="M410" s="721"/>
      <c r="N410" s="721"/>
      <c r="O410" s="721"/>
      <c r="P410" s="721"/>
      <c r="Q410" s="721"/>
      <c r="R410" s="721"/>
      <c r="S410" s="721"/>
      <c r="T410" s="721"/>
      <c r="U410" s="721"/>
      <c r="V410" s="721"/>
      <c r="W410" s="721"/>
      <c r="X410" s="721"/>
      <c r="Y410" s="721"/>
      <c r="Z410" s="721"/>
    </row>
    <row r="411" spans="10:26" s="1748" customFormat="1" ht="21.75" customHeight="1">
      <c r="J411" s="721"/>
      <c r="K411" s="721"/>
      <c r="L411" s="721"/>
      <c r="M411" s="721"/>
      <c r="N411" s="721"/>
      <c r="O411" s="721"/>
      <c r="P411" s="721"/>
      <c r="Q411" s="721"/>
      <c r="R411" s="721"/>
      <c r="S411" s="721"/>
      <c r="T411" s="721"/>
      <c r="U411" s="721"/>
      <c r="V411" s="721"/>
      <c r="W411" s="721"/>
      <c r="X411" s="721"/>
      <c r="Y411" s="721"/>
      <c r="Z411" s="721"/>
    </row>
    <row r="412" spans="10:26" s="1748" customFormat="1" ht="21.75" customHeight="1">
      <c r="J412" s="721"/>
      <c r="K412" s="721"/>
      <c r="L412" s="721"/>
      <c r="M412" s="721"/>
      <c r="N412" s="721"/>
      <c r="O412" s="721"/>
      <c r="P412" s="721"/>
      <c r="Q412" s="721"/>
      <c r="R412" s="721"/>
      <c r="S412" s="721"/>
      <c r="T412" s="721"/>
      <c r="U412" s="721"/>
      <c r="V412" s="721"/>
      <c r="W412" s="721"/>
      <c r="X412" s="721"/>
      <c r="Y412" s="721"/>
      <c r="Z412" s="721"/>
    </row>
    <row r="413" spans="10:26" s="1748" customFormat="1" ht="21.75" customHeight="1">
      <c r="J413" s="721"/>
      <c r="K413" s="721"/>
      <c r="L413" s="721"/>
      <c r="M413" s="721"/>
      <c r="N413" s="721"/>
      <c r="O413" s="721"/>
      <c r="P413" s="721"/>
      <c r="Q413" s="721"/>
      <c r="R413" s="721"/>
      <c r="S413" s="721"/>
      <c r="T413" s="721"/>
      <c r="U413" s="721"/>
      <c r="V413" s="721"/>
      <c r="W413" s="721"/>
      <c r="X413" s="721"/>
      <c r="Y413" s="721"/>
      <c r="Z413" s="721"/>
    </row>
    <row r="414" spans="10:26" s="1748" customFormat="1" ht="21.75" customHeight="1">
      <c r="J414" s="721"/>
      <c r="K414" s="721"/>
      <c r="L414" s="721"/>
      <c r="M414" s="721"/>
      <c r="N414" s="721"/>
      <c r="O414" s="721"/>
      <c r="P414" s="721"/>
      <c r="Q414" s="721"/>
      <c r="R414" s="721"/>
      <c r="S414" s="721"/>
      <c r="T414" s="721"/>
      <c r="U414" s="721"/>
      <c r="V414" s="721"/>
      <c r="W414" s="721"/>
      <c r="X414" s="721"/>
      <c r="Y414" s="721"/>
      <c r="Z414" s="721"/>
    </row>
    <row r="415" spans="10:26" s="1748" customFormat="1" ht="21.75" customHeight="1">
      <c r="J415" s="721"/>
      <c r="K415" s="721"/>
      <c r="L415" s="721"/>
      <c r="M415" s="721"/>
      <c r="N415" s="721"/>
      <c r="O415" s="721"/>
      <c r="P415" s="721"/>
      <c r="Q415" s="721"/>
      <c r="R415" s="721"/>
      <c r="S415" s="721"/>
      <c r="T415" s="721"/>
      <c r="U415" s="721"/>
      <c r="V415" s="721"/>
      <c r="W415" s="721"/>
      <c r="X415" s="721"/>
      <c r="Y415" s="721"/>
      <c r="Z415" s="721"/>
    </row>
    <row r="416" spans="10:26" s="1748" customFormat="1" ht="21.75" customHeight="1">
      <c r="J416" s="721"/>
      <c r="K416" s="721"/>
      <c r="L416" s="721"/>
      <c r="M416" s="721"/>
      <c r="N416" s="721"/>
      <c r="O416" s="721"/>
      <c r="P416" s="721"/>
      <c r="Q416" s="721"/>
      <c r="R416" s="721"/>
      <c r="S416" s="721"/>
      <c r="T416" s="721"/>
      <c r="U416" s="721"/>
      <c r="V416" s="721"/>
      <c r="W416" s="721"/>
      <c r="X416" s="721"/>
      <c r="Y416" s="721"/>
      <c r="Z416" s="721"/>
    </row>
    <row r="417" spans="10:26" s="1748" customFormat="1" ht="21.75" customHeight="1">
      <c r="J417" s="721"/>
      <c r="K417" s="721"/>
      <c r="L417" s="721"/>
      <c r="M417" s="721"/>
      <c r="N417" s="721"/>
      <c r="O417" s="721"/>
      <c r="P417" s="721"/>
      <c r="Q417" s="721"/>
      <c r="R417" s="721"/>
      <c r="S417" s="721"/>
      <c r="T417" s="721"/>
      <c r="U417" s="721"/>
      <c r="V417" s="721"/>
      <c r="W417" s="721"/>
      <c r="X417" s="721"/>
      <c r="Y417" s="721"/>
      <c r="Z417" s="721"/>
    </row>
    <row r="418" spans="10:26" s="1748" customFormat="1" ht="21.75" customHeight="1">
      <c r="J418" s="721"/>
      <c r="K418" s="721"/>
      <c r="L418" s="721"/>
      <c r="M418" s="721"/>
      <c r="N418" s="721"/>
      <c r="O418" s="721"/>
      <c r="P418" s="721"/>
      <c r="Q418" s="721"/>
      <c r="R418" s="721"/>
      <c r="S418" s="721"/>
      <c r="T418" s="721"/>
      <c r="U418" s="721"/>
      <c r="V418" s="721"/>
      <c r="W418" s="721"/>
      <c r="X418" s="721"/>
      <c r="Y418" s="721"/>
      <c r="Z418" s="721"/>
    </row>
    <row r="419" spans="10:26" s="1748" customFormat="1" ht="21.75" customHeight="1">
      <c r="J419" s="721"/>
      <c r="K419" s="721"/>
      <c r="L419" s="721"/>
      <c r="M419" s="721"/>
      <c r="N419" s="721"/>
      <c r="O419" s="721"/>
      <c r="P419" s="721"/>
      <c r="Q419" s="721"/>
      <c r="R419" s="721"/>
      <c r="S419" s="721"/>
      <c r="T419" s="721"/>
      <c r="U419" s="721"/>
      <c r="V419" s="721"/>
      <c r="W419" s="721"/>
      <c r="X419" s="721"/>
      <c r="Y419" s="721"/>
      <c r="Z419" s="721"/>
    </row>
    <row r="420" spans="10:26" s="1748" customFormat="1" ht="21.75" customHeight="1">
      <c r="J420" s="721"/>
      <c r="K420" s="721"/>
      <c r="L420" s="721"/>
      <c r="M420" s="721"/>
      <c r="N420" s="721"/>
      <c r="O420" s="721"/>
      <c r="P420" s="721"/>
      <c r="Q420" s="721"/>
      <c r="R420" s="721"/>
      <c r="S420" s="721"/>
      <c r="T420" s="721"/>
      <c r="U420" s="721"/>
      <c r="V420" s="721"/>
      <c r="W420" s="721"/>
      <c r="X420" s="721"/>
      <c r="Y420" s="721"/>
      <c r="Z420" s="721"/>
    </row>
    <row r="421" spans="10:26" s="1748" customFormat="1" ht="21.75" customHeight="1">
      <c r="J421" s="721"/>
      <c r="K421" s="721"/>
      <c r="L421" s="721"/>
      <c r="M421" s="721"/>
      <c r="N421" s="721"/>
      <c r="O421" s="721"/>
      <c r="P421" s="721"/>
      <c r="Q421" s="721"/>
      <c r="R421" s="721"/>
      <c r="S421" s="721"/>
      <c r="T421" s="721"/>
      <c r="U421" s="721"/>
      <c r="V421" s="721"/>
      <c r="W421" s="721"/>
      <c r="X421" s="721"/>
      <c r="Y421" s="721"/>
      <c r="Z421" s="721"/>
    </row>
    <row r="422" spans="10:26" s="1748" customFormat="1" ht="21.75" customHeight="1">
      <c r="J422" s="721"/>
      <c r="K422" s="721"/>
      <c r="L422" s="721"/>
      <c r="M422" s="721"/>
      <c r="N422" s="721"/>
      <c r="O422" s="721"/>
      <c r="P422" s="721"/>
      <c r="Q422" s="721"/>
      <c r="R422" s="721"/>
      <c r="S422" s="721"/>
      <c r="T422" s="721"/>
      <c r="U422" s="721"/>
      <c r="V422" s="721"/>
      <c r="W422" s="721"/>
      <c r="X422" s="721"/>
      <c r="Y422" s="721"/>
      <c r="Z422" s="721"/>
    </row>
    <row r="423" spans="10:26" s="1748" customFormat="1" ht="21.75" customHeight="1">
      <c r="J423" s="721"/>
      <c r="K423" s="721"/>
      <c r="L423" s="721"/>
      <c r="M423" s="721"/>
      <c r="N423" s="721"/>
      <c r="O423" s="721"/>
      <c r="P423" s="721"/>
      <c r="Q423" s="721"/>
      <c r="R423" s="721"/>
      <c r="S423" s="721"/>
      <c r="T423" s="721"/>
      <c r="U423" s="721"/>
      <c r="V423" s="721"/>
      <c r="W423" s="721"/>
      <c r="X423" s="721"/>
      <c r="Y423" s="721"/>
      <c r="Z423" s="721"/>
    </row>
    <row r="424" spans="10:26" s="1748" customFormat="1" ht="21.75" customHeight="1">
      <c r="J424" s="721"/>
      <c r="K424" s="721"/>
      <c r="L424" s="721"/>
      <c r="M424" s="721"/>
      <c r="N424" s="721"/>
      <c r="O424" s="721"/>
      <c r="P424" s="721"/>
      <c r="Q424" s="721"/>
      <c r="R424" s="721"/>
      <c r="S424" s="721"/>
      <c r="T424" s="721"/>
      <c r="U424" s="721"/>
      <c r="V424" s="721"/>
      <c r="W424" s="721"/>
      <c r="X424" s="721"/>
      <c r="Y424" s="721"/>
      <c r="Z424" s="721"/>
    </row>
    <row r="425" spans="10:26" s="1748" customFormat="1" ht="21.75" customHeight="1">
      <c r="J425" s="721"/>
      <c r="K425" s="721"/>
      <c r="L425" s="721"/>
      <c r="M425" s="721"/>
      <c r="N425" s="721"/>
      <c r="O425" s="721"/>
      <c r="P425" s="721"/>
      <c r="Q425" s="721"/>
      <c r="R425" s="721"/>
      <c r="S425" s="721"/>
      <c r="T425" s="721"/>
      <c r="U425" s="721"/>
      <c r="V425" s="721"/>
      <c r="W425" s="721"/>
      <c r="X425" s="721"/>
      <c r="Y425" s="721"/>
      <c r="Z425" s="721"/>
    </row>
    <row r="426" spans="10:26" s="1748" customFormat="1" ht="21.75" customHeight="1">
      <c r="J426" s="721"/>
      <c r="K426" s="721"/>
      <c r="L426" s="721"/>
      <c r="M426" s="721"/>
      <c r="N426" s="721"/>
      <c r="O426" s="721"/>
      <c r="P426" s="721"/>
      <c r="Q426" s="721"/>
      <c r="R426" s="721"/>
      <c r="S426" s="721"/>
      <c r="T426" s="721"/>
      <c r="U426" s="721"/>
      <c r="V426" s="721"/>
      <c r="W426" s="721"/>
      <c r="X426" s="721"/>
      <c r="Y426" s="721"/>
      <c r="Z426" s="721"/>
    </row>
    <row r="427" spans="10:26" s="1748" customFormat="1" ht="21.75" customHeight="1">
      <c r="J427" s="721"/>
      <c r="K427" s="721"/>
      <c r="L427" s="721"/>
      <c r="M427" s="721"/>
      <c r="N427" s="721"/>
      <c r="O427" s="721"/>
      <c r="P427" s="721"/>
      <c r="Q427" s="721"/>
      <c r="R427" s="721"/>
      <c r="S427" s="721"/>
      <c r="T427" s="721"/>
      <c r="U427" s="721"/>
      <c r="V427" s="721"/>
      <c r="W427" s="721"/>
      <c r="X427" s="721"/>
      <c r="Y427" s="721"/>
      <c r="Z427" s="721"/>
    </row>
    <row r="428" spans="10:26" s="1748" customFormat="1" ht="21.75" customHeight="1">
      <c r="J428" s="721"/>
      <c r="K428" s="721"/>
      <c r="L428" s="721"/>
      <c r="M428" s="721"/>
      <c r="N428" s="721"/>
      <c r="O428" s="721"/>
      <c r="P428" s="721"/>
      <c r="Q428" s="721"/>
      <c r="R428" s="721"/>
      <c r="S428" s="721"/>
      <c r="T428" s="721"/>
      <c r="U428" s="721"/>
      <c r="V428" s="721"/>
      <c r="W428" s="721"/>
      <c r="X428" s="721"/>
      <c r="Y428" s="721"/>
      <c r="Z428" s="721"/>
    </row>
    <row r="429" spans="10:26" s="1748" customFormat="1" ht="21.75" customHeight="1">
      <c r="J429" s="721"/>
      <c r="K429" s="721"/>
      <c r="L429" s="721"/>
      <c r="M429" s="721"/>
      <c r="N429" s="721"/>
      <c r="O429" s="721"/>
      <c r="P429" s="721"/>
      <c r="Q429" s="721"/>
      <c r="R429" s="721"/>
      <c r="S429" s="721"/>
      <c r="T429" s="721"/>
      <c r="U429" s="721"/>
      <c r="V429" s="721"/>
      <c r="W429" s="721"/>
      <c r="X429" s="721"/>
      <c r="Y429" s="721"/>
      <c r="Z429" s="721"/>
    </row>
    <row r="430" spans="10:26" s="1748" customFormat="1" ht="21.75" customHeight="1">
      <c r="J430" s="721"/>
      <c r="K430" s="721"/>
      <c r="L430" s="721"/>
      <c r="M430" s="721"/>
      <c r="N430" s="721"/>
      <c r="O430" s="721"/>
      <c r="P430" s="721"/>
      <c r="Q430" s="721"/>
      <c r="R430" s="721"/>
      <c r="S430" s="721"/>
      <c r="T430" s="721"/>
      <c r="U430" s="721"/>
      <c r="V430" s="721"/>
      <c r="W430" s="721"/>
      <c r="X430" s="721"/>
      <c r="Y430" s="721"/>
      <c r="Z430" s="721"/>
    </row>
    <row r="431" spans="10:26" s="1748" customFormat="1" ht="21.75" customHeight="1">
      <c r="J431" s="721"/>
      <c r="K431" s="721"/>
      <c r="L431" s="721"/>
      <c r="M431" s="721"/>
      <c r="N431" s="721"/>
      <c r="O431" s="721"/>
      <c r="P431" s="721"/>
      <c r="Q431" s="721"/>
      <c r="R431" s="721"/>
      <c r="S431" s="721"/>
      <c r="T431" s="721"/>
      <c r="U431" s="721"/>
      <c r="V431" s="721"/>
      <c r="W431" s="721"/>
      <c r="X431" s="721"/>
      <c r="Y431" s="721"/>
      <c r="Z431" s="721"/>
    </row>
    <row r="432" spans="10:26" s="1748" customFormat="1" ht="21.75" customHeight="1">
      <c r="J432" s="721"/>
      <c r="K432" s="721"/>
      <c r="L432" s="721"/>
      <c r="M432" s="721"/>
      <c r="N432" s="721"/>
      <c r="O432" s="721"/>
      <c r="P432" s="721"/>
      <c r="Q432" s="721"/>
      <c r="R432" s="721"/>
      <c r="S432" s="721"/>
      <c r="T432" s="721"/>
      <c r="U432" s="721"/>
      <c r="V432" s="721"/>
      <c r="W432" s="721"/>
      <c r="X432" s="721"/>
      <c r="Y432" s="721"/>
      <c r="Z432" s="721"/>
    </row>
    <row r="433" spans="10:26" s="1748" customFormat="1" ht="21.75" customHeight="1">
      <c r="J433" s="721"/>
      <c r="K433" s="721"/>
      <c r="L433" s="721"/>
      <c r="M433" s="721"/>
      <c r="N433" s="721"/>
      <c r="O433" s="721"/>
      <c r="P433" s="721"/>
      <c r="Q433" s="721"/>
      <c r="R433" s="721"/>
      <c r="S433" s="721"/>
      <c r="T433" s="721"/>
      <c r="U433" s="721"/>
      <c r="V433" s="721"/>
      <c r="W433" s="721"/>
      <c r="X433" s="721"/>
      <c r="Y433" s="721"/>
      <c r="Z433" s="721"/>
    </row>
    <row r="434" spans="10:26" s="1748" customFormat="1" ht="21.75" customHeight="1">
      <c r="J434" s="721"/>
      <c r="K434" s="721"/>
      <c r="L434" s="721"/>
      <c r="M434" s="721"/>
      <c r="N434" s="721"/>
      <c r="O434" s="721"/>
      <c r="P434" s="721"/>
      <c r="Q434" s="721"/>
      <c r="R434" s="721"/>
      <c r="S434" s="721"/>
      <c r="T434" s="721"/>
      <c r="U434" s="721"/>
      <c r="V434" s="721"/>
      <c r="W434" s="721"/>
      <c r="X434" s="721"/>
      <c r="Y434" s="721"/>
      <c r="Z434" s="721"/>
    </row>
    <row r="435" spans="10:26" s="1748" customFormat="1" ht="21.75" customHeight="1">
      <c r="J435" s="721"/>
      <c r="K435" s="721"/>
      <c r="L435" s="721"/>
      <c r="M435" s="721"/>
      <c r="N435" s="721"/>
      <c r="O435" s="721"/>
      <c r="P435" s="721"/>
      <c r="Q435" s="721"/>
      <c r="R435" s="721"/>
      <c r="S435" s="721"/>
      <c r="T435" s="721"/>
      <c r="U435" s="721"/>
      <c r="V435" s="721"/>
      <c r="W435" s="721"/>
      <c r="X435" s="721"/>
      <c r="Y435" s="721"/>
      <c r="Z435" s="721"/>
    </row>
    <row r="436" spans="10:26" s="1748" customFormat="1" ht="21.75" customHeight="1">
      <c r="J436" s="721"/>
      <c r="K436" s="721"/>
      <c r="L436" s="721"/>
      <c r="M436" s="721"/>
      <c r="N436" s="721"/>
      <c r="O436" s="721"/>
      <c r="P436" s="721"/>
      <c r="Q436" s="721"/>
      <c r="R436" s="721"/>
      <c r="S436" s="721"/>
      <c r="T436" s="721"/>
      <c r="U436" s="721"/>
      <c r="V436" s="721"/>
      <c r="W436" s="721"/>
      <c r="X436" s="721"/>
      <c r="Y436" s="721"/>
      <c r="Z436" s="721"/>
    </row>
    <row r="437" spans="10:26" s="1748" customFormat="1" ht="21.75" customHeight="1">
      <c r="J437" s="721"/>
      <c r="K437" s="721"/>
      <c r="L437" s="721"/>
      <c r="M437" s="721"/>
      <c r="N437" s="721"/>
      <c r="O437" s="721"/>
      <c r="P437" s="721"/>
      <c r="Q437" s="721"/>
      <c r="R437" s="721"/>
      <c r="S437" s="721"/>
      <c r="T437" s="721"/>
      <c r="U437" s="721"/>
      <c r="V437" s="721"/>
      <c r="W437" s="721"/>
      <c r="X437" s="721"/>
      <c r="Y437" s="721"/>
      <c r="Z437" s="721"/>
    </row>
    <row r="438" spans="10:26" s="1748" customFormat="1" ht="21.75" customHeight="1">
      <c r="J438" s="721"/>
      <c r="K438" s="721"/>
      <c r="L438" s="721"/>
      <c r="M438" s="721"/>
      <c r="N438" s="721"/>
      <c r="O438" s="721"/>
      <c r="P438" s="721"/>
      <c r="Q438" s="721"/>
      <c r="R438" s="721"/>
      <c r="S438" s="721"/>
      <c r="T438" s="721"/>
      <c r="U438" s="721"/>
      <c r="V438" s="721"/>
      <c r="W438" s="721"/>
      <c r="X438" s="721"/>
      <c r="Y438" s="721"/>
      <c r="Z438" s="721"/>
    </row>
    <row r="439" spans="10:26" s="1748" customFormat="1" ht="21.75" customHeight="1">
      <c r="J439" s="721"/>
      <c r="K439" s="721"/>
      <c r="L439" s="721"/>
      <c r="M439" s="721"/>
      <c r="N439" s="721"/>
      <c r="O439" s="721"/>
      <c r="P439" s="721"/>
      <c r="Q439" s="721"/>
      <c r="R439" s="721"/>
      <c r="S439" s="721"/>
      <c r="T439" s="721"/>
      <c r="U439" s="721"/>
      <c r="V439" s="721"/>
      <c r="W439" s="721"/>
      <c r="X439" s="721"/>
      <c r="Y439" s="721"/>
      <c r="Z439" s="721"/>
    </row>
    <row r="440" spans="10:26" s="1748" customFormat="1" ht="21.75" customHeight="1">
      <c r="J440" s="721"/>
      <c r="K440" s="721"/>
      <c r="L440" s="721"/>
      <c r="M440" s="721"/>
      <c r="N440" s="721"/>
      <c r="O440" s="721"/>
      <c r="P440" s="721"/>
      <c r="Q440" s="721"/>
      <c r="R440" s="721"/>
      <c r="S440" s="721"/>
      <c r="T440" s="721"/>
      <c r="U440" s="721"/>
      <c r="V440" s="721"/>
      <c r="W440" s="721"/>
      <c r="X440" s="721"/>
      <c r="Y440" s="721"/>
      <c r="Z440" s="721"/>
    </row>
    <row r="441" spans="10:26" s="1748" customFormat="1" ht="21.75" customHeight="1">
      <c r="J441" s="721"/>
      <c r="K441" s="721"/>
      <c r="L441" s="721"/>
      <c r="M441" s="721"/>
      <c r="N441" s="721"/>
      <c r="O441" s="721"/>
      <c r="P441" s="721"/>
      <c r="Q441" s="721"/>
      <c r="R441" s="721"/>
      <c r="S441" s="721"/>
      <c r="T441" s="721"/>
      <c r="U441" s="721"/>
      <c r="V441" s="721"/>
      <c r="W441" s="721"/>
      <c r="X441" s="721"/>
      <c r="Y441" s="721"/>
      <c r="Z441" s="721"/>
    </row>
    <row r="442" spans="10:26" s="1748" customFormat="1" ht="21.75" customHeight="1">
      <c r="J442" s="721"/>
      <c r="K442" s="721"/>
      <c r="L442" s="721"/>
      <c r="M442" s="721"/>
      <c r="N442" s="721"/>
      <c r="O442" s="721"/>
      <c r="P442" s="721"/>
      <c r="Q442" s="721"/>
      <c r="R442" s="721"/>
      <c r="S442" s="721"/>
      <c r="T442" s="721"/>
      <c r="U442" s="721"/>
      <c r="V442" s="721"/>
      <c r="W442" s="721"/>
      <c r="X442" s="721"/>
      <c r="Y442" s="721"/>
      <c r="Z442" s="721"/>
    </row>
    <row r="443" spans="10:26" s="1748" customFormat="1" ht="21.75" customHeight="1">
      <c r="J443" s="721"/>
      <c r="K443" s="721"/>
      <c r="L443" s="721"/>
      <c r="M443" s="721"/>
      <c r="N443" s="721"/>
      <c r="O443" s="721"/>
      <c r="P443" s="721"/>
      <c r="Q443" s="721"/>
      <c r="R443" s="721"/>
      <c r="S443" s="721"/>
      <c r="T443" s="721"/>
      <c r="U443" s="721"/>
      <c r="V443" s="721"/>
      <c r="W443" s="721"/>
      <c r="X443" s="721"/>
      <c r="Y443" s="721"/>
      <c r="Z443" s="721"/>
    </row>
    <row r="444" spans="10:26" s="1748" customFormat="1" ht="21.75" customHeight="1">
      <c r="J444" s="721"/>
      <c r="K444" s="721"/>
      <c r="L444" s="721"/>
      <c r="M444" s="721"/>
      <c r="N444" s="721"/>
      <c r="O444" s="721"/>
      <c r="P444" s="721"/>
      <c r="Q444" s="721"/>
      <c r="R444" s="721"/>
      <c r="S444" s="721"/>
      <c r="T444" s="721"/>
      <c r="U444" s="721"/>
      <c r="V444" s="721"/>
      <c r="W444" s="721"/>
      <c r="X444" s="721"/>
      <c r="Y444" s="721"/>
      <c r="Z444" s="721"/>
    </row>
    <row r="445" spans="10:26" s="1748" customFormat="1" ht="21.75" customHeight="1">
      <c r="J445" s="721"/>
      <c r="K445" s="721"/>
      <c r="L445" s="721"/>
      <c r="M445" s="721"/>
      <c r="N445" s="721"/>
      <c r="O445" s="721"/>
      <c r="P445" s="721"/>
      <c r="Q445" s="721"/>
      <c r="R445" s="721"/>
      <c r="S445" s="721"/>
      <c r="T445" s="721"/>
      <c r="U445" s="721"/>
      <c r="V445" s="721"/>
      <c r="W445" s="721"/>
      <c r="X445" s="721"/>
      <c r="Y445" s="721"/>
      <c r="Z445" s="721"/>
    </row>
    <row r="446" spans="10:26" s="1748" customFormat="1" ht="21.75" customHeight="1">
      <c r="J446" s="721"/>
      <c r="K446" s="721"/>
      <c r="L446" s="721"/>
      <c r="M446" s="721"/>
      <c r="N446" s="721"/>
      <c r="O446" s="721"/>
      <c r="P446" s="721"/>
      <c r="Q446" s="721"/>
      <c r="R446" s="721"/>
      <c r="S446" s="721"/>
      <c r="T446" s="721"/>
      <c r="U446" s="721"/>
      <c r="V446" s="721"/>
      <c r="W446" s="721"/>
      <c r="X446" s="721"/>
      <c r="Y446" s="721"/>
      <c r="Z446" s="721"/>
    </row>
    <row r="447" spans="10:26" s="1748" customFormat="1" ht="21.75" customHeight="1">
      <c r="J447" s="721"/>
      <c r="K447" s="721"/>
      <c r="L447" s="721"/>
      <c r="M447" s="721"/>
      <c r="N447" s="721"/>
      <c r="O447" s="721"/>
      <c r="P447" s="721"/>
      <c r="Q447" s="721"/>
      <c r="R447" s="721"/>
      <c r="S447" s="721"/>
      <c r="T447" s="721"/>
      <c r="U447" s="721"/>
      <c r="V447" s="721"/>
      <c r="W447" s="721"/>
      <c r="X447" s="721"/>
      <c r="Y447" s="721"/>
      <c r="Z447" s="721"/>
    </row>
    <row r="448" spans="10:26" s="1748" customFormat="1" ht="21.75" customHeight="1">
      <c r="J448" s="721"/>
      <c r="K448" s="721"/>
      <c r="L448" s="721"/>
      <c r="M448" s="721"/>
      <c r="N448" s="721"/>
      <c r="O448" s="721"/>
      <c r="P448" s="721"/>
      <c r="Q448" s="721"/>
      <c r="R448" s="721"/>
      <c r="S448" s="721"/>
      <c r="T448" s="721"/>
      <c r="U448" s="721"/>
      <c r="V448" s="721"/>
      <c r="W448" s="721"/>
      <c r="X448" s="721"/>
      <c r="Y448" s="721"/>
      <c r="Z448" s="721"/>
    </row>
    <row r="449" spans="10:26" s="1748" customFormat="1" ht="21.75" customHeight="1">
      <c r="J449" s="721"/>
      <c r="K449" s="721"/>
      <c r="L449" s="721"/>
      <c r="M449" s="721"/>
      <c r="N449" s="721"/>
      <c r="O449" s="721"/>
      <c r="P449" s="721"/>
      <c r="Q449" s="721"/>
      <c r="R449" s="721"/>
      <c r="S449" s="721"/>
      <c r="T449" s="721"/>
      <c r="U449" s="721"/>
      <c r="V449" s="721"/>
      <c r="W449" s="721"/>
      <c r="X449" s="721"/>
      <c r="Y449" s="721"/>
      <c r="Z449" s="721"/>
    </row>
    <row r="450" spans="10:26" s="1748" customFormat="1" ht="21.75" customHeight="1">
      <c r="J450" s="721"/>
      <c r="K450" s="721"/>
      <c r="L450" s="721"/>
      <c r="M450" s="721"/>
      <c r="N450" s="721"/>
      <c r="O450" s="721"/>
      <c r="P450" s="721"/>
      <c r="Q450" s="721"/>
      <c r="R450" s="721"/>
      <c r="S450" s="721"/>
      <c r="T450" s="721"/>
      <c r="U450" s="721"/>
      <c r="V450" s="721"/>
      <c r="W450" s="721"/>
      <c r="X450" s="721"/>
      <c r="Y450" s="721"/>
      <c r="Z450" s="721"/>
    </row>
    <row r="451" spans="10:26" s="1748" customFormat="1" ht="21.75" customHeight="1">
      <c r="J451" s="721"/>
      <c r="K451" s="721"/>
      <c r="L451" s="721"/>
      <c r="M451" s="721"/>
      <c r="N451" s="721"/>
      <c r="O451" s="721"/>
      <c r="P451" s="721"/>
      <c r="Q451" s="721"/>
      <c r="R451" s="721"/>
      <c r="S451" s="721"/>
      <c r="T451" s="721"/>
      <c r="U451" s="721"/>
      <c r="V451" s="721"/>
      <c r="W451" s="721"/>
      <c r="X451" s="721"/>
      <c r="Y451" s="721"/>
      <c r="Z451" s="721"/>
    </row>
    <row r="452" spans="10:26" s="1748" customFormat="1" ht="21.75" customHeight="1">
      <c r="J452" s="721"/>
      <c r="K452" s="721"/>
      <c r="L452" s="721"/>
      <c r="M452" s="721"/>
      <c r="N452" s="721"/>
      <c r="O452" s="721"/>
      <c r="P452" s="721"/>
      <c r="Q452" s="721"/>
      <c r="R452" s="721"/>
      <c r="S452" s="721"/>
      <c r="T452" s="721"/>
      <c r="U452" s="721"/>
      <c r="V452" s="721"/>
      <c r="W452" s="721"/>
      <c r="X452" s="721"/>
      <c r="Y452" s="721"/>
      <c r="Z452" s="721"/>
    </row>
    <row r="453" spans="10:26" s="1748" customFormat="1" ht="21.75" customHeight="1">
      <c r="J453" s="721"/>
      <c r="K453" s="721"/>
      <c r="L453" s="721"/>
      <c r="M453" s="721"/>
      <c r="N453" s="721"/>
      <c r="O453" s="721"/>
      <c r="P453" s="721"/>
      <c r="Q453" s="721"/>
      <c r="R453" s="721"/>
      <c r="S453" s="721"/>
      <c r="T453" s="721"/>
      <c r="U453" s="721"/>
      <c r="V453" s="721"/>
      <c r="W453" s="721"/>
      <c r="X453" s="721"/>
      <c r="Y453" s="721"/>
      <c r="Z453" s="721"/>
    </row>
    <row r="454" spans="10:26" s="1748" customFormat="1" ht="21.75" customHeight="1">
      <c r="J454" s="721"/>
      <c r="K454" s="721"/>
      <c r="L454" s="721"/>
      <c r="M454" s="721"/>
      <c r="N454" s="721"/>
      <c r="O454" s="721"/>
      <c r="P454" s="721"/>
      <c r="Q454" s="721"/>
      <c r="R454" s="721"/>
      <c r="S454" s="721"/>
      <c r="T454" s="721"/>
      <c r="U454" s="721"/>
      <c r="V454" s="721"/>
      <c r="W454" s="721"/>
      <c r="X454" s="721"/>
      <c r="Y454" s="721"/>
      <c r="Z454" s="721"/>
    </row>
    <row r="455" spans="10:26" s="1748" customFormat="1" ht="21.75" customHeight="1">
      <c r="J455" s="721"/>
      <c r="K455" s="721"/>
      <c r="L455" s="721"/>
      <c r="M455" s="721"/>
      <c r="N455" s="721"/>
      <c r="O455" s="721"/>
      <c r="P455" s="721"/>
      <c r="Q455" s="721"/>
      <c r="R455" s="721"/>
      <c r="S455" s="721"/>
      <c r="T455" s="721"/>
      <c r="U455" s="721"/>
      <c r="V455" s="721"/>
      <c r="W455" s="721"/>
      <c r="X455" s="721"/>
      <c r="Y455" s="721"/>
      <c r="Z455" s="721"/>
    </row>
    <row r="456" spans="10:26" s="1748" customFormat="1" ht="21.75" customHeight="1">
      <c r="J456" s="721"/>
      <c r="K456" s="721"/>
      <c r="L456" s="721"/>
      <c r="M456" s="721"/>
      <c r="N456" s="721"/>
      <c r="O456" s="721"/>
      <c r="P456" s="721"/>
      <c r="Q456" s="721"/>
      <c r="R456" s="721"/>
      <c r="S456" s="721"/>
      <c r="T456" s="721"/>
      <c r="U456" s="721"/>
      <c r="V456" s="721"/>
      <c r="W456" s="721"/>
      <c r="X456" s="721"/>
      <c r="Y456" s="721"/>
      <c r="Z456" s="721"/>
    </row>
    <row r="457" spans="10:26" s="1748" customFormat="1" ht="21.75" customHeight="1">
      <c r="J457" s="721"/>
      <c r="K457" s="721"/>
      <c r="L457" s="721"/>
      <c r="M457" s="721"/>
      <c r="N457" s="721"/>
      <c r="O457" s="721"/>
      <c r="P457" s="721"/>
      <c r="Q457" s="721"/>
      <c r="R457" s="721"/>
      <c r="S457" s="721"/>
      <c r="T457" s="721"/>
      <c r="U457" s="721"/>
      <c r="V457" s="721"/>
      <c r="W457" s="721"/>
      <c r="X457" s="721"/>
      <c r="Y457" s="721"/>
      <c r="Z457" s="721"/>
    </row>
    <row r="458" spans="10:26" s="1748" customFormat="1" ht="21.75" customHeight="1">
      <c r="J458" s="721"/>
      <c r="K458" s="721"/>
      <c r="L458" s="721"/>
      <c r="M458" s="721"/>
      <c r="N458" s="721"/>
      <c r="O458" s="721"/>
      <c r="P458" s="721"/>
      <c r="Q458" s="721"/>
      <c r="R458" s="721"/>
      <c r="S458" s="721"/>
      <c r="T458" s="721"/>
      <c r="U458" s="721"/>
      <c r="V458" s="721"/>
      <c r="W458" s="721"/>
      <c r="X458" s="721"/>
      <c r="Y458" s="721"/>
      <c r="Z458" s="721"/>
    </row>
    <row r="459" spans="10:26" s="1748" customFormat="1" ht="21.75" customHeight="1">
      <c r="J459" s="721"/>
      <c r="K459" s="721"/>
      <c r="L459" s="721"/>
      <c r="M459" s="721"/>
      <c r="N459" s="721"/>
      <c r="O459" s="721"/>
      <c r="P459" s="721"/>
      <c r="Q459" s="721"/>
      <c r="R459" s="721"/>
      <c r="S459" s="721"/>
      <c r="T459" s="721"/>
      <c r="U459" s="721"/>
      <c r="V459" s="721"/>
      <c r="W459" s="721"/>
      <c r="X459" s="721"/>
      <c r="Y459" s="721"/>
      <c r="Z459" s="721"/>
    </row>
    <row r="460" spans="10:26" s="1748" customFormat="1" ht="21.75" customHeight="1">
      <c r="J460" s="721"/>
      <c r="K460" s="721"/>
      <c r="L460" s="721"/>
      <c r="M460" s="721"/>
      <c r="N460" s="721"/>
      <c r="O460" s="721"/>
      <c r="P460" s="721"/>
      <c r="Q460" s="721"/>
      <c r="R460" s="721"/>
      <c r="S460" s="721"/>
      <c r="T460" s="721"/>
      <c r="U460" s="721"/>
      <c r="V460" s="721"/>
      <c r="W460" s="721"/>
      <c r="X460" s="721"/>
      <c r="Y460" s="721"/>
      <c r="Z460" s="721"/>
    </row>
    <row r="461" spans="10:26" s="1748" customFormat="1" ht="21.75" customHeight="1">
      <c r="J461" s="721"/>
      <c r="K461" s="721"/>
      <c r="L461" s="721"/>
      <c r="M461" s="721"/>
      <c r="N461" s="721"/>
      <c r="O461" s="721"/>
      <c r="P461" s="721"/>
      <c r="Q461" s="721"/>
      <c r="R461" s="721"/>
      <c r="S461" s="721"/>
      <c r="T461" s="721"/>
      <c r="U461" s="721"/>
      <c r="V461" s="721"/>
      <c r="W461" s="721"/>
      <c r="X461" s="721"/>
      <c r="Y461" s="721"/>
      <c r="Z461" s="721"/>
    </row>
    <row r="462" spans="10:26" s="1748" customFormat="1" ht="21.75" customHeight="1">
      <c r="J462" s="721"/>
      <c r="K462" s="721"/>
      <c r="L462" s="721"/>
      <c r="M462" s="721"/>
      <c r="N462" s="721"/>
      <c r="O462" s="721"/>
      <c r="P462" s="721"/>
      <c r="Q462" s="721"/>
      <c r="R462" s="721"/>
      <c r="S462" s="721"/>
      <c r="T462" s="721"/>
      <c r="U462" s="721"/>
      <c r="V462" s="721"/>
      <c r="W462" s="721"/>
      <c r="X462" s="721"/>
      <c r="Y462" s="721"/>
      <c r="Z462" s="721"/>
    </row>
    <row r="463" spans="10:26" s="1748" customFormat="1" ht="21.75" customHeight="1">
      <c r="J463" s="721"/>
      <c r="K463" s="721"/>
      <c r="L463" s="721"/>
      <c r="M463" s="721"/>
      <c r="N463" s="721"/>
      <c r="O463" s="721"/>
      <c r="P463" s="721"/>
      <c r="Q463" s="721"/>
      <c r="R463" s="721"/>
      <c r="S463" s="721"/>
      <c r="T463" s="721"/>
      <c r="U463" s="721"/>
      <c r="V463" s="721"/>
      <c r="W463" s="721"/>
      <c r="X463" s="721"/>
      <c r="Y463" s="721"/>
      <c r="Z463" s="721"/>
    </row>
    <row r="464" spans="10:26" s="1748" customFormat="1" ht="21.75" customHeight="1">
      <c r="J464" s="721"/>
      <c r="K464" s="721"/>
      <c r="L464" s="721"/>
      <c r="M464" s="721"/>
      <c r="N464" s="721"/>
      <c r="O464" s="721"/>
      <c r="P464" s="721"/>
      <c r="Q464" s="721"/>
      <c r="R464" s="721"/>
      <c r="S464" s="721"/>
      <c r="T464" s="721"/>
      <c r="U464" s="721"/>
      <c r="V464" s="721"/>
      <c r="W464" s="721"/>
      <c r="X464" s="721"/>
      <c r="Y464" s="721"/>
      <c r="Z464" s="721"/>
    </row>
    <row r="465" spans="10:26" s="1748" customFormat="1" ht="21.75" customHeight="1">
      <c r="J465" s="721"/>
      <c r="K465" s="721"/>
      <c r="L465" s="721"/>
      <c r="M465" s="721"/>
      <c r="N465" s="721"/>
      <c r="O465" s="721"/>
      <c r="P465" s="721"/>
      <c r="Q465" s="721"/>
      <c r="R465" s="721"/>
      <c r="S465" s="721"/>
      <c r="T465" s="721"/>
      <c r="U465" s="721"/>
      <c r="V465" s="721"/>
      <c r="W465" s="721"/>
      <c r="X465" s="721"/>
      <c r="Y465" s="721"/>
      <c r="Z465" s="721"/>
    </row>
    <row r="466" spans="10:26" s="1748" customFormat="1" ht="21.75" customHeight="1">
      <c r="J466" s="721"/>
      <c r="K466" s="721"/>
      <c r="L466" s="721"/>
      <c r="M466" s="721"/>
      <c r="N466" s="721"/>
      <c r="O466" s="721"/>
      <c r="P466" s="721"/>
      <c r="Q466" s="721"/>
      <c r="R466" s="721"/>
      <c r="S466" s="721"/>
      <c r="T466" s="721"/>
      <c r="U466" s="721"/>
      <c r="V466" s="721"/>
      <c r="W466" s="721"/>
      <c r="X466" s="721"/>
      <c r="Y466" s="721"/>
      <c r="Z466" s="721"/>
    </row>
    <row r="467" spans="10:26" s="1748" customFormat="1" ht="21.75" customHeight="1">
      <c r="J467" s="721"/>
      <c r="K467" s="721"/>
      <c r="L467" s="721"/>
      <c r="M467" s="721"/>
      <c r="N467" s="721"/>
      <c r="O467" s="721"/>
      <c r="P467" s="721"/>
      <c r="Q467" s="721"/>
      <c r="R467" s="721"/>
      <c r="S467" s="721"/>
      <c r="T467" s="721"/>
      <c r="U467" s="721"/>
      <c r="V467" s="721"/>
      <c r="W467" s="721"/>
      <c r="X467" s="721"/>
      <c r="Y467" s="721"/>
      <c r="Z467" s="721"/>
    </row>
    <row r="468" spans="10:26" s="1748" customFormat="1" ht="21.75" customHeight="1">
      <c r="J468" s="721"/>
      <c r="K468" s="721"/>
      <c r="L468" s="721"/>
      <c r="M468" s="721"/>
      <c r="N468" s="721"/>
      <c r="O468" s="721"/>
      <c r="P468" s="721"/>
      <c r="Q468" s="721"/>
      <c r="R468" s="721"/>
      <c r="S468" s="721"/>
      <c r="T468" s="721"/>
      <c r="U468" s="721"/>
      <c r="V468" s="721"/>
      <c r="W468" s="721"/>
      <c r="X468" s="721"/>
      <c r="Y468" s="721"/>
      <c r="Z468" s="721"/>
    </row>
    <row r="469" spans="10:26" s="1748" customFormat="1" ht="21.75" customHeight="1">
      <c r="J469" s="721"/>
      <c r="K469" s="721"/>
      <c r="L469" s="721"/>
      <c r="M469" s="721"/>
      <c r="N469" s="721"/>
      <c r="O469" s="721"/>
      <c r="P469" s="721"/>
      <c r="Q469" s="721"/>
      <c r="R469" s="721"/>
      <c r="S469" s="721"/>
      <c r="T469" s="721"/>
      <c r="U469" s="721"/>
      <c r="V469" s="721"/>
      <c r="W469" s="721"/>
      <c r="X469" s="721"/>
      <c r="Y469" s="721"/>
      <c r="Z469" s="721"/>
    </row>
    <row r="470" spans="10:26" s="1748" customFormat="1" ht="21.75" customHeight="1">
      <c r="J470" s="721"/>
      <c r="K470" s="721"/>
      <c r="L470" s="721"/>
      <c r="M470" s="721"/>
      <c r="N470" s="721"/>
      <c r="O470" s="721"/>
      <c r="P470" s="721"/>
      <c r="Q470" s="721"/>
      <c r="R470" s="721"/>
      <c r="S470" s="721"/>
      <c r="T470" s="721"/>
      <c r="U470" s="721"/>
      <c r="V470" s="721"/>
      <c r="W470" s="721"/>
      <c r="X470" s="721"/>
      <c r="Y470" s="721"/>
      <c r="Z470" s="721"/>
    </row>
    <row r="471" spans="10:26" s="1748" customFormat="1" ht="21.75" customHeight="1">
      <c r="J471" s="721"/>
      <c r="K471" s="721"/>
      <c r="L471" s="721"/>
      <c r="M471" s="721"/>
      <c r="N471" s="721"/>
      <c r="O471" s="721"/>
      <c r="P471" s="721"/>
      <c r="Q471" s="721"/>
      <c r="R471" s="721"/>
      <c r="S471" s="721"/>
      <c r="T471" s="721"/>
      <c r="U471" s="721"/>
      <c r="V471" s="721"/>
      <c r="W471" s="721"/>
      <c r="X471" s="721"/>
      <c r="Y471" s="721"/>
      <c r="Z471" s="721"/>
    </row>
    <row r="472" spans="10:26" s="1748" customFormat="1" ht="21.75" customHeight="1">
      <c r="J472" s="721"/>
      <c r="K472" s="721"/>
      <c r="L472" s="721"/>
      <c r="M472" s="721"/>
      <c r="N472" s="721"/>
      <c r="O472" s="721"/>
      <c r="P472" s="721"/>
      <c r="Q472" s="721"/>
      <c r="R472" s="721"/>
      <c r="S472" s="721"/>
      <c r="T472" s="721"/>
      <c r="U472" s="721"/>
      <c r="V472" s="721"/>
      <c r="W472" s="721"/>
      <c r="X472" s="721"/>
      <c r="Y472" s="721"/>
      <c r="Z472" s="721"/>
    </row>
    <row r="473" spans="10:26" s="1748" customFormat="1" ht="21.75" customHeight="1">
      <c r="J473" s="721"/>
      <c r="K473" s="721"/>
      <c r="L473" s="721"/>
      <c r="M473" s="721"/>
      <c r="N473" s="721"/>
      <c r="O473" s="721"/>
      <c r="P473" s="721"/>
      <c r="Q473" s="721"/>
      <c r="R473" s="721"/>
      <c r="S473" s="721"/>
      <c r="T473" s="721"/>
      <c r="U473" s="721"/>
      <c r="V473" s="721"/>
      <c r="W473" s="721"/>
      <c r="X473" s="721"/>
      <c r="Y473" s="721"/>
      <c r="Z473" s="721"/>
    </row>
    <row r="474" spans="10:26" s="1748" customFormat="1" ht="21.75" customHeight="1">
      <c r="J474" s="721"/>
      <c r="K474" s="721"/>
      <c r="L474" s="721"/>
      <c r="M474" s="721"/>
      <c r="N474" s="721"/>
      <c r="O474" s="721"/>
      <c r="P474" s="721"/>
      <c r="Q474" s="721"/>
      <c r="R474" s="721"/>
      <c r="S474" s="721"/>
      <c r="T474" s="721"/>
      <c r="U474" s="721"/>
      <c r="V474" s="721"/>
      <c r="W474" s="721"/>
      <c r="X474" s="721"/>
      <c r="Y474" s="721"/>
      <c r="Z474" s="721"/>
    </row>
    <row r="475" spans="10:26" s="1748" customFormat="1" ht="21.75" customHeight="1">
      <c r="J475" s="721"/>
      <c r="K475" s="721"/>
      <c r="L475" s="721"/>
      <c r="M475" s="721"/>
      <c r="N475" s="721"/>
      <c r="O475" s="721"/>
      <c r="P475" s="721"/>
      <c r="Q475" s="721"/>
      <c r="R475" s="721"/>
      <c r="S475" s="721"/>
      <c r="T475" s="721"/>
      <c r="U475" s="721"/>
      <c r="V475" s="721"/>
      <c r="W475" s="721"/>
      <c r="X475" s="721"/>
      <c r="Y475" s="721"/>
      <c r="Z475" s="721"/>
    </row>
    <row r="476" spans="10:26" s="1748" customFormat="1" ht="21.75" customHeight="1">
      <c r="J476" s="721"/>
      <c r="K476" s="721"/>
      <c r="L476" s="721"/>
      <c r="M476" s="721"/>
      <c r="N476" s="721"/>
      <c r="O476" s="721"/>
      <c r="P476" s="721"/>
      <c r="Q476" s="721"/>
      <c r="R476" s="721"/>
      <c r="S476" s="721"/>
      <c r="T476" s="721"/>
      <c r="U476" s="721"/>
      <c r="V476" s="721"/>
      <c r="W476" s="721"/>
      <c r="X476" s="721"/>
      <c r="Y476" s="721"/>
      <c r="Z476" s="721"/>
    </row>
    <row r="477" spans="10:26" s="1748" customFormat="1" ht="21.75" customHeight="1">
      <c r="J477" s="721"/>
      <c r="K477" s="721"/>
      <c r="L477" s="721"/>
      <c r="M477" s="721"/>
      <c r="N477" s="721"/>
      <c r="O477" s="721"/>
      <c r="P477" s="721"/>
      <c r="Q477" s="721"/>
      <c r="R477" s="721"/>
      <c r="S477" s="721"/>
      <c r="T477" s="721"/>
      <c r="U477" s="721"/>
      <c r="V477" s="721"/>
      <c r="W477" s="721"/>
      <c r="X477" s="721"/>
      <c r="Y477" s="721"/>
      <c r="Z477" s="721"/>
    </row>
    <row r="478" spans="10:26" s="1748" customFormat="1" ht="21.75" customHeight="1">
      <c r="J478" s="721"/>
      <c r="K478" s="721"/>
      <c r="L478" s="721"/>
      <c r="M478" s="721"/>
      <c r="N478" s="721"/>
      <c r="O478" s="721"/>
      <c r="P478" s="721"/>
      <c r="Q478" s="721"/>
      <c r="R478" s="721"/>
      <c r="S478" s="721"/>
      <c r="T478" s="721"/>
      <c r="U478" s="721"/>
      <c r="V478" s="721"/>
      <c r="W478" s="721"/>
      <c r="X478" s="721"/>
      <c r="Y478" s="721"/>
      <c r="Z478" s="721"/>
    </row>
    <row r="479" spans="10:26" s="1748" customFormat="1" ht="21.75" customHeight="1">
      <c r="J479" s="721"/>
      <c r="K479" s="721"/>
      <c r="L479" s="721"/>
      <c r="M479" s="721"/>
      <c r="N479" s="721"/>
      <c r="O479" s="721"/>
      <c r="P479" s="721"/>
      <c r="Q479" s="721"/>
      <c r="R479" s="721"/>
      <c r="S479" s="721"/>
      <c r="T479" s="721"/>
      <c r="U479" s="721"/>
      <c r="V479" s="721"/>
      <c r="W479" s="721"/>
      <c r="X479" s="721"/>
      <c r="Y479" s="721"/>
      <c r="Z479" s="721"/>
    </row>
    <row r="480" spans="10:26" s="1748" customFormat="1" ht="21.75" customHeight="1">
      <c r="J480" s="721"/>
      <c r="K480" s="721"/>
      <c r="L480" s="721"/>
      <c r="M480" s="721"/>
      <c r="N480" s="721"/>
      <c r="O480" s="721"/>
      <c r="P480" s="721"/>
      <c r="Q480" s="721"/>
      <c r="R480" s="721"/>
      <c r="S480" s="721"/>
      <c r="T480" s="721"/>
      <c r="U480" s="721"/>
      <c r="V480" s="721"/>
      <c r="W480" s="721"/>
      <c r="X480" s="721"/>
      <c r="Y480" s="721"/>
      <c r="Z480" s="721"/>
    </row>
    <row r="481" spans="10:26" s="1748" customFormat="1" ht="21.75" customHeight="1">
      <c r="J481" s="721"/>
      <c r="K481" s="721"/>
      <c r="L481" s="721"/>
      <c r="M481" s="721"/>
      <c r="N481" s="721"/>
      <c r="O481" s="721"/>
      <c r="P481" s="721"/>
      <c r="Q481" s="721"/>
      <c r="R481" s="721"/>
      <c r="S481" s="721"/>
      <c r="T481" s="721"/>
      <c r="U481" s="721"/>
      <c r="V481" s="721"/>
      <c r="W481" s="721"/>
      <c r="X481" s="721"/>
      <c r="Y481" s="721"/>
      <c r="Z481" s="721"/>
    </row>
    <row r="482" spans="10:26" s="1748" customFormat="1" ht="21.75" customHeight="1">
      <c r="J482" s="721"/>
      <c r="K482" s="721"/>
      <c r="L482" s="721"/>
      <c r="M482" s="721"/>
      <c r="N482" s="721"/>
      <c r="O482" s="721"/>
      <c r="P482" s="721"/>
      <c r="Q482" s="721"/>
      <c r="R482" s="721"/>
      <c r="S482" s="721"/>
      <c r="T482" s="721"/>
      <c r="U482" s="721"/>
      <c r="V482" s="721"/>
      <c r="W482" s="721"/>
      <c r="X482" s="721"/>
      <c r="Y482" s="721"/>
      <c r="Z482" s="721"/>
    </row>
    <row r="483" spans="10:26" s="1748" customFormat="1" ht="21.75" customHeight="1">
      <c r="J483" s="721"/>
      <c r="K483" s="721"/>
      <c r="L483" s="721"/>
      <c r="M483" s="721"/>
      <c r="N483" s="721"/>
      <c r="O483" s="721"/>
      <c r="P483" s="721"/>
      <c r="Q483" s="721"/>
      <c r="R483" s="721"/>
      <c r="S483" s="721"/>
      <c r="T483" s="721"/>
      <c r="U483" s="721"/>
      <c r="V483" s="721"/>
      <c r="W483" s="721"/>
      <c r="X483" s="721"/>
      <c r="Y483" s="721"/>
      <c r="Z483" s="721"/>
    </row>
    <row r="484" spans="10:26" s="1748" customFormat="1" ht="21.75" customHeight="1">
      <c r="J484" s="721"/>
      <c r="K484" s="721"/>
      <c r="L484" s="721"/>
      <c r="M484" s="721"/>
      <c r="N484" s="721"/>
      <c r="O484" s="721"/>
      <c r="P484" s="721"/>
      <c r="Q484" s="721"/>
      <c r="R484" s="721"/>
      <c r="S484" s="721"/>
      <c r="T484" s="721"/>
      <c r="U484" s="721"/>
      <c r="V484" s="721"/>
      <c r="W484" s="721"/>
      <c r="X484" s="721"/>
      <c r="Y484" s="721"/>
      <c r="Z484" s="721"/>
    </row>
    <row r="485" spans="10:26" s="1748" customFormat="1" ht="21.75" customHeight="1">
      <c r="J485" s="721"/>
      <c r="K485" s="721"/>
      <c r="L485" s="721"/>
      <c r="M485" s="721"/>
      <c r="N485" s="721"/>
      <c r="O485" s="721"/>
      <c r="P485" s="721"/>
      <c r="Q485" s="721"/>
      <c r="R485" s="721"/>
      <c r="S485" s="721"/>
      <c r="T485" s="721"/>
      <c r="U485" s="721"/>
      <c r="V485" s="721"/>
      <c r="W485" s="721"/>
      <c r="X485" s="721"/>
      <c r="Y485" s="721"/>
      <c r="Z485" s="721"/>
    </row>
    <row r="486" spans="10:26" s="1748" customFormat="1" ht="21.75" customHeight="1">
      <c r="J486" s="721"/>
      <c r="K486" s="721"/>
      <c r="L486" s="721"/>
      <c r="M486" s="721"/>
      <c r="N486" s="721"/>
      <c r="O486" s="721"/>
      <c r="P486" s="721"/>
      <c r="Q486" s="721"/>
      <c r="R486" s="721"/>
      <c r="S486" s="721"/>
      <c r="T486" s="721"/>
      <c r="U486" s="721"/>
      <c r="V486" s="721"/>
      <c r="W486" s="721"/>
      <c r="X486" s="721"/>
      <c r="Y486" s="721"/>
      <c r="Z486" s="721"/>
    </row>
    <row r="487" spans="10:26" s="1748" customFormat="1" ht="21.75" customHeight="1">
      <c r="J487" s="721"/>
      <c r="K487" s="721"/>
      <c r="L487" s="721"/>
      <c r="M487" s="721"/>
      <c r="N487" s="721"/>
      <c r="O487" s="721"/>
      <c r="P487" s="721"/>
      <c r="Q487" s="721"/>
      <c r="R487" s="721"/>
      <c r="S487" s="721"/>
      <c r="T487" s="721"/>
      <c r="U487" s="721"/>
      <c r="V487" s="721"/>
      <c r="W487" s="721"/>
      <c r="X487" s="721"/>
      <c r="Y487" s="721"/>
      <c r="Z487" s="721"/>
    </row>
    <row r="488" spans="10:26" s="1748" customFormat="1" ht="21.75" customHeight="1">
      <c r="J488" s="721"/>
      <c r="K488" s="721"/>
      <c r="L488" s="721"/>
      <c r="M488" s="721"/>
      <c r="N488" s="721"/>
      <c r="O488" s="721"/>
      <c r="P488" s="721"/>
      <c r="Q488" s="721"/>
      <c r="R488" s="721"/>
      <c r="S488" s="721"/>
      <c r="T488" s="721"/>
      <c r="U488" s="721"/>
      <c r="V488" s="721"/>
      <c r="W488" s="721"/>
      <c r="X488" s="721"/>
      <c r="Y488" s="721"/>
      <c r="Z488" s="721"/>
    </row>
    <row r="489" spans="10:26" s="1748" customFormat="1" ht="21.75" customHeight="1">
      <c r="J489" s="721"/>
      <c r="K489" s="721"/>
      <c r="L489" s="721"/>
      <c r="M489" s="721"/>
      <c r="N489" s="721"/>
      <c r="O489" s="721"/>
      <c r="P489" s="721"/>
      <c r="Q489" s="721"/>
      <c r="R489" s="721"/>
      <c r="S489" s="721"/>
      <c r="T489" s="721"/>
      <c r="U489" s="721"/>
      <c r="V489" s="721"/>
      <c r="W489" s="721"/>
      <c r="X489" s="721"/>
      <c r="Y489" s="721"/>
      <c r="Z489" s="721"/>
    </row>
    <row r="490" spans="10:26" s="1748" customFormat="1" ht="21.75" customHeight="1">
      <c r="J490" s="721"/>
      <c r="K490" s="721"/>
      <c r="L490" s="721"/>
      <c r="M490" s="721"/>
      <c r="N490" s="721"/>
      <c r="O490" s="721"/>
      <c r="P490" s="721"/>
      <c r="Q490" s="721"/>
      <c r="R490" s="721"/>
      <c r="S490" s="721"/>
      <c r="T490" s="721"/>
      <c r="U490" s="721"/>
      <c r="V490" s="721"/>
      <c r="W490" s="721"/>
      <c r="X490" s="721"/>
      <c r="Y490" s="721"/>
      <c r="Z490" s="721"/>
    </row>
    <row r="491" spans="10:26" s="1748" customFormat="1" ht="21.75" customHeight="1">
      <c r="J491" s="721"/>
      <c r="K491" s="721"/>
      <c r="L491" s="721"/>
      <c r="M491" s="721"/>
      <c r="N491" s="721"/>
      <c r="O491" s="721"/>
      <c r="P491" s="721"/>
      <c r="Q491" s="721"/>
      <c r="R491" s="721"/>
      <c r="S491" s="721"/>
      <c r="T491" s="721"/>
      <c r="U491" s="721"/>
      <c r="V491" s="721"/>
      <c r="W491" s="721"/>
      <c r="X491" s="721"/>
      <c r="Y491" s="721"/>
      <c r="Z491" s="721"/>
    </row>
    <row r="492" spans="10:26" s="1748" customFormat="1" ht="21.75" customHeight="1">
      <c r="J492" s="721"/>
      <c r="K492" s="721"/>
      <c r="L492" s="721"/>
      <c r="M492" s="721"/>
      <c r="N492" s="721"/>
      <c r="O492" s="721"/>
      <c r="P492" s="721"/>
      <c r="Q492" s="721"/>
      <c r="R492" s="721"/>
      <c r="S492" s="721"/>
      <c r="T492" s="721"/>
      <c r="U492" s="721"/>
      <c r="V492" s="721"/>
      <c r="W492" s="721"/>
      <c r="X492" s="721"/>
      <c r="Y492" s="721"/>
      <c r="Z492" s="721"/>
    </row>
    <row r="493" spans="10:26" s="1748" customFormat="1" ht="21.75" customHeight="1">
      <c r="J493" s="721"/>
      <c r="K493" s="721"/>
      <c r="L493" s="721"/>
      <c r="M493" s="721"/>
      <c r="N493" s="721"/>
      <c r="O493" s="721"/>
      <c r="P493" s="721"/>
      <c r="Q493" s="721"/>
      <c r="R493" s="721"/>
      <c r="S493" s="721"/>
      <c r="T493" s="721"/>
      <c r="U493" s="721"/>
      <c r="V493" s="721"/>
      <c r="W493" s="721"/>
      <c r="X493" s="721"/>
      <c r="Y493" s="721"/>
      <c r="Z493" s="721"/>
    </row>
    <row r="494" spans="10:26" s="1748" customFormat="1" ht="21.75" customHeight="1">
      <c r="J494" s="721"/>
      <c r="K494" s="721"/>
      <c r="L494" s="721"/>
      <c r="M494" s="721"/>
      <c r="N494" s="721"/>
      <c r="O494" s="721"/>
      <c r="P494" s="721"/>
      <c r="Q494" s="721"/>
      <c r="R494" s="721"/>
      <c r="S494" s="721"/>
      <c r="T494" s="721"/>
      <c r="U494" s="721"/>
      <c r="V494" s="721"/>
      <c r="W494" s="721"/>
      <c r="X494" s="721"/>
      <c r="Y494" s="721"/>
      <c r="Z494" s="721"/>
    </row>
    <row r="495" spans="10:26" s="1748" customFormat="1" ht="21.75" customHeight="1">
      <c r="J495" s="721"/>
      <c r="K495" s="721"/>
      <c r="L495" s="721"/>
      <c r="M495" s="721"/>
      <c r="N495" s="721"/>
      <c r="O495" s="721"/>
      <c r="P495" s="721"/>
      <c r="Q495" s="721"/>
      <c r="R495" s="721"/>
      <c r="S495" s="721"/>
      <c r="T495" s="721"/>
      <c r="U495" s="721"/>
      <c r="V495" s="721"/>
      <c r="W495" s="721"/>
      <c r="X495" s="721"/>
      <c r="Y495" s="721"/>
      <c r="Z495" s="721"/>
    </row>
    <row r="496" spans="10:26" s="1748" customFormat="1" ht="21.75" customHeight="1">
      <c r="J496" s="721"/>
      <c r="K496" s="721"/>
      <c r="L496" s="721"/>
      <c r="M496" s="721"/>
      <c r="N496" s="721"/>
      <c r="O496" s="721"/>
      <c r="P496" s="721"/>
      <c r="Q496" s="721"/>
      <c r="R496" s="721"/>
      <c r="S496" s="721"/>
      <c r="T496" s="721"/>
      <c r="U496" s="721"/>
      <c r="V496" s="721"/>
      <c r="W496" s="721"/>
      <c r="X496" s="721"/>
      <c r="Y496" s="721"/>
      <c r="Z496" s="721"/>
    </row>
    <row r="497" spans="10:26" s="1748" customFormat="1" ht="21.75" customHeight="1">
      <c r="J497" s="721"/>
      <c r="K497" s="721"/>
      <c r="L497" s="721"/>
      <c r="M497" s="721"/>
      <c r="N497" s="721"/>
      <c r="O497" s="721"/>
      <c r="P497" s="721"/>
      <c r="Q497" s="721"/>
      <c r="R497" s="721"/>
      <c r="S497" s="721"/>
      <c r="T497" s="721"/>
      <c r="U497" s="721"/>
      <c r="V497" s="721"/>
      <c r="W497" s="721"/>
      <c r="X497" s="721"/>
      <c r="Y497" s="721"/>
      <c r="Z497" s="721"/>
    </row>
    <row r="498" spans="10:26" s="1748" customFormat="1" ht="21.75" customHeight="1">
      <c r="J498" s="721"/>
      <c r="K498" s="721"/>
      <c r="L498" s="721"/>
      <c r="M498" s="721"/>
      <c r="N498" s="721"/>
      <c r="O498" s="721"/>
      <c r="P498" s="721"/>
      <c r="Q498" s="721"/>
      <c r="R498" s="721"/>
      <c r="S498" s="721"/>
      <c r="T498" s="721"/>
      <c r="U498" s="721"/>
      <c r="V498" s="721"/>
      <c r="W498" s="721"/>
      <c r="X498" s="721"/>
      <c r="Y498" s="721"/>
      <c r="Z498" s="721"/>
    </row>
    <row r="499" spans="10:26" s="1748" customFormat="1" ht="21.75" customHeight="1">
      <c r="J499" s="721"/>
      <c r="K499" s="721"/>
      <c r="L499" s="721"/>
      <c r="M499" s="721"/>
      <c r="N499" s="721"/>
      <c r="O499" s="721"/>
      <c r="P499" s="721"/>
      <c r="Q499" s="721"/>
      <c r="R499" s="721"/>
      <c r="S499" s="721"/>
      <c r="T499" s="721"/>
      <c r="U499" s="721"/>
      <c r="V499" s="721"/>
      <c r="W499" s="721"/>
      <c r="X499" s="721"/>
      <c r="Y499" s="721"/>
      <c r="Z499" s="721"/>
    </row>
    <row r="500" spans="10:26" s="1748" customFormat="1" ht="21.75" customHeight="1">
      <c r="J500" s="721"/>
      <c r="K500" s="721"/>
      <c r="L500" s="721"/>
      <c r="M500" s="721"/>
      <c r="N500" s="721"/>
      <c r="O500" s="721"/>
      <c r="P500" s="721"/>
      <c r="Q500" s="721"/>
      <c r="R500" s="721"/>
      <c r="S500" s="721"/>
      <c r="T500" s="721"/>
      <c r="U500" s="721"/>
      <c r="V500" s="721"/>
      <c r="W500" s="721"/>
      <c r="X500" s="721"/>
      <c r="Y500" s="721"/>
      <c r="Z500" s="721"/>
    </row>
    <row r="501" spans="10:26" s="1748" customFormat="1" ht="21.75" customHeight="1">
      <c r="J501" s="721"/>
      <c r="K501" s="721"/>
      <c r="L501" s="721"/>
      <c r="M501" s="721"/>
      <c r="N501" s="721"/>
      <c r="O501" s="721"/>
      <c r="P501" s="721"/>
      <c r="Q501" s="721"/>
      <c r="R501" s="721"/>
      <c r="S501" s="721"/>
      <c r="T501" s="721"/>
      <c r="U501" s="721"/>
      <c r="V501" s="721"/>
      <c r="W501" s="721"/>
      <c r="X501" s="721"/>
      <c r="Y501" s="721"/>
      <c r="Z501" s="721"/>
    </row>
    <row r="502" spans="10:26" s="1748" customFormat="1" ht="21.75" customHeight="1">
      <c r="J502" s="721"/>
      <c r="K502" s="721"/>
      <c r="L502" s="721"/>
      <c r="M502" s="721"/>
      <c r="N502" s="721"/>
      <c r="O502" s="721"/>
      <c r="P502" s="721"/>
      <c r="Q502" s="721"/>
      <c r="R502" s="721"/>
      <c r="S502" s="721"/>
      <c r="T502" s="721"/>
      <c r="U502" s="721"/>
      <c r="V502" s="721"/>
      <c r="W502" s="721"/>
      <c r="X502" s="721"/>
      <c r="Y502" s="721"/>
      <c r="Z502" s="721"/>
    </row>
    <row r="503" spans="10:26" s="1748" customFormat="1" ht="21.75" customHeight="1">
      <c r="J503" s="721"/>
      <c r="K503" s="721"/>
      <c r="L503" s="721"/>
      <c r="M503" s="721"/>
      <c r="N503" s="721"/>
      <c r="O503" s="721"/>
      <c r="P503" s="721"/>
      <c r="Q503" s="721"/>
      <c r="R503" s="721"/>
      <c r="S503" s="721"/>
      <c r="T503" s="721"/>
      <c r="U503" s="721"/>
      <c r="V503" s="721"/>
      <c r="W503" s="721"/>
      <c r="X503" s="721"/>
      <c r="Y503" s="721"/>
      <c r="Z503" s="721"/>
    </row>
    <row r="504" spans="10:26" s="1748" customFormat="1" ht="21.75" customHeight="1">
      <c r="J504" s="721"/>
      <c r="K504" s="721"/>
      <c r="L504" s="721"/>
      <c r="M504" s="721"/>
      <c r="N504" s="721"/>
      <c r="O504" s="721"/>
      <c r="P504" s="721"/>
      <c r="Q504" s="721"/>
      <c r="R504" s="721"/>
      <c r="S504" s="721"/>
      <c r="T504" s="721"/>
      <c r="U504" s="721"/>
      <c r="V504" s="721"/>
      <c r="W504" s="721"/>
      <c r="X504" s="721"/>
      <c r="Y504" s="721"/>
      <c r="Z504" s="721"/>
    </row>
    <row r="505" spans="10:26" s="1748" customFormat="1" ht="21.75" customHeight="1">
      <c r="J505" s="721"/>
      <c r="K505" s="721"/>
      <c r="L505" s="721"/>
      <c r="M505" s="721"/>
      <c r="N505" s="721"/>
      <c r="O505" s="721"/>
      <c r="P505" s="721"/>
      <c r="Q505" s="721"/>
      <c r="R505" s="721"/>
      <c r="S505" s="721"/>
      <c r="T505" s="721"/>
      <c r="U505" s="721"/>
      <c r="V505" s="721"/>
      <c r="W505" s="721"/>
      <c r="X505" s="721"/>
      <c r="Y505" s="721"/>
      <c r="Z505" s="721"/>
    </row>
    <row r="506" spans="10:26" s="1748" customFormat="1" ht="21.75" customHeight="1">
      <c r="J506" s="721"/>
      <c r="K506" s="721"/>
      <c r="L506" s="721"/>
      <c r="M506" s="721"/>
      <c r="N506" s="721"/>
      <c r="O506" s="721"/>
      <c r="P506" s="721"/>
      <c r="Q506" s="721"/>
      <c r="R506" s="721"/>
      <c r="S506" s="721"/>
      <c r="T506" s="721"/>
      <c r="U506" s="721"/>
      <c r="V506" s="721"/>
      <c r="W506" s="721"/>
      <c r="X506" s="721"/>
      <c r="Y506" s="721"/>
      <c r="Z506" s="721"/>
    </row>
    <row r="507" spans="10:26" s="1748" customFormat="1" ht="21.75" customHeight="1">
      <c r="J507" s="721"/>
      <c r="K507" s="721"/>
      <c r="L507" s="721"/>
      <c r="M507" s="721"/>
      <c r="N507" s="721"/>
      <c r="O507" s="721"/>
      <c r="P507" s="721"/>
      <c r="Q507" s="721"/>
      <c r="R507" s="721"/>
      <c r="S507" s="721"/>
      <c r="T507" s="721"/>
      <c r="U507" s="721"/>
      <c r="V507" s="721"/>
      <c r="W507" s="721"/>
      <c r="X507" s="721"/>
      <c r="Y507" s="721"/>
      <c r="Z507" s="721"/>
    </row>
    <row r="508" spans="10:26" s="1748" customFormat="1" ht="21.75" customHeight="1">
      <c r="J508" s="721"/>
      <c r="K508" s="721"/>
      <c r="L508" s="721"/>
      <c r="M508" s="721"/>
      <c r="N508" s="721"/>
      <c r="O508" s="721"/>
      <c r="P508" s="721"/>
      <c r="Q508" s="721"/>
      <c r="R508" s="721"/>
      <c r="S508" s="721"/>
      <c r="T508" s="721"/>
      <c r="U508" s="721"/>
      <c r="V508" s="721"/>
      <c r="W508" s="721"/>
      <c r="X508" s="721"/>
      <c r="Y508" s="721"/>
      <c r="Z508" s="721"/>
    </row>
    <row r="509" spans="10:26" s="1748" customFormat="1" ht="21.75" customHeight="1">
      <c r="J509" s="721"/>
      <c r="K509" s="721"/>
      <c r="L509" s="721"/>
      <c r="M509" s="721"/>
      <c r="N509" s="721"/>
      <c r="O509" s="721"/>
      <c r="P509" s="721"/>
      <c r="Q509" s="721"/>
      <c r="R509" s="721"/>
      <c r="S509" s="721"/>
      <c r="T509" s="721"/>
      <c r="U509" s="721"/>
      <c r="V509" s="721"/>
      <c r="W509" s="721"/>
      <c r="X509" s="721"/>
      <c r="Y509" s="721"/>
      <c r="Z509" s="721"/>
    </row>
    <row r="510" spans="10:26" s="1748" customFormat="1" ht="21.75" customHeight="1">
      <c r="J510" s="721"/>
      <c r="K510" s="721"/>
      <c r="L510" s="721"/>
      <c r="M510" s="721"/>
      <c r="N510" s="721"/>
      <c r="O510" s="721"/>
      <c r="P510" s="721"/>
      <c r="Q510" s="721"/>
      <c r="R510" s="721"/>
      <c r="S510" s="721"/>
      <c r="T510" s="721"/>
      <c r="U510" s="721"/>
      <c r="V510" s="721"/>
      <c r="W510" s="721"/>
      <c r="X510" s="721"/>
      <c r="Y510" s="721"/>
      <c r="Z510" s="721"/>
    </row>
    <row r="511" spans="10:26" s="1748" customFormat="1" ht="21.75" customHeight="1">
      <c r="J511" s="721"/>
      <c r="K511" s="721"/>
      <c r="L511" s="721"/>
      <c r="M511" s="721"/>
      <c r="N511" s="721"/>
      <c r="O511" s="721"/>
      <c r="P511" s="721"/>
      <c r="Q511" s="721"/>
      <c r="R511" s="721"/>
      <c r="S511" s="721"/>
      <c r="T511" s="721"/>
      <c r="U511" s="721"/>
      <c r="V511" s="721"/>
      <c r="W511" s="721"/>
      <c r="X511" s="721"/>
      <c r="Y511" s="721"/>
      <c r="Z511" s="721"/>
    </row>
    <row r="512" spans="10:26" s="1748" customFormat="1" ht="21.75" customHeight="1">
      <c r="J512" s="721"/>
      <c r="K512" s="721"/>
      <c r="L512" s="721"/>
      <c r="M512" s="721"/>
      <c r="N512" s="721"/>
      <c r="O512" s="721"/>
      <c r="P512" s="721"/>
      <c r="Q512" s="721"/>
      <c r="R512" s="721"/>
      <c r="S512" s="721"/>
      <c r="T512" s="721"/>
      <c r="U512" s="721"/>
      <c r="V512" s="721"/>
      <c r="W512" s="721"/>
      <c r="X512" s="721"/>
      <c r="Y512" s="721"/>
      <c r="Z512" s="721"/>
    </row>
  </sheetData>
  <sheetProtection password="CEE9" sheet="1" objects="1" scenarios="1" formatCells="0" formatColumns="0" formatRows="0"/>
  <mergeCells count="116">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s>
  <phoneticPr fontId="8" type="noConversion"/>
  <conditionalFormatting sqref="C5:C7">
    <cfRule type="cellIs" dxfId="176" priority="21" stopIfTrue="1" operator="equal">
      <formula>25</formula>
    </cfRule>
  </conditionalFormatting>
  <conditionalFormatting sqref="C8:C9">
    <cfRule type="cellIs" dxfId="175" priority="19" stopIfTrue="1" operator="equal">
      <formula>15</formula>
    </cfRule>
  </conditionalFormatting>
  <conditionalFormatting sqref="C14:C16">
    <cfRule type="cellIs" dxfId="174" priority="13" stopIfTrue="1" operator="equal">
      <formula>30</formula>
    </cfRule>
  </conditionalFormatting>
  <conditionalFormatting sqref="D5:D7">
    <cfRule type="cellIs" dxfId="173" priority="10" stopIfTrue="1" operator="equal">
      <formula>25</formula>
    </cfRule>
  </conditionalFormatting>
  <conditionalFormatting sqref="D8:D9">
    <cfRule type="cellIs" dxfId="172" priority="9" stopIfTrue="1" operator="equal">
      <formula>15</formula>
    </cfRule>
  </conditionalFormatting>
  <conditionalFormatting sqref="C10:D13">
    <cfRule type="cellIs" dxfId="171" priority="8" stopIfTrue="1" operator="equal">
      <formula>15</formula>
    </cfRule>
  </conditionalFormatting>
  <conditionalFormatting sqref="D14:D16">
    <cfRule type="cellIs" dxfId="170" priority="6" stopIfTrue="1" operator="equal">
      <formula>30</formula>
    </cfRule>
  </conditionalFormatting>
  <conditionalFormatting sqref="C90">
    <cfRule type="expression" dxfId="169" priority="3" stopIfTrue="1">
      <formula>$H$88&lt;&gt;"仅含出让金"</formula>
    </cfRule>
  </conditionalFormatting>
  <conditionalFormatting sqref="C91">
    <cfRule type="expression" dxfId="168" priority="2" stopIfTrue="1">
      <formula>$H$91="由企业提供"</formula>
    </cfRule>
  </conditionalFormatting>
  <conditionalFormatting sqref="E36">
    <cfRule type="expression" dxfId="167"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"100%,70%,56%"</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70" zoomScaleNormal="70" zoomScaleSheetLayoutView="70" workbookViewId="0">
      <selection activeCell="F39" sqref="F39:F48"/>
    </sheetView>
  </sheetViews>
  <sheetFormatPr defaultColWidth="8.375" defaultRowHeight="12.75"/>
  <cols>
    <col min="1" max="1" width="10.375" style="266" customWidth="1"/>
    <col min="2" max="2" width="29.125" style="248" customWidth="1"/>
    <col min="3" max="3" width="12.125" style="248" customWidth="1"/>
    <col min="4" max="5" width="11.125" style="269" customWidth="1"/>
    <col min="6" max="6" width="9.5" style="248" customWidth="1"/>
    <col min="7" max="7" width="31.875" style="248" customWidth="1"/>
    <col min="8" max="254" width="9" style="248" customWidth="1"/>
    <col min="255" max="16384" width="8.375" style="248"/>
  </cols>
  <sheetData>
    <row r="1" spans="1:9" s="197" customFormat="1" ht="20.25">
      <c r="A1" s="193" t="s">
        <v>1461</v>
      </c>
      <c r="B1" s="1466"/>
      <c r="C1" s="195"/>
      <c r="D1" s="195"/>
      <c r="E1" s="195"/>
      <c r="F1" s="195"/>
      <c r="G1" s="1122">
        <f>MATCH(B1,'数据-取费表'!A6:A16,0)+5</f>
        <v>7</v>
      </c>
    </row>
    <row r="2" spans="1:9" s="197" customFormat="1" ht="18" customHeight="1">
      <c r="A2" s="198" t="s">
        <v>1462</v>
      </c>
      <c r="B2" s="199">
        <f ca="1">IF(D2="——",C52,C52-E2)</f>
        <v>1</v>
      </c>
      <c r="C2" s="196" t="s">
        <v>1463</v>
      </c>
      <c r="D2" s="1849" t="s">
        <v>43</v>
      </c>
      <c r="E2" s="1165" t="e">
        <f ca="1">SUMIF(INDIRECT("'"&amp;G2&amp;"'"&amp;"!A:A"),"承租人权益价值",INDIRECT("'"&amp;G2&amp;"'"&amp;"!c:c"))</f>
        <v>#REF!</v>
      </c>
      <c r="F2" s="1850" t="s">
        <v>1463</v>
      </c>
      <c r="G2" s="1851"/>
    </row>
    <row r="3" spans="1:9" s="197" customFormat="1" ht="18" customHeight="1" thickBot="1">
      <c r="A3" s="200" t="s">
        <v>1464</v>
      </c>
      <c r="B3" s="201">
        <f ca="1">ROUND(B2*10000/(IF(B1="",'数据-汇总表'!E3,INDIRECT("'数据-取费表'!k"&amp;$G$1))),0)</f>
        <v>10000</v>
      </c>
      <c r="C3" s="196" t="s">
        <v>1465</v>
      </c>
      <c r="D3" s="196"/>
      <c r="E3" s="196"/>
      <c r="F3" s="196"/>
      <c r="G3" s="196"/>
    </row>
    <row r="4" spans="1:9" s="205" customFormat="1" ht="15.75">
      <c r="A4" s="202" t="s">
        <v>1466</v>
      </c>
      <c r="B4" s="203"/>
      <c r="C4" s="203"/>
      <c r="D4" s="203"/>
      <c r="E4" s="203"/>
      <c r="F4" s="203"/>
      <c r="G4" s="204"/>
    </row>
    <row r="5" spans="1:9" s="211" customFormat="1" ht="13.5" customHeight="1">
      <c r="A5" s="252" t="s">
        <v>1467</v>
      </c>
      <c r="B5" s="207" t="s">
        <v>1468</v>
      </c>
      <c r="C5" s="208">
        <f>C6+C7+C8</f>
        <v>0</v>
      </c>
      <c r="D5" s="208" t="s">
        <v>1469</v>
      </c>
      <c r="E5" s="209" t="s">
        <v>1470</v>
      </c>
      <c r="F5" s="209" t="s">
        <v>1471</v>
      </c>
      <c r="G5" s="210"/>
    </row>
    <row r="6" spans="1:9" s="211" customFormat="1" ht="13.5" customHeight="1">
      <c r="A6" s="774" t="s">
        <v>1472</v>
      </c>
      <c r="B6" s="212" t="s">
        <v>1473</v>
      </c>
      <c r="C6" s="213"/>
      <c r="D6" s="214"/>
      <c r="E6" s="215"/>
      <c r="F6" s="215"/>
      <c r="G6" s="216"/>
    </row>
    <row r="7" spans="1:9" s="211" customFormat="1" ht="13.5" customHeight="1">
      <c r="A7" s="774" t="s">
        <v>1474</v>
      </c>
      <c r="B7" s="212" t="s">
        <v>1475</v>
      </c>
      <c r="C7" s="217">
        <f>ROUND(C6*F7,0)</f>
        <v>0</v>
      </c>
      <c r="D7" s="217"/>
      <c r="E7" s="215"/>
      <c r="F7" s="218">
        <f>IF(项目基本情况!B8="出让",0,'数据-取费表'!B48+'数据-取费表'!B49)</f>
        <v>0</v>
      </c>
      <c r="G7" s="216"/>
    </row>
    <row r="8" spans="1:9" s="220" customFormat="1">
      <c r="A8" s="774" t="s">
        <v>1476</v>
      </c>
      <c r="B8" s="212" t="s">
        <v>1477</v>
      </c>
      <c r="C8" s="217">
        <f>IF(G8="已包含在土地购买价格中","0",IF(B1="",'数据-取费表'!B29,IF(G9="全部缴纳",C9+C10,H9)))</f>
        <v>0</v>
      </c>
      <c r="D8" s="219"/>
      <c r="E8" s="217"/>
      <c r="F8" s="218"/>
      <c r="G8" s="1852"/>
    </row>
    <row r="9" spans="1:9" s="211" customFormat="1" ht="13.5" customHeight="1">
      <c r="A9" s="775" t="s">
        <v>355</v>
      </c>
      <c r="B9" s="221" t="s">
        <v>1478</v>
      </c>
      <c r="C9" s="222">
        <f ca="1">ROUND(D9*E9/10000,0)</f>
        <v>0</v>
      </c>
      <c r="D9" s="841">
        <f ca="1">IF(B1="",'数据-汇总表'!E5,IF(INDIRECT("'数据-取费表'!c"&amp;$G$1)="住宅",INDIRECT("'数据-取费表'!k"&amp;$G$1),0))</f>
        <v>1</v>
      </c>
      <c r="E9" s="222">
        <f>'数据-取费表'!B27</f>
        <v>160</v>
      </c>
      <c r="F9" s="218"/>
      <c r="G9" s="1853"/>
      <c r="H9" s="1133"/>
      <c r="I9" s="1854" t="s">
        <v>1479</v>
      </c>
    </row>
    <row r="10" spans="1:9" s="211" customFormat="1" ht="13.5" customHeight="1">
      <c r="A10" s="775" t="s">
        <v>356</v>
      </c>
      <c r="B10" s="221" t="s">
        <v>1480</v>
      </c>
      <c r="C10" s="222">
        <f ca="1">ROUND(D10*E10/10000,0)</f>
        <v>0</v>
      </c>
      <c r="D10" s="841">
        <f ca="1">IF(B1="",'数据-汇总表'!E6,IF(INDIRECT("'数据-取费表'!c"&amp;$G$1)="住宅",INDIRECT("'数据-取费表'!s"&amp;$G$1),INDIRECT("'数据-取费表'!k"&amp;$G$1)+INDIRECT("'数据-取费表'!s"&amp;$G$1)))</f>
        <v>0</v>
      </c>
      <c r="E10" s="222">
        <f>'数据-取费表'!B28</f>
        <v>0</v>
      </c>
      <c r="F10" s="218"/>
      <c r="G10" s="223"/>
    </row>
    <row r="11" spans="1:9" s="211" customFormat="1" ht="13.5" hidden="1" customHeight="1">
      <c r="A11" s="224" t="s">
        <v>4</v>
      </c>
      <c r="B11" s="212" t="s">
        <v>1481</v>
      </c>
      <c r="C11" s="208"/>
      <c r="D11" s="843"/>
      <c r="E11" s="215"/>
      <c r="F11" s="215"/>
      <c r="G11" s="216"/>
    </row>
    <row r="12" spans="1:9" s="211" customFormat="1" ht="13.5" hidden="1" customHeight="1">
      <c r="A12" s="224" t="s">
        <v>5</v>
      </c>
      <c r="B12" s="212" t="s">
        <v>1482</v>
      </c>
      <c r="C12" s="208">
        <v>0</v>
      </c>
      <c r="D12" s="843"/>
      <c r="E12" s="225"/>
      <c r="F12" s="218">
        <v>3.0499999999999999E-2</v>
      </c>
      <c r="G12" s="216"/>
    </row>
    <row r="13" spans="1:9" s="211" customFormat="1" ht="13.5" hidden="1" customHeight="1">
      <c r="A13" s="224" t="s">
        <v>6</v>
      </c>
      <c r="B13" s="212" t="s">
        <v>1483</v>
      </c>
      <c r="C13" s="208"/>
      <c r="D13" s="843"/>
      <c r="E13" s="215"/>
      <c r="F13" s="215"/>
      <c r="G13" s="216"/>
    </row>
    <row r="14" spans="1:9" s="211" customFormat="1" ht="13.5" hidden="1" customHeight="1">
      <c r="A14" s="224" t="s">
        <v>7</v>
      </c>
      <c r="B14" s="212" t="s">
        <v>1484</v>
      </c>
      <c r="C14" s="208"/>
      <c r="D14" s="843"/>
      <c r="E14" s="215"/>
      <c r="F14" s="215"/>
      <c r="G14" s="216" t="s">
        <v>1485</v>
      </c>
    </row>
    <row r="15" spans="1:9" s="211" customFormat="1" ht="13.5" hidden="1" customHeight="1">
      <c r="A15" s="224" t="s">
        <v>8</v>
      </c>
      <c r="B15" s="212" t="s">
        <v>1486</v>
      </c>
      <c r="C15" s="217"/>
      <c r="D15" s="843"/>
      <c r="E15" s="215"/>
      <c r="F15" s="215"/>
      <c r="G15" s="216" t="s">
        <v>1487</v>
      </c>
    </row>
    <row r="16" spans="1:9" s="211" customFormat="1" ht="13.5" hidden="1" customHeight="1">
      <c r="A16" s="224" t="s">
        <v>9</v>
      </c>
      <c r="B16" s="212" t="s">
        <v>1484</v>
      </c>
      <c r="C16" s="217"/>
      <c r="D16" s="843"/>
      <c r="E16" s="215"/>
      <c r="F16" s="215"/>
      <c r="G16" s="216"/>
    </row>
    <row r="17" spans="1:7" s="211" customFormat="1" ht="13.5" hidden="1" customHeight="1">
      <c r="A17" s="224" t="s">
        <v>10</v>
      </c>
      <c r="B17" s="212" t="s">
        <v>1488</v>
      </c>
      <c r="C17" s="226"/>
      <c r="D17" s="844"/>
      <c r="E17" s="226"/>
      <c r="F17" s="226"/>
      <c r="G17" s="216" t="s">
        <v>1487</v>
      </c>
    </row>
    <row r="18" spans="1:7" s="211" customFormat="1" ht="13.5" hidden="1" customHeight="1">
      <c r="A18" s="224" t="s">
        <v>11</v>
      </c>
      <c r="B18" s="212" t="s">
        <v>1489</v>
      </c>
      <c r="C18" s="217">
        <v>0</v>
      </c>
      <c r="D18" s="843"/>
      <c r="E18" s="215"/>
      <c r="F18" s="218">
        <v>3.0499999999999999E-2</v>
      </c>
      <c r="G18" s="216" t="s">
        <v>1490</v>
      </c>
    </row>
    <row r="19" spans="1:7" s="220" customFormat="1" ht="13.5" customHeight="1">
      <c r="A19" s="252" t="s">
        <v>1491</v>
      </c>
      <c r="B19" s="207" t="s">
        <v>1492</v>
      </c>
      <c r="C19" s="208">
        <f ca="1">IF(G19="已包含在土地取得成本中","0",ROUND(D19*E19/10000,0))</f>
        <v>0</v>
      </c>
      <c r="D19" s="845">
        <f ca="1">D9+D10</f>
        <v>1</v>
      </c>
      <c r="E19" s="208">
        <f>'数据-取费表'!B31</f>
        <v>200</v>
      </c>
      <c r="F19" s="228"/>
      <c r="G19" s="1852"/>
    </row>
    <row r="20" spans="1:7" s="211" customFormat="1" ht="13.5" customHeight="1">
      <c r="A20" s="252" t="s">
        <v>1493</v>
      </c>
      <c r="B20" s="207" t="s">
        <v>1494</v>
      </c>
      <c r="C20" s="229">
        <f ca="1">ROUND((C5+C19)*F20,0)</f>
        <v>0</v>
      </c>
      <c r="D20" s="229"/>
      <c r="E20" s="229"/>
      <c r="F20" s="230">
        <f>'数据-取费表'!B37</f>
        <v>0.03</v>
      </c>
      <c r="G20" s="231" t="s">
        <v>1495</v>
      </c>
    </row>
    <row r="21" spans="1:7" s="211" customFormat="1" ht="13.5" customHeight="1">
      <c r="A21" s="252" t="s">
        <v>1496</v>
      </c>
      <c r="B21" s="207" t="s">
        <v>1497</v>
      </c>
      <c r="C21" s="232">
        <f>F21</f>
        <v>0.02</v>
      </c>
      <c r="D21" s="233" t="s">
        <v>1498</v>
      </c>
      <c r="E21" s="229"/>
      <c r="F21" s="230">
        <f>'数据-取费表'!B38</f>
        <v>0.02</v>
      </c>
      <c r="G21" s="231" t="s">
        <v>1499</v>
      </c>
    </row>
    <row r="22" spans="1:7" s="211" customFormat="1" ht="13.5" customHeight="1">
      <c r="A22" s="252" t="s">
        <v>1500</v>
      </c>
      <c r="B22" s="207" t="s">
        <v>1501</v>
      </c>
      <c r="C22" s="1100">
        <f ca="1">ROUND(SUM(C23:C25),0)</f>
        <v>0</v>
      </c>
      <c r="D22" s="232">
        <f ca="1">C26</f>
        <v>1.4E-3</v>
      </c>
      <c r="E22" s="233" t="s">
        <v>1498</v>
      </c>
      <c r="F22" s="234">
        <f ca="1">'数据-取费表'!B40</f>
        <v>4.7500000000000001E-2</v>
      </c>
      <c r="G22" s="231" t="str">
        <f>IF('数据-取费表'!B22&lt;=1,"单利计息","复利计息")</f>
        <v>复利计息</v>
      </c>
    </row>
    <row r="23" spans="1:7" s="211" customFormat="1" ht="13.5" customHeight="1">
      <c r="A23" s="776" t="s">
        <v>1502</v>
      </c>
      <c r="B23" s="212" t="s">
        <v>1503</v>
      </c>
      <c r="C23" s="1101">
        <f ca="1">ROUND(IF('数据-取费表'!B22&lt;=1,C5*F22*'数据-取费表'!B23,C5*(POWER((1+F22),'数据-取费表'!B23)-1)),0)</f>
        <v>0</v>
      </c>
      <c r="D23" s="235"/>
      <c r="E23" s="235"/>
      <c r="F23" s="236"/>
      <c r="G23" s="237" t="s">
        <v>1504</v>
      </c>
    </row>
    <row r="24" spans="1:7" s="211" customFormat="1" ht="13.5" customHeight="1">
      <c r="A24" s="776" t="s">
        <v>1505</v>
      </c>
      <c r="B24" s="212" t="s">
        <v>1506</v>
      </c>
      <c r="C24" s="1101">
        <f ca="1">ROUND(IF('数据-取费表'!B22&lt;=1,C19*F22*('数据-取费表'!B19/2+'数据-取费表'!B21),C19*(POWER((1+F22),('数据-取费表'!B19/2+'数据-取费表'!B21))-1)),0)</f>
        <v>0</v>
      </c>
      <c r="D24" s="235"/>
      <c r="E24" s="235"/>
      <c r="F24" s="236"/>
      <c r="G24" s="237" t="s">
        <v>1507</v>
      </c>
    </row>
    <row r="25" spans="1:7" s="211" customFormat="1" ht="24">
      <c r="A25" s="776" t="s">
        <v>1508</v>
      </c>
      <c r="B25" s="212" t="s">
        <v>1509</v>
      </c>
      <c r="C25" s="1101">
        <f ca="1">ROUND(IF('数据-取费表'!B22&lt;=1,C20*F22*'数据-取费表'!B23/2,C20*(POWER((1+F22),'数据-取费表'!B23/2)-1)),0)</f>
        <v>0</v>
      </c>
      <c r="D25" s="235"/>
      <c r="E25" s="238"/>
      <c r="F25" s="236"/>
      <c r="G25" s="239" t="s">
        <v>1510</v>
      </c>
    </row>
    <row r="26" spans="1:7" s="211" customFormat="1">
      <c r="A26" s="776" t="s">
        <v>350</v>
      </c>
      <c r="B26" s="212" t="s">
        <v>1511</v>
      </c>
      <c r="C26" s="235">
        <f ca="1">ROUND(IF('数据-取费表'!B22&lt;=1,F21*F22*'数据-取费表'!B23/2,F21*(POWER((1+F22),'数据-取费表'!B23/2)-1)),4)</f>
        <v>1.4E-3</v>
      </c>
      <c r="D26" s="235"/>
      <c r="E26" s="238"/>
      <c r="F26" s="236"/>
      <c r="G26" s="240"/>
    </row>
    <row r="27" spans="1:7" s="211" customFormat="1" ht="24.75">
      <c r="A27" s="252" t="s">
        <v>1512</v>
      </c>
      <c r="B27" s="241" t="s">
        <v>1513</v>
      </c>
      <c r="C27" s="242">
        <f ca="1">C28</f>
        <v>0</v>
      </c>
      <c r="D27" s="232">
        <f ca="1">C29</f>
        <v>2E-3</v>
      </c>
      <c r="E27" s="233" t="s">
        <v>1514</v>
      </c>
      <c r="F27" s="243">
        <f ca="1">IF(B1="",'数据-取费表'!Q16,INDIRECT("'数据-取费表'!q"&amp;$G$1))</f>
        <v>0.1</v>
      </c>
      <c r="G27" s="244" t="s">
        <v>1515</v>
      </c>
    </row>
    <row r="28" spans="1:7" s="211" customFormat="1" ht="13.5" customHeight="1">
      <c r="A28" s="776" t="s">
        <v>346</v>
      </c>
      <c r="B28" s="245" t="s">
        <v>1516</v>
      </c>
      <c r="C28" s="246">
        <f ca="1">ROUND((C5+C19+C20)*F27*'数据-取费表'!B21/'数据-取费表'!B20,0)</f>
        <v>0</v>
      </c>
      <c r="D28" s="232"/>
      <c r="E28" s="233"/>
      <c r="F28" s="243"/>
      <c r="G28" s="244"/>
    </row>
    <row r="29" spans="1:7" s="211" customFormat="1" ht="13.5" customHeight="1">
      <c r="A29" s="776" t="s">
        <v>347</v>
      </c>
      <c r="B29" s="245" t="s">
        <v>1517</v>
      </c>
      <c r="C29" s="235">
        <f ca="1">ROUND(C21*F27*'数据-取费表'!B21/'数据-取费表'!B20,4)</f>
        <v>2E-3</v>
      </c>
      <c r="D29" s="232"/>
      <c r="E29" s="233"/>
      <c r="F29" s="243"/>
      <c r="G29" s="244"/>
    </row>
    <row r="30" spans="1:7" s="211" customFormat="1" ht="13.5" customHeight="1">
      <c r="A30" s="252" t="s">
        <v>1518</v>
      </c>
      <c r="B30" s="207" t="s">
        <v>1519</v>
      </c>
      <c r="C30" s="232">
        <f>ROUND(F30/(1+'数据-取费表'!C42),4)</f>
        <v>5.2400000000000002E-2</v>
      </c>
      <c r="D30" s="233" t="s">
        <v>1514</v>
      </c>
      <c r="E30" s="238"/>
      <c r="F30" s="234">
        <f>'数据-取费表'!B41</f>
        <v>5.5000000000000007E-2</v>
      </c>
      <c r="G30" s="231" t="s">
        <v>1520</v>
      </c>
    </row>
    <row r="31" spans="1:7" ht="16.5" customHeight="1">
      <c r="A31" s="206">
        <v>1</v>
      </c>
      <c r="B31" s="207" t="s">
        <v>1521</v>
      </c>
      <c r="C31" s="208">
        <f ca="1">ROUND((C5+C19+C20+C22+C27)/(1-C21-D22-D27-C30),0)</f>
        <v>0</v>
      </c>
      <c r="D31" s="227"/>
      <c r="E31" s="208"/>
      <c r="F31" s="247"/>
      <c r="G31" s="231" t="s">
        <v>1522</v>
      </c>
    </row>
    <row r="32" spans="1:7" s="205" customFormat="1" ht="15.75">
      <c r="A32" s="249" t="s">
        <v>1523</v>
      </c>
      <c r="B32" s="250"/>
      <c r="C32" s="250"/>
      <c r="D32" s="250"/>
      <c r="E32" s="250"/>
      <c r="F32" s="250"/>
      <c r="G32" s="251"/>
    </row>
    <row r="33" spans="1:7" s="211" customFormat="1" ht="13.5" customHeight="1">
      <c r="A33" s="252" t="s">
        <v>337</v>
      </c>
      <c r="B33" s="207" t="s">
        <v>1524</v>
      </c>
      <c r="C33" s="253">
        <f ca="1">SUM(C34:C38)</f>
        <v>1</v>
      </c>
      <c r="D33" s="229"/>
      <c r="E33" s="209"/>
      <c r="F33" s="238"/>
      <c r="G33" s="231"/>
    </row>
    <row r="34" spans="1:7" s="255" customFormat="1" ht="13.5" customHeight="1">
      <c r="A34" s="776" t="s">
        <v>346</v>
      </c>
      <c r="B34" s="212" t="s">
        <v>1525</v>
      </c>
      <c r="C34" s="217">
        <f ca="1">IF(B1="",IF(F34=100%,'数据-取费表'!M16,'数据-取费表'!O16),IF(F34=100%,INDIRECT("'数据-取费表'!m"&amp;$G$1)+INDIRECT("'数据-取费表'!t"&amp;$G$1),INDIRECT("'数据-取费表'!o"&amp;$G$1)+INDIRECT("'数据-取费表'!aq"&amp;$G$1)))</f>
        <v>1</v>
      </c>
      <c r="D34" s="214"/>
      <c r="E34" s="217"/>
      <c r="F34" s="254">
        <f ca="1">IF('数据-取费表'!B24=0,1,IF(B1="",'数据-取费表'!N16,INDIRECT("'数据-取费表'!n"&amp;$G$1)))</f>
        <v>1</v>
      </c>
      <c r="G34" s="216" t="s">
        <v>1526</v>
      </c>
    </row>
    <row r="35" spans="1:7" ht="13.5" customHeight="1">
      <c r="A35" s="776" t="s">
        <v>351</v>
      </c>
      <c r="B35" s="212" t="s">
        <v>1527</v>
      </c>
      <c r="C35" s="217">
        <f ca="1">ROUND(C34*F35,0)</f>
        <v>0</v>
      </c>
      <c r="D35" s="217"/>
      <c r="E35" s="217"/>
      <c r="F35" s="256">
        <f>'数据-取费表'!B33</f>
        <v>0.06</v>
      </c>
      <c r="G35" s="216" t="s">
        <v>1528</v>
      </c>
    </row>
    <row r="36" spans="1:7" ht="24">
      <c r="A36" s="776" t="s">
        <v>352</v>
      </c>
      <c r="B36" s="212" t="s">
        <v>1529</v>
      </c>
      <c r="C36" s="217">
        <f ca="1">ROUND(IF(B1="",SUMIF('数据-取费表'!C:C,"住宅",IF(F34=100%,'数据-取费表'!M:M,'数据-取费表'!O:O))*F36,IF(INDIRECT("'数据-取费表'!c"&amp;$G$1)="住宅",IF(F34=100%,INDIRECT("'数据-取费表'!m"&amp;$G$1)*F36,INDIRECT("'数据-取费表'!o"&amp;$G$1)*F36),0)),0)</f>
        <v>0</v>
      </c>
      <c r="D36" s="217"/>
      <c r="E36" s="217"/>
      <c r="F36" s="256">
        <f>'数据-取费表'!B34</f>
        <v>0.06</v>
      </c>
      <c r="G36" s="257" t="s">
        <v>1530</v>
      </c>
    </row>
    <row r="37" spans="1:7" s="255" customFormat="1" ht="13.5" customHeight="1">
      <c r="A37" s="776" t="s">
        <v>353</v>
      </c>
      <c r="B37" s="212" t="s">
        <v>1531</v>
      </c>
      <c r="C37" s="246">
        <f ca="1">ROUND(E37*D37*F34/10000,0)</f>
        <v>0</v>
      </c>
      <c r="D37" s="214">
        <f ca="1">D19</f>
        <v>1</v>
      </c>
      <c r="E37" s="246">
        <f>'数据-取费表'!B35</f>
        <v>456</v>
      </c>
      <c r="F37" s="256"/>
      <c r="G37" s="258" t="s">
        <v>1532</v>
      </c>
    </row>
    <row r="38" spans="1:7" ht="13.5" customHeight="1">
      <c r="A38" s="776" t="s">
        <v>354</v>
      </c>
      <c r="B38" s="212" t="s">
        <v>1533</v>
      </c>
      <c r="C38" s="217">
        <f ca="1">ROUND(C34*F38,0)</f>
        <v>0</v>
      </c>
      <c r="D38" s="217"/>
      <c r="E38" s="217"/>
      <c r="F38" s="256">
        <f>'数据-取费表'!B36</f>
        <v>0.03</v>
      </c>
      <c r="G38" s="216" t="s">
        <v>1528</v>
      </c>
    </row>
    <row r="39" spans="1:7" s="211" customFormat="1" ht="13.5" customHeight="1">
      <c r="A39" s="252" t="s">
        <v>1534</v>
      </c>
      <c r="B39" s="207" t="s">
        <v>1535</v>
      </c>
      <c r="C39" s="229">
        <f ca="1">ROUND(C33*F20,0)</f>
        <v>0</v>
      </c>
      <c r="D39" s="229"/>
      <c r="E39" s="229"/>
      <c r="F39" s="230">
        <f>F20</f>
        <v>0.03</v>
      </c>
      <c r="G39" s="231" t="s">
        <v>1536</v>
      </c>
    </row>
    <row r="40" spans="1:7" s="211" customFormat="1" ht="13.5" customHeight="1">
      <c r="A40" s="252" t="s">
        <v>1537</v>
      </c>
      <c r="B40" s="207" t="s">
        <v>1538</v>
      </c>
      <c r="C40" s="1323">
        <f>F21</f>
        <v>0.02</v>
      </c>
      <c r="D40" s="233" t="s">
        <v>1539</v>
      </c>
      <c r="E40" s="229"/>
      <c r="F40" s="230">
        <f>F21</f>
        <v>0.02</v>
      </c>
      <c r="G40" s="231" t="s">
        <v>1540</v>
      </c>
    </row>
    <row r="41" spans="1:7" s="211" customFormat="1" ht="13.5" customHeight="1">
      <c r="A41" s="252" t="s">
        <v>1541</v>
      </c>
      <c r="B41" s="207" t="s">
        <v>1542</v>
      </c>
      <c r="C41" s="229">
        <f ca="1">ROUND(SUM(C42:C43),0)</f>
        <v>0</v>
      </c>
      <c r="D41" s="232">
        <f ca="1">C44</f>
        <v>1.4E-3</v>
      </c>
      <c r="E41" s="233" t="s">
        <v>1539</v>
      </c>
      <c r="F41" s="234">
        <f ca="1">F22</f>
        <v>4.7500000000000001E-2</v>
      </c>
      <c r="G41" s="231" t="str">
        <f>IF('数据-取费表'!B22&lt;=1,"单利计息","复利计息")</f>
        <v>复利计息</v>
      </c>
    </row>
    <row r="42" spans="1:7" ht="13.5" customHeight="1">
      <c r="A42" s="776" t="s">
        <v>346</v>
      </c>
      <c r="B42" s="212" t="s">
        <v>1543</v>
      </c>
      <c r="C42" s="235">
        <f ca="1">ROUND(IF('数据-取费表'!B22&lt;=1,C33*F22*'数据-取费表'!B21/2,C33*(POWER((1+F22),'数据-取费表'!B21/2)-1)),0)</f>
        <v>0</v>
      </c>
      <c r="D42" s="235"/>
      <c r="E42" s="235"/>
      <c r="F42" s="236"/>
      <c r="G42" s="3709" t="s">
        <v>1544</v>
      </c>
    </row>
    <row r="43" spans="1:7" ht="13.5" customHeight="1">
      <c r="A43" s="776" t="s">
        <v>347</v>
      </c>
      <c r="B43" s="212" t="s">
        <v>1545</v>
      </c>
      <c r="C43" s="235">
        <f ca="1">ROUND(IF('数据-取费表'!B22&lt;=1,C39*F22*'数据-取费表'!B21/2,C39*(POWER((1+F22),'数据-取费表'!B21/2)-1)),0)</f>
        <v>0</v>
      </c>
      <c r="D43" s="235"/>
      <c r="E43" s="235"/>
      <c r="F43" s="236"/>
      <c r="G43" s="3710"/>
    </row>
    <row r="44" spans="1:7" ht="13.5" customHeight="1">
      <c r="A44" s="776" t="s">
        <v>348</v>
      </c>
      <c r="B44" s="212" t="s">
        <v>1546</v>
      </c>
      <c r="C44" s="235">
        <f ca="1">ROUND(IF('数据-取费表'!B22&lt;=1,C40*F22*'数据-取费表'!B21/2,C40*(POWER((1+F22),'数据-取费表'!B21/2)-1)),4)</f>
        <v>1.4E-3</v>
      </c>
      <c r="D44" s="235"/>
      <c r="E44" s="235"/>
      <c r="F44" s="236"/>
      <c r="G44" s="3711"/>
    </row>
    <row r="45" spans="1:7" s="211" customFormat="1" ht="13.5" customHeight="1">
      <c r="A45" s="252" t="s">
        <v>1547</v>
      </c>
      <c r="B45" s="241" t="s">
        <v>1513</v>
      </c>
      <c r="C45" s="242">
        <f ca="1">C46</f>
        <v>0</v>
      </c>
      <c r="D45" s="232">
        <f ca="1">C47</f>
        <v>2E-3</v>
      </c>
      <c r="E45" s="233" t="s">
        <v>1539</v>
      </c>
      <c r="F45" s="243">
        <f ca="1">F27</f>
        <v>0.1</v>
      </c>
      <c r="G45" s="244" t="s">
        <v>1548</v>
      </c>
    </row>
    <row r="46" spans="1:7" s="211" customFormat="1" ht="13.5" customHeight="1">
      <c r="A46" s="776" t="s">
        <v>346</v>
      </c>
      <c r="B46" s="245" t="s">
        <v>1549</v>
      </c>
      <c r="C46" s="246">
        <f ca="1">ROUND((C33+C39)*F27,0)</f>
        <v>0</v>
      </c>
      <c r="D46" s="260"/>
      <c r="E46" s="233"/>
      <c r="F46" s="243"/>
      <c r="G46" s="244"/>
    </row>
    <row r="47" spans="1:7" s="211" customFormat="1" ht="13.5" customHeight="1">
      <c r="A47" s="776" t="s">
        <v>347</v>
      </c>
      <c r="B47" s="245" t="s">
        <v>1550</v>
      </c>
      <c r="C47" s="235">
        <f ca="1">ROUND(C40*F27,4)</f>
        <v>2E-3</v>
      </c>
      <c r="D47" s="260"/>
      <c r="E47" s="233"/>
      <c r="F47" s="243"/>
      <c r="G47" s="244"/>
    </row>
    <row r="48" spans="1:7" s="211" customFormat="1" ht="13.5" customHeight="1">
      <c r="A48" s="252" t="s">
        <v>1512</v>
      </c>
      <c r="B48" s="207" t="s">
        <v>1551</v>
      </c>
      <c r="C48" s="1323">
        <f>ROUND(F30/(1+'数据-取费表'!C42),4)</f>
        <v>5.2400000000000002E-2</v>
      </c>
      <c r="D48" s="233" t="s">
        <v>1539</v>
      </c>
      <c r="E48" s="229"/>
      <c r="F48" s="234">
        <f>F30</f>
        <v>5.5000000000000007E-2</v>
      </c>
      <c r="G48" s="231" t="s">
        <v>1552</v>
      </c>
    </row>
    <row r="49" spans="1:7" ht="16.5" customHeight="1">
      <c r="A49" s="252" t="s">
        <v>1518</v>
      </c>
      <c r="B49" s="207" t="s">
        <v>1553</v>
      </c>
      <c r="C49" s="229">
        <f ca="1">ROUND((C33+C39+C41+C45)/(1-C40-D41-D45-C48),0)</f>
        <v>1</v>
      </c>
      <c r="D49" s="229"/>
      <c r="E49" s="229"/>
      <c r="F49" s="261"/>
      <c r="G49" s="231" t="s">
        <v>1554</v>
      </c>
    </row>
    <row r="50" spans="1:7" s="255" customFormat="1" ht="24">
      <c r="A50" s="252" t="s">
        <v>1555</v>
      </c>
      <c r="B50" s="207" t="s">
        <v>1556</v>
      </c>
      <c r="C50" s="229"/>
      <c r="D50" s="229"/>
      <c r="E50" s="229"/>
      <c r="F50" s="261">
        <f>IF('数据-取费表'!B24=0,'数据-取费表'!N16,1)</f>
        <v>1</v>
      </c>
      <c r="G50" s="244" t="s">
        <v>1557</v>
      </c>
    </row>
    <row r="51" spans="1:7" ht="16.5" customHeight="1">
      <c r="A51" s="252" t="s">
        <v>1558</v>
      </c>
      <c r="B51" s="207" t="s">
        <v>1559</v>
      </c>
      <c r="C51" s="229">
        <f ca="1">ROUND(C49*F50,0)</f>
        <v>1</v>
      </c>
      <c r="D51" s="229"/>
      <c r="E51" s="229"/>
      <c r="F51" s="261"/>
      <c r="G51" s="231" t="s">
        <v>1560</v>
      </c>
    </row>
    <row r="52" spans="1:7" s="205" customFormat="1" ht="16.5" thickBot="1">
      <c r="A52" s="262" t="s">
        <v>1561</v>
      </c>
      <c r="B52" s="263"/>
      <c r="C52" s="264">
        <f ca="1">C31+C51</f>
        <v>1</v>
      </c>
      <c r="D52" s="263"/>
      <c r="E52" s="263"/>
      <c r="F52" s="263"/>
      <c r="G52" s="265"/>
    </row>
    <row r="55" spans="1:7" ht="15">
      <c r="B55" s="267" t="s">
        <v>1562</v>
      </c>
      <c r="C55" s="268"/>
    </row>
    <row r="56" spans="1:7">
      <c r="B56" s="270" t="s">
        <v>802</v>
      </c>
      <c r="C56" s="272">
        <f ca="1">1-C57</f>
        <v>0</v>
      </c>
    </row>
    <row r="57" spans="1:7">
      <c r="B57" s="270" t="s">
        <v>803</v>
      </c>
      <c r="C57" s="271">
        <f ca="1">ROUND(C51/C52,3)</f>
        <v>1</v>
      </c>
    </row>
  </sheetData>
  <sheetProtection password="CEE9" sheet="1" objects="1" scenarios="1" formatCells="0"/>
  <mergeCells count="1">
    <mergeCell ref="G42:G44"/>
  </mergeCells>
  <phoneticPr fontId="134"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4"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SheetLayoutView="100" zoomScalePageLayoutView="80" workbookViewId="0">
      <selection activeCell="B49" sqref="B49"/>
    </sheetView>
  </sheetViews>
  <sheetFormatPr defaultColWidth="9" defaultRowHeight="14.25"/>
  <cols>
    <col min="1" max="1" width="3.5" style="839" customWidth="1"/>
    <col min="2" max="9" width="10" style="839" customWidth="1"/>
    <col min="10" max="16384" width="9" style="839"/>
  </cols>
  <sheetData>
    <row r="36" spans="1:9">
      <c r="A36" s="838" t="s">
        <v>371</v>
      </c>
      <c r="B36" s="838" t="s">
        <v>372</v>
      </c>
    </row>
    <row r="37" spans="1:9" ht="27.75" customHeight="1">
      <c r="A37" s="838"/>
      <c r="B37" s="3524" t="str">
        <f>项目基本情况!B1</f>
        <v>北京市房地产市场价值预评估</v>
      </c>
      <c r="C37" s="3524"/>
      <c r="D37" s="3524"/>
      <c r="E37" s="3524"/>
      <c r="F37" s="3524"/>
      <c r="G37" s="3524"/>
      <c r="H37" s="3524"/>
      <c r="I37" s="3524"/>
    </row>
    <row r="38" spans="1:9">
      <c r="A38" s="840"/>
      <c r="B38" s="840"/>
    </row>
    <row r="39" spans="1:9">
      <c r="A39" s="838" t="s">
        <v>371</v>
      </c>
      <c r="B39" s="838" t="s">
        <v>373</v>
      </c>
    </row>
    <row r="40" spans="1:9">
      <c r="A40" s="838"/>
      <c r="B40" s="1470">
        <f>项目基本情况!B5</f>
        <v>0</v>
      </c>
    </row>
    <row r="41" spans="1:9">
      <c r="A41" s="838"/>
      <c r="B41" s="838"/>
    </row>
    <row r="42" spans="1:9">
      <c r="A42" s="838" t="s">
        <v>371</v>
      </c>
      <c r="B42" s="838" t="s">
        <v>374</v>
      </c>
    </row>
    <row r="43" spans="1:9">
      <c r="A43" s="838"/>
      <c r="B43" s="1470" t="s">
        <v>375</v>
      </c>
    </row>
    <row r="44" spans="1:9">
      <c r="A44" s="838"/>
      <c r="B44" s="838"/>
    </row>
    <row r="45" spans="1:9">
      <c r="A45" s="838" t="s">
        <v>371</v>
      </c>
      <c r="B45" s="838" t="s">
        <v>376</v>
      </c>
    </row>
    <row r="46" spans="1:9" s="838" customFormat="1" ht="12.75">
      <c r="B46" s="1470" t="str">
        <f>项目基本情况!K4</f>
        <v>（注册号：0)、（注册号：0)</v>
      </c>
    </row>
    <row r="47" spans="1:9">
      <c r="A47" s="838"/>
      <c r="B47" s="838" t="str">
        <f>项目基本情况!K5</f>
        <v>（注册号：0)、（注册号：0)</v>
      </c>
    </row>
    <row r="48" spans="1:9">
      <c r="A48" s="838" t="s">
        <v>371</v>
      </c>
      <c r="B48" s="838" t="s">
        <v>377</v>
      </c>
    </row>
    <row r="49" spans="2:2">
      <c r="B49" s="1470" t="str">
        <f>"康正预评字"&amp;项目基本情况!B2&amp;"号"</f>
        <v>康正预评字号</v>
      </c>
    </row>
  </sheetData>
  <sheetProtection sheet="1" objects="1" scenarios="1" formatCells="0" formatRows="0" insertColumns="0" deleteRows="0"/>
  <mergeCells count="1">
    <mergeCell ref="B37:I37"/>
  </mergeCells>
  <phoneticPr fontId="82" type="noConversion"/>
  <pageMargins left="0.98425196850393704" right="0.78740157480314965" top="0.98425196850393704" bottom="0.98425196850393704" header="0.59055118110236227" footer="0.78740157480314965"/>
  <pageSetup paperSize="9" orientation="portrait" r:id="rId1"/>
  <extLst>
    <ext xmlns:mx="http://schemas.microsoft.com/office/mac/excel/2008/main" uri="{64002731-A6B0-56B0-2670-7721B7C09600}">
      <mx:PLV Mode="1" OnePage="0" WScale="10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topLeftCell="A31" zoomScaleNormal="70" zoomScaleSheetLayoutView="100" workbookViewId="0">
      <selection activeCell="C38" sqref="C38"/>
    </sheetView>
  </sheetViews>
  <sheetFormatPr defaultColWidth="8.375" defaultRowHeight="12.75"/>
  <cols>
    <col min="1" max="1" width="9.375" style="266" customWidth="1"/>
    <col min="2" max="2" width="29.125" style="248" customWidth="1"/>
    <col min="3" max="3" width="12.125" style="248" customWidth="1"/>
    <col min="4" max="5" width="11.125" style="269" customWidth="1"/>
    <col min="6" max="6" width="9.5" style="248" customWidth="1"/>
    <col min="7" max="7" width="31.875" style="248" customWidth="1"/>
    <col min="8" max="8" width="10.875" style="248" customWidth="1"/>
    <col min="9" max="254" width="9" style="248" customWidth="1"/>
    <col min="255" max="16384" width="8.375" style="248"/>
  </cols>
  <sheetData>
    <row r="1" spans="1:8" s="197" customFormat="1" ht="20.25">
      <c r="A1" s="193" t="s">
        <v>1461</v>
      </c>
      <c r="B1" s="1466" t="s">
        <v>3392</v>
      </c>
      <c r="C1" s="1855" t="s">
        <v>1563</v>
      </c>
      <c r="D1" s="195"/>
      <c r="E1" s="195"/>
      <c r="F1" s="195"/>
      <c r="G1" s="1122">
        <f>MATCH(B1,'数据-取费表'!A6:A16,0)+5</f>
        <v>6</v>
      </c>
      <c r="H1" s="1057" t="str">
        <f>IF(ISERROR(FIND("住宅",B1)),"非住宅","住宅")</f>
        <v>住宅</v>
      </c>
    </row>
    <row r="2" spans="1:8" s="197" customFormat="1" ht="18" customHeight="1">
      <c r="A2" s="198" t="s">
        <v>1462</v>
      </c>
      <c r="B2" s="3416">
        <f ca="1">ROUND(IF(D2="——",C52/10000,C52/10000-E2),4)</f>
        <v>2.9011</v>
      </c>
      <c r="C2" s="196" t="s">
        <v>1463</v>
      </c>
      <c r="D2" s="1849" t="s">
        <v>43</v>
      </c>
      <c r="E2" s="1165" t="e">
        <f ca="1">SUMIF(INDIRECT("'"&amp;G2&amp;"'"&amp;"!A:A"),"承租人权益价值",INDIRECT("'"&amp;G2&amp;"'"&amp;"!c:c"))</f>
        <v>#REF!</v>
      </c>
      <c r="F2" s="1850" t="s">
        <v>1463</v>
      </c>
      <c r="G2" s="1851"/>
    </row>
    <row r="3" spans="1:8" s="197" customFormat="1" ht="18" customHeight="1" thickBot="1">
      <c r="A3" s="200" t="s">
        <v>1464</v>
      </c>
      <c r="B3" s="201">
        <f ca="1">ROUND(B2*10000/(IF(B1="",'数据-汇总表'!E3,INDIRECT("'数据-取费表'!k"&amp;$G$1))),0)</f>
        <v>29011</v>
      </c>
      <c r="C3" s="196" t="s">
        <v>1465</v>
      </c>
      <c r="D3" s="196"/>
      <c r="E3" s="196"/>
      <c r="F3" s="196"/>
      <c r="G3" s="196"/>
    </row>
    <row r="4" spans="1:8" s="205" customFormat="1" ht="15.75">
      <c r="A4" s="202" t="s">
        <v>1466</v>
      </c>
      <c r="B4" s="203"/>
      <c r="C4" s="203"/>
      <c r="D4" s="203"/>
      <c r="E4" s="203"/>
      <c r="F4" s="203"/>
      <c r="G4" s="204"/>
    </row>
    <row r="5" spans="1:8" s="211" customFormat="1" ht="13.5" customHeight="1">
      <c r="A5" s="252" t="s">
        <v>1467</v>
      </c>
      <c r="B5" s="207" t="s">
        <v>1468</v>
      </c>
      <c r="C5" s="208">
        <f>C6+C7+C8</f>
        <v>14980</v>
      </c>
      <c r="D5" s="208" t="s">
        <v>1469</v>
      </c>
      <c r="E5" s="209" t="s">
        <v>1470</v>
      </c>
      <c r="F5" s="209" t="s">
        <v>1471</v>
      </c>
      <c r="G5" s="210"/>
    </row>
    <row r="6" spans="1:8" s="211" customFormat="1" ht="13.5" customHeight="1">
      <c r="A6" s="774" t="s">
        <v>1472</v>
      </c>
      <c r="B6" s="212" t="s">
        <v>1473</v>
      </c>
      <c r="C6" s="213">
        <f>'土地比较法-住宅、综合'!C48</f>
        <v>14980</v>
      </c>
      <c r="D6" s="214"/>
      <c r="E6" s="215"/>
      <c r="F6" s="215"/>
      <c r="G6" s="216"/>
    </row>
    <row r="7" spans="1:8" s="211" customFormat="1" ht="13.5" customHeight="1">
      <c r="A7" s="774" t="s">
        <v>1474</v>
      </c>
      <c r="B7" s="212" t="s">
        <v>1475</v>
      </c>
      <c r="C7" s="217">
        <f>ROUND(C6*F7,0)</f>
        <v>0</v>
      </c>
      <c r="D7" s="217"/>
      <c r="E7" s="215"/>
      <c r="F7" s="218">
        <f>IF(项目基本情况!B8="出让",0,'数据-取费表'!B48+'数据-取费表'!B49)</f>
        <v>0</v>
      </c>
      <c r="G7" s="216"/>
    </row>
    <row r="8" spans="1:8" s="220" customFormat="1">
      <c r="A8" s="774" t="s">
        <v>1476</v>
      </c>
      <c r="B8" s="212" t="s">
        <v>1477</v>
      </c>
      <c r="C8" s="217">
        <f>IF(G8="已包含在土地购买价格中",0,C9+C10)</f>
        <v>0</v>
      </c>
      <c r="D8" s="219"/>
      <c r="E8" s="217"/>
      <c r="F8" s="218"/>
      <c r="G8" s="1852" t="s">
        <v>451</v>
      </c>
    </row>
    <row r="9" spans="1:8" s="211" customFormat="1" ht="13.5" customHeight="1">
      <c r="A9" s="775" t="s">
        <v>355</v>
      </c>
      <c r="B9" s="221" t="s">
        <v>1478</v>
      </c>
      <c r="C9" s="222">
        <f ca="1">ROUND(D9*E9,0)</f>
        <v>160</v>
      </c>
      <c r="D9" s="841">
        <f ca="1">IF(B1="",'数据-汇总表'!E5,IF(INDIRECT("'数据-取费表'!c"&amp;$G$1)="住宅",INDIRECT("'数据-取费表'!k"&amp;$G$1),0))</f>
        <v>1</v>
      </c>
      <c r="E9" s="222">
        <f>'数据-取费表'!B27</f>
        <v>160</v>
      </c>
      <c r="F9" s="218"/>
      <c r="G9" s="223"/>
    </row>
    <row r="10" spans="1:8" s="211" customFormat="1" ht="13.5" customHeight="1">
      <c r="A10" s="775" t="s">
        <v>356</v>
      </c>
      <c r="B10" s="221" t="s">
        <v>1480</v>
      </c>
      <c r="C10" s="222">
        <f ca="1">ROUND(D10*E10,0)</f>
        <v>0</v>
      </c>
      <c r="D10" s="841">
        <f ca="1">IF(B1="",'数据-汇总表'!E6,IF(INDIRECT("'数据-取费表'!c"&amp;$G$1)="住宅",INDIRECT("'数据-取费表'!s"&amp;$G$1),INDIRECT("'数据-取费表'!k"&amp;$G$1)+INDIRECT("'数据-取费表'!s"&amp;$G$1)))</f>
        <v>0</v>
      </c>
      <c r="E10" s="222">
        <f>'数据-取费表'!B28</f>
        <v>0</v>
      </c>
      <c r="F10" s="218"/>
      <c r="G10" s="223"/>
    </row>
    <row r="11" spans="1:8" s="211" customFormat="1" ht="13.5" hidden="1" customHeight="1">
      <c r="A11" s="224" t="s">
        <v>4</v>
      </c>
      <c r="B11" s="212" t="s">
        <v>1481</v>
      </c>
      <c r="C11" s="208"/>
      <c r="D11" s="843"/>
      <c r="E11" s="215"/>
      <c r="F11" s="215"/>
      <c r="G11" s="216"/>
    </row>
    <row r="12" spans="1:8" s="211" customFormat="1" ht="13.5" hidden="1" customHeight="1">
      <c r="A12" s="224" t="s">
        <v>5</v>
      </c>
      <c r="B12" s="212" t="s">
        <v>1564</v>
      </c>
      <c r="C12" s="208">
        <v>0</v>
      </c>
      <c r="D12" s="843"/>
      <c r="E12" s="225"/>
      <c r="F12" s="218">
        <v>3.0499999999999999E-2</v>
      </c>
      <c r="G12" s="216"/>
    </row>
    <row r="13" spans="1:8" s="211" customFormat="1" ht="13.5" hidden="1" customHeight="1">
      <c r="A13" s="224" t="s">
        <v>6</v>
      </c>
      <c r="B13" s="212" t="s">
        <v>1565</v>
      </c>
      <c r="C13" s="208"/>
      <c r="D13" s="843"/>
      <c r="E13" s="215"/>
      <c r="F13" s="215"/>
      <c r="G13" s="216"/>
    </row>
    <row r="14" spans="1:8" s="211" customFormat="1" ht="13.5" hidden="1" customHeight="1">
      <c r="A14" s="224" t="s">
        <v>7</v>
      </c>
      <c r="B14" s="212" t="s">
        <v>1477</v>
      </c>
      <c r="C14" s="208"/>
      <c r="D14" s="843"/>
      <c r="E14" s="215"/>
      <c r="F14" s="215"/>
      <c r="G14" s="216" t="s">
        <v>1566</v>
      </c>
    </row>
    <row r="15" spans="1:8" s="211" customFormat="1" ht="13.5" hidden="1" customHeight="1">
      <c r="A15" s="224" t="s">
        <v>8</v>
      </c>
      <c r="B15" s="212" t="s">
        <v>1567</v>
      </c>
      <c r="C15" s="217"/>
      <c r="D15" s="843"/>
      <c r="E15" s="215"/>
      <c r="F15" s="215"/>
      <c r="G15" s="216" t="s">
        <v>1568</v>
      </c>
    </row>
    <row r="16" spans="1:8" s="211" customFormat="1" ht="13.5" hidden="1" customHeight="1">
      <c r="A16" s="224" t="s">
        <v>9</v>
      </c>
      <c r="B16" s="212" t="s">
        <v>1477</v>
      </c>
      <c r="C16" s="217"/>
      <c r="D16" s="843"/>
      <c r="E16" s="215"/>
      <c r="F16" s="215"/>
      <c r="G16" s="216"/>
    </row>
    <row r="17" spans="1:7" s="211" customFormat="1" ht="13.5" hidden="1" customHeight="1">
      <c r="A17" s="224" t="s">
        <v>10</v>
      </c>
      <c r="B17" s="212" t="s">
        <v>1569</v>
      </c>
      <c r="C17" s="226"/>
      <c r="D17" s="844"/>
      <c r="E17" s="226"/>
      <c r="F17" s="226"/>
      <c r="G17" s="216" t="s">
        <v>1568</v>
      </c>
    </row>
    <row r="18" spans="1:7" s="211" customFormat="1" ht="13.5" hidden="1" customHeight="1">
      <c r="A18" s="224" t="s">
        <v>11</v>
      </c>
      <c r="B18" s="212" t="s">
        <v>1570</v>
      </c>
      <c r="C18" s="217">
        <v>0</v>
      </c>
      <c r="D18" s="843"/>
      <c r="E18" s="215"/>
      <c r="F18" s="218">
        <v>3.0499999999999999E-2</v>
      </c>
      <c r="G18" s="216" t="s">
        <v>1571</v>
      </c>
    </row>
    <row r="19" spans="1:7" s="220" customFormat="1" ht="13.5" customHeight="1">
      <c r="A19" s="252" t="s">
        <v>1572</v>
      </c>
      <c r="B19" s="207" t="s">
        <v>1573</v>
      </c>
      <c r="C19" s="208" t="str">
        <f>IF(G19="已包含在土地取得成本中","0",ROUND(D19*E19,0))</f>
        <v>0</v>
      </c>
      <c r="D19" s="845">
        <f ca="1">D9+D10</f>
        <v>1</v>
      </c>
      <c r="E19" s="208">
        <f>'数据-取费表'!B31</f>
        <v>200</v>
      </c>
      <c r="F19" s="228"/>
      <c r="G19" s="1852" t="s">
        <v>3400</v>
      </c>
    </row>
    <row r="20" spans="1:7" s="211" customFormat="1" ht="13.5" customHeight="1">
      <c r="A20" s="252" t="s">
        <v>1574</v>
      </c>
      <c r="B20" s="207" t="s">
        <v>1575</v>
      </c>
      <c r="C20" s="229">
        <f>ROUND((C5+C19)*F20,0)</f>
        <v>449</v>
      </c>
      <c r="D20" s="229"/>
      <c r="E20" s="229"/>
      <c r="F20" s="230">
        <f>'数据-取费表'!B37</f>
        <v>0.03</v>
      </c>
      <c r="G20" s="231" t="s">
        <v>1576</v>
      </c>
    </row>
    <row r="21" spans="1:7" s="211" customFormat="1" ht="13.5" customHeight="1">
      <c r="A21" s="252" t="s">
        <v>1577</v>
      </c>
      <c r="B21" s="207" t="s">
        <v>1578</v>
      </c>
      <c r="C21" s="232">
        <f>F21</f>
        <v>0.02</v>
      </c>
      <c r="D21" s="233" t="s">
        <v>1579</v>
      </c>
      <c r="E21" s="229"/>
      <c r="F21" s="230">
        <f>'数据-取费表'!B38</f>
        <v>0.02</v>
      </c>
      <c r="G21" s="231" t="s">
        <v>1580</v>
      </c>
    </row>
    <row r="22" spans="1:7" s="211" customFormat="1" ht="13.5" customHeight="1">
      <c r="A22" s="252" t="s">
        <v>1581</v>
      </c>
      <c r="B22" s="207" t="s">
        <v>1582</v>
      </c>
      <c r="C22" s="1123">
        <f ca="1">ROUND(SUM(C23:C25),0)</f>
        <v>2270</v>
      </c>
      <c r="D22" s="232">
        <f ca="1">C26</f>
        <v>1.4E-3</v>
      </c>
      <c r="E22" s="233" t="s">
        <v>1579</v>
      </c>
      <c r="F22" s="234">
        <f ca="1">'数据-取费表'!B40</f>
        <v>4.7500000000000001E-2</v>
      </c>
      <c r="G22" s="231" t="str">
        <f>IF('数据-取费表'!B22&lt;=1,"单利计息","复利计息")</f>
        <v>复利计息</v>
      </c>
    </row>
    <row r="23" spans="1:7" s="211" customFormat="1" ht="13.5" customHeight="1">
      <c r="A23" s="776" t="s">
        <v>1472</v>
      </c>
      <c r="B23" s="212" t="s">
        <v>1583</v>
      </c>
      <c r="C23" s="1124">
        <f ca="1">ROUND(IF('数据-取费表'!B22&lt;=1,C5*F22*'数据-取费表'!B22,C5*(POWER((1+F22),'数据-取费表'!B22)-1)),0)</f>
        <v>2238</v>
      </c>
      <c r="D23" s="235"/>
      <c r="E23" s="235"/>
      <c r="F23" s="236"/>
      <c r="G23" s="237" t="s">
        <v>1584</v>
      </c>
    </row>
    <row r="24" spans="1:7" s="211" customFormat="1" ht="13.5" customHeight="1">
      <c r="A24" s="776" t="s">
        <v>1474</v>
      </c>
      <c r="B24" s="212" t="s">
        <v>1585</v>
      </c>
      <c r="C24" s="1124">
        <f ca="1">ROUND(IF('数据-取费表'!B22&lt;=1,C19*F22*('数据-取费表'!B19/2+'数据-取费表'!B20),C19*(POWER((1+F22),('数据-取费表'!B19/2+'数据-取费表'!B20))-1)),0)</f>
        <v>0</v>
      </c>
      <c r="D24" s="235"/>
      <c r="E24" s="235"/>
      <c r="F24" s="236"/>
      <c r="G24" s="237" t="s">
        <v>1586</v>
      </c>
    </row>
    <row r="25" spans="1:7" s="211" customFormat="1" ht="24">
      <c r="A25" s="776" t="s">
        <v>1476</v>
      </c>
      <c r="B25" s="212" t="s">
        <v>1587</v>
      </c>
      <c r="C25" s="1124">
        <f ca="1">ROUND(IF('数据-取费表'!B22&lt;=1,C20*F22*'数据-取费表'!B22/2,C20*(POWER((1+F22),'数据-取费表'!B22/2)-1)),0)</f>
        <v>32</v>
      </c>
      <c r="D25" s="235"/>
      <c r="E25" s="238"/>
      <c r="F25" s="236"/>
      <c r="G25" s="239" t="s">
        <v>1588</v>
      </c>
    </row>
    <row r="26" spans="1:7" s="211" customFormat="1">
      <c r="A26" s="776" t="s">
        <v>350</v>
      </c>
      <c r="B26" s="212" t="s">
        <v>1511</v>
      </c>
      <c r="C26" s="235">
        <f ca="1">ROUND(IF('数据-取费表'!B22&lt;=1,F21*F22*'数据-取费表'!B22/2,F21*(POWER((1+F22),'数据-取费表'!B22/2)-1)),4)</f>
        <v>1.4E-3</v>
      </c>
      <c r="D26" s="235"/>
      <c r="E26" s="238"/>
      <c r="F26" s="236"/>
      <c r="G26" s="240"/>
    </row>
    <row r="27" spans="1:7" s="211" customFormat="1" ht="24.75">
      <c r="A27" s="252" t="s">
        <v>1512</v>
      </c>
      <c r="B27" s="241" t="s">
        <v>1513</v>
      </c>
      <c r="C27" s="242">
        <f ca="1">C28</f>
        <v>1543</v>
      </c>
      <c r="D27" s="232">
        <f ca="1">C29</f>
        <v>2E-3</v>
      </c>
      <c r="E27" s="233" t="s">
        <v>1514</v>
      </c>
      <c r="F27" s="243">
        <f ca="1">IF(B1="",'数据-取费表'!Q16,INDIRECT("'数据-取费表'!q"&amp;$G$1))</f>
        <v>0.1</v>
      </c>
      <c r="G27" s="244" t="s">
        <v>1515</v>
      </c>
    </row>
    <row r="28" spans="1:7" s="211" customFormat="1" ht="13.5" customHeight="1">
      <c r="A28" s="776" t="s">
        <v>346</v>
      </c>
      <c r="B28" s="245" t="s">
        <v>1516</v>
      </c>
      <c r="C28" s="246">
        <f ca="1">ROUND((C5+C19+C20)*F27,0)</f>
        <v>1543</v>
      </c>
      <c r="D28" s="232"/>
      <c r="E28" s="233"/>
      <c r="F28" s="243"/>
      <c r="G28" s="244"/>
    </row>
    <row r="29" spans="1:7" s="211" customFormat="1" ht="13.5" customHeight="1">
      <c r="A29" s="776" t="s">
        <v>347</v>
      </c>
      <c r="B29" s="245" t="s">
        <v>1517</v>
      </c>
      <c r="C29" s="235">
        <f ca="1">ROUND(C21*F27,4)</f>
        <v>2E-3</v>
      </c>
      <c r="D29" s="232"/>
      <c r="E29" s="233"/>
      <c r="F29" s="243"/>
      <c r="G29" s="244"/>
    </row>
    <row r="30" spans="1:7" s="211" customFormat="1" ht="13.5" customHeight="1">
      <c r="A30" s="252" t="s">
        <v>1518</v>
      </c>
      <c r="B30" s="207" t="s">
        <v>1519</v>
      </c>
      <c r="C30" s="3447">
        <f>ROUND((1/1.09*0.09-C21/1.06*0.06)*(1+'数据-取费表'!B44+'数据-取费表'!B45+'数据-取费表'!B46),4)</f>
        <v>8.9599999999999999E-2</v>
      </c>
      <c r="D30" s="232" t="s">
        <v>1514</v>
      </c>
      <c r="E30" s="3447">
        <f>ROUND(C6/1.09*0.09*(1+'数据-取费表'!B44+'数据-取费表'!B45+'数据-取费表'!B46),0)</f>
        <v>1361</v>
      </c>
      <c r="F30" s="234">
        <f>'数据-取费表'!B41</f>
        <v>5.5000000000000007E-2</v>
      </c>
      <c r="G30" s="231" t="s">
        <v>1520</v>
      </c>
    </row>
    <row r="31" spans="1:7" ht="16.5" customHeight="1">
      <c r="A31" s="206">
        <v>1</v>
      </c>
      <c r="B31" s="207" t="s">
        <v>1521</v>
      </c>
      <c r="C31" s="3448">
        <f ca="1">ROUND((C5+C19+C20+C22+C27-E30)/(1-C21-D22-D27-C30),0)</f>
        <v>20159</v>
      </c>
      <c r="D31" s="227"/>
      <c r="E31" s="208"/>
      <c r="F31" s="247"/>
      <c r="G31" s="231" t="s">
        <v>1522</v>
      </c>
    </row>
    <row r="32" spans="1:7" s="205" customFormat="1" ht="15.75">
      <c r="A32" s="249" t="s">
        <v>1589</v>
      </c>
      <c r="B32" s="250"/>
      <c r="C32" s="250"/>
      <c r="D32" s="250"/>
      <c r="E32" s="250"/>
      <c r="F32" s="250"/>
      <c r="G32" s="251"/>
    </row>
    <row r="33" spans="1:7" s="211" customFormat="1" ht="13.5" customHeight="1">
      <c r="A33" s="252" t="s">
        <v>337</v>
      </c>
      <c r="B33" s="207" t="s">
        <v>1590</v>
      </c>
      <c r="C33" s="253">
        <f ca="1">SUM(C34:C38)</f>
        <v>7011</v>
      </c>
      <c r="D33" s="229"/>
      <c r="E33" s="209"/>
      <c r="F33" s="238"/>
      <c r="G33" s="231"/>
    </row>
    <row r="34" spans="1:7" s="255" customFormat="1" ht="13.5" customHeight="1">
      <c r="A34" s="776" t="s">
        <v>346</v>
      </c>
      <c r="B34" s="212" t="s">
        <v>1525</v>
      </c>
      <c r="C34" s="217">
        <f ca="1">ROUND(IF(B1="",SUMPRODUCT('数据-取费表'!K6:K14,'数据-取费表'!L6:L14),INDIRECT("'数据-取费表'!l"&amp;$G$1)*INDIRECT("'数据-取费表'!k"&amp;$G$1)+'数据-取费表'!L14*INDIRECT("'数据-取费表'!S"&amp;$G$1)),0)</f>
        <v>5700</v>
      </c>
      <c r="D34" s="214"/>
      <c r="E34" s="217"/>
      <c r="F34" s="254"/>
      <c r="G34" s="216"/>
    </row>
    <row r="35" spans="1:7" ht="13.5" customHeight="1">
      <c r="A35" s="776" t="s">
        <v>351</v>
      </c>
      <c r="B35" s="212" t="s">
        <v>1527</v>
      </c>
      <c r="C35" s="217">
        <f ca="1">ROUND(C34*F35,0)</f>
        <v>342</v>
      </c>
      <c r="D35" s="217"/>
      <c r="E35" s="217"/>
      <c r="F35" s="256">
        <f>'数据-取费表'!B33</f>
        <v>0.06</v>
      </c>
      <c r="G35" s="216" t="s">
        <v>1528</v>
      </c>
    </row>
    <row r="36" spans="1:7" ht="24">
      <c r="A36" s="776" t="s">
        <v>352</v>
      </c>
      <c r="B36" s="212" t="s">
        <v>1529</v>
      </c>
      <c r="C36" s="217">
        <f ca="1">ROUND(IF(B1="",SUM('数据-取费表'!AP6:AP13)*F36,IF(INDIRECT("'数据-取费表'!c"&amp;$G$1)="住宅",INDIRECT("'数据-取费表'!k"&amp;$G$1)*INDIRECT("'数据-取费表'!l"&amp;$G$1)*F36,0)),0)</f>
        <v>342</v>
      </c>
      <c r="D36" s="217"/>
      <c r="E36" s="217"/>
      <c r="F36" s="256">
        <f>'数据-取费表'!B34</f>
        <v>0.06</v>
      </c>
      <c r="G36" s="257" t="s">
        <v>1530</v>
      </c>
    </row>
    <row r="37" spans="1:7" s="255" customFormat="1" ht="13.5" customHeight="1">
      <c r="A37" s="776" t="s">
        <v>353</v>
      </c>
      <c r="B37" s="212" t="s">
        <v>1531</v>
      </c>
      <c r="C37" s="246">
        <f ca="1">ROUND(E37*D37,0)</f>
        <v>456</v>
      </c>
      <c r="D37" s="214">
        <f ca="1">D19</f>
        <v>1</v>
      </c>
      <c r="E37" s="246">
        <f>'数据-取费表'!B35</f>
        <v>456</v>
      </c>
      <c r="F37" s="256"/>
      <c r="G37" s="258"/>
    </row>
    <row r="38" spans="1:7" ht="13.5" customHeight="1">
      <c r="A38" s="776" t="s">
        <v>354</v>
      </c>
      <c r="B38" s="212" t="s">
        <v>1533</v>
      </c>
      <c r="C38" s="217">
        <f ca="1">ROUND(C34*F38,0)</f>
        <v>171</v>
      </c>
      <c r="D38" s="217"/>
      <c r="E38" s="217"/>
      <c r="F38" s="256">
        <f>'数据-取费表'!B36</f>
        <v>0.03</v>
      </c>
      <c r="G38" s="216" t="s">
        <v>1528</v>
      </c>
    </row>
    <row r="39" spans="1:7" s="211" customFormat="1" ht="13.5" customHeight="1">
      <c r="A39" s="252" t="s">
        <v>1534</v>
      </c>
      <c r="B39" s="207" t="s">
        <v>1535</v>
      </c>
      <c r="C39" s="229">
        <f ca="1">ROUND(C33*F20,0)</f>
        <v>210</v>
      </c>
      <c r="D39" s="229"/>
      <c r="E39" s="229"/>
      <c r="F39" s="230">
        <f>F20</f>
        <v>0.03</v>
      </c>
      <c r="G39" s="231" t="s">
        <v>1536</v>
      </c>
    </row>
    <row r="40" spans="1:7" s="211" customFormat="1" ht="13.5" customHeight="1">
      <c r="A40" s="252" t="s">
        <v>1537</v>
      </c>
      <c r="B40" s="207" t="s">
        <v>1538</v>
      </c>
      <c r="C40" s="1323">
        <f>F21</f>
        <v>0.02</v>
      </c>
      <c r="D40" s="233" t="s">
        <v>1539</v>
      </c>
      <c r="E40" s="229"/>
      <c r="F40" s="230">
        <f>F21</f>
        <v>0.02</v>
      </c>
      <c r="G40" s="231" t="s">
        <v>1540</v>
      </c>
    </row>
    <row r="41" spans="1:7" s="211" customFormat="1" ht="13.5" customHeight="1">
      <c r="A41" s="252" t="s">
        <v>1541</v>
      </c>
      <c r="B41" s="207" t="s">
        <v>1542</v>
      </c>
      <c r="C41" s="229">
        <f ca="1">ROUND(SUM(C42:C43),0)</f>
        <v>520</v>
      </c>
      <c r="D41" s="232">
        <f ca="1">C44</f>
        <v>1.4E-3</v>
      </c>
      <c r="E41" s="233" t="s">
        <v>1539</v>
      </c>
      <c r="F41" s="234">
        <f ca="1">F22</f>
        <v>4.7500000000000001E-2</v>
      </c>
      <c r="G41" s="231" t="str">
        <f>IF('数据-取费表'!B22&lt;=1,"单利计息","复利计息")</f>
        <v>复利计息</v>
      </c>
    </row>
    <row r="42" spans="1:7" ht="13.5" customHeight="1">
      <c r="A42" s="776" t="s">
        <v>346</v>
      </c>
      <c r="B42" s="212" t="s">
        <v>1543</v>
      </c>
      <c r="C42" s="235">
        <f ca="1">ROUND(IF('数据-取费表'!B22&lt;=1,C33*F22*'数据-取费表'!B20/2,C33*(POWER((1+F22),'数据-取费表'!B20/2)-1)),0)</f>
        <v>505</v>
      </c>
      <c r="D42" s="235"/>
      <c r="E42" s="235"/>
      <c r="F42" s="236"/>
      <c r="G42" s="3709" t="s">
        <v>1591</v>
      </c>
    </row>
    <row r="43" spans="1:7" ht="13.5" customHeight="1">
      <c r="A43" s="776" t="s">
        <v>347</v>
      </c>
      <c r="B43" s="212" t="s">
        <v>1545</v>
      </c>
      <c r="C43" s="235">
        <f ca="1">ROUND(IF('数据-取费表'!B22&lt;=1,C39*F22*'数据-取费表'!B20/2,C39*(POWER((1+F22),'数据-取费表'!B20/2)-1)),0)</f>
        <v>15</v>
      </c>
      <c r="D43" s="235"/>
      <c r="E43" s="235"/>
      <c r="F43" s="236"/>
      <c r="G43" s="3710"/>
    </row>
    <row r="44" spans="1:7" ht="13.5" customHeight="1">
      <c r="A44" s="776" t="s">
        <v>348</v>
      </c>
      <c r="B44" s="212" t="s">
        <v>1546</v>
      </c>
      <c r="C44" s="235">
        <f ca="1">ROUND(IF('数据-取费表'!B22&lt;=1,C40*F22*'数据-取费表'!B20/2,C40*(POWER((1+F22),'数据-取费表'!B20/2)-1)),4)</f>
        <v>1.4E-3</v>
      </c>
      <c r="D44" s="235"/>
      <c r="E44" s="235"/>
      <c r="F44" s="236"/>
      <c r="G44" s="3711"/>
    </row>
    <row r="45" spans="1:7" s="211" customFormat="1" ht="13.5" customHeight="1">
      <c r="A45" s="252" t="s">
        <v>1547</v>
      </c>
      <c r="B45" s="241" t="s">
        <v>1513</v>
      </c>
      <c r="C45" s="242">
        <f ca="1">C46</f>
        <v>722</v>
      </c>
      <c r="D45" s="232">
        <f ca="1">C47</f>
        <v>2E-3</v>
      </c>
      <c r="E45" s="233" t="s">
        <v>1539</v>
      </c>
      <c r="F45" s="243">
        <f ca="1">F27</f>
        <v>0.1</v>
      </c>
      <c r="G45" s="244" t="s">
        <v>1548</v>
      </c>
    </row>
    <row r="46" spans="1:7" s="211" customFormat="1" ht="13.5" customHeight="1">
      <c r="A46" s="776" t="s">
        <v>346</v>
      </c>
      <c r="B46" s="245" t="s">
        <v>1549</v>
      </c>
      <c r="C46" s="246">
        <f ca="1">ROUND((C33+C39)*F27,0)</f>
        <v>722</v>
      </c>
      <c r="D46" s="260"/>
      <c r="E46" s="233"/>
      <c r="F46" s="243"/>
      <c r="G46" s="244"/>
    </row>
    <row r="47" spans="1:7" s="211" customFormat="1" ht="13.5" customHeight="1">
      <c r="A47" s="776" t="s">
        <v>347</v>
      </c>
      <c r="B47" s="245" t="s">
        <v>1550</v>
      </c>
      <c r="C47" s="235">
        <f ca="1">ROUND(C40*F27,4)</f>
        <v>2E-3</v>
      </c>
      <c r="D47" s="260"/>
      <c r="E47" s="233"/>
      <c r="F47" s="243"/>
      <c r="G47" s="244"/>
    </row>
    <row r="48" spans="1:7" s="211" customFormat="1" ht="13.5" customHeight="1">
      <c r="A48" s="252" t="s">
        <v>1512</v>
      </c>
      <c r="B48" s="207" t="s">
        <v>1551</v>
      </c>
      <c r="C48" s="3449">
        <f>ROUND((1/1.09*0.09-C40/1.06*0.06)*(1+'数据-取费表'!B44+'数据-取费表'!B45+'数据-取费表'!B46),4)</f>
        <v>8.9599999999999999E-2</v>
      </c>
      <c r="D48" s="229" t="s">
        <v>1539</v>
      </c>
      <c r="E48" s="3447">
        <f ca="1">ROUND(((C34+C36+C37)/1.09*0.09+(C35)/1.06*0.06)*(1+'数据-取费表'!B44+'数据-取费表'!B45+'数据-取费表'!B46),0)</f>
        <v>611</v>
      </c>
      <c r="F48" s="234">
        <f>F30</f>
        <v>5.5000000000000007E-2</v>
      </c>
      <c r="G48" s="231" t="s">
        <v>1552</v>
      </c>
    </row>
    <row r="49" spans="1:7" ht="16.5" customHeight="1">
      <c r="A49" s="252" t="s">
        <v>1518</v>
      </c>
      <c r="B49" s="207" t="s">
        <v>1592</v>
      </c>
      <c r="C49" s="3447">
        <f ca="1">ROUND((C33+C39+C41+C45-E48)/(1-C40-D41-D45-C48),0)</f>
        <v>8852</v>
      </c>
      <c r="D49" s="229"/>
      <c r="E49" s="229"/>
      <c r="F49" s="261"/>
      <c r="G49" s="231" t="s">
        <v>1554</v>
      </c>
    </row>
    <row r="50" spans="1:7" s="255" customFormat="1">
      <c r="A50" s="252" t="s">
        <v>1555</v>
      </c>
      <c r="B50" s="207" t="s">
        <v>1556</v>
      </c>
      <c r="C50" s="229"/>
      <c r="D50" s="229"/>
      <c r="E50" s="229"/>
      <c r="F50" s="261">
        <f>IF('数据-取费表'!B24=0,'数据-取费表'!N16,1)</f>
        <v>1</v>
      </c>
      <c r="G50" s="244"/>
    </row>
    <row r="51" spans="1:7" ht="16.5" customHeight="1">
      <c r="A51" s="252" t="s">
        <v>1558</v>
      </c>
      <c r="B51" s="207" t="s">
        <v>1593</v>
      </c>
      <c r="C51" s="229">
        <f ca="1">ROUND(C49*F50,0)</f>
        <v>8852</v>
      </c>
      <c r="D51" s="229"/>
      <c r="E51" s="229"/>
      <c r="F51" s="261"/>
      <c r="G51" s="231" t="s">
        <v>1560</v>
      </c>
    </row>
    <row r="52" spans="1:7" s="205" customFormat="1" ht="16.5" thickBot="1">
      <c r="A52" s="262" t="s">
        <v>1561</v>
      </c>
      <c r="B52" s="263"/>
      <c r="C52" s="264">
        <f ca="1">C31+C51</f>
        <v>29011</v>
      </c>
      <c r="D52" s="263"/>
      <c r="E52" s="263"/>
      <c r="F52" s="263"/>
      <c r="G52" s="265"/>
    </row>
    <row r="55" spans="1:7" ht="15">
      <c r="B55" s="267" t="s">
        <v>1562</v>
      </c>
      <c r="C55" s="268"/>
    </row>
    <row r="56" spans="1:7">
      <c r="B56" s="270" t="s">
        <v>802</v>
      </c>
      <c r="C56" s="272">
        <f ca="1">1-C57</f>
        <v>0.69500000000000006</v>
      </c>
    </row>
    <row r="57" spans="1:7">
      <c r="B57" s="270" t="s">
        <v>803</v>
      </c>
      <c r="C57" s="271">
        <f ca="1">ROUND(C51/C52,3)</f>
        <v>0.30499999999999999</v>
      </c>
    </row>
  </sheetData>
  <sheetProtection formatCells="0"/>
  <mergeCells count="1">
    <mergeCell ref="G42:G44"/>
  </mergeCells>
  <phoneticPr fontId="134"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4"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H44" sqref="H44"/>
    </sheetView>
  </sheetViews>
  <sheetFormatPr defaultColWidth="6.625" defaultRowHeight="12.75"/>
  <cols>
    <col min="1" max="1" width="9.875" style="724" customWidth="1"/>
    <col min="2" max="2" width="25.875" style="777" customWidth="1"/>
    <col min="3" max="3" width="10.375" style="819" customWidth="1"/>
    <col min="4" max="4" width="9.875" style="777" customWidth="1"/>
    <col min="5" max="5" width="9.5" style="724" customWidth="1"/>
    <col min="6" max="6" width="10.125" style="777" customWidth="1"/>
    <col min="7" max="7" width="10.875" style="777" customWidth="1"/>
    <col min="8" max="8" width="10" style="777" customWidth="1"/>
    <col min="9" max="11" width="9.5" style="777" customWidth="1"/>
    <col min="12" max="12" width="9" style="777" customWidth="1"/>
    <col min="13" max="13" width="10.5" style="777" bestFit="1" customWidth="1"/>
    <col min="14" max="254" width="9" style="777" customWidth="1"/>
    <col min="255" max="16384" width="6.625" style="777"/>
  </cols>
  <sheetData>
    <row r="1" spans="1:33" ht="20.25">
      <c r="A1" s="193" t="s">
        <v>1594</v>
      </c>
      <c r="B1" s="1187"/>
      <c r="C1" s="1188"/>
      <c r="D1" s="1186"/>
      <c r="E1" s="2798"/>
      <c r="F1" s="2798"/>
      <c r="G1" s="2663"/>
      <c r="H1" s="2798"/>
      <c r="I1" s="2798"/>
      <c r="J1" s="2798"/>
      <c r="K1" s="2799">
        <f>MATCH(C1,'数据-取费表'!A6:A16,0)+5</f>
        <v>7</v>
      </c>
    </row>
    <row r="2" spans="1:33" ht="18" customHeight="1">
      <c r="A2" s="198" t="s">
        <v>1462</v>
      </c>
      <c r="B2" s="201">
        <f ca="1">C32</f>
        <v>0</v>
      </c>
      <c r="C2" s="273" t="s">
        <v>1595</v>
      </c>
      <c r="D2" s="273"/>
      <c r="E2" s="2798"/>
      <c r="F2" s="2798"/>
      <c r="G2" s="2798"/>
      <c r="H2" s="2798"/>
      <c r="I2" s="2798"/>
      <c r="J2" s="2798"/>
      <c r="K2" s="2798"/>
    </row>
    <row r="3" spans="1:33" ht="18" customHeight="1" thickBot="1">
      <c r="A3" s="200" t="s">
        <v>1464</v>
      </c>
      <c r="B3" s="201">
        <f ca="1">ROUND(B2*10000/IF(C1="",'数据-汇总表'!E3,INDIRECT("'数据-取费表'!K"&amp;$K$1)),0)</f>
        <v>0</v>
      </c>
      <c r="C3" s="273" t="s">
        <v>1596</v>
      </c>
      <c r="D3" s="273"/>
      <c r="E3" s="2798"/>
      <c r="F3" s="2798"/>
      <c r="G3" s="2798"/>
      <c r="H3" s="2798"/>
      <c r="I3" s="2798"/>
      <c r="J3" s="2798"/>
      <c r="K3" s="2798"/>
    </row>
    <row r="4" spans="1:33" s="781" customFormat="1" ht="16.5" customHeight="1">
      <c r="A4" s="778" t="s">
        <v>1597</v>
      </c>
      <c r="B4" s="779"/>
      <c r="C4" s="820">
        <f>SUM(C8:K8)</f>
        <v>0</v>
      </c>
      <c r="D4" s="779"/>
      <c r="E4" s="779"/>
      <c r="F4" s="779"/>
      <c r="G4" s="779"/>
      <c r="H4" s="779"/>
      <c r="I4" s="779"/>
      <c r="J4" s="779"/>
      <c r="K4" s="780"/>
    </row>
    <row r="5" spans="1:33" s="785" customFormat="1" ht="15">
      <c r="A5" s="782" t="s">
        <v>1598</v>
      </c>
      <c r="B5" s="783" t="s">
        <v>1599</v>
      </c>
      <c r="C5" s="1856"/>
      <c r="D5" s="1856"/>
      <c r="E5" s="1856"/>
      <c r="F5" s="1856"/>
      <c r="G5" s="1856"/>
      <c r="H5" s="1856"/>
      <c r="I5" s="1856"/>
      <c r="J5" s="1856"/>
      <c r="K5" s="1856"/>
      <c r="L5" s="784"/>
      <c r="M5" s="784"/>
      <c r="N5" s="784"/>
      <c r="O5" s="784"/>
      <c r="P5" s="784"/>
      <c r="Q5" s="784"/>
      <c r="R5" s="784"/>
      <c r="S5" s="784"/>
      <c r="T5" s="784"/>
      <c r="U5" s="784"/>
      <c r="V5" s="784"/>
      <c r="W5" s="784"/>
      <c r="X5" s="784"/>
      <c r="Y5" s="784"/>
      <c r="Z5" s="784"/>
      <c r="AA5" s="784"/>
      <c r="AB5" s="784"/>
      <c r="AC5" s="784"/>
      <c r="AD5" s="784"/>
      <c r="AE5" s="784"/>
      <c r="AF5" s="784"/>
      <c r="AG5" s="784"/>
    </row>
    <row r="6" spans="1:33" s="790" customFormat="1" ht="13.5" customHeight="1">
      <c r="A6" s="786" t="s">
        <v>357</v>
      </c>
      <c r="B6" s="129" t="s">
        <v>1600</v>
      </c>
      <c r="C6" s="787"/>
      <c r="D6" s="787"/>
      <c r="E6" s="787"/>
      <c r="F6" s="787"/>
      <c r="G6" s="787"/>
      <c r="H6" s="787"/>
      <c r="I6" s="787"/>
      <c r="J6" s="787"/>
      <c r="K6" s="788"/>
      <c r="L6" s="789"/>
      <c r="M6" s="789"/>
      <c r="N6" s="789"/>
      <c r="O6" s="789"/>
      <c r="P6" s="789"/>
      <c r="Q6" s="789"/>
      <c r="R6" s="789"/>
      <c r="S6" s="789"/>
      <c r="T6" s="789"/>
      <c r="U6" s="789"/>
      <c r="V6" s="789"/>
      <c r="W6" s="789"/>
      <c r="X6" s="789"/>
      <c r="Y6" s="789"/>
      <c r="Z6" s="789"/>
      <c r="AA6" s="789"/>
      <c r="AB6" s="789"/>
      <c r="AC6" s="789"/>
      <c r="AD6" s="789"/>
      <c r="AE6" s="789"/>
      <c r="AF6" s="789"/>
      <c r="AG6" s="789"/>
    </row>
    <row r="7" spans="1:33" s="790" customFormat="1" ht="13.5" customHeight="1">
      <c r="A7" s="786" t="s">
        <v>1601</v>
      </c>
      <c r="B7" s="129" t="s">
        <v>1602</v>
      </c>
      <c r="C7" s="274">
        <f>SUMIF('数据-汇总表'!$C19:$C33,假设开发法!C5,'数据-汇总表'!$E19:$E33)</f>
        <v>0</v>
      </c>
      <c r="D7" s="274">
        <f>SUMIF('数据-汇总表'!$C19:$C33,假设开发法!D5,'数据-汇总表'!$E19:$E33)</f>
        <v>0</v>
      </c>
      <c r="E7" s="274">
        <f>SUMIF('数据-汇总表'!$C19:$C33,假设开发法!E5,'数据-汇总表'!$E19:$E33)</f>
        <v>0</v>
      </c>
      <c r="F7" s="274">
        <f>SUMIF('数据-汇总表'!$C19:$C33,假设开发法!F5,'数据-汇总表'!$E19:$E33)</f>
        <v>0</v>
      </c>
      <c r="G7" s="274">
        <f>SUMIF('数据-汇总表'!$C19:$C33,假设开发法!G5,'数据-汇总表'!$E19:$E33)</f>
        <v>0</v>
      </c>
      <c r="H7" s="274">
        <f>SUMIF('数据-汇总表'!$C19:$C33,假设开发法!H5,'数据-汇总表'!$E19:$E33)</f>
        <v>0</v>
      </c>
      <c r="I7" s="274">
        <f>SUMIF('数据-汇总表'!$C19:$C33,假设开发法!I5,'数据-汇总表'!$E19:$E33)</f>
        <v>0</v>
      </c>
      <c r="J7" s="274">
        <f>SUMIF('数据-汇总表'!$C19:$C33,假设开发法!J5,'数据-汇总表'!$E19:$E33)</f>
        <v>0</v>
      </c>
      <c r="K7" s="275">
        <f>SUMIF('数据-汇总表'!$C19:$C33,假设开发法!K5,'数据-汇总表'!$E19:$E33)</f>
        <v>0</v>
      </c>
      <c r="L7" s="789"/>
      <c r="M7" s="789"/>
      <c r="N7" s="789"/>
      <c r="O7" s="789"/>
      <c r="P7" s="789"/>
      <c r="Q7" s="789"/>
      <c r="R7" s="789"/>
      <c r="S7" s="789"/>
      <c r="T7" s="789"/>
      <c r="U7" s="789"/>
      <c r="V7" s="789"/>
      <c r="W7" s="789"/>
      <c r="X7" s="789"/>
      <c r="Y7" s="789"/>
      <c r="Z7" s="789"/>
      <c r="AA7" s="789"/>
      <c r="AB7" s="789"/>
      <c r="AC7" s="789"/>
      <c r="AD7" s="789"/>
      <c r="AE7" s="789"/>
      <c r="AF7" s="789"/>
      <c r="AG7" s="789"/>
    </row>
    <row r="8" spans="1:33" s="790" customFormat="1" ht="13.5" customHeight="1" thickBot="1">
      <c r="A8" s="1857" t="s">
        <v>1603</v>
      </c>
      <c r="B8" s="161" t="s">
        <v>1604</v>
      </c>
      <c r="C8" s="821"/>
      <c r="D8" s="821"/>
      <c r="E8" s="821"/>
      <c r="F8" s="822"/>
      <c r="G8" s="822"/>
      <c r="H8" s="822"/>
      <c r="I8" s="822"/>
      <c r="J8" s="822"/>
      <c r="K8" s="823"/>
      <c r="L8" s="789"/>
      <c r="M8" s="789"/>
      <c r="N8" s="789"/>
      <c r="O8" s="789"/>
      <c r="P8" s="789"/>
      <c r="Q8" s="789"/>
      <c r="R8" s="789"/>
      <c r="S8" s="789"/>
      <c r="T8" s="789"/>
      <c r="U8" s="789"/>
      <c r="V8" s="789"/>
      <c r="W8" s="789"/>
      <c r="X8" s="789"/>
      <c r="Y8" s="789"/>
      <c r="Z8" s="789"/>
      <c r="AA8" s="789"/>
      <c r="AB8" s="789"/>
      <c r="AC8" s="789"/>
      <c r="AD8" s="789"/>
      <c r="AE8" s="789"/>
      <c r="AF8" s="789"/>
      <c r="AG8" s="789"/>
    </row>
    <row r="9" spans="1:33" s="781" customFormat="1" ht="16.5" customHeight="1">
      <c r="A9" s="778" t="s">
        <v>1605</v>
      </c>
      <c r="B9" s="779"/>
      <c r="C9" s="779"/>
      <c r="D9" s="779"/>
      <c r="E9" s="779"/>
      <c r="F9" s="779"/>
      <c r="G9" s="779"/>
      <c r="H9" s="779"/>
      <c r="I9" s="779"/>
      <c r="J9" s="779"/>
      <c r="K9" s="780"/>
    </row>
    <row r="10" spans="1:33" s="795" customFormat="1" ht="13.5" customHeight="1">
      <c r="A10" s="782" t="s">
        <v>1606</v>
      </c>
      <c r="B10" s="5" t="s">
        <v>1607</v>
      </c>
      <c r="C10" s="791" t="s">
        <v>1608</v>
      </c>
      <c r="D10" s="792" t="s">
        <v>1609</v>
      </c>
      <c r="E10" s="792" t="s">
        <v>1610</v>
      </c>
      <c r="F10" s="792" t="s">
        <v>1611</v>
      </c>
      <c r="G10" s="5"/>
      <c r="H10" s="793"/>
      <c r="I10" s="793"/>
      <c r="J10" s="793"/>
      <c r="K10" s="794"/>
    </row>
    <row r="11" spans="1:33" s="799" customFormat="1" ht="13.5" customHeight="1">
      <c r="A11" s="796" t="s">
        <v>635</v>
      </c>
      <c r="B11" s="797" t="s">
        <v>1612</v>
      </c>
      <c r="C11" s="276">
        <f ca="1">IF(C1="",'数据-取费表'!P16,INDIRECT("'数据-取费表'!p"&amp;$K$1)+INDIRECT("'数据-取费表'!ar"&amp;$K$1))</f>
        <v>0</v>
      </c>
      <c r="D11" s="798"/>
      <c r="E11" s="326"/>
      <c r="F11" s="808">
        <f ca="1">1-IF('数据-取费表'!B24=0,1,IF(C1="",'数据-取费表'!N16,INDIRECT("'数据-取费表'!n"&amp;$K$1)))</f>
        <v>0</v>
      </c>
      <c r="G11" s="5"/>
      <c r="H11" s="793"/>
      <c r="I11" s="793"/>
      <c r="J11" s="793"/>
      <c r="K11" s="794"/>
    </row>
    <row r="12" spans="1:33" s="799" customFormat="1" ht="13.5" customHeight="1">
      <c r="A12" s="796" t="s">
        <v>636</v>
      </c>
      <c r="B12" s="797" t="s">
        <v>1613</v>
      </c>
      <c r="C12" s="21">
        <f ca="1">ROUND(C11*F12,0)</f>
        <v>0</v>
      </c>
      <c r="D12" s="798"/>
      <c r="E12" s="326"/>
      <c r="F12" s="808">
        <f>'数据-取费表'!B33</f>
        <v>0.06</v>
      </c>
      <c r="G12" s="5" t="s">
        <v>1614</v>
      </c>
      <c r="H12" s="793"/>
      <c r="I12" s="793"/>
      <c r="J12" s="793"/>
      <c r="K12" s="794"/>
    </row>
    <row r="13" spans="1:33" s="799" customFormat="1" ht="13.5" customHeight="1">
      <c r="A13" s="796" t="s">
        <v>637</v>
      </c>
      <c r="B13" s="797" t="s">
        <v>1615</v>
      </c>
      <c r="C13" s="21">
        <f ca="1">ROUND(IF(C1="",SUMIF('数据-取费表'!C:C,"住宅",'数据-取费表'!P:P)*F13,IF(INDIRECT("'数据-取费表'!c"&amp;$K$1)="住宅",INDIRECT("'数据-取费表'!P"&amp;$K$1)*F13,0)),0)</f>
        <v>0</v>
      </c>
      <c r="D13" s="842"/>
      <c r="E13" s="326"/>
      <c r="F13" s="808">
        <f>'数据-取费表'!B34</f>
        <v>0.06</v>
      </c>
      <c r="G13" s="5" t="s">
        <v>1616</v>
      </c>
      <c r="H13" s="793"/>
      <c r="I13" s="793"/>
      <c r="J13" s="793"/>
      <c r="K13" s="794"/>
    </row>
    <row r="14" spans="1:33" s="801" customFormat="1" ht="13.5" customHeight="1">
      <c r="A14" s="796" t="s">
        <v>638</v>
      </c>
      <c r="B14" s="797" t="s">
        <v>1617</v>
      </c>
      <c r="C14" s="21">
        <f ca="1">ROUND(D14*E14*F11/10000,0)</f>
        <v>0</v>
      </c>
      <c r="D14" s="842">
        <f ca="1">IF(C1="",'数据-汇总表'!E3,INDIRECT("'数据-取费表'!K"&amp;$K$1)+INDIRECT("'数据-取费表'!S"&amp;$K$1))</f>
        <v>1</v>
      </c>
      <c r="E14" s="21">
        <f>'数据-取费表'!B35</f>
        <v>456</v>
      </c>
      <c r="F14" s="800"/>
      <c r="G14" s="5" t="s">
        <v>1618</v>
      </c>
      <c r="H14" s="793"/>
      <c r="I14" s="793"/>
      <c r="J14" s="793"/>
      <c r="K14" s="794"/>
      <c r="L14" s="799"/>
      <c r="M14" s="799"/>
      <c r="N14" s="799"/>
      <c r="O14" s="799"/>
      <c r="P14" s="799"/>
      <c r="Q14" s="799"/>
      <c r="R14" s="799"/>
      <c r="S14" s="799"/>
      <c r="T14" s="799"/>
      <c r="U14" s="799"/>
      <c r="V14" s="799"/>
      <c r="W14" s="799"/>
      <c r="X14" s="799"/>
      <c r="Y14" s="799"/>
      <c r="Z14" s="799"/>
      <c r="AA14" s="799"/>
      <c r="AB14" s="799"/>
      <c r="AC14" s="799"/>
      <c r="AD14" s="799"/>
      <c r="AE14" s="799"/>
      <c r="AF14" s="799"/>
      <c r="AG14" s="799"/>
    </row>
    <row r="15" spans="1:33" s="801" customFormat="1" ht="13.5" customHeight="1">
      <c r="A15" s="796" t="s">
        <v>639</v>
      </c>
      <c r="B15" s="797" t="s">
        <v>1619</v>
      </c>
      <c r="C15" s="807">
        <f ca="1">ROUND(C11*F15,0)</f>
        <v>0</v>
      </c>
      <c r="D15" s="802"/>
      <c r="E15" s="807"/>
      <c r="F15" s="808">
        <f>'数据-取费表'!B36</f>
        <v>0.03</v>
      </c>
      <c r="G15" s="129" t="s">
        <v>1620</v>
      </c>
      <c r="H15" s="803"/>
      <c r="I15" s="803"/>
      <c r="J15" s="803"/>
      <c r="K15" s="804"/>
      <c r="L15" s="799"/>
      <c r="M15" s="799"/>
      <c r="N15" s="799"/>
      <c r="O15" s="799"/>
      <c r="P15" s="799"/>
      <c r="Q15" s="799"/>
      <c r="R15" s="799"/>
      <c r="S15" s="799"/>
      <c r="T15" s="799"/>
      <c r="U15" s="799"/>
      <c r="V15" s="799"/>
      <c r="W15" s="799"/>
      <c r="X15" s="799"/>
      <c r="Y15" s="799"/>
      <c r="Z15" s="799"/>
      <c r="AA15" s="799"/>
      <c r="AB15" s="799"/>
      <c r="AC15" s="799"/>
      <c r="AD15" s="799"/>
      <c r="AE15" s="799"/>
      <c r="AF15" s="799"/>
      <c r="AG15" s="799"/>
    </row>
    <row r="16" spans="1:33" s="801" customFormat="1" ht="13.5" customHeight="1">
      <c r="A16" s="796" t="s">
        <v>358</v>
      </c>
      <c r="B16" s="797" t="s">
        <v>1621</v>
      </c>
      <c r="C16" s="807">
        <f ca="1">SUM(C11:C15)</f>
        <v>0</v>
      </c>
      <c r="D16" s="802"/>
      <c r="E16" s="807"/>
      <c r="F16" s="808"/>
      <c r="G16" s="129"/>
      <c r="H16" s="1184"/>
      <c r="I16" s="803"/>
      <c r="J16" s="803"/>
      <c r="K16" s="804"/>
      <c r="L16" s="799"/>
      <c r="M16" s="799"/>
      <c r="N16" s="799"/>
      <c r="O16" s="799"/>
      <c r="P16" s="799"/>
      <c r="Q16" s="799"/>
      <c r="R16" s="799"/>
      <c r="S16" s="799"/>
      <c r="T16" s="799"/>
      <c r="U16" s="799"/>
      <c r="V16" s="799"/>
      <c r="W16" s="799"/>
      <c r="X16" s="799"/>
      <c r="Y16" s="799"/>
      <c r="Z16" s="799"/>
      <c r="AA16" s="799"/>
      <c r="AB16" s="799"/>
      <c r="AC16" s="799"/>
      <c r="AD16" s="799"/>
      <c r="AE16" s="799"/>
      <c r="AF16" s="799"/>
      <c r="AG16" s="799"/>
    </row>
    <row r="17" spans="1:33" s="801" customFormat="1" ht="13.5" customHeight="1">
      <c r="A17" s="796" t="s">
        <v>359</v>
      </c>
      <c r="B17" s="797" t="s">
        <v>1622</v>
      </c>
      <c r="C17" s="21">
        <f ca="1">ROUND(D17*E17/10000,0)</f>
        <v>0</v>
      </c>
      <c r="D17" s="842">
        <f ca="1">D14</f>
        <v>1</v>
      </c>
      <c r="E17" s="21">
        <f>'数据-取费表'!B32</f>
        <v>0</v>
      </c>
      <c r="F17" s="802"/>
      <c r="G17" s="129" t="s">
        <v>1623</v>
      </c>
      <c r="H17" s="1184"/>
      <c r="I17" s="803"/>
      <c r="J17" s="803"/>
      <c r="K17" s="804"/>
      <c r="L17" s="799"/>
      <c r="M17" s="799"/>
      <c r="N17" s="799"/>
      <c r="O17" s="799"/>
      <c r="P17" s="799"/>
      <c r="Q17" s="799"/>
      <c r="R17" s="799"/>
      <c r="S17" s="799"/>
      <c r="T17" s="799"/>
      <c r="U17" s="799"/>
      <c r="V17" s="799"/>
      <c r="W17" s="799"/>
      <c r="X17" s="799"/>
      <c r="Y17" s="799"/>
      <c r="Z17" s="799"/>
      <c r="AA17" s="799"/>
      <c r="AB17" s="799"/>
      <c r="AC17" s="799"/>
      <c r="AD17" s="799"/>
      <c r="AE17" s="799"/>
      <c r="AF17" s="799"/>
      <c r="AG17" s="799"/>
    </row>
    <row r="18" spans="1:33" s="799" customFormat="1" ht="13.5" customHeight="1">
      <c r="A18" s="796" t="s">
        <v>640</v>
      </c>
      <c r="B18" s="797" t="s">
        <v>1624</v>
      </c>
      <c r="C18" s="21">
        <f ca="1">C19+C20-IF(C1="",'数据-取费表'!B29,IF(G18="已全部缴纳",C19+C20,H18))</f>
        <v>0</v>
      </c>
      <c r="D18" s="842"/>
      <c r="E18" s="21"/>
      <c r="F18" s="800"/>
      <c r="G18" s="1858"/>
      <c r="H18" s="1183"/>
      <c r="I18" s="1859" t="s">
        <v>1625</v>
      </c>
      <c r="J18" s="803"/>
      <c r="K18" s="804"/>
    </row>
    <row r="19" spans="1:33" s="799" customFormat="1" ht="13.5" customHeight="1">
      <c r="A19" s="796" t="s">
        <v>360</v>
      </c>
      <c r="B19" s="797" t="s">
        <v>1626</v>
      </c>
      <c r="C19" s="21">
        <f ca="1">ROUND(D19*E19/10000,0)</f>
        <v>0</v>
      </c>
      <c r="D19" s="842">
        <f ca="1">IF(C1="",'数据-汇总表'!E5,IF(INDIRECT("'数据-取费表'!c"&amp;$K$1)="住宅",INDIRECT("'数据-取费表'!k"&amp;$K$1),0))</f>
        <v>1</v>
      </c>
      <c r="E19" s="21">
        <f>'数据-取费表'!B27</f>
        <v>160</v>
      </c>
      <c r="F19" s="800"/>
      <c r="G19" s="12"/>
      <c r="H19" s="1185"/>
      <c r="I19" s="805"/>
      <c r="J19" s="805"/>
      <c r="K19" s="806"/>
    </row>
    <row r="20" spans="1:33" s="799" customFormat="1" ht="13.5" customHeight="1">
      <c r="A20" s="796" t="s">
        <v>361</v>
      </c>
      <c r="B20" s="797" t="s">
        <v>1627</v>
      </c>
      <c r="C20" s="21">
        <f ca="1">ROUND(D20*E20/10000,0)</f>
        <v>0</v>
      </c>
      <c r="D20" s="842">
        <f ca="1">IF(C1="",'数据-汇总表'!E6,IF(INDIRECT("'数据-取费表'!c"&amp;$K$1)="住宅",INDIRECT("'数据-取费表'!s"&amp;$K$1),INDIRECT("'数据-取费表'!k"&amp;$K$1)+INDIRECT("'数据-取费表'!s"&amp;$K$1)))</f>
        <v>0</v>
      </c>
      <c r="E20" s="21">
        <f>'数据-取费表'!B28</f>
        <v>0</v>
      </c>
      <c r="F20" s="800"/>
      <c r="G20" s="12"/>
      <c r="H20" s="805"/>
      <c r="I20" s="805"/>
      <c r="J20" s="805"/>
      <c r="K20" s="806"/>
    </row>
    <row r="21" spans="1:33" s="799" customFormat="1" ht="13.5" customHeight="1">
      <c r="A21" s="786" t="s">
        <v>357</v>
      </c>
      <c r="B21" s="809" t="s">
        <v>1628</v>
      </c>
      <c r="C21" s="810">
        <f ca="1">C16+C17+C18</f>
        <v>0</v>
      </c>
      <c r="D21" s="811"/>
      <c r="E21" s="278"/>
      <c r="F21" s="278"/>
      <c r="G21" s="129" t="s">
        <v>1629</v>
      </c>
      <c r="H21" s="803"/>
      <c r="I21" s="803"/>
      <c r="J21" s="803"/>
      <c r="K21" s="804"/>
    </row>
    <row r="22" spans="1:33" s="799" customFormat="1" ht="13.5" customHeight="1">
      <c r="A22" s="786" t="s">
        <v>1601</v>
      </c>
      <c r="B22" s="809" t="s">
        <v>1630</v>
      </c>
      <c r="C22" s="810">
        <f ca="1">ROUND(C21*F22,0)</f>
        <v>0</v>
      </c>
      <c r="D22" s="278"/>
      <c r="E22" s="278"/>
      <c r="F22" s="812">
        <f>'数据-取费表'!B37</f>
        <v>0.03</v>
      </c>
      <c r="G22" s="5" t="s">
        <v>1631</v>
      </c>
      <c r="H22" s="793"/>
      <c r="I22" s="793"/>
      <c r="J22" s="793"/>
      <c r="K22" s="794"/>
    </row>
    <row r="23" spans="1:33" s="799" customFormat="1" ht="13.5" customHeight="1">
      <c r="A23" s="786" t="s">
        <v>1603</v>
      </c>
      <c r="B23" s="809" t="s">
        <v>1632</v>
      </c>
      <c r="C23" s="810">
        <f ca="1">ROUND(C4*F23*F11,0)</f>
        <v>0</v>
      </c>
      <c r="D23" s="278"/>
      <c r="E23" s="278"/>
      <c r="F23" s="812">
        <f>'数据-取费表'!B38</f>
        <v>0.02</v>
      </c>
      <c r="G23" s="5" t="s">
        <v>1633</v>
      </c>
      <c r="H23" s="793"/>
      <c r="I23" s="793"/>
      <c r="J23" s="793"/>
      <c r="K23" s="794"/>
    </row>
    <row r="24" spans="1:33" s="799" customFormat="1" ht="13.5" customHeight="1">
      <c r="A24" s="786" t="s">
        <v>1634</v>
      </c>
      <c r="B24" s="809" t="s">
        <v>1635</v>
      </c>
      <c r="C24" s="277">
        <f>ROUND(F24/(1+'数据-取费表'!C42),4)</f>
        <v>0</v>
      </c>
      <c r="D24" s="278" t="s">
        <v>12</v>
      </c>
      <c r="E24" s="278"/>
      <c r="F24" s="812">
        <f>IF(项目基本情况!B8="出让",0,'数据-取费表'!B48+'数据-取费表'!B49)</f>
        <v>0</v>
      </c>
      <c r="G24" s="5" t="s">
        <v>1636</v>
      </c>
      <c r="H24" s="814"/>
      <c r="I24" s="814"/>
      <c r="J24" s="814"/>
      <c r="K24" s="815"/>
    </row>
    <row r="25" spans="1:33" s="799" customFormat="1" ht="13.5" customHeight="1">
      <c r="A25" s="786" t="s">
        <v>1637</v>
      </c>
      <c r="B25" s="811" t="s">
        <v>1638</v>
      </c>
      <c r="C25" s="1102">
        <f ca="1">C27</f>
        <v>0</v>
      </c>
      <c r="D25" s="277">
        <f ca="1">C26</f>
        <v>0</v>
      </c>
      <c r="E25" s="279" t="s">
        <v>12</v>
      </c>
      <c r="F25" s="280">
        <f ca="1">'数据-取费表'!B40</f>
        <v>4.7500000000000001E-2</v>
      </c>
      <c r="G25" s="129" t="str">
        <f>IF('数据-取费表'!B22&lt;=1,"单利计息。","复利计息。")&amp;"后续开发成本、管理费用及销售费用产生的利息。"</f>
        <v>复利计息。后续开发成本、管理费用及销售费用产生的利息。</v>
      </c>
      <c r="H25" s="814"/>
      <c r="I25" s="814"/>
      <c r="J25" s="814"/>
      <c r="K25" s="815"/>
    </row>
    <row r="26" spans="1:33" s="817" customFormat="1" ht="13.5" customHeight="1">
      <c r="A26" s="796" t="s">
        <v>358</v>
      </c>
      <c r="B26" s="816" t="s">
        <v>1639</v>
      </c>
      <c r="C26" s="1103">
        <f ca="1">ROUND(IF('数据-取费表'!B22&lt;=1,(1+C24)*F25*'数据-取费表'!B24,(1+C24)*(POWER((1+F25),'数据-取费表'!B24)-1)),4)</f>
        <v>0</v>
      </c>
      <c r="D26" s="281"/>
      <c r="E26" s="282"/>
      <c r="F26" s="283"/>
      <c r="G26" s="1860" t="str">
        <f>IF('数据-取费表'!B22&lt;=1,"（(1)+取得税费率/(1+5%)）×年利率×建设期","（(1)+取得税费率）/(1+5%)×((1+年利率)^建设期-1)")</f>
        <v>（(1)+取得税费率）/(1+5%)×((1+年利率)^建设期-1)</v>
      </c>
      <c r="H26" s="803"/>
      <c r="I26" s="803"/>
      <c r="J26" s="803"/>
      <c r="K26" s="804"/>
    </row>
    <row r="27" spans="1:33" s="817" customFormat="1" ht="13.5" customHeight="1">
      <c r="A27" s="796" t="s">
        <v>359</v>
      </c>
      <c r="B27" s="816" t="s">
        <v>1640</v>
      </c>
      <c r="C27" s="1104">
        <f ca="1">ROUND(IF('数据-取费表'!B22&lt;=1,(C21+C22+C23)*F25*'数据-取费表'!B24/2,(C21+C22+C23)*(POWER((1+F25),'数据-取费表'!B24/2)-1)),0)</f>
        <v>0</v>
      </c>
      <c r="D27" s="281"/>
      <c r="E27" s="282"/>
      <c r="F27" s="283"/>
      <c r="G27" s="1860" t="str">
        <f>IF('数据-取费表'!B22&lt;=1,"（1）-（3）项×年利率×建设期÷2","（1）-（3）项×((1+年利率)^(建设期÷2)-1)")</f>
        <v>（1）-（3）项×((1+年利率)^(建设期÷2)-1)</v>
      </c>
      <c r="H27" s="803"/>
      <c r="I27" s="803"/>
      <c r="J27" s="803"/>
      <c r="K27" s="804"/>
    </row>
    <row r="28" spans="1:33" s="286" customFormat="1" ht="13.5" customHeight="1">
      <c r="A28" s="786" t="s">
        <v>1641</v>
      </c>
      <c r="B28" s="1861" t="s">
        <v>1642</v>
      </c>
      <c r="C28" s="284">
        <f ca="1">C30</f>
        <v>0</v>
      </c>
      <c r="D28" s="277">
        <f ca="1">C29</f>
        <v>0</v>
      </c>
      <c r="E28" s="279" t="s">
        <v>12</v>
      </c>
      <c r="F28" s="285">
        <f ca="1">IF(C1="",'数据-取费表'!Q16,INDIRECT("'数据-取费表'!q"&amp;$K$1))</f>
        <v>0.1</v>
      </c>
      <c r="G28" s="813"/>
      <c r="H28" s="814"/>
      <c r="I28" s="814"/>
      <c r="J28" s="814"/>
      <c r="K28" s="815"/>
    </row>
    <row r="29" spans="1:33" s="288" customFormat="1" ht="13.5" customHeight="1">
      <c r="A29" s="796" t="s">
        <v>358</v>
      </c>
      <c r="B29" s="818" t="s">
        <v>1643</v>
      </c>
      <c r="C29" s="281">
        <f ca="1">ROUND((1+C24)*F28*'数据-取费表'!B24/'数据-取费表'!B20,4)</f>
        <v>0</v>
      </c>
      <c r="D29" s="281"/>
      <c r="E29" s="282"/>
      <c r="F29" s="287"/>
      <c r="G29" s="129" t="s">
        <v>1644</v>
      </c>
      <c r="H29" s="803"/>
      <c r="I29" s="803"/>
      <c r="J29" s="803"/>
      <c r="K29" s="804"/>
    </row>
    <row r="30" spans="1:33" s="288" customFormat="1" ht="13.5" customHeight="1">
      <c r="A30" s="796" t="s">
        <v>359</v>
      </c>
      <c r="B30" s="818" t="s">
        <v>1645</v>
      </c>
      <c r="C30" s="289">
        <f ca="1">ROUND((C21+C22+C23)*F28,0)</f>
        <v>0</v>
      </c>
      <c r="D30" s="281"/>
      <c r="E30" s="282"/>
      <c r="F30" s="287"/>
      <c r="G30" s="129"/>
      <c r="H30" s="803"/>
      <c r="I30" s="803"/>
      <c r="J30" s="803"/>
      <c r="K30" s="804"/>
    </row>
    <row r="31" spans="1:33" s="799" customFormat="1" ht="13.5" customHeight="1" thickBot="1">
      <c r="A31" s="1862" t="s">
        <v>1646</v>
      </c>
      <c r="B31" s="829" t="s">
        <v>1647</v>
      </c>
      <c r="C31" s="830">
        <f>ROUND(C4*F31/(1+'数据-取费表'!C42),0)</f>
        <v>0</v>
      </c>
      <c r="D31" s="831"/>
      <c r="E31" s="832"/>
      <c r="F31" s="833">
        <f>'数据-取费表'!B41</f>
        <v>5.5000000000000007E-2</v>
      </c>
      <c r="G31" s="834" t="s">
        <v>1648</v>
      </c>
      <c r="H31" s="835"/>
      <c r="I31" s="835"/>
      <c r="J31" s="835"/>
      <c r="K31" s="836"/>
    </row>
    <row r="32" spans="1:33" s="795" customFormat="1" ht="13.5" customHeight="1" thickBot="1">
      <c r="A32" s="824" t="s">
        <v>1649</v>
      </c>
      <c r="B32" s="825"/>
      <c r="C32" s="826">
        <f ca="1">ROUND((C4-C21-C22-C23-C25-C28-C31)/(1+C24+D25+D28),0)</f>
        <v>0</v>
      </c>
      <c r="D32" s="825"/>
      <c r="E32" s="825"/>
      <c r="F32" s="825"/>
      <c r="G32" s="827" t="s">
        <v>1650</v>
      </c>
      <c r="H32" s="825"/>
      <c r="I32" s="825"/>
      <c r="J32" s="825"/>
      <c r="K32" s="828"/>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6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topLeftCell="A10" zoomScale="70" zoomScaleNormal="70" zoomScaleSheetLayoutView="70" workbookViewId="0">
      <selection activeCell="C1" sqref="C1"/>
    </sheetView>
  </sheetViews>
  <sheetFormatPr defaultColWidth="9" defaultRowHeight="12.75"/>
  <cols>
    <col min="1" max="1" width="9" style="255" customWidth="1"/>
    <col min="2" max="2" width="20.625" style="652" customWidth="1"/>
    <col min="3" max="3" width="11.875" style="652" customWidth="1"/>
    <col min="4" max="4" width="40.5" style="255" customWidth="1"/>
    <col min="5" max="5" width="15.875" style="255" customWidth="1"/>
    <col min="6" max="6" width="10.625" style="255" customWidth="1"/>
    <col min="7" max="7" width="4.875" style="255" customWidth="1"/>
    <col min="8" max="8" width="8.5" style="255" customWidth="1"/>
    <col min="9" max="9" width="21.125" style="255" customWidth="1"/>
    <col min="10" max="10" width="12.125" style="255" customWidth="1"/>
    <col min="11" max="11" width="45.125" style="1464" customWidth="1"/>
    <col min="12" max="12" width="16.375" style="255" customWidth="1"/>
    <col min="13" max="13" width="13" style="255" customWidth="1"/>
    <col min="14" max="14" width="13.875" style="1380" customWidth="1"/>
    <col min="15" max="15" width="5.125" style="1380" customWidth="1"/>
    <col min="16" max="16" width="25.875" style="1380" customWidth="1"/>
    <col min="17" max="17" width="13.875" style="1380" customWidth="1"/>
    <col min="18" max="18" width="20.5" style="1380" customWidth="1"/>
    <col min="19" max="19" width="13.125" style="1380" customWidth="1"/>
    <col min="20" max="37" width="9" style="1380"/>
    <col min="38" max="16384" width="9" style="255"/>
  </cols>
  <sheetData>
    <row r="1" spans="1:37" s="290" customFormat="1" ht="21">
      <c r="A1" s="1371" t="s">
        <v>877</v>
      </c>
      <c r="B1" s="709"/>
      <c r="C1" s="1375"/>
      <c r="D1" s="1358" t="s">
        <v>43</v>
      </c>
      <c r="E1" s="1359" t="s">
        <v>678</v>
      </c>
      <c r="F1" s="1058">
        <f ca="1">J53</f>
        <v>0</v>
      </c>
      <c r="G1" s="1374">
        <f>MATCH(C1,'数据-取费表'!A6:A16,0)+5</f>
        <v>7</v>
      </c>
      <c r="H1" s="2684"/>
      <c r="I1" s="2685"/>
      <c r="J1" s="2685"/>
      <c r="K1" s="2686"/>
      <c r="L1" s="2685"/>
      <c r="M1" s="2685"/>
      <c r="N1" s="720"/>
      <c r="O1" s="720"/>
      <c r="P1" s="720"/>
      <c r="Q1" s="720"/>
      <c r="R1" s="720"/>
      <c r="S1" s="720"/>
      <c r="T1" s="720"/>
      <c r="U1" s="720"/>
      <c r="V1" s="720"/>
      <c r="W1" s="720"/>
      <c r="X1" s="720"/>
      <c r="Y1" s="720"/>
      <c r="Z1" s="720"/>
      <c r="AA1" s="720"/>
      <c r="AB1" s="720"/>
      <c r="AC1" s="720"/>
      <c r="AD1" s="720"/>
      <c r="AE1" s="720"/>
      <c r="AF1" s="720"/>
      <c r="AG1" s="720"/>
      <c r="AH1" s="720"/>
      <c r="AI1" s="720"/>
      <c r="AJ1" s="720"/>
      <c r="AK1" s="720"/>
    </row>
    <row r="2" spans="1:37" ht="18" customHeight="1">
      <c r="A2" s="1381" t="s">
        <v>804</v>
      </c>
      <c r="B2" s="1382" t="e">
        <f ca="1">C40+J29+L46</f>
        <v>#DIV/0!</v>
      </c>
      <c r="C2" s="1383" t="s">
        <v>805</v>
      </c>
      <c r="D2" s="1383"/>
      <c r="E2" s="1384"/>
      <c r="F2" s="1385"/>
      <c r="G2" s="2698"/>
      <c r="H2" s="2687"/>
      <c r="I2" s="2687"/>
      <c r="J2" s="2687"/>
      <c r="K2" s="2688"/>
      <c r="L2" s="2687"/>
      <c r="M2" s="2687"/>
    </row>
    <row r="3" spans="1:37" ht="18" customHeight="1" thickBot="1">
      <c r="A3" s="1386" t="s">
        <v>806</v>
      </c>
      <c r="B3" s="1387">
        <f ca="1">IF(ISERROR(B2*10000/F43),0,ROUND(B2*10000/F43,0))</f>
        <v>0</v>
      </c>
      <c r="C3" s="1383" t="s">
        <v>807</v>
      </c>
      <c r="D3" s="1383"/>
      <c r="E3" s="1384"/>
      <c r="F3" s="1385"/>
      <c r="G3" s="2698"/>
      <c r="H3" s="679" t="s">
        <v>876</v>
      </c>
      <c r="I3" s="1378"/>
      <c r="J3" s="1378"/>
      <c r="K3" s="1379"/>
      <c r="L3" s="1378"/>
      <c r="M3" s="1378"/>
    </row>
    <row r="4" spans="1:37" ht="18" customHeight="1">
      <c r="A4" s="292" t="s">
        <v>687</v>
      </c>
      <c r="B4" s="293" t="s">
        <v>688</v>
      </c>
      <c r="C4" s="293" t="s">
        <v>689</v>
      </c>
      <c r="D4" s="293" t="s">
        <v>690</v>
      </c>
      <c r="E4" s="294" t="s">
        <v>691</v>
      </c>
      <c r="F4" s="295"/>
      <c r="G4" s="1380"/>
      <c r="H4" s="292" t="s">
        <v>687</v>
      </c>
      <c r="I4" s="293" t="s">
        <v>688</v>
      </c>
      <c r="J4" s="293" t="s">
        <v>689</v>
      </c>
      <c r="K4" s="293" t="s">
        <v>690</v>
      </c>
      <c r="L4" s="294" t="s">
        <v>691</v>
      </c>
      <c r="M4" s="295"/>
    </row>
    <row r="5" spans="1:37" ht="18" customHeight="1">
      <c r="A5" s="296">
        <v>1</v>
      </c>
      <c r="B5" s="297" t="s">
        <v>692</v>
      </c>
      <c r="C5" s="1066">
        <f ca="1">C6+C10+C12</f>
        <v>0</v>
      </c>
      <c r="D5" s="1360" t="s">
        <v>693</v>
      </c>
      <c r="E5" s="1067"/>
      <c r="F5" s="1068"/>
      <c r="G5" s="1380"/>
      <c r="H5" s="296">
        <v>1</v>
      </c>
      <c r="I5" s="297" t="s">
        <v>692</v>
      </c>
      <c r="J5" s="1066">
        <f ca="1">J6+J10+J12</f>
        <v>0</v>
      </c>
      <c r="K5" s="1360" t="s">
        <v>693</v>
      </c>
      <c r="L5" s="1067"/>
      <c r="M5" s="1068"/>
    </row>
    <row r="6" spans="1:37" ht="18" customHeight="1">
      <c r="A6" s="1065" t="s">
        <v>398</v>
      </c>
      <c r="B6" s="3714" t="s">
        <v>694</v>
      </c>
      <c r="C6" s="1070">
        <f ca="1">ROUND(F6*F8*F7*(1-F9)/10000,0)</f>
        <v>0</v>
      </c>
      <c r="D6" s="152" t="s">
        <v>2109</v>
      </c>
      <c r="E6" s="299" t="s">
        <v>696</v>
      </c>
      <c r="F6" s="300">
        <f ca="1">INDIRECT("'数据-取费表'!u"&amp;$G$1)</f>
        <v>0</v>
      </c>
      <c r="G6" s="1380"/>
      <c r="H6" s="1065" t="s">
        <v>398</v>
      </c>
      <c r="I6" s="3714" t="s">
        <v>694</v>
      </c>
      <c r="J6" s="298">
        <f ca="1">ROUND(M6*M8*M7*(1-M9)/10000,0)</f>
        <v>0</v>
      </c>
      <c r="K6" s="152" t="s">
        <v>2108</v>
      </c>
      <c r="L6" s="299" t="s">
        <v>696</v>
      </c>
      <c r="M6" s="300">
        <f ca="1">INDIRECT("'数据-取费表'!z"&amp;$G$1)</f>
        <v>0</v>
      </c>
    </row>
    <row r="7" spans="1:37" ht="18" customHeight="1">
      <c r="A7" s="1069"/>
      <c r="B7" s="3715"/>
      <c r="C7" s="1071"/>
      <c r="D7" s="304"/>
      <c r="E7" s="1072" t="s">
        <v>697</v>
      </c>
      <c r="F7" s="300">
        <f ca="1">IF(INDIRECT("'数据-取费表'!ah"&amp;$G$1)="",INDIRECT("'数据-取费表'!k"&amp;$G$1),INDIRECT("'数据-取费表'!ah"&amp;$G$1))</f>
        <v>0</v>
      </c>
      <c r="G7" s="1380"/>
      <c r="H7" s="301"/>
      <c r="I7" s="3715"/>
      <c r="J7" s="303"/>
      <c r="K7" s="304"/>
      <c r="L7" s="299" t="s">
        <v>697</v>
      </c>
      <c r="M7" s="300">
        <f ca="1">F7</f>
        <v>0</v>
      </c>
    </row>
    <row r="8" spans="1:37" ht="18" customHeight="1">
      <c r="A8" s="301"/>
      <c r="B8" s="3715"/>
      <c r="C8" s="303"/>
      <c r="D8" s="304"/>
      <c r="E8" s="299" t="s">
        <v>698</v>
      </c>
      <c r="F8" s="300">
        <f ca="1">INDIRECT("'数据-取费表'!ai"&amp;$G$1)</f>
        <v>0</v>
      </c>
      <c r="G8" s="1380"/>
      <c r="H8" s="301"/>
      <c r="I8" s="3715"/>
      <c r="J8" s="303"/>
      <c r="K8" s="304"/>
      <c r="L8" s="299" t="s">
        <v>698</v>
      </c>
      <c r="M8" s="300">
        <f ca="1">INDIRECT("'数据-取费表'!ai"&amp;$G$1)</f>
        <v>0</v>
      </c>
    </row>
    <row r="9" spans="1:37" ht="18" customHeight="1">
      <c r="A9" s="301"/>
      <c r="B9" s="3716"/>
      <c r="C9" s="303"/>
      <c r="D9" s="304"/>
      <c r="E9" s="299" t="s">
        <v>699</v>
      </c>
      <c r="F9" s="309">
        <f ca="1">INDIRECT("'数据-取费表'!w"&amp;$G$1)</f>
        <v>0</v>
      </c>
      <c r="G9" s="1380"/>
      <c r="H9" s="301"/>
      <c r="I9" s="3716"/>
      <c r="J9" s="303"/>
      <c r="K9" s="304"/>
      <c r="L9" s="310" t="s">
        <v>699</v>
      </c>
      <c r="M9" s="311">
        <f ca="1">INDIRECT("'数据-取费表'!ab"&amp;$G$1)</f>
        <v>0</v>
      </c>
    </row>
    <row r="10" spans="1:37" ht="18" customHeight="1">
      <c r="A10" s="1065" t="s">
        <v>402</v>
      </c>
      <c r="B10" s="1361" t="s">
        <v>700</v>
      </c>
      <c r="C10" s="313">
        <f ca="1">ROUND(IF(F10="押一",C6/12*F11,IF(F10="押二",C6/12*2*F11,IF(F10="押三",C6/12*3*F11,C11*F11))),0)</f>
        <v>0</v>
      </c>
      <c r="D10" s="1362" t="s">
        <v>2117</v>
      </c>
      <c r="E10" s="310" t="s">
        <v>701</v>
      </c>
      <c r="F10" s="1112"/>
      <c r="G10" s="1380"/>
      <c r="H10" s="1065" t="s">
        <v>402</v>
      </c>
      <c r="I10" s="1361" t="s">
        <v>700</v>
      </c>
      <c r="J10" s="298">
        <f ca="1">ROUND(IF(M10="押一",J6/12*M11,IF(M10="押二",J6/12*2*M11,IF(M10="押三",J6/12*3*M11,J11*M11))),0)</f>
        <v>0</v>
      </c>
      <c r="K10" s="1362" t="s">
        <v>2116</v>
      </c>
      <c r="L10" s="310" t="s">
        <v>701</v>
      </c>
      <c r="M10" s="1112"/>
    </row>
    <row r="11" spans="1:37" ht="18" customHeight="1">
      <c r="A11" s="305"/>
      <c r="B11" s="1363" t="s">
        <v>679</v>
      </c>
      <c r="C11" s="955"/>
      <c r="D11" s="1364"/>
      <c r="E11" s="310" t="s">
        <v>702</v>
      </c>
      <c r="F11" s="311">
        <f ca="1">'数据-取费表'!B39</f>
        <v>1.4999999999999999E-2</v>
      </c>
      <c r="G11" s="1380"/>
      <c r="H11" s="1073"/>
      <c r="I11" s="1363" t="s">
        <v>679</v>
      </c>
      <c r="J11" s="955"/>
      <c r="K11" s="680"/>
      <c r="L11" s="310" t="s">
        <v>702</v>
      </c>
      <c r="M11" s="858">
        <f ca="1">'数据-取费表'!B39</f>
        <v>1.4999999999999999E-2</v>
      </c>
    </row>
    <row r="12" spans="1:37" ht="18" customHeight="1" thickBot="1">
      <c r="A12" s="1079" t="s">
        <v>437</v>
      </c>
      <c r="B12" s="1365" t="s">
        <v>703</v>
      </c>
      <c r="C12" s="1080"/>
      <c r="D12" s="1081"/>
      <c r="E12" s="1086"/>
      <c r="F12" s="1082"/>
      <c r="G12" s="1380"/>
      <c r="H12" s="1079" t="s">
        <v>437</v>
      </c>
      <c r="I12" s="1365" t="s">
        <v>703</v>
      </c>
      <c r="J12" s="1080"/>
      <c r="K12" s="1094"/>
      <c r="L12" s="1086"/>
      <c r="M12" s="1095"/>
    </row>
    <row r="13" spans="1:37" ht="18" customHeight="1" thickTop="1">
      <c r="A13" s="1075">
        <v>2</v>
      </c>
      <c r="B13" s="1076" t="s">
        <v>704</v>
      </c>
      <c r="C13" s="307">
        <f ca="1">ROUND(C29*F13,0)</f>
        <v>0</v>
      </c>
      <c r="D13" s="1077" t="s">
        <v>705</v>
      </c>
      <c r="E13" s="1077" t="s">
        <v>706</v>
      </c>
      <c r="F13" s="1078">
        <f ca="1">INDIRECT("'数据-取费表'!y"&amp;$G$1)</f>
        <v>0</v>
      </c>
      <c r="G13" s="1380"/>
      <c r="H13" s="1075">
        <v>2</v>
      </c>
      <c r="I13" s="1076" t="s">
        <v>704</v>
      </c>
      <c r="J13" s="1064">
        <f ca="1">ROUND(J14*J15,0)</f>
        <v>0</v>
      </c>
      <c r="K13" s="1083" t="s">
        <v>705</v>
      </c>
      <c r="L13" s="1388"/>
      <c r="M13" s="1389"/>
    </row>
    <row r="14" spans="1:37" ht="18" customHeight="1">
      <c r="A14" s="978" t="s">
        <v>397</v>
      </c>
      <c r="B14" s="299" t="s">
        <v>707</v>
      </c>
      <c r="C14" s="315">
        <f ca="1">INDIRECT("'数据-取费表'!m"&amp;$G$1)+INDIRECT("'数据-取费表'!t"&amp;$G$1)</f>
        <v>0</v>
      </c>
      <c r="D14" s="1341" t="s">
        <v>708</v>
      </c>
      <c r="E14" s="1338"/>
      <c r="F14" s="316"/>
      <c r="G14" s="1380"/>
      <c r="H14" s="978" t="s">
        <v>398</v>
      </c>
      <c r="I14" s="299" t="s">
        <v>709</v>
      </c>
      <c r="J14" s="21">
        <f ca="1">C29</f>
        <v>0</v>
      </c>
      <c r="K14" s="12"/>
      <c r="L14" s="803"/>
      <c r="M14" s="804"/>
    </row>
    <row r="15" spans="1:37" s="1393" customFormat="1" ht="18" customHeight="1" thickBot="1">
      <c r="A15" s="978" t="s">
        <v>399</v>
      </c>
      <c r="B15" s="299" t="s">
        <v>710</v>
      </c>
      <c r="C15" s="21">
        <f ca="1">ROUND(C14*F15,0)</f>
        <v>0</v>
      </c>
      <c r="D15" s="317" t="s">
        <v>711</v>
      </c>
      <c r="E15" s="317" t="s">
        <v>712</v>
      </c>
      <c r="F15" s="318">
        <f>'数据-取费表'!B33</f>
        <v>0.06</v>
      </c>
      <c r="G15" s="1392"/>
      <c r="H15" s="1085" t="s">
        <v>402</v>
      </c>
      <c r="I15" s="1086" t="s">
        <v>706</v>
      </c>
      <c r="J15" s="1095">
        <f ca="1">INDIRECT("'数据-取费表'!ad"&amp;$G$1)</f>
        <v>0</v>
      </c>
      <c r="K15" s="1096"/>
      <c r="L15" s="1390"/>
      <c r="M15" s="1391"/>
      <c r="N15" s="1392"/>
      <c r="O15" s="1392"/>
      <c r="P15" s="1392"/>
      <c r="Q15" s="1392"/>
      <c r="R15" s="1392"/>
      <c r="S15" s="1392"/>
      <c r="T15" s="1392"/>
      <c r="U15" s="1392"/>
      <c r="V15" s="1392"/>
      <c r="W15" s="1392"/>
      <c r="X15" s="1392"/>
      <c r="Y15" s="1392"/>
      <c r="Z15" s="1392"/>
      <c r="AA15" s="1392"/>
      <c r="AB15" s="1392"/>
      <c r="AC15" s="1392"/>
      <c r="AD15" s="1392"/>
      <c r="AE15" s="1392"/>
      <c r="AF15" s="1392"/>
      <c r="AG15" s="1392"/>
      <c r="AH15" s="1392"/>
      <c r="AI15" s="1392"/>
      <c r="AJ15" s="1392"/>
      <c r="AK15" s="1392"/>
    </row>
    <row r="16" spans="1:37" ht="18" customHeight="1" thickTop="1">
      <c r="A16" s="978" t="s">
        <v>680</v>
      </c>
      <c r="B16" s="299" t="s">
        <v>713</v>
      </c>
      <c r="C16" s="21">
        <f ca="1">ROUND(INDIRECT("'数据-取费表'!m"&amp;$G$1)*F16,0)</f>
        <v>0</v>
      </c>
      <c r="D16" s="299" t="s">
        <v>711</v>
      </c>
      <c r="E16" s="299" t="s">
        <v>712</v>
      </c>
      <c r="F16" s="319">
        <f ca="1">IF(INDIRECT("'数据-取费表'!c"&amp;$G$1)="住宅",'数据-取费表'!B34,0)</f>
        <v>0</v>
      </c>
      <c r="G16" s="1380"/>
      <c r="H16" s="1075" t="s">
        <v>393</v>
      </c>
      <c r="I16" s="1076" t="s">
        <v>714</v>
      </c>
      <c r="J16" s="307">
        <f ca="1">ROUND(J17+J22+J23+J24,0)</f>
        <v>0</v>
      </c>
      <c r="K16" s="1083" t="s">
        <v>715</v>
      </c>
      <c r="L16" s="1084"/>
      <c r="M16" s="1068"/>
    </row>
    <row r="17" spans="1:37" s="1393" customFormat="1" ht="18" customHeight="1">
      <c r="A17" s="978" t="s">
        <v>681</v>
      </c>
      <c r="B17" s="299" t="s">
        <v>716</v>
      </c>
      <c r="C17" s="21">
        <f ca="1">ROUND(F17*(F43+INDIRECT("'数据-取费表'!S"&amp;$G$1))/10000,0)</f>
        <v>0</v>
      </c>
      <c r="D17" s="299" t="s">
        <v>717</v>
      </c>
      <c r="E17" s="299" t="s">
        <v>718</v>
      </c>
      <c r="F17" s="23">
        <f>'数据-取费表'!B35</f>
        <v>456</v>
      </c>
      <c r="G17" s="1392"/>
      <c r="H17" s="978" t="s">
        <v>398</v>
      </c>
      <c r="I17" s="299" t="s">
        <v>719</v>
      </c>
      <c r="J17" s="2309">
        <f ca="1">ROUND(IF(AND(项目基本情况!B11="自然人",项目基本情况!B10="北京市"),J6*M17/(1+'数据-取费表'!C42),J18+J19+J20),2)</f>
        <v>0</v>
      </c>
      <c r="K17" s="1341" t="s">
        <v>720</v>
      </c>
      <c r="L17" s="1340" t="s">
        <v>721</v>
      </c>
      <c r="M17" s="2308" t="str">
        <f>IF(项目基本情况!B11="企业","",IF('数据-取费表'!B10="住宅",IF(M6*M7*M8/12/(1+'数据-取费表'!F30)&gt;100000,4%,2.5%),IF(M6*M7*M8/12/(1+'数据-取费表'!F30)&gt;100000,12%,7%)))</f>
        <v/>
      </c>
      <c r="N17" s="1392"/>
      <c r="O17" s="1392"/>
      <c r="P17" s="1392"/>
      <c r="Q17" s="1392"/>
      <c r="R17" s="1392"/>
      <c r="S17" s="1392"/>
      <c r="T17" s="1392"/>
      <c r="U17" s="1392"/>
      <c r="V17" s="1392"/>
      <c r="W17" s="1392"/>
      <c r="X17" s="1392"/>
      <c r="Y17" s="1392"/>
      <c r="Z17" s="1392"/>
      <c r="AA17" s="1392"/>
      <c r="AB17" s="1392"/>
      <c r="AC17" s="1392"/>
      <c r="AD17" s="1392"/>
      <c r="AE17" s="1392"/>
      <c r="AF17" s="1392"/>
      <c r="AG17" s="1392"/>
      <c r="AH17" s="1392"/>
      <c r="AI17" s="1392"/>
      <c r="AJ17" s="1392"/>
      <c r="AK17" s="1392"/>
    </row>
    <row r="18" spans="1:37" s="1393" customFormat="1" ht="18" customHeight="1">
      <c r="A18" s="978" t="s">
        <v>682</v>
      </c>
      <c r="B18" s="299" t="s">
        <v>722</v>
      </c>
      <c r="C18" s="21">
        <f ca="1">ROUND(C14*F18,0)</f>
        <v>0</v>
      </c>
      <c r="D18" s="299" t="s">
        <v>711</v>
      </c>
      <c r="E18" s="299" t="s">
        <v>712</v>
      </c>
      <c r="F18" s="319">
        <f>'数据-取费表'!B36</f>
        <v>0.03</v>
      </c>
      <c r="G18" s="1392"/>
      <c r="H18" s="978" t="s">
        <v>397</v>
      </c>
      <c r="I18" s="299" t="s">
        <v>723</v>
      </c>
      <c r="J18" s="21">
        <f ca="1">ROUND(J6*M18/(1+'数据-取费表'!C42),2)</f>
        <v>0</v>
      </c>
      <c r="K18" s="1340" t="s">
        <v>724</v>
      </c>
      <c r="L18" s="299" t="s">
        <v>712</v>
      </c>
      <c r="M18" s="319">
        <f>'数据-取费表'!B41</f>
        <v>5.5000000000000007E-2</v>
      </c>
      <c r="N18" s="1392"/>
      <c r="O18" s="1392"/>
      <c r="P18" s="1392"/>
      <c r="Q18" s="1392"/>
      <c r="R18" s="1392"/>
      <c r="S18" s="1392"/>
      <c r="T18" s="1392"/>
      <c r="U18" s="1392"/>
      <c r="V18" s="1392"/>
      <c r="W18" s="1392"/>
      <c r="X18" s="1392"/>
      <c r="Y18" s="1392"/>
      <c r="Z18" s="1392"/>
      <c r="AA18" s="1392"/>
      <c r="AB18" s="1392"/>
      <c r="AC18" s="1392"/>
      <c r="AD18" s="1392"/>
      <c r="AE18" s="1392"/>
      <c r="AF18" s="1392"/>
      <c r="AG18" s="1392"/>
      <c r="AH18" s="1392"/>
      <c r="AI18" s="1392"/>
      <c r="AJ18" s="1392"/>
      <c r="AK18" s="1392"/>
    </row>
    <row r="19" spans="1:37" ht="18" customHeight="1">
      <c r="A19" s="978" t="s">
        <v>398</v>
      </c>
      <c r="B19" s="299" t="s">
        <v>725</v>
      </c>
      <c r="C19" s="21">
        <f ca="1">SUM(C14:C18)</f>
        <v>0</v>
      </c>
      <c r="D19" s="129" t="s">
        <v>726</v>
      </c>
      <c r="E19" s="1356"/>
      <c r="F19" s="23"/>
      <c r="G19" s="1380"/>
      <c r="H19" s="978" t="s">
        <v>399</v>
      </c>
      <c r="I19" s="299" t="s">
        <v>727</v>
      </c>
      <c r="J19" s="21">
        <f ca="1">IF(K19="按租金收入计税",ROUND(J6*M19/(1+'数据-取费表'!C42),2),ROUND(C29*M19*0.7,2))</f>
        <v>0</v>
      </c>
      <c r="K19" s="1366" t="s">
        <v>3340</v>
      </c>
      <c r="L19" s="299" t="s">
        <v>712</v>
      </c>
      <c r="M19" s="319">
        <f>IF(K19="按租金收入计税",'数据-取费表'!B51,'数据-取费表'!B50)</f>
        <v>0.12</v>
      </c>
    </row>
    <row r="20" spans="1:37" s="1393" customFormat="1" ht="18" customHeight="1">
      <c r="A20" s="978" t="s">
        <v>402</v>
      </c>
      <c r="B20" s="299" t="s">
        <v>728</v>
      </c>
      <c r="C20" s="21">
        <f ca="1">ROUND(C19*F20,0)</f>
        <v>0</v>
      </c>
      <c r="D20" s="320" t="s">
        <v>729</v>
      </c>
      <c r="E20" s="299" t="s">
        <v>712</v>
      </c>
      <c r="F20" s="319">
        <f>'数据-取费表'!B37</f>
        <v>0.03</v>
      </c>
      <c r="G20" s="1392"/>
      <c r="H20" s="978" t="s">
        <v>680</v>
      </c>
      <c r="I20" s="152" t="s">
        <v>730</v>
      </c>
      <c r="J20" s="22">
        <f ca="1">ROUND(M20*M21/10000,2)</f>
        <v>0</v>
      </c>
      <c r="K20" s="321" t="s">
        <v>731</v>
      </c>
      <c r="L20" s="299" t="s">
        <v>732</v>
      </c>
      <c r="M20" s="322">
        <f>'数据-取费表'!B52</f>
        <v>1.5</v>
      </c>
      <c r="N20" s="1392"/>
      <c r="O20" s="1392"/>
      <c r="P20" s="1392"/>
      <c r="Q20" s="1392"/>
      <c r="R20" s="1392"/>
      <c r="S20" s="1392"/>
      <c r="T20" s="1392"/>
      <c r="U20" s="1392"/>
      <c r="V20" s="1392"/>
      <c r="W20" s="1392"/>
      <c r="X20" s="1392"/>
      <c r="Y20" s="1392"/>
      <c r="Z20" s="1392"/>
      <c r="AA20" s="1392"/>
      <c r="AB20" s="1392"/>
      <c r="AC20" s="1392"/>
      <c r="AD20" s="1392"/>
      <c r="AE20" s="1392"/>
      <c r="AF20" s="1392"/>
      <c r="AG20" s="1392"/>
      <c r="AH20" s="1392"/>
      <c r="AI20" s="1392"/>
      <c r="AJ20" s="1392"/>
      <c r="AK20" s="1392"/>
    </row>
    <row r="21" spans="1:37" s="1393" customFormat="1" ht="18" customHeight="1">
      <c r="A21" s="978" t="s">
        <v>437</v>
      </c>
      <c r="B21" s="299" t="s">
        <v>733</v>
      </c>
      <c r="C21" s="21" t="s">
        <v>15</v>
      </c>
      <c r="D21" s="320" t="s">
        <v>734</v>
      </c>
      <c r="E21" s="299" t="s">
        <v>735</v>
      </c>
      <c r="F21" s="319">
        <f>'数据-取费表'!B38</f>
        <v>0.02</v>
      </c>
      <c r="G21" s="1392"/>
      <c r="H21" s="323"/>
      <c r="I21" s="308"/>
      <c r="J21" s="26"/>
      <c r="K21" s="324"/>
      <c r="L21" s="299" t="s">
        <v>736</v>
      </c>
      <c r="M21" s="300">
        <f ca="1">INDIRECT("'数据-取费表'!r"&amp;$G$1)</f>
        <v>0</v>
      </c>
      <c r="N21" s="1392"/>
      <c r="O21" s="1392"/>
      <c r="P21" s="1392"/>
      <c r="Q21" s="1392"/>
      <c r="R21" s="1392"/>
      <c r="S21" s="1392"/>
      <c r="T21" s="1392"/>
      <c r="U21" s="1392"/>
      <c r="V21" s="1392"/>
      <c r="W21" s="1392"/>
      <c r="X21" s="1392"/>
      <c r="Y21" s="1392"/>
      <c r="Z21" s="1392"/>
      <c r="AA21" s="1392"/>
      <c r="AB21" s="1392"/>
      <c r="AC21" s="1392"/>
      <c r="AD21" s="1392"/>
      <c r="AE21" s="1392"/>
      <c r="AF21" s="1392"/>
      <c r="AG21" s="1392"/>
      <c r="AH21" s="1392"/>
      <c r="AI21" s="1392"/>
      <c r="AJ21" s="1392"/>
      <c r="AK21" s="1392"/>
    </row>
    <row r="22" spans="1:37" ht="18" customHeight="1">
      <c r="A22" s="978" t="s">
        <v>683</v>
      </c>
      <c r="B22" s="299" t="s">
        <v>737</v>
      </c>
      <c r="C22" s="21"/>
      <c r="D22" s="129" t="str">
        <f>IF(F23&lt;=1,"单利计息。","复利计息。")&amp;"建造成本、管理费用、销售费用产生的利息。"</f>
        <v>复利计息。建造成本、管理费用、销售费用产生的利息。</v>
      </c>
      <c r="E22" s="1356"/>
      <c r="F22" s="23"/>
      <c r="G22" s="1380"/>
      <c r="H22" s="978" t="s">
        <v>402</v>
      </c>
      <c r="I22" s="299" t="s">
        <v>738</v>
      </c>
      <c r="J22" s="21">
        <f ca="1">ROUND(J14*M22,2)</f>
        <v>0</v>
      </c>
      <c r="K22" s="1340" t="s">
        <v>739</v>
      </c>
      <c r="L22" s="299" t="s">
        <v>712</v>
      </c>
      <c r="M22" s="325">
        <f ca="1">INDIRECT("'数据-取费表'!Ak"&amp;$G$1)</f>
        <v>0</v>
      </c>
    </row>
    <row r="23" spans="1:37" s="1393" customFormat="1" ht="18" customHeight="1">
      <c r="A23" s="978" t="s">
        <v>397</v>
      </c>
      <c r="B23" s="299" t="s">
        <v>740</v>
      </c>
      <c r="C23" s="21">
        <f ca="1">IF('数据-取费表'!B22&lt;=1,ROUND(C19*F24*F23/2,0)+ROUND(C20*F24*F23/2,0),ROUND(C19*(POWER((1+F24),F23/2)-1),0)+ROUND(C20*(POWER((1+F24),F23/2)-1),0))</f>
        <v>0</v>
      </c>
      <c r="D23" s="326" t="str">
        <f>IF(F23&lt;=1,"(建造成本+管理费用)×利率×(建设周期÷2)","(建造成本+管理费用)×((1+利率)^(建设周期÷2)-1)")</f>
        <v>(建造成本+管理费用)×((1+利率)^(建设周期÷2)-1)</v>
      </c>
      <c r="E23" s="299" t="s">
        <v>741</v>
      </c>
      <c r="F23" s="322">
        <f>'数据-取费表'!B20</f>
        <v>3</v>
      </c>
      <c r="G23" s="1392"/>
      <c r="H23" s="978" t="s">
        <v>437</v>
      </c>
      <c r="I23" s="299" t="s">
        <v>742</v>
      </c>
      <c r="J23" s="21">
        <f ca="1">ROUND(J13*M23,2)</f>
        <v>0</v>
      </c>
      <c r="K23" s="1340" t="s">
        <v>743</v>
      </c>
      <c r="L23" s="299" t="s">
        <v>744</v>
      </c>
      <c r="M23" s="327">
        <f ca="1">INDIRECT("'数据-取费表'!Al"&amp;$G$1)</f>
        <v>0</v>
      </c>
      <c r="N23" s="1392"/>
      <c r="O23" s="1392"/>
      <c r="P23" s="1392"/>
      <c r="Q23" s="1392"/>
      <c r="R23" s="1392"/>
      <c r="S23" s="1392"/>
      <c r="T23" s="1392"/>
      <c r="U23" s="1392"/>
      <c r="V23" s="1392"/>
      <c r="W23" s="1392"/>
      <c r="X23" s="1392"/>
      <c r="Y23" s="1392"/>
      <c r="Z23" s="1392"/>
      <c r="AA23" s="1392"/>
      <c r="AB23" s="1392"/>
      <c r="AC23" s="1392"/>
      <c r="AD23" s="1392"/>
      <c r="AE23" s="1392"/>
      <c r="AF23" s="1392"/>
      <c r="AG23" s="1392"/>
      <c r="AH23" s="1392"/>
      <c r="AI23" s="1392"/>
      <c r="AJ23" s="1392"/>
      <c r="AK23" s="1392"/>
    </row>
    <row r="24" spans="1:37" s="1393" customFormat="1" ht="18" customHeight="1" thickBot="1">
      <c r="A24" s="978" t="s">
        <v>745</v>
      </c>
      <c r="B24" s="299" t="s">
        <v>746</v>
      </c>
      <c r="C24" s="21">
        <f ca="1">ROUND(IF('数据-取费表'!B22&lt;=1,F21*F24*F23/2,F21*(POWER((1+F24),F23/2)-1)),4)</f>
        <v>1.4E-3</v>
      </c>
      <c r="D24" s="326" t="str">
        <f>IF(F23&lt;=1,"销售费用×利率×(建设周期÷2)","销售费用×((1+利率)^(建设周期÷2)-1)")</f>
        <v>销售费用×((1+利率)^(建设周期÷2)-1)</v>
      </c>
      <c r="E24" s="299" t="s">
        <v>747</v>
      </c>
      <c r="F24" s="328">
        <f ca="1">'数据-取费表'!B40</f>
        <v>4.7500000000000001E-2</v>
      </c>
      <c r="G24" s="1392"/>
      <c r="H24" s="1085" t="s">
        <v>684</v>
      </c>
      <c r="I24" s="1086" t="s">
        <v>728</v>
      </c>
      <c r="J24" s="1087">
        <f ca="1">ROUND(J5*M24,2)</f>
        <v>0</v>
      </c>
      <c r="K24" s="1088" t="s">
        <v>748</v>
      </c>
      <c r="L24" s="1086" t="s">
        <v>744</v>
      </c>
      <c r="M24" s="1082">
        <f ca="1">INDIRECT("'数据-取费表'!Am"&amp;$G$1)</f>
        <v>0</v>
      </c>
      <c r="N24" s="1392"/>
      <c r="O24" s="1392"/>
      <c r="P24" s="1392"/>
      <c r="Q24" s="1392"/>
      <c r="R24" s="1392"/>
      <c r="S24" s="1392"/>
      <c r="T24" s="1392"/>
      <c r="U24" s="1392"/>
      <c r="V24" s="1392"/>
      <c r="W24" s="1392"/>
      <c r="X24" s="1392"/>
      <c r="Y24" s="1392"/>
      <c r="Z24" s="1392"/>
      <c r="AA24" s="1392"/>
      <c r="AB24" s="1392"/>
      <c r="AC24" s="1392"/>
      <c r="AD24" s="1392"/>
      <c r="AE24" s="1392"/>
      <c r="AF24" s="1392"/>
      <c r="AG24" s="1392"/>
      <c r="AH24" s="1392"/>
      <c r="AI24" s="1392"/>
      <c r="AJ24" s="1392"/>
      <c r="AK24" s="1392"/>
    </row>
    <row r="25" spans="1:37" ht="24" customHeight="1" thickTop="1">
      <c r="A25" s="978" t="s">
        <v>749</v>
      </c>
      <c r="B25" s="299" t="s">
        <v>750</v>
      </c>
      <c r="C25" s="21"/>
      <c r="D25" s="129" t="s">
        <v>751</v>
      </c>
      <c r="E25" s="1356"/>
      <c r="F25" s="23"/>
      <c r="G25" s="1380"/>
      <c r="H25" s="1075" t="s">
        <v>394</v>
      </c>
      <c r="I25" s="1090" t="s">
        <v>752</v>
      </c>
      <c r="J25" s="307">
        <f ca="1">J5-J16</f>
        <v>0</v>
      </c>
      <c r="K25" s="1091" t="s">
        <v>753</v>
      </c>
      <c r="L25" s="1092"/>
      <c r="M25" s="1093"/>
    </row>
    <row r="26" spans="1:37">
      <c r="A26" s="978" t="s">
        <v>397</v>
      </c>
      <c r="B26" s="299" t="s">
        <v>754</v>
      </c>
      <c r="C26" s="21">
        <f ca="1">ROUND((C19+C20)*F26,0)</f>
        <v>0</v>
      </c>
      <c r="D26" s="320" t="s">
        <v>755</v>
      </c>
      <c r="E26" s="310" t="s">
        <v>756</v>
      </c>
      <c r="F26" s="309">
        <f ca="1">INDIRECT("'数据-取费表'!q"&amp;$G$1)</f>
        <v>0</v>
      </c>
      <c r="G26" s="1380"/>
      <c r="H26" s="296" t="s">
        <v>395</v>
      </c>
      <c r="I26" s="297" t="s">
        <v>757</v>
      </c>
      <c r="J26" s="298">
        <f ca="1">IF(J5&lt;&gt;0,ROUND(J25*(1-((1+M28)/(1+M26))^M27)/(M26-M28),0),0)</f>
        <v>0</v>
      </c>
      <c r="K26" s="321" t="s">
        <v>758</v>
      </c>
      <c r="L26" s="299" t="s">
        <v>759</v>
      </c>
      <c r="M26" s="309">
        <f ca="1">INDIRECT("'数据-取费表'!I"&amp;$G$1)</f>
        <v>0</v>
      </c>
    </row>
    <row r="27" spans="1:37" ht="18" customHeight="1">
      <c r="A27" s="978" t="s">
        <v>399</v>
      </c>
      <c r="B27" s="299" t="s">
        <v>760</v>
      </c>
      <c r="C27" s="21">
        <f ca="1">ROUND(F21*F26,4)</f>
        <v>0</v>
      </c>
      <c r="D27" s="320" t="s">
        <v>761</v>
      </c>
      <c r="E27" s="317"/>
      <c r="F27" s="318"/>
      <c r="G27" s="1380"/>
      <c r="H27" s="301"/>
      <c r="I27" s="302"/>
      <c r="J27" s="303"/>
      <c r="K27" s="329" t="s">
        <v>762</v>
      </c>
      <c r="L27" s="299" t="s">
        <v>763</v>
      </c>
      <c r="M27" s="330">
        <f ca="1">INDIRECT("'数据-取费表'!ag"&amp;$G$1)</f>
        <v>0</v>
      </c>
    </row>
    <row r="28" spans="1:37" s="1393" customFormat="1" ht="18" customHeight="1">
      <c r="A28" s="978" t="s">
        <v>400</v>
      </c>
      <c r="B28" s="299" t="s">
        <v>764</v>
      </c>
      <c r="C28" s="21">
        <f>ROUND(F28/(1+'数据-取费表'!C42),4)</f>
        <v>5.2400000000000002E-2</v>
      </c>
      <c r="D28" s="320" t="s">
        <v>765</v>
      </c>
      <c r="E28" s="299" t="s">
        <v>712</v>
      </c>
      <c r="F28" s="319">
        <f>'数据-取费表'!B41</f>
        <v>5.5000000000000007E-2</v>
      </c>
      <c r="G28" s="1392"/>
      <c r="H28" s="305"/>
      <c r="I28" s="306"/>
      <c r="J28" s="307"/>
      <c r="K28" s="324"/>
      <c r="L28" s="299" t="s">
        <v>766</v>
      </c>
      <c r="M28" s="309">
        <f ca="1">INDIRECT("'数据-取费表'!aa"&amp;$G$1)</f>
        <v>0</v>
      </c>
      <c r="N28" s="1392"/>
      <c r="O28" s="1392"/>
      <c r="P28" s="1392"/>
      <c r="Q28" s="1392"/>
      <c r="R28" s="1392"/>
      <c r="S28" s="1392"/>
      <c r="T28" s="1392"/>
      <c r="U28" s="1392"/>
      <c r="V28" s="1392"/>
      <c r="W28" s="1392"/>
      <c r="X28" s="1392"/>
      <c r="Y28" s="1392"/>
      <c r="Z28" s="1392"/>
      <c r="AA28" s="1392"/>
      <c r="AB28" s="1392"/>
      <c r="AC28" s="1392"/>
      <c r="AD28" s="1392"/>
      <c r="AE28" s="1392"/>
      <c r="AF28" s="1392"/>
      <c r="AG28" s="1392"/>
      <c r="AH28" s="1392"/>
      <c r="AI28" s="1392"/>
      <c r="AJ28" s="1392"/>
      <c r="AK28" s="1392"/>
    </row>
    <row r="29" spans="1:37" s="1393" customFormat="1" ht="18" customHeight="1" thickBot="1">
      <c r="A29" s="1085" t="s">
        <v>401</v>
      </c>
      <c r="B29" s="1086" t="s">
        <v>767</v>
      </c>
      <c r="C29" s="1087">
        <f ca="1">ROUND((C19+C20+C23+C26)/(1-F21-C24-C27-C28),0)</f>
        <v>0</v>
      </c>
      <c r="D29" s="1088"/>
      <c r="E29" s="1086"/>
      <c r="F29" s="1089"/>
      <c r="G29" s="1392"/>
      <c r="H29" s="331" t="s">
        <v>396</v>
      </c>
      <c r="I29" s="332" t="s">
        <v>768</v>
      </c>
      <c r="J29" s="333">
        <f ca="1">ROUND(J26/(1+F40)^F41,0)</f>
        <v>0</v>
      </c>
      <c r="K29" s="334" t="s">
        <v>769</v>
      </c>
      <c r="L29" s="335"/>
      <c r="M29" s="336">
        <f ca="1">INDIRECT("'数据-取费表'!k"&amp;$G$1)</f>
        <v>0</v>
      </c>
      <c r="N29" s="1392"/>
      <c r="O29" s="1392"/>
      <c r="P29" s="1392"/>
      <c r="Q29" s="1392"/>
      <c r="R29" s="1392"/>
      <c r="S29" s="1392"/>
      <c r="T29" s="1392"/>
      <c r="U29" s="1392"/>
      <c r="V29" s="1392"/>
      <c r="W29" s="1392"/>
      <c r="X29" s="1392"/>
      <c r="Y29" s="1392"/>
      <c r="Z29" s="1392"/>
      <c r="AA29" s="1392"/>
      <c r="AB29" s="1392"/>
      <c r="AC29" s="1392"/>
      <c r="AD29" s="1392"/>
      <c r="AE29" s="1392"/>
      <c r="AF29" s="1392"/>
      <c r="AG29" s="1392"/>
      <c r="AH29" s="1392"/>
      <c r="AI29" s="1392"/>
      <c r="AJ29" s="1392"/>
      <c r="AK29" s="1392"/>
    </row>
    <row r="30" spans="1:37" ht="18" customHeight="1" thickTop="1">
      <c r="A30" s="1075" t="s">
        <v>393</v>
      </c>
      <c r="B30" s="1076" t="s">
        <v>714</v>
      </c>
      <c r="C30" s="307">
        <f ca="1">ROUND(C31+C36+C37+C38,0)</f>
        <v>0</v>
      </c>
      <c r="D30" s="1083" t="s">
        <v>715</v>
      </c>
      <c r="E30" s="1084"/>
      <c r="F30" s="1068"/>
      <c r="G30" s="1380"/>
      <c r="H30" s="2689"/>
      <c r="I30" s="1394"/>
      <c r="J30" s="1395"/>
      <c r="K30" s="2467"/>
      <c r="L30" s="2690"/>
      <c r="M30" s="2691"/>
    </row>
    <row r="31" spans="1:37" ht="18" customHeight="1">
      <c r="A31" s="978" t="s">
        <v>398</v>
      </c>
      <c r="B31" s="299" t="s">
        <v>719</v>
      </c>
      <c r="C31" s="2309">
        <f ca="1">ROUND(IF(AND(项目基本情况!B11="自然人",项目基本情况!B10="北京市"),C6*F31/(1+'数据-取费表'!C42),C32+C33+C34),2)</f>
        <v>0</v>
      </c>
      <c r="D31" s="1341" t="s">
        <v>720</v>
      </c>
      <c r="E31" s="1340" t="s">
        <v>770</v>
      </c>
      <c r="F31" s="2308" t="str">
        <f>IF(项目基本情况!B11="企业","——",IF(M47="住宅",IF(F6*F7*F8/12/(1+'数据-取费表'!F30)&gt;100000,4%,2.5%),IF(F6*F7*F8/12/(1+'数据-取费表'!F30)&gt;100000,12%,7%)))</f>
        <v>——</v>
      </c>
      <c r="G31" s="1380"/>
      <c r="H31" s="2800" t="s">
        <v>2307</v>
      </c>
      <c r="I31" s="1394"/>
      <c r="J31" s="1395"/>
      <c r="K31" s="2467"/>
      <c r="L31" s="2690"/>
      <c r="M31" s="2691"/>
    </row>
    <row r="32" spans="1:37" ht="18" customHeight="1">
      <c r="A32" s="978" t="s">
        <v>397</v>
      </c>
      <c r="B32" s="299" t="s">
        <v>723</v>
      </c>
      <c r="C32" s="21">
        <f ca="1">IF(项目基本情况!B11="自然人","——",ROUND(C6*F32/(1+'数据-取费表'!C42),2))</f>
        <v>0</v>
      </c>
      <c r="D32" s="1340" t="s">
        <v>724</v>
      </c>
      <c r="E32" s="299" t="s">
        <v>712</v>
      </c>
      <c r="F32" s="328">
        <f>'数据-取费表'!B41</f>
        <v>5.5000000000000007E-2</v>
      </c>
      <c r="G32" s="1380"/>
      <c r="H32" s="2689"/>
      <c r="I32" s="1394"/>
      <c r="J32" s="1395"/>
      <c r="K32" s="2467"/>
      <c r="L32" s="2690"/>
      <c r="M32" s="2691"/>
    </row>
    <row r="33" spans="1:18" ht="18" customHeight="1">
      <c r="A33" s="978" t="s">
        <v>399</v>
      </c>
      <c r="B33" s="299" t="s">
        <v>727</v>
      </c>
      <c r="C33" s="21">
        <f ca="1">IF(项目基本情况!B11="自然人","——",IF(D33="按租金收入计税",ROUND(C6*F33/(1+'数据-取费表'!C42),2),IF(D33="按房产原值计税",ROUND(C29*F33*0.7,2),INDIRECT("'数据-取费表'!Aj"&amp;$G$1))))</f>
        <v>0</v>
      </c>
      <c r="D33" s="1366" t="s">
        <v>3340</v>
      </c>
      <c r="E33" s="299" t="s">
        <v>712</v>
      </c>
      <c r="F33" s="319">
        <f>IF(D33="按票据","——",IF(D33="按租金收入计税",'数据-取费表'!B51,'数据-取费表'!B50))</f>
        <v>0.12</v>
      </c>
      <c r="G33" s="1380"/>
      <c r="H33" s="2692"/>
      <c r="I33" s="1394"/>
      <c r="J33" s="1395"/>
      <c r="K33" s="2693"/>
      <c r="L33" s="2692"/>
      <c r="M33" s="2692"/>
    </row>
    <row r="34" spans="1:18" ht="18" customHeight="1">
      <c r="A34" s="1065" t="s">
        <v>680</v>
      </c>
      <c r="B34" s="152" t="s">
        <v>730</v>
      </c>
      <c r="C34" s="22">
        <f ca="1">IF(项目基本情况!B11="自然人","——",ROUND(F34*F35/10000,2))</f>
        <v>0</v>
      </c>
      <c r="D34" s="321" t="s">
        <v>731</v>
      </c>
      <c r="E34" s="299" t="s">
        <v>732</v>
      </c>
      <c r="F34" s="322">
        <f>'数据-取费表'!B52</f>
        <v>1.5</v>
      </c>
      <c r="G34" s="1380"/>
      <c r="H34" s="2689"/>
      <c r="I34" s="1394"/>
      <c r="J34" s="1395"/>
      <c r="K34" s="2694"/>
      <c r="L34" s="2695"/>
      <c r="M34" s="2695"/>
    </row>
    <row r="35" spans="1:18" ht="18" customHeight="1">
      <c r="A35" s="1099"/>
      <c r="B35" s="1097"/>
      <c r="C35" s="26"/>
      <c r="D35" s="324"/>
      <c r="E35" s="299" t="s">
        <v>736</v>
      </c>
      <c r="F35" s="300">
        <f ca="1">INDIRECT("'数据-取费表'!r"&amp;$G$1)</f>
        <v>0</v>
      </c>
      <c r="G35" s="1380"/>
      <c r="H35" s="2689"/>
      <c r="I35" s="1394"/>
      <c r="J35" s="1395"/>
      <c r="K35" s="2693"/>
      <c r="L35" s="2692"/>
      <c r="M35" s="2692"/>
    </row>
    <row r="36" spans="1:18" ht="18" customHeight="1">
      <c r="A36" s="1098" t="s">
        <v>402</v>
      </c>
      <c r="B36" s="299" t="s">
        <v>738</v>
      </c>
      <c r="C36" s="21">
        <f ca="1">ROUND(C29*F36,2)</f>
        <v>0</v>
      </c>
      <c r="D36" s="1340" t="s">
        <v>771</v>
      </c>
      <c r="E36" s="299" t="s">
        <v>712</v>
      </c>
      <c r="F36" s="325">
        <f ca="1">INDIRECT("'数据-取费表'!Ak"&amp;$G$1)</f>
        <v>0</v>
      </c>
      <c r="G36" s="1380"/>
      <c r="H36" s="2692"/>
      <c r="I36" s="1394"/>
      <c r="J36" s="1395"/>
      <c r="K36" s="2536"/>
      <c r="L36" s="2692"/>
      <c r="M36" s="2692"/>
    </row>
    <row r="37" spans="1:18" ht="18" customHeight="1">
      <c r="A37" s="978" t="s">
        <v>437</v>
      </c>
      <c r="B37" s="299" t="s">
        <v>742</v>
      </c>
      <c r="C37" s="21">
        <f ca="1">ROUND(C13*F37,2)</f>
        <v>0</v>
      </c>
      <c r="D37" s="1340" t="s">
        <v>743</v>
      </c>
      <c r="E37" s="299" t="s">
        <v>744</v>
      </c>
      <c r="F37" s="327">
        <f ca="1">INDIRECT("'数据-取费表'!Al"&amp;$G$1)</f>
        <v>0</v>
      </c>
      <c r="G37" s="1380"/>
      <c r="H37" s="2692"/>
      <c r="I37" s="1394"/>
      <c r="J37" s="1395"/>
      <c r="K37" s="2536"/>
      <c r="L37" s="2692"/>
      <c r="M37" s="2692"/>
    </row>
    <row r="38" spans="1:18" ht="18" customHeight="1" thickBot="1">
      <c r="A38" s="1085" t="s">
        <v>684</v>
      </c>
      <c r="B38" s="1086" t="s">
        <v>728</v>
      </c>
      <c r="C38" s="1087">
        <f ca="1">ROUND(C5*F38,2)</f>
        <v>0</v>
      </c>
      <c r="D38" s="1088" t="s">
        <v>748</v>
      </c>
      <c r="E38" s="1086" t="s">
        <v>744</v>
      </c>
      <c r="F38" s="1082">
        <f ca="1">INDIRECT("'数据-取费表'!Am"&amp;$G$1)</f>
        <v>0</v>
      </c>
      <c r="G38" s="1380"/>
      <c r="H38" s="2692"/>
      <c r="I38" s="1394"/>
      <c r="J38" s="1395"/>
      <c r="K38" s="2696"/>
      <c r="L38" s="2692"/>
      <c r="M38" s="2692"/>
    </row>
    <row r="39" spans="1:18" ht="24.6" customHeight="1" thickTop="1">
      <c r="A39" s="1075" t="s">
        <v>394</v>
      </c>
      <c r="B39" s="1090" t="s">
        <v>772</v>
      </c>
      <c r="C39" s="307">
        <f ca="1">C5-C30</f>
        <v>0</v>
      </c>
      <c r="D39" s="1091" t="s">
        <v>773</v>
      </c>
      <c r="E39" s="1092"/>
      <c r="F39" s="1093"/>
      <c r="G39" s="1380"/>
      <c r="H39" s="2692"/>
      <c r="I39" s="1394"/>
      <c r="J39" s="1395"/>
      <c r="K39" s="2696"/>
      <c r="L39" s="2692"/>
      <c r="M39" s="2692"/>
    </row>
    <row r="40" spans="1:18" ht="18" customHeight="1">
      <c r="A40" s="296" t="s">
        <v>395</v>
      </c>
      <c r="B40" s="297" t="s">
        <v>774</v>
      </c>
      <c r="C40" s="298" t="e">
        <f ca="1">ROUND(C39*(1-((1+F42)/(1+F40))^F41)/(F40-F42),0)</f>
        <v>#DIV/0!</v>
      </c>
      <c r="D40" s="321" t="s">
        <v>758</v>
      </c>
      <c r="E40" s="299" t="s">
        <v>759</v>
      </c>
      <c r="F40" s="309">
        <f ca="1">INDIRECT("'数据-取费表'!I"&amp;$G$1)</f>
        <v>0</v>
      </c>
      <c r="G40" s="1380"/>
      <c r="H40" s="1457"/>
      <c r="I40" s="1394"/>
      <c r="J40" s="1395"/>
      <c r="K40" s="2696"/>
      <c r="L40" s="1457"/>
      <c r="M40" s="1457"/>
    </row>
    <row r="41" spans="1:18" ht="18" customHeight="1">
      <c r="A41" s="301"/>
      <c r="B41" s="302"/>
      <c r="C41" s="303"/>
      <c r="D41" s="329" t="s">
        <v>775</v>
      </c>
      <c r="E41" s="299" t="s">
        <v>763</v>
      </c>
      <c r="F41" s="330">
        <f ca="1">IF(INDIRECT("'数据-取费表'!af"&amp;$G$1)=0,INDIRECT("'数据-取费表'!ae"&amp;$G$1),INDIRECT("'数据-取费表'!af"&amp;$G$1))</f>
        <v>0</v>
      </c>
      <c r="G41" s="1380"/>
      <c r="H41" s="1187"/>
      <c r="I41" s="1394"/>
      <c r="J41" s="1395"/>
      <c r="K41" s="2536"/>
      <c r="L41" s="1187"/>
      <c r="M41" s="1187"/>
    </row>
    <row r="42" spans="1:18" ht="18" customHeight="1">
      <c r="A42" s="305"/>
      <c r="B42" s="306"/>
      <c r="C42" s="307"/>
      <c r="D42" s="324"/>
      <c r="E42" s="299" t="s">
        <v>766</v>
      </c>
      <c r="F42" s="309">
        <f ca="1">INDIRECT("'数据-取费表'!v"&amp;$G$1)</f>
        <v>0</v>
      </c>
      <c r="G42" s="1380"/>
      <c r="H42" s="1187"/>
      <c r="I42" s="1394"/>
      <c r="J42" s="1395"/>
      <c r="K42" s="2536"/>
      <c r="L42" s="1187"/>
      <c r="M42" s="1187"/>
    </row>
    <row r="43" spans="1:18" ht="18" customHeight="1" thickBot="1">
      <c r="A43" s="331" t="s">
        <v>396</v>
      </c>
      <c r="B43" s="332" t="s">
        <v>776</v>
      </c>
      <c r="C43" s="333" t="e">
        <f ca="1">ROUND(C40*10000/F43,0)</f>
        <v>#DIV/0!</v>
      </c>
      <c r="D43" s="334" t="s">
        <v>777</v>
      </c>
      <c r="E43" s="335" t="s">
        <v>778</v>
      </c>
      <c r="F43" s="336">
        <f ca="1">INDIRECT("'数据-取费表'!k"&amp;$G$1)</f>
        <v>0</v>
      </c>
      <c r="G43" s="1380"/>
      <c r="H43" s="1187"/>
      <c r="I43" s="1187"/>
      <c r="J43" s="1187"/>
      <c r="K43" s="2536"/>
      <c r="L43" s="1187"/>
      <c r="M43" s="1187"/>
    </row>
    <row r="44" spans="1:18" s="1380" customFormat="1" ht="18" customHeight="1">
      <c r="A44" s="1396"/>
      <c r="B44" s="1396"/>
      <c r="C44" s="1397"/>
      <c r="D44" s="1396"/>
      <c r="E44" s="1396"/>
      <c r="F44" s="1396"/>
      <c r="K44" s="1398"/>
    </row>
    <row r="45" spans="1:18" s="1380" customFormat="1" ht="18" customHeight="1" thickBot="1">
      <c r="A45" s="1396"/>
      <c r="B45" s="1396"/>
      <c r="C45" s="1397"/>
      <c r="D45" s="1396"/>
      <c r="E45" s="1396"/>
      <c r="F45" s="1396"/>
      <c r="J45" s="722"/>
      <c r="O45" s="2697" t="s">
        <v>808</v>
      </c>
      <c r="P45" s="1457"/>
      <c r="Q45" s="1457"/>
      <c r="R45" s="1457"/>
    </row>
    <row r="46" spans="1:18" s="1380" customFormat="1" ht="13.5" thickBot="1">
      <c r="A46" s="1400" t="s">
        <v>809</v>
      </c>
      <c r="C46" s="1401" t="e">
        <f ca="1">C68-C40</f>
        <v>#DIV/0!</v>
      </c>
      <c r="D46" s="1402" t="str">
        <f>C2</f>
        <v>万元</v>
      </c>
      <c r="E46" s="1396"/>
      <c r="F46" s="1396"/>
      <c r="I46" s="1403" t="s">
        <v>810</v>
      </c>
      <c r="J46" s="1404"/>
      <c r="K46" s="1405"/>
      <c r="L46" s="1406" t="e">
        <f ca="1">IF(M47="住宅",0,IF(L48&gt;J51,L60,J60))</f>
        <v>#DIV/0!</v>
      </c>
      <c r="O46" s="1407" t="s">
        <v>811</v>
      </c>
      <c r="P46" s="1408" t="s">
        <v>812</v>
      </c>
      <c r="Q46" s="1409" t="s">
        <v>813</v>
      </c>
      <c r="R46" s="1409" t="s">
        <v>814</v>
      </c>
    </row>
    <row r="47" spans="1:18" s="1380" customFormat="1" ht="13.5" thickBot="1">
      <c r="A47" s="942" t="s">
        <v>687</v>
      </c>
      <c r="B47" s="974" t="s">
        <v>688</v>
      </c>
      <c r="C47" s="1113" t="s">
        <v>689</v>
      </c>
      <c r="D47" s="974" t="s">
        <v>690</v>
      </c>
      <c r="E47" s="1054" t="s">
        <v>691</v>
      </c>
      <c r="F47" s="1055"/>
      <c r="G47" s="718"/>
      <c r="I47" s="1410" t="s">
        <v>815</v>
      </c>
      <c r="J47" s="1411"/>
      <c r="K47" s="1412" t="s">
        <v>816</v>
      </c>
      <c r="L47" s="1413">
        <f ca="1">INDIRECT("'数据-取费表'!d"&amp;$G$1)</f>
        <v>0</v>
      </c>
      <c r="M47" s="1376" t="str">
        <f>IF(ISNUMBER(FIND("住宅",C1)),"住宅","非住宅")</f>
        <v>非住宅</v>
      </c>
      <c r="O47" s="1414" t="s">
        <v>403</v>
      </c>
      <c r="P47" s="1415" t="s">
        <v>817</v>
      </c>
      <c r="Q47" s="1416" t="e">
        <f ca="1">C40+J29</f>
        <v>#DIV/0!</v>
      </c>
      <c r="R47" s="1416" t="s">
        <v>818</v>
      </c>
    </row>
    <row r="48" spans="1:18" s="1380" customFormat="1" ht="28.5" thickBot="1">
      <c r="A48" s="1106" t="s">
        <v>438</v>
      </c>
      <c r="B48" s="297" t="s">
        <v>692</v>
      </c>
      <c r="C48" s="1355">
        <f ca="1">C49+C53+C55</f>
        <v>0</v>
      </c>
      <c r="D48" s="1108"/>
      <c r="E48" s="1109"/>
      <c r="F48" s="958"/>
      <c r="G48" s="718"/>
      <c r="H48" s="719"/>
      <c r="I48" s="1417" t="s">
        <v>819</v>
      </c>
      <c r="J48" s="1418"/>
      <c r="K48" s="1419" t="s">
        <v>820</v>
      </c>
      <c r="L48" s="1420">
        <f ca="1">INDIRECT("'数据-取费表'!f"&amp;$G$1)</f>
        <v>0</v>
      </c>
      <c r="O48" s="1414" t="s">
        <v>404</v>
      </c>
      <c r="P48" s="1415" t="s">
        <v>821</v>
      </c>
      <c r="Q48" s="1416" t="e">
        <f ca="1">J60</f>
        <v>#DIV/0!</v>
      </c>
      <c r="R48" s="1416" t="s">
        <v>822</v>
      </c>
    </row>
    <row r="49" spans="1:18" s="1380" customFormat="1" ht="13.5" thickBot="1">
      <c r="A49" s="971" t="s">
        <v>439</v>
      </c>
      <c r="B49" s="1367" t="s">
        <v>779</v>
      </c>
      <c r="C49" s="1110">
        <f ca="1">ROUND(F49*F51*F50*(1-F52)/10000,0)</f>
        <v>0</v>
      </c>
      <c r="D49" s="1051" t="s">
        <v>2110</v>
      </c>
      <c r="E49" s="1368" t="s">
        <v>780</v>
      </c>
      <c r="F49" s="1056"/>
      <c r="G49" s="1421"/>
      <c r="H49" s="719"/>
      <c r="I49" s="1417" t="s">
        <v>823</v>
      </c>
      <c r="J49" s="1422"/>
      <c r="K49" s="1419" t="s">
        <v>824</v>
      </c>
      <c r="L49" s="1423"/>
      <c r="O49" s="1424" t="s">
        <v>405</v>
      </c>
      <c r="P49" s="1415" t="s">
        <v>825</v>
      </c>
      <c r="Q49" s="1416">
        <f ca="1">C29</f>
        <v>0</v>
      </c>
      <c r="R49" s="1416" t="s">
        <v>818</v>
      </c>
    </row>
    <row r="50" spans="1:18" s="1380" customFormat="1" ht="13.5" thickBot="1">
      <c r="A50" s="972"/>
      <c r="B50" s="975"/>
      <c r="C50" s="1114"/>
      <c r="D50" s="949"/>
      <c r="E50" s="1052" t="s">
        <v>697</v>
      </c>
      <c r="F50" s="1053">
        <f ca="1">F7</f>
        <v>0</v>
      </c>
      <c r="H50" s="719"/>
      <c r="I50" s="1417" t="s">
        <v>826</v>
      </c>
      <c r="J50" s="1425">
        <f>SUMPRODUCT((I63:I65=J47)*(J62:L62=J48)*(J63:L65))</f>
        <v>0</v>
      </c>
      <c r="K50" s="1419" t="s">
        <v>827</v>
      </c>
      <c r="L50" s="1423"/>
      <c r="M50" s="1426"/>
      <c r="O50" s="1424" t="s">
        <v>406</v>
      </c>
      <c r="P50" s="1415" t="s">
        <v>828</v>
      </c>
      <c r="Q50" s="1427" t="e">
        <f ca="1">J58</f>
        <v>#DIV/0!</v>
      </c>
      <c r="R50" s="1416"/>
    </row>
    <row r="51" spans="1:18" s="1380" customFormat="1" ht="13.5" thickBot="1">
      <c r="A51" s="973"/>
      <c r="B51" s="975"/>
      <c r="C51" s="976"/>
      <c r="D51" s="949"/>
      <c r="E51" s="977" t="s">
        <v>698</v>
      </c>
      <c r="F51" s="300">
        <f ca="1">F8</f>
        <v>0</v>
      </c>
      <c r="I51" s="1428" t="s">
        <v>829</v>
      </c>
      <c r="J51" s="1429">
        <f>IF(J49="",J50,J49+J50-YEAR('数据-取费表'!B2))</f>
        <v>0</v>
      </c>
      <c r="K51" s="1430" t="s">
        <v>830</v>
      </c>
      <c r="L51" s="1431">
        <f ca="1">ROUND(-PV(INDIRECT("'数据-取费表'!h"&amp;$G$1),J51,(C39-C13*C76),0),0)</f>
        <v>0</v>
      </c>
      <c r="M51" s="1432"/>
      <c r="O51" s="1424" t="s">
        <v>407</v>
      </c>
      <c r="P51" s="1415" t="s">
        <v>831</v>
      </c>
      <c r="Q51" s="1427">
        <f>J52</f>
        <v>0</v>
      </c>
      <c r="R51" s="1416"/>
    </row>
    <row r="52" spans="1:18" s="1380" customFormat="1" ht="13.5" thickBot="1">
      <c r="A52" s="973"/>
      <c r="B52" s="975"/>
      <c r="C52" s="976"/>
      <c r="D52" s="949"/>
      <c r="E52" s="977" t="s">
        <v>699</v>
      </c>
      <c r="F52" s="1050"/>
      <c r="I52" s="1433" t="s">
        <v>832</v>
      </c>
      <c r="J52" s="1434"/>
      <c r="K52" s="1433" t="s">
        <v>833</v>
      </c>
      <c r="L52" s="1434"/>
      <c r="O52" s="1424" t="s">
        <v>408</v>
      </c>
      <c r="P52" s="1415" t="s">
        <v>834</v>
      </c>
      <c r="Q52" s="1416">
        <f ca="1">J53</f>
        <v>0</v>
      </c>
      <c r="R52" s="1416" t="s">
        <v>835</v>
      </c>
    </row>
    <row r="53" spans="1:18" s="1380" customFormat="1" ht="24.75" thickBot="1">
      <c r="A53" s="1148" t="s">
        <v>440</v>
      </c>
      <c r="B53" s="1369" t="s">
        <v>700</v>
      </c>
      <c r="C53" s="313">
        <f ca="1">ROUND(IF(F53="押一",C49/12*F11,IF(F53="押二",C49/12*2*F11,IF(F53="押三",C49/12*3*F11,C54*F11))),0)</f>
        <v>0</v>
      </c>
      <c r="D53" s="1362" t="s">
        <v>2116</v>
      </c>
      <c r="E53" s="310" t="s">
        <v>701</v>
      </c>
      <c r="F53" s="1112"/>
      <c r="I53" s="1435" t="s">
        <v>836</v>
      </c>
      <c r="J53" s="2161">
        <f ca="1">IF(M47="住宅",IF(D1="——",MAX(J51,L48),MAX(J51,L48-'数据-取费表'!B24)),IF(D1="——",MIN(J51,L48),MIN(J51,L48-'数据-取费表'!B24)))</f>
        <v>0</v>
      </c>
      <c r="K53" s="3712" t="s">
        <v>837</v>
      </c>
      <c r="L53" s="3713"/>
      <c r="O53" s="1414" t="s">
        <v>409</v>
      </c>
      <c r="P53" s="1415" t="s">
        <v>838</v>
      </c>
      <c r="Q53" s="1416" t="e">
        <f ca="1">Q47+Q48</f>
        <v>#DIV/0!</v>
      </c>
      <c r="R53" s="1416" t="s">
        <v>410</v>
      </c>
    </row>
    <row r="54" spans="1:18" s="1380" customFormat="1" ht="13.5" thickBot="1">
      <c r="A54" s="1149"/>
      <c r="B54" s="1363" t="s">
        <v>679</v>
      </c>
      <c r="C54" s="955"/>
      <c r="D54" s="1362"/>
      <c r="E54" s="1370"/>
      <c r="F54" s="1436"/>
      <c r="I54" s="143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438"/>
      <c r="K54" s="1438"/>
      <c r="L54" s="1438"/>
      <c r="M54" s="1421"/>
      <c r="O54" s="1399" t="s">
        <v>839</v>
      </c>
      <c r="P54" s="1377"/>
      <c r="Q54" s="1377"/>
      <c r="R54" s="1377"/>
    </row>
    <row r="55" spans="1:18" s="1380" customFormat="1" ht="13.5" thickBot="1">
      <c r="A55" s="1079" t="s">
        <v>437</v>
      </c>
      <c r="B55" s="1365" t="s">
        <v>703</v>
      </c>
      <c r="C55" s="1080"/>
      <c r="D55" s="1362"/>
      <c r="E55" s="1370"/>
      <c r="F55" s="1436"/>
      <c r="I55" s="1439" t="s">
        <v>840</v>
      </c>
      <c r="J55" s="1440" t="e">
        <f ca="1">ROUND(IF(J47="钢混",J57/J50,1-(1-2%)*(J50-J57)/J50),3)</f>
        <v>#DIV/0!</v>
      </c>
      <c r="K55" s="1441" t="s">
        <v>841</v>
      </c>
      <c r="L55" s="1442"/>
      <c r="O55" s="1407" t="s">
        <v>811</v>
      </c>
      <c r="P55" s="1408" t="s">
        <v>812</v>
      </c>
      <c r="Q55" s="1409" t="s">
        <v>813</v>
      </c>
      <c r="R55" s="1409" t="s">
        <v>814</v>
      </c>
    </row>
    <row r="56" spans="1:18" s="1380" customFormat="1" ht="25.5" thickTop="1" thickBot="1">
      <c r="A56" s="953">
        <v>2</v>
      </c>
      <c r="B56" s="954" t="s">
        <v>704</v>
      </c>
      <c r="C56" s="229">
        <f ca="1">C13</f>
        <v>0</v>
      </c>
      <c r="D56" s="1443"/>
      <c r="E56" s="1444"/>
      <c r="F56" s="1436"/>
      <c r="I56" s="1445" t="s">
        <v>842</v>
      </c>
      <c r="J56" s="1446"/>
      <c r="K56" s="1417" t="s">
        <v>843</v>
      </c>
      <c r="L56" s="1420">
        <f ca="1">IF(L48&lt;J51,"——",L48-J53)</f>
        <v>0</v>
      </c>
      <c r="O56" s="1414" t="s">
        <v>403</v>
      </c>
      <c r="P56" s="1415" t="s">
        <v>817</v>
      </c>
      <c r="Q56" s="1416" t="e">
        <f ca="1">C40+J29</f>
        <v>#DIV/0!</v>
      </c>
      <c r="R56" s="1416" t="s">
        <v>818</v>
      </c>
    </row>
    <row r="57" spans="1:18" s="1380" customFormat="1" ht="24.75" thickBot="1">
      <c r="A57" s="1447"/>
      <c r="B57" s="946" t="s">
        <v>767</v>
      </c>
      <c r="C57" s="235">
        <f ca="1">C29</f>
        <v>0</v>
      </c>
      <c r="D57" s="1448"/>
      <c r="E57" s="1449"/>
      <c r="F57" s="1450"/>
      <c r="I57" s="1451" t="s">
        <v>844</v>
      </c>
      <c r="J57" s="1452">
        <f ca="1">IF(OR(M47="住宅",J51&lt;L48,J56="是"),"——",J51-L48)</f>
        <v>0</v>
      </c>
      <c r="K57" s="1417" t="s">
        <v>845</v>
      </c>
      <c r="L57" s="1420">
        <f ca="1">IF(L48&lt;J51,"——",IF(L55="比较法",L49,IF(L55="基准地价",L50,L51)))</f>
        <v>0</v>
      </c>
      <c r="O57" s="1414" t="s">
        <v>404</v>
      </c>
      <c r="P57" s="1415" t="s">
        <v>846</v>
      </c>
      <c r="Q57" s="1416" t="e">
        <f ca="1">L60</f>
        <v>#DIV/0!</v>
      </c>
      <c r="R57" s="1416" t="s">
        <v>847</v>
      </c>
    </row>
    <row r="58" spans="1:18" s="1380" customFormat="1" ht="24.75" thickBot="1">
      <c r="A58" s="312" t="s">
        <v>393</v>
      </c>
      <c r="B58" s="954" t="s">
        <v>714</v>
      </c>
      <c r="C58" s="313">
        <f ca="1">ROUND(C59+C64+C65+C66,0)</f>
        <v>0</v>
      </c>
      <c r="D58" s="956" t="s">
        <v>715</v>
      </c>
      <c r="E58" s="957"/>
      <c r="F58" s="958"/>
      <c r="I58" s="1451" t="s">
        <v>848</v>
      </c>
      <c r="J58" s="1453" t="e">
        <f ca="1">IF(J55&lt;0.4,0.4,J55)</f>
        <v>#DIV/0!</v>
      </c>
      <c r="K58" s="1430" t="s">
        <v>849</v>
      </c>
      <c r="L58" s="1420" t="e">
        <f ca="1">ROUND(POWER(1+L52,L47-L48)*(POWER(1+L52,L48)-1)/(POWER(1+L52,L47)-1),4)</f>
        <v>#DIV/0!</v>
      </c>
      <c r="O58" s="1424" t="s">
        <v>405</v>
      </c>
      <c r="P58" s="1415" t="s">
        <v>850</v>
      </c>
      <c r="Q58" s="1416">
        <f>IF(L55="比较法",L49,IF(L55="基准地价",L50,0))</f>
        <v>0</v>
      </c>
      <c r="R58" s="1416" t="s">
        <v>818</v>
      </c>
    </row>
    <row r="59" spans="1:18" s="1380" customFormat="1" ht="24.75" thickBot="1">
      <c r="A59" s="978" t="s">
        <v>398</v>
      </c>
      <c r="B59" s="946" t="s">
        <v>719</v>
      </c>
      <c r="C59" s="2309">
        <f ca="1">ROUND(IF(AND(项目基本情况!B11="自然人",项目基本情况!B10="北京市"),C49*F59/(1+'数据-取费表'!C42),C60+C61+C62),0)</f>
        <v>0</v>
      </c>
      <c r="D59" s="959" t="s">
        <v>720</v>
      </c>
      <c r="E59" s="960" t="s">
        <v>721</v>
      </c>
      <c r="F59" s="2308" t="str">
        <f>IF(项目基本情况!B11="企业","——",IF('数据-取费表'!B10="住宅",IF(F49*F50*F51/12/(1+'数据-取费表'!F30)&gt;100000,4%,2.5%),IF(F49*F50*F51/12/(1+'数据-取费表'!F30)&gt;100000,12%,7%)))</f>
        <v>——</v>
      </c>
      <c r="I59" s="1451" t="s">
        <v>851</v>
      </c>
      <c r="J59" s="1452" t="e">
        <f ca="1">IF(OR(M47="住宅",J51&lt;L48,J56="是"),"——",ROUND(C29*J58,0))</f>
        <v>#DIV/0!</v>
      </c>
      <c r="K59" s="141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0" t="e">
        <f ca="1">ROUND(IF(D1="在建（套用方法）",M59,IF(D1="土地（套用方法）",N59,POWER(1+L52,L47-J51)*(POWER(1+L52,J51)-1)/(POWER(1+L52,L47)-1))),4)</f>
        <v>#DIV/0!</v>
      </c>
      <c r="M59" s="1376" t="e">
        <f ca="1">ROUND(POWER(1+L52,L47-(J51+'数据-取费表'!B24))*(POWER(1+L52,(J51+'数据-取费表'!B24))-1)/(POWER(1+L52,L47)-1),4)</f>
        <v>#DIV/0!</v>
      </c>
      <c r="N59" s="1376" t="e">
        <f ca="1">ROUND(POWER(1+L52,L47-(J51+'数据-取费表'!B20))*(POWER(1+L52,(J51+'数据-取费表'!B20))-1)/(POWER(1+L52,L47)-1),4)</f>
        <v>#DIV/0!</v>
      </c>
      <c r="O59" s="1424" t="s">
        <v>406</v>
      </c>
      <c r="P59" s="1415" t="s">
        <v>852</v>
      </c>
      <c r="Q59" s="1427">
        <f>L52</f>
        <v>0</v>
      </c>
      <c r="R59" s="1416"/>
    </row>
    <row r="60" spans="1:18" s="1380" customFormat="1" ht="16.5" thickBot="1">
      <c r="A60" s="978" t="s">
        <v>397</v>
      </c>
      <c r="B60" s="946" t="s">
        <v>723</v>
      </c>
      <c r="C60" s="21">
        <f ca="1">IF(项目基本情况!B11="自然人","——",ROUND(C48*F60/(1+'数据-取费表'!C42),2))</f>
        <v>0</v>
      </c>
      <c r="D60" s="960" t="s">
        <v>724</v>
      </c>
      <c r="E60" s="946" t="s">
        <v>712</v>
      </c>
      <c r="F60" s="328">
        <f t="shared" ref="F60:F66" si="0">F32</f>
        <v>5.5000000000000007E-2</v>
      </c>
      <c r="I60" s="1454" t="s">
        <v>853</v>
      </c>
      <c r="J60" s="1455" t="e">
        <f ca="1">IF(OR(M47="住宅",J51&lt;L48,J56="是"),"0",ROUND(J59/(1+J52)^J53,0))</f>
        <v>#DIV/0!</v>
      </c>
      <c r="K60" s="1456" t="s">
        <v>854</v>
      </c>
      <c r="L60" s="1455" t="e">
        <f ca="1">IF(OR(M47="住宅",L48&lt;J51),0,ROUND(L57*(L58/L59-1),0))</f>
        <v>#DIV/0!</v>
      </c>
      <c r="O60" s="1424" t="s">
        <v>407</v>
      </c>
      <c r="P60" s="1415" t="s">
        <v>855</v>
      </c>
      <c r="Q60" s="1416" t="e">
        <f ca="1">L58</f>
        <v>#DIV/0!</v>
      </c>
      <c r="R60" s="1416" t="s">
        <v>856</v>
      </c>
    </row>
    <row r="61" spans="1:18" s="1380" customFormat="1" ht="13.5" thickBot="1">
      <c r="A61" s="978" t="s">
        <v>781</v>
      </c>
      <c r="B61" s="946" t="s">
        <v>782</v>
      </c>
      <c r="C61" s="21">
        <f ca="1">IF(项目基本情况!B11="自然人","——",IF(D61="按租金收入计税",ROUND(C49*F61/(1+'数据-取费表'!C42),2),IF(D61="按房产原值计税",ROUND(C57*F61*0.7,2),INDIRECT("'数据-取费表'!Aj"&amp;$G$1))))</f>
        <v>0</v>
      </c>
      <c r="D61" s="1366" t="s">
        <v>3340</v>
      </c>
      <c r="E61" s="946" t="s">
        <v>783</v>
      </c>
      <c r="F61" s="319">
        <f t="shared" si="0"/>
        <v>0.12</v>
      </c>
      <c r="I61" s="1457"/>
      <c r="J61" s="1457"/>
      <c r="K61" s="1457"/>
      <c r="L61" s="1457"/>
      <c r="O61" s="1424" t="s">
        <v>408</v>
      </c>
      <c r="P61" s="1415" t="str">
        <f>K59</f>
        <v>建筑物剩余耐用年限下的土地年期修正系数Kn</v>
      </c>
      <c r="Q61" s="1416" t="e">
        <f ca="1">L59</f>
        <v>#DIV/0!</v>
      </c>
      <c r="R61" s="1416" t="s">
        <v>857</v>
      </c>
    </row>
    <row r="62" spans="1:18" s="1380" customFormat="1" ht="13.5" thickBot="1">
      <c r="A62" s="978" t="s">
        <v>784</v>
      </c>
      <c r="B62" s="945" t="s">
        <v>785</v>
      </c>
      <c r="C62" s="22">
        <f ca="1">IF(项目基本情况!B11="自然人","——",ROUND(F62*F63/10000,2))</f>
        <v>0</v>
      </c>
      <c r="D62" s="961" t="s">
        <v>786</v>
      </c>
      <c r="E62" s="946" t="s">
        <v>787</v>
      </c>
      <c r="F62" s="322">
        <f t="shared" si="0"/>
        <v>1.5</v>
      </c>
      <c r="I62" s="1458" t="s">
        <v>858</v>
      </c>
      <c r="J62" s="1459" t="s">
        <v>859</v>
      </c>
      <c r="K62" s="1459" t="s">
        <v>860</v>
      </c>
      <c r="L62" s="1459" t="s">
        <v>861</v>
      </c>
      <c r="M62" s="1460" t="s">
        <v>862</v>
      </c>
      <c r="O62" s="1414" t="s">
        <v>409</v>
      </c>
      <c r="P62" s="1415" t="s">
        <v>863</v>
      </c>
      <c r="Q62" s="1416" t="e">
        <f ca="1">Q56+Q57</f>
        <v>#DIV/0!</v>
      </c>
      <c r="R62" s="1416" t="s">
        <v>410</v>
      </c>
    </row>
    <row r="63" spans="1:18" s="1380" customFormat="1" ht="13.5" thickBot="1">
      <c r="A63" s="323"/>
      <c r="B63" s="952"/>
      <c r="C63" s="26"/>
      <c r="D63" s="962"/>
      <c r="E63" s="946" t="s">
        <v>788</v>
      </c>
      <c r="F63" s="300">
        <f t="shared" ca="1" si="0"/>
        <v>0</v>
      </c>
      <c r="I63" s="1458" t="s">
        <v>864</v>
      </c>
      <c r="J63" s="1459">
        <v>70</v>
      </c>
      <c r="K63" s="1459">
        <v>50</v>
      </c>
      <c r="L63" s="1459">
        <v>80</v>
      </c>
      <c r="M63" s="1461">
        <v>0.02</v>
      </c>
      <c r="O63" s="1399" t="s">
        <v>865</v>
      </c>
      <c r="P63" s="1377"/>
      <c r="Q63" s="1377"/>
      <c r="R63" s="1377"/>
    </row>
    <row r="64" spans="1:18" s="1380" customFormat="1" ht="13.5" thickBot="1">
      <c r="A64" s="978" t="s">
        <v>789</v>
      </c>
      <c r="B64" s="946" t="s">
        <v>790</v>
      </c>
      <c r="C64" s="21">
        <f ca="1">ROUND(C57*F64,2)</f>
        <v>0</v>
      </c>
      <c r="D64" s="960" t="s">
        <v>791</v>
      </c>
      <c r="E64" s="946" t="s">
        <v>783</v>
      </c>
      <c r="F64" s="325">
        <f t="shared" ca="1" si="0"/>
        <v>0</v>
      </c>
      <c r="I64" s="1458" t="s">
        <v>866</v>
      </c>
      <c r="J64" s="1459">
        <v>50</v>
      </c>
      <c r="K64" s="1459">
        <v>35</v>
      </c>
      <c r="L64" s="1459">
        <v>60</v>
      </c>
      <c r="M64" s="1460">
        <v>0</v>
      </c>
      <c r="O64" s="1407" t="s">
        <v>811</v>
      </c>
      <c r="P64" s="1408" t="s">
        <v>812</v>
      </c>
      <c r="Q64" s="1409" t="s">
        <v>813</v>
      </c>
      <c r="R64" s="1409" t="s">
        <v>814</v>
      </c>
    </row>
    <row r="65" spans="1:18" s="1380" customFormat="1" ht="13.5" thickBot="1">
      <c r="A65" s="978" t="s">
        <v>792</v>
      </c>
      <c r="B65" s="946" t="s">
        <v>742</v>
      </c>
      <c r="C65" s="21">
        <f ca="1">ROUND(C56*F65,2)</f>
        <v>0</v>
      </c>
      <c r="D65" s="960" t="s">
        <v>743</v>
      </c>
      <c r="E65" s="946" t="s">
        <v>744</v>
      </c>
      <c r="F65" s="327">
        <f t="shared" ca="1" si="0"/>
        <v>0</v>
      </c>
      <c r="I65" s="1458" t="s">
        <v>867</v>
      </c>
      <c r="J65" s="1459">
        <v>40</v>
      </c>
      <c r="K65" s="1459">
        <v>30</v>
      </c>
      <c r="L65" s="1459">
        <v>50</v>
      </c>
      <c r="M65" s="1461">
        <v>0.02</v>
      </c>
      <c r="O65" s="1414" t="s">
        <v>403</v>
      </c>
      <c r="P65" s="1415" t="s">
        <v>868</v>
      </c>
      <c r="Q65" s="1416" t="e">
        <f ca="1">C40+J29</f>
        <v>#DIV/0!</v>
      </c>
      <c r="R65" s="1416" t="s">
        <v>818</v>
      </c>
    </row>
    <row r="66" spans="1:18" s="1380" customFormat="1" ht="16.5" thickBot="1">
      <c r="A66" s="978" t="s">
        <v>793</v>
      </c>
      <c r="B66" s="946" t="s">
        <v>728</v>
      </c>
      <c r="C66" s="21">
        <f ca="1">ROUND(C48*F66,2)</f>
        <v>0</v>
      </c>
      <c r="D66" s="960" t="s">
        <v>794</v>
      </c>
      <c r="E66" s="946" t="s">
        <v>712</v>
      </c>
      <c r="F66" s="309">
        <f t="shared" ca="1" si="0"/>
        <v>0</v>
      </c>
      <c r="O66" s="1414" t="s">
        <v>404</v>
      </c>
      <c r="P66" s="1415" t="s">
        <v>846</v>
      </c>
      <c r="Q66" s="1416" t="e">
        <f ca="1">L60</f>
        <v>#DIV/0!</v>
      </c>
      <c r="R66" s="1416" t="s">
        <v>869</v>
      </c>
    </row>
    <row r="67" spans="1:18" s="1380" customFormat="1" ht="16.5" thickBot="1">
      <c r="A67" s="953" t="s">
        <v>394</v>
      </c>
      <c r="B67" s="963" t="s">
        <v>752</v>
      </c>
      <c r="C67" s="313">
        <f ca="1">C48-C58</f>
        <v>0</v>
      </c>
      <c r="D67" s="959" t="s">
        <v>753</v>
      </c>
      <c r="E67" s="964"/>
      <c r="F67" s="965"/>
      <c r="O67" s="1424" t="s">
        <v>405</v>
      </c>
      <c r="P67" s="1415" t="s">
        <v>850</v>
      </c>
      <c r="Q67" s="1462">
        <f ca="1">L51</f>
        <v>0</v>
      </c>
      <c r="R67" s="1416" t="s">
        <v>870</v>
      </c>
    </row>
    <row r="68" spans="1:18" s="1380" customFormat="1" ht="16.5" thickBot="1">
      <c r="A68" s="943" t="s">
        <v>395</v>
      </c>
      <c r="B68" s="944" t="s">
        <v>774</v>
      </c>
      <c r="C68" s="298" t="e">
        <f ca="1">ROUND(C67*(1-((1+F70)/(1+F68))^F69)/(F68-F70),0)</f>
        <v>#DIV/0!</v>
      </c>
      <c r="D68" s="961" t="s">
        <v>758</v>
      </c>
      <c r="E68" s="946" t="s">
        <v>759</v>
      </c>
      <c r="F68" s="309">
        <f ca="1">F40</f>
        <v>0</v>
      </c>
      <c r="O68" s="1424" t="s">
        <v>406</v>
      </c>
      <c r="P68" s="1463" t="s">
        <v>871</v>
      </c>
      <c r="Q68" s="1416">
        <f ca="1">ROUND(Q69-Q70*Q71,0)</f>
        <v>0</v>
      </c>
      <c r="R68" s="1416" t="s">
        <v>414</v>
      </c>
    </row>
    <row r="69" spans="1:18" s="1380" customFormat="1" ht="13.5" thickBot="1">
      <c r="A69" s="947"/>
      <c r="B69" s="948"/>
      <c r="C69" s="303"/>
      <c r="D69" s="966" t="s">
        <v>762</v>
      </c>
      <c r="E69" s="946" t="s">
        <v>763</v>
      </c>
      <c r="F69" s="330">
        <f ca="1">F41</f>
        <v>0</v>
      </c>
      <c r="O69" s="1424" t="s">
        <v>411</v>
      </c>
      <c r="P69" s="1463" t="s">
        <v>872</v>
      </c>
      <c r="Q69" s="1416">
        <f ca="1">C39</f>
        <v>0</v>
      </c>
      <c r="R69" s="1416" t="s">
        <v>818</v>
      </c>
    </row>
    <row r="70" spans="1:18" s="1380" customFormat="1" ht="13.5" thickBot="1">
      <c r="A70" s="950"/>
      <c r="B70" s="951"/>
      <c r="C70" s="307"/>
      <c r="D70" s="962"/>
      <c r="E70" s="946" t="s">
        <v>766</v>
      </c>
      <c r="F70" s="1050"/>
      <c r="O70" s="1424" t="s">
        <v>412</v>
      </c>
      <c r="P70" s="1463" t="s">
        <v>873</v>
      </c>
      <c r="Q70" s="1416">
        <f ca="1">C13</f>
        <v>0</v>
      </c>
      <c r="R70" s="1416" t="s">
        <v>818</v>
      </c>
    </row>
    <row r="71" spans="1:18" s="1380" customFormat="1" ht="13.5" thickBot="1">
      <c r="A71" s="967" t="s">
        <v>396</v>
      </c>
      <c r="B71" s="968" t="s">
        <v>776</v>
      </c>
      <c r="C71" s="333" t="e">
        <f ca="1">ROUND(C68*10000/F71,0)</f>
        <v>#DIV/0!</v>
      </c>
      <c r="D71" s="969" t="s">
        <v>777</v>
      </c>
      <c r="E71" s="970" t="s">
        <v>778</v>
      </c>
      <c r="F71" s="336">
        <f ca="1">F43</f>
        <v>0</v>
      </c>
      <c r="O71" s="1424" t="s">
        <v>413</v>
      </c>
      <c r="P71" s="1463" t="s">
        <v>874</v>
      </c>
      <c r="Q71" s="1427">
        <f ca="1">C76</f>
        <v>0</v>
      </c>
      <c r="R71" s="1416"/>
    </row>
    <row r="72" spans="1:18" s="1380" customFormat="1" ht="13.5" thickBot="1">
      <c r="B72" s="722"/>
      <c r="C72" s="722"/>
      <c r="O72" s="1424" t="s">
        <v>407</v>
      </c>
      <c r="P72" s="1415" t="s">
        <v>852</v>
      </c>
      <c r="Q72" s="1427">
        <f>L52</f>
        <v>0</v>
      </c>
      <c r="R72" s="1416"/>
    </row>
    <row r="73" spans="1:18" ht="16.5" thickBot="1">
      <c r="A73" s="1380"/>
      <c r="B73" s="722"/>
      <c r="C73" s="722"/>
      <c r="D73" s="1380"/>
      <c r="E73" s="1380"/>
      <c r="F73" s="1380"/>
      <c r="O73" s="1424" t="s">
        <v>408</v>
      </c>
      <c r="P73" s="1415" t="s">
        <v>855</v>
      </c>
      <c r="Q73" s="1416" t="e">
        <f ca="1">L58</f>
        <v>#DIV/0!</v>
      </c>
      <c r="R73" s="1416" t="s">
        <v>856</v>
      </c>
    </row>
    <row r="74" spans="1:18" ht="13.5" thickBot="1">
      <c r="A74" s="1380"/>
      <c r="B74" s="270" t="s">
        <v>875</v>
      </c>
      <c r="C74" s="1465"/>
      <c r="D74" s="1380"/>
      <c r="E74" s="1380"/>
      <c r="F74" s="1380"/>
      <c r="O74" s="1424" t="s">
        <v>415</v>
      </c>
      <c r="P74" s="1415" t="str">
        <f>K59</f>
        <v>建筑物剩余耐用年限下的土地年期修正系数Kn</v>
      </c>
      <c r="Q74" s="1416" t="e">
        <f ca="1">L59</f>
        <v>#DIV/0!</v>
      </c>
      <c r="R74" s="1416" t="s">
        <v>857</v>
      </c>
    </row>
    <row r="75" spans="1:18" ht="13.5" thickBot="1">
      <c r="A75" s="1380"/>
      <c r="B75" s="337" t="s">
        <v>795</v>
      </c>
      <c r="C75" s="338">
        <f ca="1">ROUND(C13*C76,0)</f>
        <v>0</v>
      </c>
      <c r="D75" s="1380"/>
      <c r="E75" s="1380"/>
      <c r="F75" s="1380"/>
      <c r="K75" s="1398"/>
      <c r="L75" s="1380"/>
      <c r="O75" s="1414" t="s">
        <v>409</v>
      </c>
      <c r="P75" s="1415" t="s">
        <v>838</v>
      </c>
      <c r="Q75" s="1416" t="e">
        <f ca="1">Q65+Q66</f>
        <v>#DIV/0!</v>
      </c>
      <c r="R75" s="1416" t="s">
        <v>410</v>
      </c>
    </row>
    <row r="76" spans="1:18">
      <c r="B76" s="339" t="s">
        <v>796</v>
      </c>
      <c r="C76" s="340">
        <f ca="1">INDIRECT("'数据-取费表'!j"&amp;$G$1)</f>
        <v>0</v>
      </c>
      <c r="I76" s="1380"/>
      <c r="J76" s="1380"/>
      <c r="K76" s="1398"/>
      <c r="L76" s="1380"/>
    </row>
    <row r="77" spans="1:18">
      <c r="B77" s="341" t="s">
        <v>797</v>
      </c>
      <c r="C77" s="342"/>
      <c r="I77" s="1380"/>
      <c r="J77" s="1380"/>
      <c r="K77" s="1398"/>
      <c r="L77" s="1380"/>
    </row>
    <row r="78" spans="1:18">
      <c r="B78" s="267" t="s">
        <v>798</v>
      </c>
      <c r="C78" s="343"/>
    </row>
    <row r="79" spans="1:18">
      <c r="B79" s="337" t="s">
        <v>799</v>
      </c>
      <c r="C79" s="271" t="e">
        <f ca="1">1-C80</f>
        <v>#DIV/0!</v>
      </c>
    </row>
    <row r="80" spans="1:18">
      <c r="B80" s="337" t="s">
        <v>800</v>
      </c>
      <c r="C80" s="271" t="e">
        <f ca="1">ROUND(C75/C39,3)</f>
        <v>#DIV/0!</v>
      </c>
    </row>
    <row r="81" spans="2:3">
      <c r="B81" s="267" t="s">
        <v>801</v>
      </c>
      <c r="C81" s="235"/>
    </row>
    <row r="82" spans="2:3">
      <c r="B82" s="270" t="s">
        <v>802</v>
      </c>
      <c r="C82" s="272" t="e">
        <f ca="1">1-C83</f>
        <v>#DIV/0!</v>
      </c>
    </row>
    <row r="83" spans="2:3">
      <c r="B83" s="270" t="s">
        <v>803</v>
      </c>
      <c r="C83" s="271" t="e">
        <f ca="1">ROUND(C13/C40,3)</f>
        <v>#DIV/0!</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66" priority="56">
      <formula>$L$48&gt;$J$51</formula>
    </cfRule>
  </conditionalFormatting>
  <conditionalFormatting sqref="I55 I60">
    <cfRule type="expression" dxfId="165" priority="57">
      <formula>$J$51&gt;$L$48</formula>
    </cfRule>
  </conditionalFormatting>
  <conditionalFormatting sqref="C11">
    <cfRule type="expression" dxfId="164" priority="3">
      <formula>$F$10="自定义"</formula>
    </cfRule>
  </conditionalFormatting>
  <conditionalFormatting sqref="J11">
    <cfRule type="expression" dxfId="163" priority="2">
      <formula>$M$10="自定义"</formula>
    </cfRule>
  </conditionalFormatting>
  <conditionalFormatting sqref="C54">
    <cfRule type="expression" dxfId="162"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估价范围判定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B30" zoomScale="81" zoomScaleNormal="60" zoomScaleSheetLayoutView="81" workbookViewId="0">
      <selection activeCell="J27" sqref="J27"/>
    </sheetView>
  </sheetViews>
  <sheetFormatPr defaultColWidth="9" defaultRowHeight="14.25"/>
  <cols>
    <col min="1" max="1" width="14.375" style="354" customWidth="1"/>
    <col min="2" max="2" width="15.875" style="354" customWidth="1"/>
    <col min="3" max="3" width="14.375" style="354" customWidth="1"/>
    <col min="4" max="4" width="14.125" style="354" customWidth="1"/>
    <col min="5" max="5" width="14.375" style="354" customWidth="1"/>
    <col min="6" max="6" width="12.125" style="354" customWidth="1"/>
    <col min="7" max="7" width="16.125" style="354" customWidth="1"/>
    <col min="8" max="8" width="12.125" style="354" customWidth="1"/>
    <col min="9" max="9" width="14.5" style="354" customWidth="1"/>
    <col min="10" max="10" width="12.125" style="354" customWidth="1"/>
    <col min="11" max="11" width="12.125" style="441" customWidth="1"/>
    <col min="12" max="12" width="12.125" style="442" customWidth="1"/>
    <col min="13" max="15" width="12.125" style="354" customWidth="1"/>
    <col min="16" max="16" width="10.125" style="354" customWidth="1"/>
    <col min="17" max="17" width="19.5" style="354" customWidth="1"/>
    <col min="18" max="22" width="6.125" style="354" customWidth="1"/>
    <col min="23" max="23" width="5.875" style="354" customWidth="1"/>
    <col min="24" max="24" width="4.125" style="354" customWidth="1"/>
    <col min="25" max="25" width="3.5" style="354" customWidth="1"/>
    <col min="26" max="26" width="19.875" style="354" customWidth="1"/>
    <col min="27" max="28" width="9.375" style="354" customWidth="1"/>
    <col min="29" max="16384" width="9" style="354"/>
  </cols>
  <sheetData>
    <row r="1" spans="1:30" s="349" customFormat="1" ht="28.5" customHeight="1">
      <c r="A1" s="345" t="s">
        <v>1867</v>
      </c>
      <c r="B1" s="346"/>
      <c r="C1" s="347" t="s">
        <v>1868</v>
      </c>
      <c r="D1" s="682"/>
      <c r="E1" s="682"/>
      <c r="F1" s="681" t="s">
        <v>1767</v>
      </c>
      <c r="G1" s="682"/>
      <c r="H1" s="682"/>
      <c r="I1" s="682"/>
      <c r="J1" s="682"/>
      <c r="K1" s="683"/>
      <c r="L1" s="684"/>
      <c r="M1" s="685"/>
      <c r="N1" s="685"/>
      <c r="O1" s="685"/>
      <c r="P1" s="695"/>
      <c r="Q1" s="695"/>
      <c r="R1" s="695"/>
      <c r="S1" s="695"/>
      <c r="T1" s="695"/>
      <c r="U1" s="695"/>
      <c r="V1" s="695"/>
      <c r="W1" s="695"/>
      <c r="X1" s="695"/>
      <c r="Y1" s="695"/>
      <c r="Z1" s="695"/>
      <c r="AA1" s="695"/>
      <c r="AB1" s="695"/>
      <c r="AC1" s="696"/>
      <c r="AD1" s="348"/>
    </row>
    <row r="2" spans="1:30" s="349" customFormat="1" ht="28.5" customHeight="1">
      <c r="A2" s="198" t="s">
        <v>1462</v>
      </c>
      <c r="B2" s="616">
        <f>F65</f>
        <v>1</v>
      </c>
      <c r="C2" s="903"/>
      <c r="D2" s="903"/>
      <c r="E2" s="904"/>
      <c r="F2" s="905"/>
      <c r="G2" s="904"/>
      <c r="H2" s="904"/>
      <c r="I2" s="904"/>
      <c r="J2" s="904"/>
      <c r="K2" s="906"/>
      <c r="L2" s="3472">
        <f>ROUND((1+M22%)*(1+M21%)*(1+M16%)*(1+M15%)*(1+M11%)*(1+M10%)*(1+M9%)*(1+M8%)*(1+M7%),4)</f>
        <v>1.0668</v>
      </c>
      <c r="M2" s="3472">
        <f>ROUND((1+M18%)*(1+M17%)*(1+M13%)*(1+M12%)*(1+M11%)*(1+M10%)*(1+M9%)*(1+M8%),4)</f>
        <v>1.0573999999999999</v>
      </c>
      <c r="N2" s="3472" t="e">
        <f>ROUND((1+M25%)*(1+M24%)*(1+#REF!%)*(1+#REF!%)*(1+M23%)*(1+M18%)*(1+M17%)*(1+M13%)*(1+M12%)*(1+M11%)*(1+M10%)*(1+M9%)*(1+M8%),4)</f>
        <v>#REF!</v>
      </c>
      <c r="O2" s="2727"/>
      <c r="P2" s="695"/>
      <c r="Q2" s="695"/>
      <c r="R2" s="695"/>
      <c r="S2" s="695"/>
      <c r="T2" s="695"/>
      <c r="U2" s="695"/>
      <c r="V2" s="695"/>
      <c r="W2" s="695"/>
      <c r="X2" s="695"/>
      <c r="Y2" s="695"/>
      <c r="Z2" s="695"/>
      <c r="AA2" s="695"/>
      <c r="AB2" s="695"/>
      <c r="AC2" s="696"/>
      <c r="AD2" s="348"/>
    </row>
    <row r="3" spans="1:30" s="349" customFormat="1" ht="28.5" customHeight="1" thickBot="1">
      <c r="A3" s="200" t="s">
        <v>1464</v>
      </c>
      <c r="B3" s="555">
        <f>ROUND(IF(D3="",B2*10000/'数据-汇总表'!E3,B2*10000/D3),0)</f>
        <v>10000</v>
      </c>
      <c r="C3" s="200" t="s">
        <v>1869</v>
      </c>
      <c r="D3" s="1189"/>
      <c r="E3" s="904"/>
      <c r="F3" s="905"/>
      <c r="G3" s="904"/>
      <c r="H3" s="904"/>
      <c r="I3" s="904">
        <f>(C7-I7)/365</f>
        <v>0.20273972602739726</v>
      </c>
      <c r="J3" s="904"/>
      <c r="K3" s="906"/>
      <c r="L3" s="3473">
        <f>1/L2</f>
        <v>0.9373828271466067</v>
      </c>
      <c r="M3" s="3473">
        <f t="shared" ref="M3:N3" si="0">1/M2</f>
        <v>0.94571590694155483</v>
      </c>
      <c r="N3" s="3473" t="e">
        <f t="shared" si="0"/>
        <v>#REF!</v>
      </c>
      <c r="O3" s="2727"/>
      <c r="P3" s="695"/>
      <c r="Q3" s="695"/>
      <c r="R3" s="695"/>
      <c r="S3" s="695"/>
      <c r="T3" s="695"/>
      <c r="U3" s="695"/>
      <c r="V3" s="695"/>
      <c r="W3" s="695"/>
      <c r="X3" s="695"/>
      <c r="Y3" s="695"/>
      <c r="Z3" s="695"/>
      <c r="AA3" s="695"/>
      <c r="AB3" s="712"/>
      <c r="AC3" s="709"/>
    </row>
    <row r="4" spans="1:30" ht="15">
      <c r="A4" s="352" t="s">
        <v>1769</v>
      </c>
      <c r="B4" s="353"/>
      <c r="C4" s="3738" t="s">
        <v>1770</v>
      </c>
      <c r="D4" s="3739"/>
      <c r="E4" s="3740" t="s">
        <v>1771</v>
      </c>
      <c r="F4" s="3741"/>
      <c r="G4" s="3738" t="s">
        <v>1772</v>
      </c>
      <c r="H4" s="3739"/>
      <c r="I4" s="3738" t="s">
        <v>1773</v>
      </c>
      <c r="J4" s="3739"/>
      <c r="K4" s="556" t="s">
        <v>1774</v>
      </c>
      <c r="L4" s="2707"/>
      <c r="M4" s="2708"/>
      <c r="N4" s="2708"/>
      <c r="O4" s="2708"/>
      <c r="P4" s="3742" t="s">
        <v>1775</v>
      </c>
      <c r="Q4" s="3743"/>
      <c r="R4" s="3722" t="s">
        <v>1771</v>
      </c>
      <c r="S4" s="3723"/>
      <c r="T4" s="3722" t="s">
        <v>1772</v>
      </c>
      <c r="U4" s="3723"/>
      <c r="V4" s="3750" t="s">
        <v>1773</v>
      </c>
      <c r="W4" s="3750"/>
      <c r="X4" s="1351"/>
      <c r="Y4" s="3722" t="s">
        <v>1775</v>
      </c>
      <c r="Z4" s="3723"/>
      <c r="AA4" s="3717" t="s">
        <v>1771</v>
      </c>
      <c r="AB4" s="3718" t="s">
        <v>1772</v>
      </c>
      <c r="AC4" s="3717" t="s">
        <v>1773</v>
      </c>
    </row>
    <row r="5" spans="1:30" ht="66.95" customHeight="1">
      <c r="A5" s="355"/>
      <c r="B5" s="356"/>
      <c r="C5" s="3728" t="s">
        <v>4277</v>
      </c>
      <c r="D5" s="3729"/>
      <c r="E5" s="3726" t="str">
        <f>招拍挂案例!C7</f>
        <v>集体建设用地区级统筹大兴区瀛海镇YZ00-0803-2009、2012A、2012B、2015地块</v>
      </c>
      <c r="F5" s="3727"/>
      <c r="G5" s="3732" t="str">
        <f>招拍挂案例!C2</f>
        <v>大兴区瀛海镇区级统筹集建地YZ00-0803-2019、2057地块F81集体产业用地</v>
      </c>
      <c r="H5" s="3729"/>
      <c r="I5" s="3732" t="str">
        <f>招拍挂案例!C3</f>
        <v>大兴区瀛海镇区级统筹集建地YZ00-0803-2006、2029、2031地块F81集体产业用地</v>
      </c>
      <c r="J5" s="3729"/>
      <c r="K5" s="556"/>
      <c r="L5" s="3470" t="s">
        <v>3528</v>
      </c>
      <c r="M5" s="3467" t="s">
        <v>3527</v>
      </c>
      <c r="N5" s="2708"/>
      <c r="O5" s="3517">
        <v>0.64</v>
      </c>
      <c r="P5" s="3744"/>
      <c r="Q5" s="3745"/>
      <c r="R5" s="3724"/>
      <c r="S5" s="3725"/>
      <c r="T5" s="3724"/>
      <c r="U5" s="3725"/>
      <c r="V5" s="3750"/>
      <c r="W5" s="3750"/>
      <c r="X5" s="1351"/>
      <c r="Y5" s="3724"/>
      <c r="Z5" s="3725"/>
      <c r="AA5" s="3718"/>
      <c r="AB5" s="3718"/>
      <c r="AC5" s="3718"/>
    </row>
    <row r="6" spans="1:30" ht="32.25" customHeight="1" thickBot="1">
      <c r="A6" s="357"/>
      <c r="B6" s="358"/>
      <c r="C6" s="3730"/>
      <c r="D6" s="3731"/>
      <c r="E6" s="3733" t="s">
        <v>4300</v>
      </c>
      <c r="F6" s="3734"/>
      <c r="G6" s="3735" t="s">
        <v>4298</v>
      </c>
      <c r="H6" s="3736"/>
      <c r="I6" s="3735" t="s">
        <v>4299</v>
      </c>
      <c r="J6" s="3736"/>
      <c r="K6" s="556" t="s">
        <v>1678</v>
      </c>
      <c r="L6" s="3467" t="s">
        <v>4328</v>
      </c>
      <c r="M6" s="354">
        <v>0.52</v>
      </c>
      <c r="N6" s="2708"/>
      <c r="O6" s="3518">
        <v>0.38</v>
      </c>
      <c r="P6" s="3746"/>
      <c r="Q6" s="3747"/>
      <c r="R6" s="3724"/>
      <c r="S6" s="3725"/>
      <c r="T6" s="3748"/>
      <c r="U6" s="3749"/>
      <c r="V6" s="3750"/>
      <c r="W6" s="3750"/>
      <c r="X6" s="1351"/>
      <c r="Y6" s="3748"/>
      <c r="Z6" s="3749"/>
      <c r="AA6" s="3719"/>
      <c r="AB6" s="3719"/>
      <c r="AC6" s="3719"/>
    </row>
    <row r="7" spans="1:30" s="108" customFormat="1" ht="15.75" thickBot="1">
      <c r="A7" s="359" t="s">
        <v>1679</v>
      </c>
      <c r="B7" s="360"/>
      <c r="C7" s="361">
        <f>'数据-取费表'!B2</f>
        <v>45114</v>
      </c>
      <c r="D7" s="362">
        <v>100</v>
      </c>
      <c r="E7" s="363">
        <f>招拍挂案例!N7</f>
        <v>44237.000497685185</v>
      </c>
      <c r="F7" s="3522">
        <v>93.7</v>
      </c>
      <c r="G7" s="1967">
        <f>招拍挂案例!N2</f>
        <v>45039</v>
      </c>
      <c r="H7" s="362">
        <v>100</v>
      </c>
      <c r="I7" s="1967">
        <f>招拍挂案例!N3</f>
        <v>45040</v>
      </c>
      <c r="J7" s="362">
        <v>100</v>
      </c>
      <c r="K7" s="557"/>
      <c r="L7" s="3467" t="s">
        <v>4329</v>
      </c>
      <c r="M7" s="108">
        <v>0.89</v>
      </c>
      <c r="N7" s="2710"/>
      <c r="O7" s="3518">
        <v>0.83</v>
      </c>
      <c r="P7" s="3720" t="s">
        <v>1680</v>
      </c>
      <c r="Q7" s="3751"/>
      <c r="R7" s="697" t="s">
        <v>14</v>
      </c>
      <c r="S7" s="698">
        <f t="shared" ref="S7:S15" si="1">F7</f>
        <v>93.7</v>
      </c>
      <c r="T7" s="697" t="s">
        <v>14</v>
      </c>
      <c r="U7" s="698">
        <f t="shared" ref="U7:U15" si="2">H7</f>
        <v>100</v>
      </c>
      <c r="V7" s="697" t="s">
        <v>14</v>
      </c>
      <c r="W7" s="698">
        <f t="shared" ref="W7:W15" si="3">J7</f>
        <v>100</v>
      </c>
      <c r="X7" s="699"/>
      <c r="Y7" s="3720" t="s">
        <v>1680</v>
      </c>
      <c r="Z7" s="3721"/>
      <c r="AA7" s="700">
        <f>D7/F7</f>
        <v>1.0672358591248665</v>
      </c>
      <c r="AB7" s="700">
        <f>D7/H7</f>
        <v>1</v>
      </c>
      <c r="AC7" s="700">
        <f>D7/J7</f>
        <v>1</v>
      </c>
    </row>
    <row r="8" spans="1:30" s="108" customFormat="1" ht="15.75" thickBot="1">
      <c r="A8" s="359" t="s">
        <v>1681</v>
      </c>
      <c r="B8" s="360"/>
      <c r="C8" s="365" t="s">
        <v>3486</v>
      </c>
      <c r="D8" s="362">
        <v>100</v>
      </c>
      <c r="E8" s="365" t="s">
        <v>3488</v>
      </c>
      <c r="F8" s="364">
        <f>SUMIF(72:72,E8,73:73)-SUMIF(72:72,C8,73:73)+100</f>
        <v>100</v>
      </c>
      <c r="G8" s="365" t="s">
        <v>3488</v>
      </c>
      <c r="H8" s="362">
        <f>SUMIF(72:72,G8,73:73)-SUMIF(72:72,C8,73:73)+100</f>
        <v>100</v>
      </c>
      <c r="I8" s="365" t="s">
        <v>3488</v>
      </c>
      <c r="J8" s="362">
        <f>SUMIF(72:72,I8,73:73)-SUMIF(72:72,C8,73:73)+100</f>
        <v>100</v>
      </c>
      <c r="K8" s="557"/>
      <c r="L8" s="3467" t="s">
        <v>2820</v>
      </c>
      <c r="M8" s="3471">
        <v>0.64</v>
      </c>
      <c r="N8" s="2710"/>
      <c r="O8" s="3518">
        <v>0.53</v>
      </c>
      <c r="P8" s="3720" t="s">
        <v>1683</v>
      </c>
      <c r="Q8" s="3721"/>
      <c r="R8" s="697" t="s">
        <v>14</v>
      </c>
      <c r="S8" s="698">
        <f t="shared" si="1"/>
        <v>100</v>
      </c>
      <c r="T8" s="697" t="s">
        <v>14</v>
      </c>
      <c r="U8" s="698">
        <f t="shared" si="2"/>
        <v>100</v>
      </c>
      <c r="V8" s="697" t="s">
        <v>14</v>
      </c>
      <c r="W8" s="698">
        <f t="shared" si="3"/>
        <v>100</v>
      </c>
      <c r="X8" s="699"/>
      <c r="Y8" s="3720" t="s">
        <v>1683</v>
      </c>
      <c r="Z8" s="3721"/>
      <c r="AA8" s="700">
        <f t="shared" ref="AA8:AA45" si="4">D8/F8</f>
        <v>1</v>
      </c>
      <c r="AB8" s="700">
        <f t="shared" ref="AB8:AB45" si="5">D8/H8</f>
        <v>1</v>
      </c>
      <c r="AC8" s="700">
        <f t="shared" ref="AC8:AC45" si="6">D8/J8</f>
        <v>1</v>
      </c>
    </row>
    <row r="9" spans="1:30" s="108" customFormat="1" ht="42.75">
      <c r="A9" s="366" t="s">
        <v>1684</v>
      </c>
      <c r="B9" s="63" t="s">
        <v>1685</v>
      </c>
      <c r="C9" s="1970" t="s">
        <v>3482</v>
      </c>
      <c r="D9" s="124">
        <v>100</v>
      </c>
      <c r="E9" s="1970" t="s">
        <v>3482</v>
      </c>
      <c r="F9" s="124">
        <f>SUMIF(74:74,E9,75:75)-SUMIF(74:74,C9,75:75)+100</f>
        <v>100</v>
      </c>
      <c r="G9" s="1970" t="s">
        <v>3482</v>
      </c>
      <c r="H9" s="124">
        <f>SUMIF(74:74,G9,75:75)-SUMIF(74:74,C9,75:75)+100</f>
        <v>100</v>
      </c>
      <c r="I9" s="1970" t="s">
        <v>3482</v>
      </c>
      <c r="J9" s="124">
        <f>SUMIF(74:74,I9,75:75)-SUMIF(74:74,C9,75:75)+100</f>
        <v>100</v>
      </c>
      <c r="K9" s="557"/>
      <c r="L9" s="3467" t="s">
        <v>2821</v>
      </c>
      <c r="M9" s="3471">
        <v>0.38</v>
      </c>
      <c r="N9" s="2710"/>
      <c r="O9" s="3518">
        <v>0.53</v>
      </c>
      <c r="P9" s="3737" t="s">
        <v>1686</v>
      </c>
      <c r="Q9" s="1339" t="str">
        <f t="shared" ref="Q9:Q15" si="7">B9</f>
        <v>用途</v>
      </c>
      <c r="R9" s="697" t="s">
        <v>14</v>
      </c>
      <c r="S9" s="698">
        <f t="shared" si="1"/>
        <v>100</v>
      </c>
      <c r="T9" s="697" t="s">
        <v>14</v>
      </c>
      <c r="U9" s="698">
        <f t="shared" si="2"/>
        <v>100</v>
      </c>
      <c r="V9" s="697" t="s">
        <v>14</v>
      </c>
      <c r="W9" s="698">
        <f t="shared" si="3"/>
        <v>100</v>
      </c>
      <c r="X9" s="699"/>
      <c r="Y9" s="3685" t="s">
        <v>1687</v>
      </c>
      <c r="Z9" s="52" t="str">
        <f t="shared" ref="Z9:Z15" si="8">Q9</f>
        <v>用途</v>
      </c>
      <c r="AA9" s="700">
        <f t="shared" si="4"/>
        <v>1</v>
      </c>
      <c r="AB9" s="700">
        <f t="shared" si="5"/>
        <v>1</v>
      </c>
      <c r="AC9" s="700">
        <f t="shared" si="6"/>
        <v>1</v>
      </c>
    </row>
    <row r="10" spans="1:30" s="375" customFormat="1" ht="27">
      <c r="A10" s="371"/>
      <c r="B10" s="372" t="s">
        <v>1688</v>
      </c>
      <c r="C10" s="380">
        <v>70</v>
      </c>
      <c r="D10" s="125">
        <v>100</v>
      </c>
      <c r="E10" s="413" t="s">
        <v>3485</v>
      </c>
      <c r="F10" s="125">
        <f>ROUND(100/'数据-取费表'!G16,0)</f>
        <v>100</v>
      </c>
      <c r="G10" s="411" t="s">
        <v>3485</v>
      </c>
      <c r="H10" s="125">
        <f>ROUND(100/'数据-取费表'!G16,0)</f>
        <v>100</v>
      </c>
      <c r="I10" s="411" t="s">
        <v>3485</v>
      </c>
      <c r="J10" s="125">
        <f>ROUND(100/'数据-取费表'!G16,0)</f>
        <v>100</v>
      </c>
      <c r="K10" s="617"/>
      <c r="L10" s="3467" t="s">
        <v>3368</v>
      </c>
      <c r="M10" s="3471">
        <v>0.83</v>
      </c>
      <c r="N10" s="2712"/>
      <c r="O10" s="3518">
        <v>0.68</v>
      </c>
      <c r="P10" s="3737"/>
      <c r="Q10" s="1339" t="str">
        <f t="shared" si="7"/>
        <v>土地使用年限（年）</v>
      </c>
      <c r="R10" s="697" t="s">
        <v>14</v>
      </c>
      <c r="S10" s="698">
        <f t="shared" si="1"/>
        <v>100</v>
      </c>
      <c r="T10" s="697" t="s">
        <v>14</v>
      </c>
      <c r="U10" s="698">
        <f t="shared" si="2"/>
        <v>100</v>
      </c>
      <c r="V10" s="697" t="s">
        <v>14</v>
      </c>
      <c r="W10" s="698">
        <f t="shared" si="3"/>
        <v>100</v>
      </c>
      <c r="X10" s="699"/>
      <c r="Y10" s="3685"/>
      <c r="Z10" s="52" t="str">
        <f t="shared" si="8"/>
        <v>土地使用年限（年）</v>
      </c>
      <c r="AA10" s="700">
        <f t="shared" si="4"/>
        <v>1</v>
      </c>
      <c r="AB10" s="700">
        <f t="shared" si="5"/>
        <v>1</v>
      </c>
      <c r="AC10" s="700">
        <f t="shared" si="6"/>
        <v>1</v>
      </c>
    </row>
    <row r="11" spans="1:30" ht="15.75" thickBot="1">
      <c r="A11" s="376"/>
      <c r="B11" s="372" t="s">
        <v>1689</v>
      </c>
      <c r="C11" s="377">
        <f>多规!F3</f>
        <v>2.5</v>
      </c>
      <c r="D11" s="125">
        <v>100</v>
      </c>
      <c r="E11" s="377">
        <v>2.5</v>
      </c>
      <c r="F11" s="125">
        <f>LOOKUP(E11,79:79,80:80)-LOOKUP(C11,79:79,80:80)+100</f>
        <v>100</v>
      </c>
      <c r="G11" s="378">
        <f>招拍挂案例!I2</f>
        <v>2.2000000000000002</v>
      </c>
      <c r="H11" s="125">
        <f>LOOKUP(G11,79:79,80:80)-LOOKUP(C11,79:79,80:80)+100</f>
        <v>100.29999999999998</v>
      </c>
      <c r="I11" s="377">
        <f>招拍挂案例!I3</f>
        <v>2.2000000000000002</v>
      </c>
      <c r="J11" s="125">
        <f>LOOKUP(I11,79:79,80:80)-LOOKUP(C11,79:79,80:80)+100</f>
        <v>100.29999999999998</v>
      </c>
      <c r="K11" s="618">
        <v>0.1</v>
      </c>
      <c r="L11" s="3467" t="s">
        <v>3359</v>
      </c>
      <c r="M11" s="3471">
        <v>0.53</v>
      </c>
      <c r="N11" s="2708"/>
      <c r="O11" s="3518">
        <v>0.91</v>
      </c>
      <c r="P11" s="3737"/>
      <c r="Q11" s="1339" t="str">
        <f t="shared" si="7"/>
        <v>容积率</v>
      </c>
      <c r="R11" s="697" t="s">
        <v>14</v>
      </c>
      <c r="S11" s="698">
        <f t="shared" si="1"/>
        <v>100</v>
      </c>
      <c r="T11" s="697" t="s">
        <v>14</v>
      </c>
      <c r="U11" s="698">
        <f t="shared" si="2"/>
        <v>100.29999999999998</v>
      </c>
      <c r="V11" s="697" t="s">
        <v>14</v>
      </c>
      <c r="W11" s="698">
        <f t="shared" si="3"/>
        <v>100.29999999999998</v>
      </c>
      <c r="X11" s="699"/>
      <c r="Y11" s="3685"/>
      <c r="Z11" s="52" t="str">
        <f t="shared" si="8"/>
        <v>容积率</v>
      </c>
      <c r="AA11" s="700">
        <f t="shared" si="4"/>
        <v>1</v>
      </c>
      <c r="AB11" s="700">
        <f t="shared" si="5"/>
        <v>0.99700897308075787</v>
      </c>
      <c r="AC11" s="700">
        <f t="shared" si="6"/>
        <v>0.99700897308075787</v>
      </c>
    </row>
    <row r="12" spans="1:30" s="108" customFormat="1" ht="15.75" hidden="1" thickBot="1">
      <c r="A12" s="379"/>
      <c r="B12" s="1888" t="s">
        <v>1870</v>
      </c>
      <c r="C12" s="380"/>
      <c r="D12" s="381">
        <v>100</v>
      </c>
      <c r="E12" s="413"/>
      <c r="F12" s="125">
        <f>SUMIF(81:81,E12,82:82)-SUMIF(81:81,C12,82:82)+100</f>
        <v>100</v>
      </c>
      <c r="G12" s="411"/>
      <c r="H12" s="125">
        <f>SUMIF(81:81,G12,82:82)-SUMIF(81:81,C12,82:82)+100</f>
        <v>100</v>
      </c>
      <c r="I12" s="413"/>
      <c r="J12" s="125">
        <f>SUMIF(81:81,I12,82:82)-SUMIF(81:81,C12,82:82)+100</f>
        <v>100</v>
      </c>
      <c r="K12" s="617"/>
      <c r="L12" s="3467" t="s">
        <v>2822</v>
      </c>
      <c r="M12" s="3471">
        <v>0.53</v>
      </c>
      <c r="N12" s="2710"/>
      <c r="O12" s="3518">
        <v>1.1000000000000001</v>
      </c>
      <c r="P12" s="3737"/>
      <c r="Q12" s="1339" t="str">
        <f t="shared" si="7"/>
        <v>配建</v>
      </c>
      <c r="R12" s="697" t="s">
        <v>14</v>
      </c>
      <c r="S12" s="698">
        <f t="shared" si="1"/>
        <v>100</v>
      </c>
      <c r="T12" s="697" t="s">
        <v>14</v>
      </c>
      <c r="U12" s="698">
        <f t="shared" si="2"/>
        <v>100</v>
      </c>
      <c r="V12" s="697" t="s">
        <v>14</v>
      </c>
      <c r="W12" s="698">
        <f t="shared" si="3"/>
        <v>100</v>
      </c>
      <c r="X12" s="699"/>
      <c r="Y12" s="3685"/>
      <c r="Z12" s="52" t="str">
        <f t="shared" si="8"/>
        <v>配建</v>
      </c>
      <c r="AA12" s="700">
        <f>D12/F12</f>
        <v>1</v>
      </c>
      <c r="AB12" s="700">
        <f>D12/H12</f>
        <v>1</v>
      </c>
      <c r="AC12" s="700">
        <f>D12/J12</f>
        <v>1</v>
      </c>
    </row>
    <row r="13" spans="1:30" ht="15.75" hidden="1" thickBot="1">
      <c r="A13" s="376"/>
      <c r="B13" s="1888">
        <v>111</v>
      </c>
      <c r="C13" s="382"/>
      <c r="D13" s="383">
        <v>100</v>
      </c>
      <c r="E13" s="495"/>
      <c r="F13" s="125">
        <f>SUMIF(83:83,E13,84:84)-SUMIF(83:83,C13,84:84)+100</f>
        <v>100</v>
      </c>
      <c r="G13" s="619"/>
      <c r="H13" s="383">
        <f>SUMIF(83:83,G13,84:84)-SUMIF(83:83,C13,84:84)+100</f>
        <v>100</v>
      </c>
      <c r="I13" s="619"/>
      <c r="J13" s="383">
        <f>SUMIF(83:83,I13,84:84)-SUMIF(83:83,C13,84:84)+100</f>
        <v>100</v>
      </c>
      <c r="K13" s="617"/>
      <c r="L13" s="3467" t="s">
        <v>2436</v>
      </c>
      <c r="M13" s="3471">
        <v>0.68</v>
      </c>
      <c r="N13" s="2708"/>
      <c r="O13" s="2766"/>
      <c r="P13" s="3737"/>
      <c r="Q13" s="1339">
        <f t="shared" si="7"/>
        <v>111</v>
      </c>
      <c r="R13" s="697" t="s">
        <v>14</v>
      </c>
      <c r="S13" s="698">
        <f t="shared" si="1"/>
        <v>100</v>
      </c>
      <c r="T13" s="697" t="s">
        <v>14</v>
      </c>
      <c r="U13" s="698">
        <f t="shared" si="2"/>
        <v>100</v>
      </c>
      <c r="V13" s="697" t="s">
        <v>14</v>
      </c>
      <c r="W13" s="698">
        <f t="shared" si="3"/>
        <v>100</v>
      </c>
      <c r="X13" s="699"/>
      <c r="Y13" s="3685"/>
      <c r="Z13" s="52">
        <f t="shared" si="8"/>
        <v>111</v>
      </c>
      <c r="AA13" s="700">
        <f>D13/F13</f>
        <v>1</v>
      </c>
      <c r="AB13" s="700">
        <f>D13/H13</f>
        <v>1</v>
      </c>
      <c r="AC13" s="700">
        <f>D13/J13</f>
        <v>1</v>
      </c>
    </row>
    <row r="14" spans="1:30" ht="15.75" hidden="1" thickBot="1">
      <c r="A14" s="384"/>
      <c r="B14" s="1890">
        <v>111</v>
      </c>
      <c r="C14" s="385"/>
      <c r="D14" s="386">
        <v>100</v>
      </c>
      <c r="E14" s="495"/>
      <c r="F14" s="386">
        <f>SUMIF(85:85,E14,86:86)-SUMIF(85:85,C14,86:86)+100</f>
        <v>100</v>
      </c>
      <c r="G14" s="619"/>
      <c r="H14" s="386">
        <f>SUMIF(85:85,G14,86:86)-SUMIF(85:85,C14,86:86)+100</f>
        <v>100</v>
      </c>
      <c r="I14" s="619"/>
      <c r="J14" s="386">
        <f>SUMIF(85:85,I14,86:86)-SUMIF(85:85,C14,86:86)+100</f>
        <v>100</v>
      </c>
      <c r="K14" s="617"/>
      <c r="L14" s="2198" t="s">
        <v>2841</v>
      </c>
      <c r="M14" s="3471">
        <f>'地价-分区'!G35</f>
        <v>1.1000000000000001</v>
      </c>
      <c r="N14" s="2708"/>
      <c r="O14" s="2766"/>
      <c r="P14" s="3737"/>
      <c r="Q14" s="1339">
        <f t="shared" si="7"/>
        <v>111</v>
      </c>
      <c r="R14" s="697" t="s">
        <v>14</v>
      </c>
      <c r="S14" s="698">
        <f t="shared" si="1"/>
        <v>100</v>
      </c>
      <c r="T14" s="697" t="s">
        <v>14</v>
      </c>
      <c r="U14" s="698">
        <f t="shared" si="2"/>
        <v>100</v>
      </c>
      <c r="V14" s="697" t="s">
        <v>14</v>
      </c>
      <c r="W14" s="698">
        <f t="shared" si="3"/>
        <v>100</v>
      </c>
      <c r="X14" s="699"/>
      <c r="Y14" s="3685"/>
      <c r="Z14" s="52">
        <f t="shared" si="8"/>
        <v>111</v>
      </c>
      <c r="AA14" s="700">
        <f>D14/F14</f>
        <v>1</v>
      </c>
      <c r="AB14" s="700">
        <f>D14/H14</f>
        <v>1</v>
      </c>
      <c r="AC14" s="700">
        <f>D14/J14</f>
        <v>1</v>
      </c>
    </row>
    <row r="15" spans="1:30" ht="48" customHeight="1">
      <c r="A15" s="388" t="s">
        <v>1690</v>
      </c>
      <c r="B15" s="61" t="s">
        <v>1257</v>
      </c>
      <c r="C15" s="1891" t="str">
        <f>估价对象房地状况!C15</f>
        <v>估价对象周边有瀛海家园、永旭家园、兴海园、玉璟园等住宅小区，居住用地比例、居住小区规模和社区发展完善程度，综合评价居住社区成熟度一般</v>
      </c>
      <c r="D15" s="389">
        <v>100</v>
      </c>
      <c r="E15" s="400" t="s">
        <v>3496</v>
      </c>
      <c r="F15" s="389">
        <f>SUMIF(87:87,E16,88:88)-SUMIF(87:87,C16,88:88)+100</f>
        <v>100</v>
      </c>
      <c r="G15" s="400" t="s">
        <v>3496</v>
      </c>
      <c r="H15" s="389">
        <f>SUMIF(87:87,G16,88:88)-SUMIF(87:87,C16,88:88)+100</f>
        <v>100</v>
      </c>
      <c r="I15" s="400" t="s">
        <v>3496</v>
      </c>
      <c r="J15" s="389">
        <f>SUMIF(87:87,I16,88:88)-SUMIF(87:87,C16,88:88)+100</f>
        <v>100</v>
      </c>
      <c r="K15" s="618">
        <v>2</v>
      </c>
      <c r="L15" s="3469" t="s">
        <v>4330</v>
      </c>
      <c r="M15" s="3471">
        <v>0.53</v>
      </c>
      <c r="N15" s="2708"/>
      <c r="O15" s="2766"/>
      <c r="P15" s="3752" t="s">
        <v>1691</v>
      </c>
      <c r="Q15" s="1348" t="str">
        <f t="shared" si="7"/>
        <v>居住社区成熟度</v>
      </c>
      <c r="R15" s="701" t="s">
        <v>14</v>
      </c>
      <c r="S15" s="702">
        <f t="shared" si="1"/>
        <v>100</v>
      </c>
      <c r="T15" s="701" t="s">
        <v>14</v>
      </c>
      <c r="U15" s="702">
        <f t="shared" si="2"/>
        <v>100</v>
      </c>
      <c r="V15" s="701" t="s">
        <v>14</v>
      </c>
      <c r="W15" s="702">
        <f t="shared" si="3"/>
        <v>100</v>
      </c>
      <c r="X15" s="1351"/>
      <c r="Y15" s="3752" t="s">
        <v>1691</v>
      </c>
      <c r="Z15" s="1352" t="str">
        <f t="shared" si="8"/>
        <v>居住社区成熟度</v>
      </c>
      <c r="AA15" s="1349">
        <f t="shared" si="4"/>
        <v>1</v>
      </c>
      <c r="AB15" s="1349">
        <f t="shared" si="5"/>
        <v>1</v>
      </c>
      <c r="AC15" s="1349">
        <f t="shared" si="6"/>
        <v>1</v>
      </c>
    </row>
    <row r="16" spans="1:30" ht="15">
      <c r="A16" s="376"/>
      <c r="B16" s="394"/>
      <c r="C16" s="395" t="s">
        <v>3489</v>
      </c>
      <c r="D16" s="396"/>
      <c r="E16" s="1893" t="s">
        <v>3489</v>
      </c>
      <c r="F16" s="396"/>
      <c r="G16" s="1893" t="s">
        <v>3489</v>
      </c>
      <c r="H16" s="398"/>
      <c r="I16" s="1892" t="s">
        <v>3489</v>
      </c>
      <c r="J16" s="396"/>
      <c r="K16" s="617"/>
      <c r="L16" s="3469" t="s">
        <v>4331</v>
      </c>
      <c r="M16" s="3471">
        <v>0.68</v>
      </c>
      <c r="N16" s="2708"/>
      <c r="O16" s="2766"/>
      <c r="P16" s="3753"/>
      <c r="Q16" s="1348"/>
      <c r="R16" s="701"/>
      <c r="S16" s="702"/>
      <c r="T16" s="701"/>
      <c r="U16" s="702"/>
      <c r="V16" s="701"/>
      <c r="W16" s="702"/>
      <c r="X16" s="1351"/>
      <c r="Y16" s="3753"/>
      <c r="Z16" s="1352"/>
      <c r="AA16" s="1349">
        <v>1</v>
      </c>
      <c r="AB16" s="1349">
        <v>1</v>
      </c>
      <c r="AC16" s="1349">
        <v>1</v>
      </c>
    </row>
    <row r="17" spans="1:29" ht="71.25" hidden="1">
      <c r="A17" s="376"/>
      <c r="B17" s="399" t="s">
        <v>1777</v>
      </c>
      <c r="C17" s="1948" t="str">
        <f>估价对象房地状况!C16</f>
        <v>估价对象位于XX商圈，周边商业氛围成熟，人流量大，商业繁华度好</v>
      </c>
      <c r="D17" s="398">
        <v>100</v>
      </c>
      <c r="E17" s="400"/>
      <c r="F17" s="398">
        <f>SUMIF(89:89,E18,90:90)-SUMIF(89:89,C18,90:90)+100</f>
        <v>100</v>
      </c>
      <c r="G17" s="400"/>
      <c r="H17" s="403">
        <f>SUMIF(89:89,G18,90:90)-SUMIF(89:89,C18,90:90)+100</f>
        <v>100</v>
      </c>
      <c r="I17" s="402"/>
      <c r="J17" s="403">
        <f>SUMIF(89:89,I18,90:90)-SUMIF(89:89,C18,90:90)+100</f>
        <v>100</v>
      </c>
      <c r="K17" s="618"/>
      <c r="L17" s="3467" t="s">
        <v>2313</v>
      </c>
      <c r="M17" s="3471">
        <v>0.91</v>
      </c>
      <c r="N17" s="2708"/>
      <c r="O17" s="2766"/>
      <c r="P17" s="3753"/>
      <c r="Q17" s="1348" t="str">
        <f>B17</f>
        <v>商业繁华度</v>
      </c>
      <c r="R17" s="701" t="s">
        <v>14</v>
      </c>
      <c r="S17" s="702">
        <f>F17</f>
        <v>100</v>
      </c>
      <c r="T17" s="701" t="s">
        <v>14</v>
      </c>
      <c r="U17" s="702">
        <f>H17</f>
        <v>100</v>
      </c>
      <c r="V17" s="701" t="s">
        <v>14</v>
      </c>
      <c r="W17" s="702">
        <f>J17</f>
        <v>100</v>
      </c>
      <c r="X17" s="1351"/>
      <c r="Y17" s="3753"/>
      <c r="Z17" s="1352" t="str">
        <f>Q17</f>
        <v>商业繁华度</v>
      </c>
      <c r="AA17" s="1349">
        <f t="shared" si="4"/>
        <v>1</v>
      </c>
      <c r="AB17" s="1349">
        <f t="shared" si="5"/>
        <v>1</v>
      </c>
      <c r="AC17" s="1349">
        <f t="shared" si="6"/>
        <v>1</v>
      </c>
    </row>
    <row r="18" spans="1:29" ht="15" hidden="1">
      <c r="A18" s="376"/>
      <c r="B18" s="404"/>
      <c r="C18" s="1896"/>
      <c r="D18" s="398"/>
      <c r="E18" s="1898"/>
      <c r="F18" s="398"/>
      <c r="G18" s="1898"/>
      <c r="H18" s="396"/>
      <c r="I18" s="1897"/>
      <c r="J18" s="396"/>
      <c r="K18" s="617"/>
      <c r="L18" s="3467" t="s">
        <v>2312</v>
      </c>
      <c r="M18" s="3471">
        <v>1.1000000000000001</v>
      </c>
      <c r="N18" s="2708"/>
      <c r="O18" s="2766"/>
      <c r="P18" s="3753"/>
      <c r="Q18" s="1348"/>
      <c r="R18" s="701"/>
      <c r="S18" s="702"/>
      <c r="T18" s="701"/>
      <c r="U18" s="702"/>
      <c r="V18" s="701"/>
      <c r="W18" s="702"/>
      <c r="X18" s="1351"/>
      <c r="Y18" s="3753"/>
      <c r="Z18" s="1352"/>
      <c r="AA18" s="1349">
        <v>1</v>
      </c>
      <c r="AB18" s="1349">
        <v>1</v>
      </c>
      <c r="AC18" s="1349">
        <v>1</v>
      </c>
    </row>
    <row r="19" spans="1:29" ht="71.25" hidden="1">
      <c r="A19" s="376"/>
      <c r="B19" s="399" t="s">
        <v>1811</v>
      </c>
      <c r="C19" s="1948" t="str">
        <f>估价对象房地状况!C17</f>
        <v>估价对象位于XX商圈，周边办公楼项目较多，入驻率高，办公集聚程度较好</v>
      </c>
      <c r="D19" s="403">
        <v>100</v>
      </c>
      <c r="E19" s="405"/>
      <c r="F19" s="403">
        <f>SUMIF(91:91,E20,92:92)-SUMIF(91:91,C20,92:92)+100</f>
        <v>100</v>
      </c>
      <c r="G19" s="405"/>
      <c r="H19" s="398">
        <f>SUMIF(91:91,G20,92:92)-SUMIF(91:91,C20,92:92)+100</f>
        <v>100</v>
      </c>
      <c r="I19" s="407"/>
      <c r="J19" s="398">
        <f>SUMIF(91:91,I20,92:92)-SUMIF(91:91,C20,92:92)+100</f>
        <v>100</v>
      </c>
      <c r="K19" s="618"/>
      <c r="L19" s="3467"/>
      <c r="M19" s="3468">
        <f>'地价-分区'!G40</f>
        <v>0</v>
      </c>
      <c r="N19" s="2708"/>
      <c r="O19" s="2766"/>
      <c r="P19" s="3753"/>
      <c r="Q19" s="1348" t="str">
        <f>B19</f>
        <v>办公集聚程度</v>
      </c>
      <c r="R19" s="701" t="s">
        <v>14</v>
      </c>
      <c r="S19" s="702">
        <f>F19</f>
        <v>100</v>
      </c>
      <c r="T19" s="701" t="s">
        <v>14</v>
      </c>
      <c r="U19" s="702">
        <f>H19</f>
        <v>100</v>
      </c>
      <c r="V19" s="701" t="s">
        <v>14</v>
      </c>
      <c r="W19" s="702">
        <f>J19</f>
        <v>100</v>
      </c>
      <c r="X19" s="1351"/>
      <c r="Y19" s="3753"/>
      <c r="Z19" s="1352" t="str">
        <f>Q19</f>
        <v>办公集聚程度</v>
      </c>
      <c r="AA19" s="1349">
        <f t="shared" si="4"/>
        <v>1</v>
      </c>
      <c r="AB19" s="1349">
        <f t="shared" si="5"/>
        <v>1</v>
      </c>
      <c r="AC19" s="1349">
        <f t="shared" si="6"/>
        <v>1</v>
      </c>
    </row>
    <row r="20" spans="1:29" ht="15" hidden="1">
      <c r="A20" s="376"/>
      <c r="B20" s="404"/>
      <c r="C20" s="395"/>
      <c r="D20" s="396"/>
      <c r="E20" s="1893"/>
      <c r="F20" s="396"/>
      <c r="G20" s="1893"/>
      <c r="H20" s="396"/>
      <c r="I20" s="1892"/>
      <c r="J20" s="396"/>
      <c r="K20" s="617"/>
      <c r="L20" s="3467"/>
      <c r="M20" s="3468">
        <f>'地价-分区'!G41</f>
        <v>0</v>
      </c>
      <c r="N20" s="2708"/>
      <c r="O20" s="2766"/>
      <c r="P20" s="3753"/>
      <c r="Q20" s="1348"/>
      <c r="R20" s="701"/>
      <c r="S20" s="702"/>
      <c r="T20" s="701"/>
      <c r="U20" s="702"/>
      <c r="V20" s="701"/>
      <c r="W20" s="702"/>
      <c r="X20" s="1351"/>
      <c r="Y20" s="3753"/>
      <c r="Z20" s="1352"/>
      <c r="AA20" s="1349">
        <v>1</v>
      </c>
      <c r="AB20" s="1349">
        <v>1</v>
      </c>
      <c r="AC20" s="1349">
        <v>1</v>
      </c>
    </row>
    <row r="21" spans="1:29" ht="51" customHeight="1">
      <c r="A21" s="376"/>
      <c r="B21" s="399" t="s">
        <v>1833</v>
      </c>
      <c r="C21" s="1895" t="str">
        <f>估价对象房地状况!C18</f>
        <v>估价对象邻近城市高速路-京台高速，附近有兴16路、兴38路、专83路等公交线路，周边道路状况、公共交通通达情况、停车便捷程度，综合评价交通便捷度较好</v>
      </c>
      <c r="D21" s="398">
        <v>100</v>
      </c>
      <c r="E21" s="400" t="s">
        <v>3497</v>
      </c>
      <c r="F21" s="403">
        <f>SUMIF(93:93,E22,94:94)-SUMIF(93:93,C22,94:94)+100</f>
        <v>100</v>
      </c>
      <c r="G21" s="400" t="s">
        <v>3497</v>
      </c>
      <c r="H21" s="398">
        <f>SUMIF(93:93,G22,94:94)-SUMIF(93:93,C22,94:94)+100</f>
        <v>100</v>
      </c>
      <c r="I21" s="400" t="s">
        <v>3497</v>
      </c>
      <c r="J21" s="398">
        <f>SUMIF(93:93,I22,94:94)-SUMIF(93:93,C22,94:94)+100</f>
        <v>100</v>
      </c>
      <c r="K21" s="618">
        <v>2</v>
      </c>
      <c r="L21" s="3467" t="s">
        <v>4332</v>
      </c>
      <c r="M21" s="3468">
        <v>0.91</v>
      </c>
      <c r="N21" s="2708">
        <v>0.52</v>
      </c>
      <c r="O21" s="2766"/>
      <c r="P21" s="3753"/>
      <c r="Q21" s="1348" t="str">
        <f>B21</f>
        <v>交通便捷度</v>
      </c>
      <c r="R21" s="701" t="s">
        <v>14</v>
      </c>
      <c r="S21" s="702">
        <f>F21</f>
        <v>100</v>
      </c>
      <c r="T21" s="701" t="s">
        <v>14</v>
      </c>
      <c r="U21" s="702">
        <f>H21</f>
        <v>100</v>
      </c>
      <c r="V21" s="701" t="s">
        <v>14</v>
      </c>
      <c r="W21" s="702">
        <f>J21</f>
        <v>100</v>
      </c>
      <c r="X21" s="1351"/>
      <c r="Y21" s="3753"/>
      <c r="Z21" s="1352" t="str">
        <f>Q21</f>
        <v>交通便捷度</v>
      </c>
      <c r="AA21" s="1349">
        <f t="shared" si="4"/>
        <v>1</v>
      </c>
      <c r="AB21" s="1349">
        <f t="shared" si="5"/>
        <v>1</v>
      </c>
      <c r="AC21" s="1349">
        <f t="shared" si="6"/>
        <v>1</v>
      </c>
    </row>
    <row r="22" spans="1:29" ht="15">
      <c r="A22" s="376"/>
      <c r="B22" s="1127"/>
      <c r="C22" s="395" t="s">
        <v>3525</v>
      </c>
      <c r="D22" s="398"/>
      <c r="E22" s="1893" t="s">
        <v>3525</v>
      </c>
      <c r="F22" s="396"/>
      <c r="G22" s="1893" t="s">
        <v>3525</v>
      </c>
      <c r="H22" s="396"/>
      <c r="I22" s="1892" t="s">
        <v>3525</v>
      </c>
      <c r="J22" s="396"/>
      <c r="K22" s="617"/>
      <c r="L22" s="3467" t="s">
        <v>2825</v>
      </c>
      <c r="M22" s="3468">
        <v>1.1000000000000001</v>
      </c>
      <c r="N22" s="2708"/>
      <c r="O22" s="2766"/>
      <c r="P22" s="3753"/>
      <c r="Q22" s="1348"/>
      <c r="R22" s="701"/>
      <c r="S22" s="702"/>
      <c r="T22" s="701"/>
      <c r="U22" s="702"/>
      <c r="V22" s="701"/>
      <c r="W22" s="702"/>
      <c r="X22" s="1351"/>
      <c r="Y22" s="3753"/>
      <c r="Z22" s="1352"/>
      <c r="AA22" s="1349">
        <v>1</v>
      </c>
      <c r="AB22" s="1349">
        <v>1</v>
      </c>
      <c r="AC22" s="1349">
        <v>1</v>
      </c>
    </row>
    <row r="23" spans="1:29" ht="15">
      <c r="A23" s="355"/>
      <c r="B23" s="399" t="s">
        <v>1871</v>
      </c>
      <c r="C23" s="1132">
        <f>估价对象房地状况!C19</f>
        <v>0</v>
      </c>
      <c r="D23" s="403">
        <v>100</v>
      </c>
      <c r="E23" s="400"/>
      <c r="F23" s="403">
        <f>SUMIF(95:95,E24,96:96)-SUMIF(95:95,C24,96:96)+100</f>
        <v>100</v>
      </c>
      <c r="G23" s="402"/>
      <c r="H23" s="403">
        <f>SUMIF(95:95,G24,96:96)-SUMIF(95:95,C24,96:96)+100</f>
        <v>100</v>
      </c>
      <c r="I23" s="402"/>
      <c r="J23" s="403">
        <f>SUMIF(95:95,I24,96:96)-SUMIF(95:95,C24,96:96)+100</f>
        <v>100</v>
      </c>
      <c r="K23" s="618">
        <v>2</v>
      </c>
      <c r="L23" s="3467" t="s">
        <v>4275</v>
      </c>
      <c r="M23" s="3468">
        <v>0.98</v>
      </c>
      <c r="N23" s="2708"/>
      <c r="O23" s="2766"/>
      <c r="P23" s="3753"/>
      <c r="Q23" s="1348" t="str">
        <f t="shared" ref="Q23:Q37" si="9">B23</f>
        <v>区域土地利用方向</v>
      </c>
      <c r="R23" s="701" t="s">
        <v>14</v>
      </c>
      <c r="S23" s="702">
        <f>F23</f>
        <v>100</v>
      </c>
      <c r="T23" s="701" t="s">
        <v>14</v>
      </c>
      <c r="U23" s="702">
        <f>H23</f>
        <v>100</v>
      </c>
      <c r="V23" s="701" t="s">
        <v>14</v>
      </c>
      <c r="W23" s="702">
        <f>J23</f>
        <v>100</v>
      </c>
      <c r="X23" s="1351"/>
      <c r="Y23" s="3753"/>
      <c r="Z23" s="1352" t="str">
        <f>Q23</f>
        <v>区域土地利用方向</v>
      </c>
      <c r="AA23" s="1349">
        <f t="shared" si="4"/>
        <v>1</v>
      </c>
      <c r="AB23" s="1349">
        <f t="shared" si="5"/>
        <v>1</v>
      </c>
      <c r="AC23" s="1349">
        <f t="shared" si="6"/>
        <v>1</v>
      </c>
    </row>
    <row r="24" spans="1:29" ht="15">
      <c r="A24" s="355"/>
      <c r="B24" s="404"/>
      <c r="C24" s="562" t="s">
        <v>3525</v>
      </c>
      <c r="D24" s="396"/>
      <c r="E24" s="562" t="s">
        <v>3525</v>
      </c>
      <c r="F24" s="396"/>
      <c r="G24" s="562" t="s">
        <v>3525</v>
      </c>
      <c r="H24" s="396"/>
      <c r="I24" s="562" t="s">
        <v>3525</v>
      </c>
      <c r="J24" s="396"/>
      <c r="K24" s="736"/>
      <c r="L24" s="3467"/>
      <c r="M24" s="3468"/>
      <c r="N24" s="2708"/>
      <c r="O24" s="2766"/>
      <c r="P24" s="3753"/>
      <c r="Q24" s="1348"/>
      <c r="R24" s="701"/>
      <c r="S24" s="702"/>
      <c r="T24" s="701"/>
      <c r="U24" s="702"/>
      <c r="V24" s="701"/>
      <c r="W24" s="702"/>
      <c r="X24" s="1351"/>
      <c r="Y24" s="3753"/>
      <c r="Z24" s="1352"/>
      <c r="AA24" s="1349"/>
      <c r="AB24" s="1349"/>
      <c r="AC24" s="1349"/>
    </row>
    <row r="25" spans="1:29" ht="54" customHeight="1">
      <c r="A25" s="355"/>
      <c r="B25" s="1127" t="s">
        <v>1872</v>
      </c>
      <c r="C25" s="1948" t="str">
        <f>估价对象房地状况!C20</f>
        <v>周边1公里范围内有南海子公园、志远庄公园等自然景观，人文景观较少，综合评价环境状况一般</v>
      </c>
      <c r="D25" s="398">
        <v>100</v>
      </c>
      <c r="E25" s="400" t="s">
        <v>3490</v>
      </c>
      <c r="F25" s="398">
        <f>SUMIF(97:97,E26,98:98)-SUMIF(97:97,C26,98:98)+100</f>
        <v>97</v>
      </c>
      <c r="G25" s="400" t="s">
        <v>3490</v>
      </c>
      <c r="H25" s="398">
        <f>SUMIF(97:97,G26,98:98)-SUMIF(97:97,C26,98:98)+100</f>
        <v>97</v>
      </c>
      <c r="I25" s="400" t="s">
        <v>3490</v>
      </c>
      <c r="J25" s="398">
        <f>SUMIF(97:97,I26,98:98)-SUMIF(97:97,C26,98:98)+100</f>
        <v>97</v>
      </c>
      <c r="K25" s="618">
        <v>3</v>
      </c>
      <c r="L25" s="3467"/>
      <c r="M25" s="3468"/>
      <c r="N25" s="2708"/>
      <c r="O25" s="2766"/>
      <c r="P25" s="3753"/>
      <c r="Q25" s="1348" t="str">
        <f t="shared" si="9"/>
        <v>自然及人文环境状况</v>
      </c>
      <c r="R25" s="701" t="s">
        <v>14</v>
      </c>
      <c r="S25" s="702">
        <f>F25</f>
        <v>97</v>
      </c>
      <c r="T25" s="701" t="s">
        <v>14</v>
      </c>
      <c r="U25" s="702">
        <f>H25</f>
        <v>97</v>
      </c>
      <c r="V25" s="701" t="s">
        <v>14</v>
      </c>
      <c r="W25" s="702">
        <f>J25</f>
        <v>97</v>
      </c>
      <c r="X25" s="1351"/>
      <c r="Y25" s="3753"/>
      <c r="Z25" s="1352" t="str">
        <f>Q25</f>
        <v>自然及人文环境状况</v>
      </c>
      <c r="AA25" s="1349">
        <f t="shared" si="4"/>
        <v>1.0309278350515463</v>
      </c>
      <c r="AB25" s="1349">
        <f t="shared" si="5"/>
        <v>1.0309278350515463</v>
      </c>
      <c r="AC25" s="1349">
        <f t="shared" si="6"/>
        <v>1.0309278350515463</v>
      </c>
    </row>
    <row r="26" spans="1:29" ht="15">
      <c r="A26" s="355"/>
      <c r="B26" s="404"/>
      <c r="C26" s="562" t="s">
        <v>3525</v>
      </c>
      <c r="D26" s="396"/>
      <c r="E26" s="562" t="s">
        <v>3489</v>
      </c>
      <c r="F26" s="396"/>
      <c r="G26" s="562" t="s">
        <v>3489</v>
      </c>
      <c r="H26" s="396"/>
      <c r="I26" s="562" t="s">
        <v>3489</v>
      </c>
      <c r="J26" s="396"/>
      <c r="K26" s="617"/>
      <c r="L26" s="3467"/>
      <c r="M26" s="3468"/>
      <c r="N26" s="2708"/>
      <c r="O26" s="2766"/>
      <c r="P26" s="3753"/>
      <c r="Q26" s="1348"/>
      <c r="R26" s="701"/>
      <c r="S26" s="702"/>
      <c r="T26" s="701"/>
      <c r="U26" s="702"/>
      <c r="V26" s="701"/>
      <c r="W26" s="702"/>
      <c r="X26" s="1351"/>
      <c r="Y26" s="3753"/>
      <c r="Z26" s="1352"/>
      <c r="AA26" s="1349">
        <v>1</v>
      </c>
      <c r="AB26" s="1349">
        <v>1</v>
      </c>
      <c r="AC26" s="1349">
        <v>1</v>
      </c>
    </row>
    <row r="27" spans="1:29" s="108" customFormat="1" ht="54.95" customHeight="1">
      <c r="A27" s="594"/>
      <c r="B27" s="1127" t="s">
        <v>1778</v>
      </c>
      <c r="C27" s="1895" t="str">
        <f>估价对象房地状况!C21</f>
        <v>估价对象周边有红星中学、瀛海镇第一中心小学、瀛海一幼幼儿园等教育机构，有肃宁正骨医院医疗设施，有北京农商银行等金融机构，公共配套设施状况一般</v>
      </c>
      <c r="D27" s="398">
        <v>100</v>
      </c>
      <c r="E27" s="400" t="s">
        <v>3498</v>
      </c>
      <c r="F27" s="398">
        <f>SUMIF(99:99,E28,100:100)-SUMIF(99:99,C28,100:100)+100</f>
        <v>100</v>
      </c>
      <c r="G27" s="400" t="s">
        <v>3498</v>
      </c>
      <c r="H27" s="398">
        <f>SUMIF(99:99,G28,100:100)-SUMIF(99:99,C28,100:100)+100</f>
        <v>100</v>
      </c>
      <c r="I27" s="400" t="s">
        <v>3498</v>
      </c>
      <c r="J27" s="398">
        <f>SUMIF(99:99,I28,100:100)-SUMIF(99:99,C28,100:100)+100</f>
        <v>100</v>
      </c>
      <c r="K27" s="618">
        <v>2</v>
      </c>
      <c r="L27" s="3467"/>
      <c r="M27" s="3468"/>
      <c r="N27" s="2710"/>
      <c r="O27" s="2764"/>
      <c r="P27" s="3753"/>
      <c r="Q27" s="1339" t="str">
        <f t="shared" si="9"/>
        <v>公共配套设施</v>
      </c>
      <c r="R27" s="697" t="s">
        <v>14</v>
      </c>
      <c r="S27" s="698">
        <f>F27</f>
        <v>100</v>
      </c>
      <c r="T27" s="697" t="s">
        <v>14</v>
      </c>
      <c r="U27" s="698">
        <f>H27</f>
        <v>100</v>
      </c>
      <c r="V27" s="697" t="s">
        <v>14</v>
      </c>
      <c r="W27" s="698">
        <f>J27</f>
        <v>100</v>
      </c>
      <c r="X27" s="699"/>
      <c r="Y27" s="3753"/>
      <c r="Z27" s="52" t="str">
        <f>Q27</f>
        <v>公共配套设施</v>
      </c>
      <c r="AA27" s="1349">
        <f>D27/F27</f>
        <v>1</v>
      </c>
      <c r="AB27" s="1349">
        <f>D27/H27</f>
        <v>1</v>
      </c>
      <c r="AC27" s="1349">
        <f>D27/J27</f>
        <v>1</v>
      </c>
    </row>
    <row r="28" spans="1:29" s="108" customFormat="1" ht="15">
      <c r="A28" s="594"/>
      <c r="B28" s="404"/>
      <c r="C28" s="562" t="s">
        <v>3489</v>
      </c>
      <c r="D28" s="396"/>
      <c r="E28" s="562" t="s">
        <v>3489</v>
      </c>
      <c r="F28" s="396"/>
      <c r="G28" s="562" t="s">
        <v>3489</v>
      </c>
      <c r="H28" s="396"/>
      <c r="I28" s="562" t="s">
        <v>3489</v>
      </c>
      <c r="J28" s="396"/>
      <c r="K28" s="617"/>
      <c r="L28" s="3467"/>
      <c r="M28" s="3468"/>
      <c r="N28" s="2710"/>
      <c r="O28" s="2764"/>
      <c r="P28" s="3753"/>
      <c r="Q28" s="1339"/>
      <c r="R28" s="697"/>
      <c r="S28" s="698"/>
      <c r="T28" s="697"/>
      <c r="U28" s="698"/>
      <c r="V28" s="697"/>
      <c r="W28" s="698"/>
      <c r="X28" s="699"/>
      <c r="Y28" s="3753"/>
      <c r="Z28" s="52"/>
      <c r="AA28" s="1349">
        <v>1</v>
      </c>
      <c r="AB28" s="1349">
        <v>1</v>
      </c>
      <c r="AC28" s="1349">
        <v>1</v>
      </c>
    </row>
    <row r="29" spans="1:29" s="108" customFormat="1" ht="42.75">
      <c r="A29" s="594"/>
      <c r="B29" s="1127" t="s">
        <v>1779</v>
      </c>
      <c r="C29" s="1895" t="str">
        <f>估价对象房地状况!C22</f>
        <v>估价对象所在区域基础设施水平-六通</v>
      </c>
      <c r="D29" s="398">
        <v>100</v>
      </c>
      <c r="E29" s="400"/>
      <c r="F29" s="398">
        <f>SUMIF(101:101,E30,102:102)-SUMIF(101:101,C30,102:102)+100</f>
        <v>100</v>
      </c>
      <c r="G29" s="400"/>
      <c r="H29" s="398">
        <f>SUMIF(101:101,G30,102:102)-SUMIF(101:101,C30,102:102)+100</f>
        <v>100</v>
      </c>
      <c r="I29" s="402"/>
      <c r="J29" s="398">
        <f>SUMIF(101:101,I30,102:102)-SUMIF(101:101,C30,102:102)+100</f>
        <v>100</v>
      </c>
      <c r="K29" s="618">
        <v>1</v>
      </c>
      <c r="L29" s="3464"/>
      <c r="M29" s="2710"/>
      <c r="N29" s="2710"/>
      <c r="O29" s="2764"/>
      <c r="P29" s="3753"/>
      <c r="Q29" s="1339" t="str">
        <f t="shared" ref="Q29" si="10">B29</f>
        <v>基础设施水平</v>
      </c>
      <c r="R29" s="697" t="s">
        <v>14</v>
      </c>
      <c r="S29" s="698">
        <f>F29</f>
        <v>100</v>
      </c>
      <c r="T29" s="697" t="s">
        <v>14</v>
      </c>
      <c r="U29" s="698">
        <f>H29</f>
        <v>100</v>
      </c>
      <c r="V29" s="697" t="s">
        <v>14</v>
      </c>
      <c r="W29" s="698">
        <f>J29</f>
        <v>100</v>
      </c>
      <c r="X29" s="699"/>
      <c r="Y29" s="3753"/>
      <c r="Z29" s="52" t="str">
        <f>Q29</f>
        <v>基础设施水平</v>
      </c>
      <c r="AA29" s="1349">
        <f>D29/F29</f>
        <v>1</v>
      </c>
      <c r="AB29" s="1349">
        <f>D29/H29</f>
        <v>1</v>
      </c>
      <c r="AC29" s="1349">
        <f>D29/J29</f>
        <v>1</v>
      </c>
    </row>
    <row r="30" spans="1:29" s="108" customFormat="1" ht="15">
      <c r="A30" s="594"/>
      <c r="B30" s="404"/>
      <c r="C30" s="1971" t="s">
        <v>3521</v>
      </c>
      <c r="D30" s="396"/>
      <c r="E30" s="1972" t="s">
        <v>3521</v>
      </c>
      <c r="F30" s="396"/>
      <c r="G30" s="1972" t="s">
        <v>3521</v>
      </c>
      <c r="H30" s="396"/>
      <c r="I30" s="1972" t="s">
        <v>3521</v>
      </c>
      <c r="J30" s="396"/>
      <c r="K30" s="617"/>
      <c r="L30" s="3464"/>
      <c r="M30" s="2710"/>
      <c r="N30" s="2710"/>
      <c r="O30" s="2764"/>
      <c r="P30" s="3753"/>
      <c r="Q30" s="1339"/>
      <c r="R30" s="697"/>
      <c r="S30" s="698"/>
      <c r="T30" s="697"/>
      <c r="U30" s="698"/>
      <c r="V30" s="697"/>
      <c r="W30" s="698"/>
      <c r="X30" s="699"/>
      <c r="Y30" s="3753"/>
      <c r="Z30" s="52"/>
      <c r="AA30" s="1349">
        <v>1</v>
      </c>
      <c r="AB30" s="1349">
        <v>1</v>
      </c>
      <c r="AC30" s="1349">
        <v>1</v>
      </c>
    </row>
    <row r="31" spans="1:29" ht="15">
      <c r="A31" s="376"/>
      <c r="B31" s="404" t="s">
        <v>1780</v>
      </c>
      <c r="C31" s="562" t="s">
        <v>3522</v>
      </c>
      <c r="D31" s="383">
        <v>100</v>
      </c>
      <c r="E31" s="579" t="s">
        <v>3522</v>
      </c>
      <c r="F31" s="383">
        <f>SUMIF(103:103,E31,104:104)-SUMIF(103:103,C31,104:104)+100</f>
        <v>100</v>
      </c>
      <c r="G31" s="579" t="s">
        <v>3522</v>
      </c>
      <c r="H31" s="383">
        <f>SUMIF(103:103,G31,104:104)-SUMIF(103:103,C31,104:104)+100</f>
        <v>100</v>
      </c>
      <c r="I31" s="579" t="s">
        <v>3522</v>
      </c>
      <c r="J31" s="383">
        <f>SUMIF(103:103,I31,104:104)-SUMIF(103:103,C31,104:104)+100</f>
        <v>100</v>
      </c>
      <c r="K31" s="618"/>
      <c r="L31" s="3463"/>
      <c r="M31" s="2708"/>
      <c r="N31" s="2708"/>
      <c r="O31" s="2766"/>
      <c r="P31" s="3753"/>
      <c r="Q31" s="1348" t="str">
        <f t="shared" si="9"/>
        <v>临街状况</v>
      </c>
      <c r="R31" s="701" t="s">
        <v>14</v>
      </c>
      <c r="S31" s="702">
        <f t="shared" ref="S31:S45" si="11">F31</f>
        <v>100</v>
      </c>
      <c r="T31" s="701" t="s">
        <v>14</v>
      </c>
      <c r="U31" s="702">
        <f t="shared" ref="U31:U45" si="12">H31</f>
        <v>100</v>
      </c>
      <c r="V31" s="701" t="s">
        <v>14</v>
      </c>
      <c r="W31" s="702">
        <f t="shared" ref="W31:W45" si="13">J31</f>
        <v>100</v>
      </c>
      <c r="X31" s="1351"/>
      <c r="Y31" s="3753"/>
      <c r="Z31" s="1352" t="str">
        <f t="shared" ref="Z31:Z45" si="14">Q31</f>
        <v>临街状况</v>
      </c>
      <c r="AA31" s="1349">
        <f t="shared" si="4"/>
        <v>1</v>
      </c>
      <c r="AB31" s="1349">
        <f t="shared" si="5"/>
        <v>1</v>
      </c>
      <c r="AC31" s="1349">
        <f t="shared" si="6"/>
        <v>1</v>
      </c>
    </row>
    <row r="32" spans="1:29" ht="27" hidden="1">
      <c r="A32" s="376"/>
      <c r="B32" s="1127" t="s">
        <v>1815</v>
      </c>
      <c r="C32" s="402"/>
      <c r="D32" s="398">
        <v>100</v>
      </c>
      <c r="E32" s="400"/>
      <c r="F32" s="398">
        <f>SUMIF(105:105,E33,106:106)-SUMIF(105:105,C33,106:106)+100</f>
        <v>100</v>
      </c>
      <c r="G32" s="400"/>
      <c r="H32" s="398">
        <f>SUMIF(105:105,G33,106:106)-SUMIF(105:105,C33,106:106)+100</f>
        <v>100</v>
      </c>
      <c r="I32" s="402"/>
      <c r="J32" s="398">
        <f>SUMIF(105:105,I33,106:106)-SUMIF(105:105,C33,106:106)+100</f>
        <v>100</v>
      </c>
      <c r="K32" s="618"/>
      <c r="L32" s="3463"/>
      <c r="M32" s="2708"/>
      <c r="N32" s="2708"/>
      <c r="O32" s="2766"/>
      <c r="P32" s="3753"/>
      <c r="Q32" s="1348" t="str">
        <f t="shared" si="9"/>
        <v>毗邻道路的类型与等级</v>
      </c>
      <c r="R32" s="701" t="s">
        <v>14</v>
      </c>
      <c r="S32" s="702">
        <f t="shared" si="11"/>
        <v>100</v>
      </c>
      <c r="T32" s="701" t="s">
        <v>14</v>
      </c>
      <c r="U32" s="702">
        <f t="shared" si="12"/>
        <v>100</v>
      </c>
      <c r="V32" s="701" t="s">
        <v>14</v>
      </c>
      <c r="W32" s="702">
        <f t="shared" si="13"/>
        <v>100</v>
      </c>
      <c r="X32" s="1351"/>
      <c r="Y32" s="3753"/>
      <c r="Z32" s="1352" t="str">
        <f t="shared" si="14"/>
        <v>毗邻道路的类型与等级</v>
      </c>
      <c r="AA32" s="1349">
        <f t="shared" si="4"/>
        <v>1</v>
      </c>
      <c r="AB32" s="1349">
        <f t="shared" si="5"/>
        <v>1</v>
      </c>
      <c r="AC32" s="1349">
        <f t="shared" si="6"/>
        <v>1</v>
      </c>
    </row>
    <row r="33" spans="1:29" ht="15" hidden="1">
      <c r="A33" s="376"/>
      <c r="B33" s="404"/>
      <c r="C33" s="395"/>
      <c r="D33" s="396"/>
      <c r="E33" s="1899"/>
      <c r="F33" s="396"/>
      <c r="G33" s="1899"/>
      <c r="H33" s="396"/>
      <c r="I33" s="395"/>
      <c r="J33" s="396"/>
      <c r="K33" s="559"/>
      <c r="L33" s="3463"/>
      <c r="M33" s="2708"/>
      <c r="N33" s="2708"/>
      <c r="O33" s="2766"/>
      <c r="P33" s="3753"/>
      <c r="Q33" s="1348"/>
      <c r="R33" s="701"/>
      <c r="S33" s="702"/>
      <c r="T33" s="701"/>
      <c r="U33" s="702"/>
      <c r="V33" s="701"/>
      <c r="W33" s="702"/>
      <c r="X33" s="1351"/>
      <c r="Y33" s="3753"/>
      <c r="Z33" s="1352"/>
      <c r="AA33" s="1349">
        <v>1</v>
      </c>
      <c r="AB33" s="1349">
        <v>1</v>
      </c>
      <c r="AC33" s="1349">
        <v>1</v>
      </c>
    </row>
    <row r="34" spans="1:29" ht="15" hidden="1">
      <c r="A34" s="376"/>
      <c r="B34" s="372" t="s">
        <v>1873</v>
      </c>
      <c r="C34" s="562"/>
      <c r="D34" s="383">
        <v>100</v>
      </c>
      <c r="E34" s="579"/>
      <c r="F34" s="383">
        <f>SUMIF(107:107,E34,108:108)-SUMIF(107:107,C34,108:108)+100</f>
        <v>100</v>
      </c>
      <c r="G34" s="579"/>
      <c r="H34" s="383">
        <f>SUMIF(107:107,G34,108:108)-SUMIF(107:107,C34,108:108)+100</f>
        <v>100</v>
      </c>
      <c r="I34" s="562"/>
      <c r="J34" s="383">
        <f>SUMIF(107:107,I34,108:108)-SUMIF(107:107,C34,108:108)+100</f>
        <v>100</v>
      </c>
      <c r="K34" s="558"/>
      <c r="L34" s="3463"/>
      <c r="M34" s="2708"/>
      <c r="N34" s="2708"/>
      <c r="O34" s="2766"/>
      <c r="P34" s="3753"/>
      <c r="Q34" s="1348" t="str">
        <f t="shared" si="9"/>
        <v>土地级别</v>
      </c>
      <c r="R34" s="701" t="s">
        <v>14</v>
      </c>
      <c r="S34" s="702">
        <f t="shared" si="11"/>
        <v>100</v>
      </c>
      <c r="T34" s="701" t="s">
        <v>14</v>
      </c>
      <c r="U34" s="702">
        <f t="shared" si="12"/>
        <v>100</v>
      </c>
      <c r="V34" s="701" t="s">
        <v>14</v>
      </c>
      <c r="W34" s="702">
        <f t="shared" si="13"/>
        <v>100</v>
      </c>
      <c r="X34" s="1351"/>
      <c r="Y34" s="3753"/>
      <c r="Z34" s="1352" t="str">
        <f t="shared" si="14"/>
        <v>土地级别</v>
      </c>
      <c r="AA34" s="1349">
        <f t="shared" si="4"/>
        <v>1</v>
      </c>
      <c r="AB34" s="1349">
        <f t="shared" si="5"/>
        <v>1</v>
      </c>
      <c r="AC34" s="1349">
        <f t="shared" si="6"/>
        <v>1</v>
      </c>
    </row>
    <row r="35" spans="1:29" ht="15" hidden="1">
      <c r="A35" s="355"/>
      <c r="B35" s="1129">
        <v>111</v>
      </c>
      <c r="C35" s="619"/>
      <c r="D35" s="383">
        <v>100</v>
      </c>
      <c r="E35" s="425"/>
      <c r="F35" s="383">
        <f>SUMIF(109:109,E35,110:110)-SUMIF(109:109,C35,110:110)+100</f>
        <v>100</v>
      </c>
      <c r="G35" s="425"/>
      <c r="H35" s="383">
        <f>SUMIF(109:109,G35,110:110)-SUMIF(109:109,C35,110:110)+100</f>
        <v>100</v>
      </c>
      <c r="I35" s="619"/>
      <c r="J35" s="383">
        <f>SUMIF(109:109,I35,110:110)-SUMIF(109:109,C35,110:110)+100</f>
        <v>100</v>
      </c>
      <c r="K35" s="559"/>
      <c r="L35" s="3463"/>
      <c r="M35" s="2708"/>
      <c r="N35" s="2708"/>
      <c r="O35" s="2766"/>
      <c r="P35" s="3753"/>
      <c r="Q35" s="1348">
        <f t="shared" si="9"/>
        <v>111</v>
      </c>
      <c r="R35" s="701" t="s">
        <v>14</v>
      </c>
      <c r="S35" s="702">
        <f t="shared" si="11"/>
        <v>100</v>
      </c>
      <c r="T35" s="701" t="s">
        <v>14</v>
      </c>
      <c r="U35" s="702">
        <f t="shared" si="12"/>
        <v>100</v>
      </c>
      <c r="V35" s="701" t="s">
        <v>14</v>
      </c>
      <c r="W35" s="702">
        <f t="shared" si="13"/>
        <v>100</v>
      </c>
      <c r="X35" s="1351"/>
      <c r="Y35" s="3753"/>
      <c r="Z35" s="1352">
        <f t="shared" si="14"/>
        <v>111</v>
      </c>
      <c r="AA35" s="1349">
        <f t="shared" si="4"/>
        <v>1</v>
      </c>
      <c r="AB35" s="1349">
        <f t="shared" si="5"/>
        <v>1</v>
      </c>
      <c r="AC35" s="1349">
        <f t="shared" si="6"/>
        <v>1</v>
      </c>
    </row>
    <row r="36" spans="1:29" ht="15" hidden="1">
      <c r="A36" s="620"/>
      <c r="B36" s="1130">
        <v>111</v>
      </c>
      <c r="C36" s="619"/>
      <c r="D36" s="383">
        <v>100</v>
      </c>
      <c r="E36" s="425"/>
      <c r="F36" s="383">
        <f>SUMIF(111:111,E37,112:112)-SUMIF(111:111,C37,112:112)+100</f>
        <v>100</v>
      </c>
      <c r="G36" s="425"/>
      <c r="H36" s="383">
        <f>SUMIF(111:111,G36,112:112)-SUMIF(111:111,C36,112:112)+100</f>
        <v>100</v>
      </c>
      <c r="I36" s="619"/>
      <c r="J36" s="383">
        <f>SUMIF(111:111,I36,112:112)-SUMIF(111:111,C36,112:112)+100</f>
        <v>100</v>
      </c>
      <c r="K36" s="559"/>
      <c r="L36" s="3463"/>
      <c r="M36" s="2708"/>
      <c r="N36" s="2708"/>
      <c r="O36" s="2766"/>
      <c r="P36" s="3754" t="s">
        <v>1696</v>
      </c>
      <c r="Q36" s="1348">
        <f t="shared" si="9"/>
        <v>111</v>
      </c>
      <c r="R36" s="701" t="s">
        <v>14</v>
      </c>
      <c r="S36" s="702">
        <f t="shared" si="11"/>
        <v>100</v>
      </c>
      <c r="T36" s="701" t="s">
        <v>14</v>
      </c>
      <c r="U36" s="702">
        <f t="shared" si="12"/>
        <v>100</v>
      </c>
      <c r="V36" s="701" t="s">
        <v>14</v>
      </c>
      <c r="W36" s="702">
        <f t="shared" si="13"/>
        <v>100</v>
      </c>
      <c r="X36" s="1351"/>
      <c r="Y36" s="3755" t="s">
        <v>1696</v>
      </c>
      <c r="Z36" s="1352">
        <f t="shared" si="14"/>
        <v>111</v>
      </c>
      <c r="AA36" s="1349">
        <f t="shared" si="4"/>
        <v>1</v>
      </c>
      <c r="AB36" s="1349">
        <f t="shared" si="5"/>
        <v>1</v>
      </c>
      <c r="AC36" s="1349">
        <f t="shared" si="6"/>
        <v>1</v>
      </c>
    </row>
    <row r="37" spans="1:29" s="419" customFormat="1" ht="15.75" thickBot="1">
      <c r="A37" s="621"/>
      <c r="B37" s="1131">
        <v>111</v>
      </c>
      <c r="C37" s="623"/>
      <c r="D37" s="126">
        <v>100</v>
      </c>
      <c r="E37" s="646"/>
      <c r="F37" s="386">
        <f>SUMIF(113:113,E37,114:114)-SUMIF(113:113,C37,114:114)+100</f>
        <v>100</v>
      </c>
      <c r="G37" s="646"/>
      <c r="H37" s="386">
        <f>SUMIF(113:113,G37,114:114)-SUMIF(113:113,C37,114:114)+100</f>
        <v>100</v>
      </c>
      <c r="I37" s="623"/>
      <c r="J37" s="386">
        <f>SUMIF(113:113,I37,114:114)-SUMIF(113:113,C37,114:114)+100</f>
        <v>100</v>
      </c>
      <c r="K37" s="559"/>
      <c r="L37" s="3465"/>
      <c r="M37" s="2715"/>
      <c r="N37" s="2715"/>
      <c r="O37" s="2767"/>
      <c r="P37" s="3755"/>
      <c r="Q37" s="1348">
        <f t="shared" si="9"/>
        <v>111</v>
      </c>
      <c r="R37" s="704" t="s">
        <v>14</v>
      </c>
      <c r="S37" s="705">
        <f t="shared" si="11"/>
        <v>100</v>
      </c>
      <c r="T37" s="704" t="s">
        <v>14</v>
      </c>
      <c r="U37" s="705">
        <f t="shared" si="12"/>
        <v>100</v>
      </c>
      <c r="V37" s="704" t="s">
        <v>14</v>
      </c>
      <c r="W37" s="705">
        <f t="shared" si="13"/>
        <v>100</v>
      </c>
      <c r="X37" s="706"/>
      <c r="Y37" s="3755"/>
      <c r="Z37" s="707">
        <f t="shared" si="14"/>
        <v>111</v>
      </c>
      <c r="AA37" s="1349">
        <f t="shared" si="4"/>
        <v>1</v>
      </c>
      <c r="AB37" s="1349">
        <f t="shared" si="5"/>
        <v>1</v>
      </c>
      <c r="AC37" s="1349">
        <f t="shared" si="6"/>
        <v>1</v>
      </c>
    </row>
    <row r="38" spans="1:29" ht="15">
      <c r="A38" s="420" t="s">
        <v>1694</v>
      </c>
      <c r="B38" s="404" t="s">
        <v>1874</v>
      </c>
      <c r="C38" s="624">
        <f>多规!D6</f>
        <v>34525.83</v>
      </c>
      <c r="D38" s="415">
        <v>100</v>
      </c>
      <c r="E38" s="624">
        <f>招拍挂案例!F7</f>
        <v>41000.75</v>
      </c>
      <c r="F38" s="415">
        <f>LOOKUP(E38,116:116,117:117)-LOOKUP(C38,116:116,117:117)+100</f>
        <v>100</v>
      </c>
      <c r="G38" s="624">
        <f>招拍挂案例!F2</f>
        <v>59523.360000000001</v>
      </c>
      <c r="H38" s="415">
        <f>LOOKUP(G38,116:116,117:117)-LOOKUP(C38,116:116,117:117)+100</f>
        <v>101</v>
      </c>
      <c r="I38" s="476">
        <f>招拍挂案例!F3</f>
        <v>87287.8</v>
      </c>
      <c r="J38" s="415">
        <f>LOOKUP(I38,116:116,117:117)-LOOKUP(C38,116:116,117:117)+100</f>
        <v>101</v>
      </c>
      <c r="K38" s="559"/>
      <c r="L38" s="3463"/>
      <c r="M38" s="2708"/>
      <c r="N38" s="2708"/>
      <c r="O38" s="2766"/>
      <c r="P38" s="3755"/>
      <c r="Q38" s="1348" t="str">
        <f>B38</f>
        <v>宗地面积</v>
      </c>
      <c r="R38" s="701" t="s">
        <v>14</v>
      </c>
      <c r="S38" s="702">
        <f t="shared" si="11"/>
        <v>100</v>
      </c>
      <c r="T38" s="701" t="s">
        <v>14</v>
      </c>
      <c r="U38" s="702">
        <f t="shared" si="12"/>
        <v>101</v>
      </c>
      <c r="V38" s="701" t="s">
        <v>14</v>
      </c>
      <c r="W38" s="702">
        <f t="shared" si="13"/>
        <v>101</v>
      </c>
      <c r="X38" s="1351"/>
      <c r="Y38" s="3755"/>
      <c r="Z38" s="1352" t="str">
        <f t="shared" si="14"/>
        <v>宗地面积</v>
      </c>
      <c r="AA38" s="1349">
        <f t="shared" si="4"/>
        <v>1</v>
      </c>
      <c r="AB38" s="1349">
        <f t="shared" si="5"/>
        <v>0.99009900990099009</v>
      </c>
      <c r="AC38" s="1349">
        <f t="shared" si="6"/>
        <v>0.99009900990099009</v>
      </c>
    </row>
    <row r="39" spans="1:29" ht="15">
      <c r="A39" s="420"/>
      <c r="B39" s="372" t="s">
        <v>1875</v>
      </c>
      <c r="C39" s="1901" t="s">
        <v>3523</v>
      </c>
      <c r="D39" s="383">
        <v>100</v>
      </c>
      <c r="E39" s="1901" t="s">
        <v>3523</v>
      </c>
      <c r="F39" s="383">
        <f>SUMIF(118:118,E39,119:119)-SUMIF(118:118,C39,119:119)+100</f>
        <v>100</v>
      </c>
      <c r="G39" s="1901" t="s">
        <v>3523</v>
      </c>
      <c r="H39" s="383">
        <f>SUMIF(118:118,G39,119:119)-SUMIF(118:118,C39,119:119)+100</f>
        <v>100</v>
      </c>
      <c r="I39" s="1901" t="s">
        <v>3523</v>
      </c>
      <c r="J39" s="383">
        <f>SUMIF(118:118,I39,119:119)-SUMIF(118:118,C39,119:119)+100</f>
        <v>100</v>
      </c>
      <c r="K39" s="558"/>
      <c r="L39" s="3463"/>
      <c r="M39" s="2708"/>
      <c r="N39" s="2708"/>
      <c r="O39" s="2766"/>
      <c r="P39" s="3755"/>
      <c r="Q39" s="1348" t="str">
        <f t="shared" ref="Q39:Q45" si="15">B39</f>
        <v>宗地形状</v>
      </c>
      <c r="R39" s="701" t="s">
        <v>14</v>
      </c>
      <c r="S39" s="702">
        <f t="shared" si="11"/>
        <v>100</v>
      </c>
      <c r="T39" s="701" t="s">
        <v>14</v>
      </c>
      <c r="U39" s="702">
        <f t="shared" si="12"/>
        <v>100</v>
      </c>
      <c r="V39" s="701" t="s">
        <v>14</v>
      </c>
      <c r="W39" s="702">
        <f t="shared" si="13"/>
        <v>100</v>
      </c>
      <c r="X39" s="1351"/>
      <c r="Y39" s="3755"/>
      <c r="Z39" s="1352" t="str">
        <f t="shared" si="14"/>
        <v>宗地形状</v>
      </c>
      <c r="AA39" s="1349">
        <f t="shared" si="4"/>
        <v>1</v>
      </c>
      <c r="AB39" s="1349">
        <f t="shared" si="5"/>
        <v>1</v>
      </c>
      <c r="AC39" s="1349">
        <f t="shared" si="6"/>
        <v>1</v>
      </c>
    </row>
    <row r="40" spans="1:29" ht="15" hidden="1">
      <c r="A40" s="420"/>
      <c r="B40" s="372" t="s">
        <v>1876</v>
      </c>
      <c r="C40" s="1901"/>
      <c r="D40" s="383">
        <v>100</v>
      </c>
      <c r="E40" s="1901"/>
      <c r="F40" s="383">
        <f>SUMIF(120:120,E40,121:121)-SUMIF(120:120,C40,121:121)+100</f>
        <v>100</v>
      </c>
      <c r="G40" s="1901"/>
      <c r="H40" s="383">
        <f>SUMIF(120:120,G40,121:121)-SUMIF(120:120,C40,121:121)+100</f>
        <v>100</v>
      </c>
      <c r="I40" s="1901"/>
      <c r="J40" s="383">
        <f>SUMIF(120:120,I40,121:121)-SUMIF(120:120,C40,121:121)+100</f>
        <v>100</v>
      </c>
      <c r="K40" s="558"/>
      <c r="L40" s="3463"/>
      <c r="M40" s="2708"/>
      <c r="N40" s="2708"/>
      <c r="O40" s="2766"/>
      <c r="P40" s="3755"/>
      <c r="Q40" s="1348" t="str">
        <f t="shared" si="15"/>
        <v>临街宽度及深度</v>
      </c>
      <c r="R40" s="701" t="s">
        <v>14</v>
      </c>
      <c r="S40" s="702">
        <f t="shared" si="11"/>
        <v>100</v>
      </c>
      <c r="T40" s="701" t="s">
        <v>14</v>
      </c>
      <c r="U40" s="702">
        <f t="shared" si="12"/>
        <v>100</v>
      </c>
      <c r="V40" s="701" t="s">
        <v>14</v>
      </c>
      <c r="W40" s="702">
        <f t="shared" si="13"/>
        <v>100</v>
      </c>
      <c r="X40" s="1351"/>
      <c r="Y40" s="3755"/>
      <c r="Z40" s="1352" t="str">
        <f t="shared" si="14"/>
        <v>临街宽度及深度</v>
      </c>
      <c r="AA40" s="1349">
        <f t="shared" si="4"/>
        <v>1</v>
      </c>
      <c r="AB40" s="1349">
        <f t="shared" si="5"/>
        <v>1</v>
      </c>
      <c r="AC40" s="1349">
        <f t="shared" si="6"/>
        <v>1</v>
      </c>
    </row>
    <row r="41" spans="1:29" s="108" customFormat="1" ht="15" hidden="1">
      <c r="A41" s="421"/>
      <c r="B41" s="372" t="s">
        <v>1877</v>
      </c>
      <c r="C41" s="1973"/>
      <c r="D41" s="125">
        <v>100</v>
      </c>
      <c r="E41" s="1973"/>
      <c r="F41" s="383">
        <f>SUMIF(122:122,E41,123:123)-SUMIF(122:122,C41,123:123)+100</f>
        <v>100</v>
      </c>
      <c r="G41" s="1973"/>
      <c r="H41" s="383">
        <f>SUMIF(122:122,G41,123:123)-SUMIF(122:122,C41,123:123)+100</f>
        <v>100</v>
      </c>
      <c r="I41" s="1973"/>
      <c r="J41" s="383">
        <f>SUMIF(122:122,I41,123:123)-SUMIF(122:122,C41,123:123)+100</f>
        <v>100</v>
      </c>
      <c r="K41" s="558"/>
      <c r="L41" s="3464"/>
      <c r="M41" s="2710"/>
      <c r="N41" s="2710"/>
      <c r="O41" s="2764"/>
      <c r="P41" s="3755"/>
      <c r="Q41" s="1348" t="str">
        <f t="shared" si="15"/>
        <v>宗地开发程度</v>
      </c>
      <c r="R41" s="697" t="s">
        <v>14</v>
      </c>
      <c r="S41" s="698">
        <f t="shared" si="11"/>
        <v>100</v>
      </c>
      <c r="T41" s="697" t="s">
        <v>14</v>
      </c>
      <c r="U41" s="698">
        <f t="shared" si="12"/>
        <v>100</v>
      </c>
      <c r="V41" s="697" t="s">
        <v>14</v>
      </c>
      <c r="W41" s="698">
        <f t="shared" si="13"/>
        <v>100</v>
      </c>
      <c r="X41" s="699"/>
      <c r="Y41" s="3755"/>
      <c r="Z41" s="52" t="str">
        <f t="shared" si="14"/>
        <v>宗地开发程度</v>
      </c>
      <c r="AA41" s="700">
        <f t="shared" si="4"/>
        <v>1</v>
      </c>
      <c r="AB41" s="700">
        <f t="shared" si="5"/>
        <v>1</v>
      </c>
      <c r="AC41" s="700">
        <f t="shared" si="6"/>
        <v>1</v>
      </c>
    </row>
    <row r="42" spans="1:29" ht="15">
      <c r="A42" s="420"/>
      <c r="B42" s="372" t="s">
        <v>1878</v>
      </c>
      <c r="C42" s="1901" t="s">
        <v>3525</v>
      </c>
      <c r="D42" s="383">
        <v>100</v>
      </c>
      <c r="E42" s="1901" t="s">
        <v>3525</v>
      </c>
      <c r="F42" s="383">
        <f>SUMIF(124:124,E42,125:125)-SUMIF(124:124,C42,125:125)+100</f>
        <v>100</v>
      </c>
      <c r="G42" s="1901" t="s">
        <v>3525</v>
      </c>
      <c r="H42" s="383">
        <f>SUMIF(124:124,G42,125:125)-SUMIF(124:124,C42,125:125)+100</f>
        <v>100</v>
      </c>
      <c r="I42" s="1901" t="s">
        <v>3525</v>
      </c>
      <c r="J42" s="383">
        <f>SUMIF(124:124,I42,125:125)-SUMIF(124:124,C42,125:125)+100</f>
        <v>100</v>
      </c>
      <c r="K42" s="558"/>
      <c r="L42" s="3463"/>
      <c r="M42" s="2708"/>
      <c r="N42" s="2708"/>
      <c r="O42" s="2766"/>
      <c r="P42" s="3755" t="s">
        <v>1696</v>
      </c>
      <c r="Q42" s="1348" t="str">
        <f t="shared" si="15"/>
        <v>工程地质条件</v>
      </c>
      <c r="R42" s="701" t="s">
        <v>14</v>
      </c>
      <c r="S42" s="702">
        <f t="shared" si="11"/>
        <v>100</v>
      </c>
      <c r="T42" s="701" t="s">
        <v>14</v>
      </c>
      <c r="U42" s="702">
        <f t="shared" si="12"/>
        <v>100</v>
      </c>
      <c r="V42" s="701" t="s">
        <v>14</v>
      </c>
      <c r="W42" s="702">
        <f t="shared" si="13"/>
        <v>100</v>
      </c>
      <c r="X42" s="1351"/>
      <c r="Y42" s="3755" t="s">
        <v>1696</v>
      </c>
      <c r="Z42" s="1352" t="str">
        <f t="shared" si="14"/>
        <v>工程地质条件</v>
      </c>
      <c r="AA42" s="1349">
        <f t="shared" si="4"/>
        <v>1</v>
      </c>
      <c r="AB42" s="1349">
        <f t="shared" si="5"/>
        <v>1</v>
      </c>
      <c r="AC42" s="1349">
        <f t="shared" si="6"/>
        <v>1</v>
      </c>
    </row>
    <row r="43" spans="1:29" ht="15">
      <c r="A43" s="420"/>
      <c r="B43" s="1130" t="s">
        <v>3524</v>
      </c>
      <c r="C43" s="619" t="s">
        <v>3526</v>
      </c>
      <c r="D43" s="383">
        <v>100</v>
      </c>
      <c r="E43" s="619" t="s">
        <v>3526</v>
      </c>
      <c r="F43" s="383">
        <f>SUMIF(126:126,E43,127:127)-SUMIF(126:126,C43,127:127)+100</f>
        <v>100</v>
      </c>
      <c r="G43" s="619" t="s">
        <v>3526</v>
      </c>
      <c r="H43" s="383">
        <f>SUMIF(126:126,G43,127:127)-SUMIF(126:126,C43,127:127)+100</f>
        <v>100</v>
      </c>
      <c r="I43" s="619" t="s">
        <v>3526</v>
      </c>
      <c r="J43" s="383">
        <f>SUMIF(126:126,I43,127:127)-SUMIF(126:126,C43,127:127)+100</f>
        <v>100</v>
      </c>
      <c r="K43" s="559"/>
      <c r="L43" s="3463"/>
      <c r="M43" s="2708"/>
      <c r="N43" s="2708"/>
      <c r="O43" s="2766"/>
      <c r="P43" s="3755"/>
      <c r="Q43" s="1348" t="str">
        <f t="shared" si="15"/>
        <v>宗地规划限制</v>
      </c>
      <c r="R43" s="701" t="s">
        <v>14</v>
      </c>
      <c r="S43" s="702">
        <f t="shared" si="11"/>
        <v>100</v>
      </c>
      <c r="T43" s="701" t="s">
        <v>14</v>
      </c>
      <c r="U43" s="702">
        <f t="shared" si="12"/>
        <v>100</v>
      </c>
      <c r="V43" s="701" t="s">
        <v>14</v>
      </c>
      <c r="W43" s="702">
        <f t="shared" si="13"/>
        <v>100</v>
      </c>
      <c r="X43" s="1351"/>
      <c r="Y43" s="3755"/>
      <c r="Z43" s="1352" t="str">
        <f t="shared" si="14"/>
        <v>宗地规划限制</v>
      </c>
      <c r="AA43" s="1349">
        <f t="shared" si="4"/>
        <v>1</v>
      </c>
      <c r="AB43" s="1349">
        <f t="shared" si="5"/>
        <v>1</v>
      </c>
      <c r="AC43" s="1349">
        <f t="shared" si="6"/>
        <v>1</v>
      </c>
    </row>
    <row r="44" spans="1:29" ht="15">
      <c r="A44" s="420"/>
      <c r="B44" s="1130">
        <v>111</v>
      </c>
      <c r="C44" s="619"/>
      <c r="D44" s="383">
        <v>100</v>
      </c>
      <c r="E44" s="619"/>
      <c r="F44" s="383">
        <f>SUMIF(128:128,E44,129:129)-SUMIF(128:128,C44,129:129)+100</f>
        <v>100</v>
      </c>
      <c r="G44" s="619"/>
      <c r="H44" s="383">
        <f>SUMIF(128:128,G44,129:129)-SUMIF(128:128,C44,129:129)+100</f>
        <v>100</v>
      </c>
      <c r="I44" s="495"/>
      <c r="J44" s="383">
        <f>SUMIF(128:128,I44,129:129)-SUMIF(128:128,C44,129:129)+100</f>
        <v>100</v>
      </c>
      <c r="K44" s="559"/>
      <c r="L44" s="3463"/>
      <c r="M44" s="2708"/>
      <c r="N44" s="2708"/>
      <c r="O44" s="2766"/>
      <c r="P44" s="3755"/>
      <c r="Q44" s="1348">
        <f t="shared" si="15"/>
        <v>111</v>
      </c>
      <c r="R44" s="701" t="s">
        <v>14</v>
      </c>
      <c r="S44" s="702">
        <f t="shared" si="11"/>
        <v>100</v>
      </c>
      <c r="T44" s="701" t="s">
        <v>14</v>
      </c>
      <c r="U44" s="702">
        <f t="shared" si="12"/>
        <v>100</v>
      </c>
      <c r="V44" s="701" t="s">
        <v>14</v>
      </c>
      <c r="W44" s="702">
        <f t="shared" si="13"/>
        <v>100</v>
      </c>
      <c r="X44" s="1351"/>
      <c r="Y44" s="3755"/>
      <c r="Z44" s="1352">
        <f t="shared" si="14"/>
        <v>111</v>
      </c>
      <c r="AA44" s="1349">
        <f t="shared" si="4"/>
        <v>1</v>
      </c>
      <c r="AB44" s="1349">
        <f t="shared" si="5"/>
        <v>1</v>
      </c>
      <c r="AC44" s="1349">
        <f t="shared" si="6"/>
        <v>1</v>
      </c>
    </row>
    <row r="45" spans="1:29" s="419" customFormat="1" ht="15.75" thickBot="1">
      <c r="A45" s="416"/>
      <c r="B45" s="1130">
        <v>111</v>
      </c>
      <c r="C45" s="1974"/>
      <c r="D45" s="625">
        <v>100</v>
      </c>
      <c r="E45" s="619"/>
      <c r="F45" s="386">
        <f>SUMIF(130:130,E45,131:131)-SUMIF(130:130,C45,131:131)+100</f>
        <v>100</v>
      </c>
      <c r="G45" s="619"/>
      <c r="H45" s="386">
        <f>SUMIF(130:130,G45,131:131)-SUMIF(130:130,C45,131:131)+100</f>
        <v>100</v>
      </c>
      <c r="I45" s="619"/>
      <c r="J45" s="386">
        <f>SUMIF(130:130,I45,131:131)-SUMIF(130:130,C45,131:131)+100</f>
        <v>100</v>
      </c>
      <c r="K45" s="626"/>
      <c r="L45" s="3465"/>
      <c r="M45" s="2715"/>
      <c r="N45" s="2715"/>
      <c r="O45" s="2767"/>
      <c r="P45" s="3755"/>
      <c r="Q45" s="1348">
        <f t="shared" si="15"/>
        <v>111</v>
      </c>
      <c r="R45" s="704" t="s">
        <v>14</v>
      </c>
      <c r="S45" s="705">
        <f t="shared" si="11"/>
        <v>100</v>
      </c>
      <c r="T45" s="704" t="s">
        <v>14</v>
      </c>
      <c r="U45" s="705">
        <f t="shared" si="12"/>
        <v>100</v>
      </c>
      <c r="V45" s="704" t="s">
        <v>14</v>
      </c>
      <c r="W45" s="705">
        <f t="shared" si="13"/>
        <v>100</v>
      </c>
      <c r="X45" s="706"/>
      <c r="Y45" s="3755"/>
      <c r="Z45" s="707">
        <f t="shared" si="14"/>
        <v>111</v>
      </c>
      <c r="AA45" s="1349">
        <f t="shared" si="4"/>
        <v>1</v>
      </c>
      <c r="AB45" s="1349">
        <f t="shared" si="5"/>
        <v>1</v>
      </c>
      <c r="AC45" s="1349">
        <f t="shared" si="6"/>
        <v>1</v>
      </c>
    </row>
    <row r="46" spans="1:29" ht="15">
      <c r="A46" s="427" t="s">
        <v>1844</v>
      </c>
      <c r="B46" s="1975" t="s">
        <v>1879</v>
      </c>
      <c r="C46" s="627" t="s">
        <v>0</v>
      </c>
      <c r="D46" s="429"/>
      <c r="E46" s="430">
        <f>招拍挂案例!U7</f>
        <v>14300</v>
      </c>
      <c r="F46" s="431"/>
      <c r="G46" s="432">
        <f>招拍挂案例!U2</f>
        <v>14372</v>
      </c>
      <c r="H46" s="433"/>
      <c r="I46" s="430">
        <f>招拍挂案例!U3</f>
        <v>14328</v>
      </c>
      <c r="J46" s="433"/>
      <c r="K46" s="710"/>
      <c r="L46" s="3466"/>
      <c r="M46" s="2717"/>
      <c r="N46" s="2708"/>
      <c r="O46" s="2717"/>
      <c r="P46" s="3737" t="str">
        <f>A46</f>
        <v>成交单价</v>
      </c>
      <c r="Q46" s="3737"/>
      <c r="R46" s="3750">
        <f>E46</f>
        <v>14300</v>
      </c>
      <c r="S46" s="3750"/>
      <c r="T46" s="3750">
        <f>G46</f>
        <v>14372</v>
      </c>
      <c r="U46" s="3750"/>
      <c r="V46" s="3750">
        <f>I46</f>
        <v>14328</v>
      </c>
      <c r="W46" s="3750"/>
      <c r="X46" s="686"/>
      <c r="Y46" s="708"/>
      <c r="Z46" s="686"/>
      <c r="AA46" s="686"/>
      <c r="AB46" s="686"/>
      <c r="AC46" s="686"/>
    </row>
    <row r="47" spans="1:29" ht="15.75" thickBot="1">
      <c r="A47" s="434" t="s">
        <v>1793</v>
      </c>
      <c r="B47" s="628"/>
      <c r="C47" s="437">
        <f>R48</f>
        <v>14980</v>
      </c>
      <c r="D47" s="2310" t="s">
        <v>2138</v>
      </c>
      <c r="E47" s="437">
        <f>R47</f>
        <v>15733</v>
      </c>
      <c r="F47" s="2311"/>
      <c r="G47" s="436">
        <f>T47</f>
        <v>14626</v>
      </c>
      <c r="H47" s="2311"/>
      <c r="I47" s="437">
        <f>V47</f>
        <v>14581</v>
      </c>
      <c r="J47" s="2311"/>
      <c r="K47" s="2313">
        <f>F47+H47+J47</f>
        <v>0</v>
      </c>
      <c r="L47" s="3466"/>
      <c r="M47" s="2717"/>
      <c r="N47" s="2717"/>
      <c r="O47" s="2717"/>
      <c r="P47" s="3737" t="str">
        <f>A47</f>
        <v>比较价值（元/平方米）</v>
      </c>
      <c r="Q47" s="3737"/>
      <c r="R47" s="3756">
        <f>ROUND(PRODUCT(R46,AA7:AA45),0)</f>
        <v>15733</v>
      </c>
      <c r="S47" s="3756"/>
      <c r="T47" s="3756">
        <f>ROUND(PRODUCT(T46,AB7:AB45),0)</f>
        <v>14626</v>
      </c>
      <c r="U47" s="3756"/>
      <c r="V47" s="3756">
        <f>ROUND(PRODUCT(V46,AC7:AC45),0)</f>
        <v>14581</v>
      </c>
      <c r="W47" s="3756"/>
      <c r="X47" s="686"/>
      <c r="Y47" s="686"/>
      <c r="Z47" s="686"/>
      <c r="AA47" s="686"/>
      <c r="AB47" s="686"/>
      <c r="AC47" s="686"/>
    </row>
    <row r="48" spans="1:29" ht="15.75" thickBot="1">
      <c r="A48" s="438" t="s">
        <v>1880</v>
      </c>
      <c r="B48" s="439"/>
      <c r="C48" s="440">
        <f>R48</f>
        <v>14980</v>
      </c>
      <c r="D48" s="440"/>
      <c r="E48" s="440"/>
      <c r="F48" s="440"/>
      <c r="G48" s="440"/>
      <c r="H48" s="440"/>
      <c r="I48" s="440"/>
      <c r="J48" s="440"/>
      <c r="K48" s="711"/>
      <c r="L48" s="2716"/>
      <c r="M48" s="2717"/>
      <c r="N48" s="2717"/>
      <c r="O48" s="2717"/>
      <c r="P48" s="3757" t="str">
        <f>A48</f>
        <v>估价对象XX用房的比较价值（楼面单价，元/平方米）</v>
      </c>
      <c r="Q48" s="3758"/>
      <c r="R48" s="3759">
        <f>ROUND(IF(D47="简单平均",AVERAGE(R47:W47),R47*F47+T47*H47+V47*J47),0)</f>
        <v>14980</v>
      </c>
      <c r="S48" s="3759"/>
      <c r="T48" s="3759"/>
      <c r="U48" s="3759"/>
      <c r="V48" s="3759"/>
      <c r="W48" s="3759"/>
      <c r="X48" s="686"/>
      <c r="Y48" s="686"/>
      <c r="Z48" s="686"/>
      <c r="AA48" s="686"/>
      <c r="AB48" s="686"/>
      <c r="AC48" s="686"/>
    </row>
    <row r="49" spans="1:29">
      <c r="A49" s="2717"/>
      <c r="B49" s="2717"/>
      <c r="C49" s="2717"/>
      <c r="D49" s="2717"/>
      <c r="E49" s="2717">
        <f>E47/E46</f>
        <v>1.1002097902097903</v>
      </c>
      <c r="F49" s="2717"/>
      <c r="G49" s="2717">
        <f>G47/G46</f>
        <v>1.0176732535485666</v>
      </c>
      <c r="H49" s="2717"/>
      <c r="I49" s="2717">
        <f>I47/I46</f>
        <v>1.0176577331099945</v>
      </c>
      <c r="J49" s="2717"/>
      <c r="K49" s="2722"/>
      <c r="L49" s="2718"/>
      <c r="M49" s="2717"/>
      <c r="N49" s="2717"/>
      <c r="O49" s="2717"/>
      <c r="P49" s="2717"/>
      <c r="Q49" s="2717"/>
      <c r="R49" s="2717"/>
      <c r="S49" s="2717"/>
      <c r="T49" s="2717"/>
      <c r="U49" s="2717"/>
      <c r="V49" s="2717"/>
      <c r="W49" s="2717"/>
      <c r="X49" s="2717"/>
      <c r="Y49" s="2717"/>
      <c r="Z49" s="2717"/>
      <c r="AA49" s="2717"/>
      <c r="AB49" s="2717"/>
      <c r="AC49" s="2717"/>
    </row>
    <row r="50" spans="1:29">
      <c r="A50" s="2717"/>
      <c r="B50" s="2717"/>
      <c r="C50" s="2717"/>
      <c r="D50" s="2717"/>
      <c r="E50" s="2717"/>
      <c r="F50" s="2717"/>
      <c r="G50" s="2717"/>
      <c r="H50" s="2717"/>
      <c r="I50" s="2717"/>
      <c r="J50" s="2717"/>
      <c r="K50" s="2722"/>
      <c r="L50" s="2718"/>
      <c r="M50" s="2717"/>
      <c r="N50" s="2717"/>
      <c r="O50" s="2717"/>
      <c r="P50" s="2717"/>
      <c r="Q50" s="2717"/>
      <c r="R50" s="2717"/>
      <c r="S50" s="2717"/>
      <c r="T50" s="2717"/>
      <c r="U50" s="2717"/>
      <c r="V50" s="2717"/>
      <c r="W50" s="2717"/>
      <c r="X50" s="2717"/>
      <c r="Y50" s="2717"/>
      <c r="Z50" s="2717"/>
      <c r="AA50" s="2717"/>
      <c r="AB50" s="2717"/>
      <c r="AC50" s="2717"/>
    </row>
    <row r="51" spans="1:29" ht="13.5" customHeight="1">
      <c r="A51" s="2717"/>
      <c r="B51" s="2717"/>
      <c r="C51" s="443" t="s">
        <v>1795</v>
      </c>
      <c r="D51" s="444"/>
      <c r="E51" s="445">
        <f>IF(E46&lt;E47,E47/E46-1,E46/E47-1)</f>
        <v>0.10020979020979026</v>
      </c>
      <c r="F51" s="446" t="str">
        <f>IF(OR(E51&gt;=0.3,E51&lt;=-0.3),"超过30%","")</f>
        <v/>
      </c>
      <c r="G51" s="445">
        <f>IF(G46&lt;G47,G47/G46-1,G46/G47-1)</f>
        <v>1.7673253548566636E-2</v>
      </c>
      <c r="H51" s="446" t="str">
        <f>IF(OR(G51&gt;=0.3,G51&lt;=-0.3),"超过30%","")</f>
        <v/>
      </c>
      <c r="I51" s="445">
        <f>IF(I46&lt;I47,I47/I46-1,I46/I47-1)</f>
        <v>1.7657733109994522E-2</v>
      </c>
      <c r="J51" s="446" t="str">
        <f>IF(OR(I51&gt;=0.3,I51&lt;=-0.3),"超过30%","")</f>
        <v/>
      </c>
      <c r="K51" s="2722"/>
      <c r="L51" s="2718"/>
      <c r="M51" s="2717"/>
      <c r="N51" s="2717"/>
      <c r="O51" s="2717"/>
      <c r="P51" s="2717"/>
      <c r="Q51" s="2717"/>
      <c r="R51" s="2717"/>
      <c r="S51" s="2717"/>
      <c r="T51" s="2717"/>
      <c r="U51" s="2717"/>
      <c r="V51" s="2717"/>
      <c r="W51" s="2717"/>
      <c r="X51" s="2717"/>
      <c r="Y51" s="2717"/>
      <c r="Z51" s="2717"/>
      <c r="AA51" s="2717"/>
      <c r="AB51" s="2717"/>
      <c r="AC51" s="2717"/>
    </row>
    <row r="52" spans="1:29" ht="13.5" customHeight="1">
      <c r="A52" s="2717"/>
      <c r="B52" s="2717"/>
      <c r="C52" s="443" t="s">
        <v>1796</v>
      </c>
      <c r="D52" s="447"/>
      <c r="E52" s="445">
        <f>IF(E47&lt;G47,G47/E47-1,E47/G47-1)</f>
        <v>7.5687132503760468E-2</v>
      </c>
      <c r="F52" s="446" t="str">
        <f>IF(OR(E52&gt;=0.2,E52&lt;=-0.2),"超过20%","")</f>
        <v/>
      </c>
      <c r="G52" s="445">
        <f>IF(G47&lt;I47,I47/G47-1,G47/I47-1)</f>
        <v>3.0862080790068358E-3</v>
      </c>
      <c r="H52" s="446" t="str">
        <f>IF(OR(G52&gt;=0.2,G52&lt;=-0.2),"超过20%","")</f>
        <v/>
      </c>
      <c r="I52" s="445">
        <f>IF(I47&lt;E47,E47/I47-1,I47/E47-1)</f>
        <v>7.9006926822577261E-2</v>
      </c>
      <c r="J52" s="446" t="str">
        <f>IF(OR(I52&gt;=0.2,I52&lt;=-0.2),"超过20%","")</f>
        <v/>
      </c>
      <c r="K52" s="2722"/>
      <c r="L52" s="2718"/>
      <c r="M52" s="2717"/>
      <c r="N52" s="2717"/>
      <c r="O52" s="2717"/>
      <c r="P52" s="2717"/>
      <c r="Q52" s="2717"/>
      <c r="R52" s="2717"/>
      <c r="S52" s="2717"/>
      <c r="T52" s="2717"/>
      <c r="U52" s="2717"/>
      <c r="V52" s="2717"/>
      <c r="W52" s="2717"/>
      <c r="X52" s="2717"/>
      <c r="Y52" s="2717"/>
      <c r="Z52" s="2717"/>
      <c r="AA52" s="2717"/>
      <c r="AB52" s="2717"/>
      <c r="AC52" s="2717"/>
    </row>
    <row r="53" spans="1:29" s="448" customFormat="1" ht="13.5" customHeight="1">
      <c r="A53" s="2720"/>
      <c r="B53" s="2720"/>
      <c r="C53" s="443" t="s">
        <v>1797</v>
      </c>
      <c r="D53" s="447"/>
      <c r="E53" s="445">
        <f>IF(E46&lt;G46,G46/E46-1,E46/G46-1)</f>
        <v>5.0349650349650332E-3</v>
      </c>
      <c r="F53" s="446" t="str">
        <f>IF(OR(E53&gt;=0.3,E53&lt;=-0.3),"超过30%","")</f>
        <v/>
      </c>
      <c r="G53" s="445">
        <f>IF(G46&lt;I46,I46/G46-1,G46/I46-1)</f>
        <v>3.0709101060859556E-3</v>
      </c>
      <c r="H53" s="446" t="str">
        <f>IF(OR(G53&gt;=0.3,G53&lt;=-0.3),"超过30%","")</f>
        <v/>
      </c>
      <c r="I53" s="445">
        <f>IF(I46&lt;E46,E46/I46-1,I46/E46-1)</f>
        <v>1.9580419580420561E-3</v>
      </c>
      <c r="J53" s="446" t="str">
        <f>IF(OR(I53&gt;=0.3,I53&lt;=-0.3),"超过30%","")</f>
        <v/>
      </c>
      <c r="K53" s="2725"/>
      <c r="L53" s="2719"/>
      <c r="M53" s="2720"/>
      <c r="N53" s="2720"/>
      <c r="O53" s="2720"/>
      <c r="P53" s="2720"/>
      <c r="Q53" s="2720"/>
      <c r="R53" s="2720"/>
      <c r="S53" s="2720"/>
      <c r="T53" s="2720"/>
      <c r="U53" s="2720"/>
      <c r="V53" s="2720"/>
      <c r="W53" s="2720"/>
      <c r="X53" s="2720"/>
      <c r="Y53" s="2720"/>
      <c r="Z53" s="2720"/>
      <c r="AA53" s="2720"/>
      <c r="AB53" s="2720"/>
      <c r="AC53" s="2720"/>
    </row>
    <row r="54" spans="1:29" s="448" customFormat="1" ht="15" thickBot="1">
      <c r="A54" s="2720"/>
      <c r="B54" s="2723"/>
      <c r="C54" s="689"/>
      <c r="D54" s="687"/>
      <c r="E54" s="687"/>
      <c r="F54" s="687"/>
      <c r="G54" s="687"/>
      <c r="H54" s="687"/>
      <c r="I54" s="687"/>
      <c r="J54" s="687"/>
      <c r="K54" s="2725"/>
      <c r="L54" s="2719"/>
      <c r="M54" s="2720"/>
      <c r="N54" s="2720"/>
      <c r="O54" s="2720"/>
      <c r="P54" s="2720"/>
      <c r="Q54" s="2720"/>
      <c r="R54" s="2720"/>
      <c r="S54" s="2720"/>
      <c r="T54" s="2720"/>
      <c r="U54" s="2720"/>
      <c r="V54" s="2720"/>
      <c r="W54" s="2720"/>
      <c r="X54" s="2720"/>
      <c r="Y54" s="2720"/>
      <c r="Z54" s="2720"/>
      <c r="AA54" s="2720"/>
      <c r="AB54" s="2720"/>
      <c r="AC54" s="2720"/>
    </row>
    <row r="55" spans="1:29" ht="27" customHeight="1">
      <c r="A55" s="629" t="s">
        <v>1881</v>
      </c>
      <c r="B55" s="630" t="s">
        <v>1882</v>
      </c>
      <c r="C55" s="1976" t="s">
        <v>1883</v>
      </c>
      <c r="D55" s="1977" t="s">
        <v>1884</v>
      </c>
      <c r="E55" s="631" t="s">
        <v>1885</v>
      </c>
      <c r="F55" s="886" t="s">
        <v>1886</v>
      </c>
      <c r="G55" s="3738" t="s">
        <v>1887</v>
      </c>
      <c r="H55" s="3760"/>
      <c r="I55" s="133" t="s">
        <v>1888</v>
      </c>
      <c r="J55" s="1978">
        <f>项目基本情况!F35</f>
        <v>0</v>
      </c>
      <c r="K55" s="1979" t="s">
        <v>1889</v>
      </c>
      <c r="L55" s="2718"/>
      <c r="M55" s="2717"/>
      <c r="N55" s="2717"/>
      <c r="O55" s="2717"/>
      <c r="P55" s="2717"/>
      <c r="Q55" s="2717"/>
      <c r="R55" s="2717"/>
      <c r="S55" s="2717"/>
      <c r="T55" s="2717"/>
      <c r="U55" s="2717"/>
      <c r="V55" s="2717"/>
      <c r="W55" s="2717"/>
      <c r="X55" s="2717"/>
      <c r="Y55" s="2717"/>
      <c r="Z55" s="2717"/>
      <c r="AA55" s="2717"/>
      <c r="AB55" s="2717"/>
      <c r="AC55" s="2717"/>
    </row>
    <row r="56" spans="1:29" s="637" customFormat="1">
      <c r="A56" s="633" t="s">
        <v>1890</v>
      </c>
      <c r="B56" s="634">
        <f>C48</f>
        <v>14980</v>
      </c>
      <c r="C56" s="635">
        <v>1</v>
      </c>
      <c r="D56" s="940">
        <v>1</v>
      </c>
      <c r="E56" s="635">
        <f>'数据-汇总表'!E8+'数据-汇总表'!E9</f>
        <v>1</v>
      </c>
      <c r="F56" s="882">
        <f t="shared" ref="F56:F64" si="16">ROUND(B56*E56/10000,0)</f>
        <v>1</v>
      </c>
      <c r="G56" s="3761"/>
      <c r="H56" s="3737"/>
      <c r="I56" s="887">
        <v>1</v>
      </c>
      <c r="J56" s="890">
        <v>1</v>
      </c>
      <c r="K56" s="2720"/>
      <c r="L56" s="2774"/>
      <c r="M56" s="2774"/>
      <c r="N56" s="2774"/>
      <c r="O56" s="2774"/>
      <c r="P56" s="2774"/>
      <c r="Q56" s="2774"/>
      <c r="R56" s="2774"/>
      <c r="S56" s="2774"/>
      <c r="T56" s="2774"/>
      <c r="U56" s="2774"/>
      <c r="V56" s="2774"/>
      <c r="W56" s="2774"/>
      <c r="X56" s="2774"/>
      <c r="Y56" s="2774"/>
      <c r="Z56" s="2774"/>
      <c r="AA56" s="2774"/>
      <c r="AB56" s="2774"/>
      <c r="AC56" s="2774"/>
    </row>
    <row r="57" spans="1:29" s="637" customFormat="1">
      <c r="A57" s="638" t="s">
        <v>1891</v>
      </c>
      <c r="B57" s="215">
        <f>ROUND($C$48*C57*D57,0)</f>
        <v>0</v>
      </c>
      <c r="C57" s="168">
        <f t="shared" ref="C57:C64" si="17">IF($C$55="北京市系数",I57,J57)</f>
        <v>0</v>
      </c>
      <c r="D57" s="941">
        <v>0.25</v>
      </c>
      <c r="E57" s="639"/>
      <c r="F57" s="882">
        <f t="shared" si="16"/>
        <v>0</v>
      </c>
      <c r="G57" s="2998" t="s">
        <v>1892</v>
      </c>
      <c r="H57" s="883">
        <f>项目基本情况!B37</f>
        <v>0</v>
      </c>
      <c r="I57" s="887">
        <f>SUMIF(修正!A57:A68,H57,修正!B57:B68)</f>
        <v>0</v>
      </c>
      <c r="J57" s="891"/>
      <c r="K57" s="2717"/>
      <c r="L57" s="2774"/>
      <c r="M57" s="2774"/>
      <c r="N57" s="2774"/>
      <c r="O57" s="2774"/>
      <c r="P57" s="2774"/>
      <c r="Q57" s="2774"/>
      <c r="R57" s="2774"/>
      <c r="S57" s="2774"/>
      <c r="T57" s="2774"/>
      <c r="U57" s="2774"/>
      <c r="V57" s="2774"/>
      <c r="W57" s="2774"/>
      <c r="X57" s="2774"/>
      <c r="Y57" s="2774"/>
      <c r="Z57" s="2774"/>
      <c r="AA57" s="2774"/>
      <c r="AB57" s="2774"/>
      <c r="AC57" s="2774"/>
    </row>
    <row r="58" spans="1:29" s="637" customFormat="1">
      <c r="A58" s="638" t="s">
        <v>1893</v>
      </c>
      <c r="B58" s="215">
        <f t="shared" ref="B58:B64" si="18">ROUND($C$48*C58*D58,0)</f>
        <v>0</v>
      </c>
      <c r="C58" s="168">
        <f t="shared" si="17"/>
        <v>0</v>
      </c>
      <c r="D58" s="941">
        <v>0.25</v>
      </c>
      <c r="E58" s="639"/>
      <c r="F58" s="882">
        <f t="shared" si="16"/>
        <v>0</v>
      </c>
      <c r="G58" s="2999"/>
      <c r="H58" s="883">
        <f>项目基本情况!B37</f>
        <v>0</v>
      </c>
      <c r="I58" s="887">
        <f>SUMIF(修正!A57:A68,H58,修正!C57:C68)</f>
        <v>0</v>
      </c>
      <c r="J58" s="891"/>
      <c r="K58" s="2720"/>
      <c r="L58" s="2774"/>
      <c r="M58" s="2774"/>
      <c r="N58" s="2774"/>
      <c r="O58" s="2774"/>
      <c r="P58" s="2774"/>
      <c r="Q58" s="2774"/>
      <c r="R58" s="2774"/>
      <c r="S58" s="2774"/>
      <c r="T58" s="2774"/>
      <c r="U58" s="2774"/>
      <c r="V58" s="2774"/>
      <c r="W58" s="2774"/>
      <c r="X58" s="2774"/>
      <c r="Y58" s="2774"/>
      <c r="Z58" s="2774"/>
      <c r="AA58" s="2774"/>
      <c r="AB58" s="2774"/>
      <c r="AC58" s="2774"/>
    </row>
    <row r="59" spans="1:29" s="637" customFormat="1">
      <c r="A59" s="638" t="s">
        <v>1894</v>
      </c>
      <c r="B59" s="215">
        <f t="shared" si="18"/>
        <v>0</v>
      </c>
      <c r="C59" s="168">
        <f t="shared" si="17"/>
        <v>0</v>
      </c>
      <c r="D59" s="941">
        <v>0.25</v>
      </c>
      <c r="E59" s="639"/>
      <c r="F59" s="882">
        <f t="shared" si="16"/>
        <v>0</v>
      </c>
      <c r="G59" s="2999"/>
      <c r="H59" s="883">
        <f>项目基本情况!B37</f>
        <v>0</v>
      </c>
      <c r="I59" s="887">
        <f>SUMIF(修正!A57:A68,H59,修正!D57:D68)</f>
        <v>0</v>
      </c>
      <c r="J59" s="891"/>
      <c r="K59" s="2717"/>
      <c r="L59" s="2774"/>
      <c r="M59" s="2774"/>
      <c r="N59" s="2774"/>
      <c r="O59" s="2774"/>
      <c r="P59" s="2774"/>
      <c r="Q59" s="2774"/>
      <c r="R59" s="2774"/>
      <c r="S59" s="2774"/>
      <c r="T59" s="2774"/>
      <c r="U59" s="2774"/>
      <c r="V59" s="2774"/>
      <c r="W59" s="2774"/>
      <c r="X59" s="2774"/>
      <c r="Y59" s="2774"/>
      <c r="Z59" s="2774"/>
      <c r="AA59" s="2774"/>
      <c r="AB59" s="2774"/>
      <c r="AC59" s="2774"/>
    </row>
    <row r="60" spans="1:29" s="637" customFormat="1">
      <c r="A60" s="638" t="s">
        <v>1895</v>
      </c>
      <c r="B60" s="215">
        <f t="shared" si="18"/>
        <v>0</v>
      </c>
      <c r="C60" s="168">
        <f t="shared" si="17"/>
        <v>0</v>
      </c>
      <c r="D60" s="941">
        <v>0.25</v>
      </c>
      <c r="E60" s="214">
        <f>'数据-汇总表'!E11</f>
        <v>0</v>
      </c>
      <c r="F60" s="882">
        <f t="shared" si="16"/>
        <v>0</v>
      </c>
      <c r="G60" s="1980" t="s">
        <v>1896</v>
      </c>
      <c r="H60" s="883">
        <f>项目基本情况!C37</f>
        <v>0</v>
      </c>
      <c r="I60" s="887">
        <f>SUMIF(修正!A57:A68,H60,修正!E57:E68)</f>
        <v>0</v>
      </c>
      <c r="J60" s="891"/>
      <c r="K60" s="2717"/>
      <c r="L60" s="2774"/>
      <c r="M60" s="2774"/>
      <c r="N60" s="2774"/>
      <c r="O60" s="2774"/>
      <c r="P60" s="2774"/>
      <c r="Q60" s="2774"/>
      <c r="R60" s="2774"/>
      <c r="S60" s="2774"/>
      <c r="T60" s="2774"/>
      <c r="U60" s="2774"/>
      <c r="V60" s="2774"/>
      <c r="W60" s="2774"/>
      <c r="X60" s="2774"/>
      <c r="Y60" s="2774"/>
      <c r="Z60" s="2774"/>
      <c r="AA60" s="2774"/>
      <c r="AB60" s="2774"/>
      <c r="AC60" s="2774"/>
    </row>
    <row r="61" spans="1:29" s="637" customFormat="1">
      <c r="A61" s="638" t="s">
        <v>1897</v>
      </c>
      <c r="B61" s="215">
        <f t="shared" si="18"/>
        <v>0</v>
      </c>
      <c r="C61" s="168">
        <f t="shared" si="17"/>
        <v>0</v>
      </c>
      <c r="D61" s="941">
        <v>0.25</v>
      </c>
      <c r="E61" s="214">
        <f>'数据-汇总表'!E12</f>
        <v>0</v>
      </c>
      <c r="F61" s="882">
        <f t="shared" si="16"/>
        <v>0</v>
      </c>
      <c r="G61" s="888" t="s">
        <v>1898</v>
      </c>
      <c r="H61" s="883">
        <f>IF(G61="商业",项目基本情况!B37,IF(G61="办公",项目基本情况!C37,IF(G61="住宅",项目基本情况!D37,项目基本情况!E37)))</f>
        <v>0</v>
      </c>
      <c r="I61" s="887">
        <f>SUMIF(修正!A57:A68,H61,修正!F57:F68)</f>
        <v>0</v>
      </c>
      <c r="J61" s="891"/>
      <c r="K61" s="2720"/>
      <c r="L61" s="2774"/>
      <c r="M61" s="2774"/>
      <c r="N61" s="2774"/>
      <c r="O61" s="2774"/>
      <c r="P61" s="2774"/>
      <c r="Q61" s="2774"/>
      <c r="R61" s="2774"/>
      <c r="S61" s="2774"/>
      <c r="T61" s="2774"/>
      <c r="U61" s="2774"/>
      <c r="V61" s="2774"/>
      <c r="W61" s="2774"/>
      <c r="X61" s="2774"/>
      <c r="Y61" s="2774"/>
      <c r="Z61" s="2774"/>
      <c r="AA61" s="2774"/>
      <c r="AB61" s="2774"/>
      <c r="AC61" s="2774"/>
    </row>
    <row r="62" spans="1:29" s="637" customFormat="1">
      <c r="A62" s="638" t="s">
        <v>1899</v>
      </c>
      <c r="B62" s="215">
        <f t="shared" si="18"/>
        <v>0</v>
      </c>
      <c r="C62" s="168">
        <f t="shared" si="17"/>
        <v>0</v>
      </c>
      <c r="D62" s="941">
        <v>0.25</v>
      </c>
      <c r="E62" s="214">
        <f>'数据-汇总表'!E13</f>
        <v>0</v>
      </c>
      <c r="F62" s="882">
        <f t="shared" si="16"/>
        <v>0</v>
      </c>
      <c r="G62" s="888" t="s">
        <v>1900</v>
      </c>
      <c r="H62" s="883">
        <f>IF(G62="商业",项目基本情况!B37,IF(G62="办公",项目基本情况!C37,IF(G62="住宅",项目基本情况!D37,项目基本情况!E37)))</f>
        <v>0</v>
      </c>
      <c r="I62" s="887">
        <f>SUMIF(修正!A57:A68,H62,修正!G57:G68)</f>
        <v>0</v>
      </c>
      <c r="J62" s="891"/>
      <c r="K62" s="2717"/>
      <c r="L62" s="2774"/>
      <c r="M62" s="2774"/>
      <c r="N62" s="2774"/>
      <c r="O62" s="2774"/>
      <c r="P62" s="2774"/>
      <c r="Q62" s="2774"/>
      <c r="R62" s="2774"/>
      <c r="S62" s="2774"/>
      <c r="T62" s="2774"/>
      <c r="U62" s="2774"/>
      <c r="V62" s="2774"/>
      <c r="W62" s="2774"/>
      <c r="X62" s="2774"/>
      <c r="Y62" s="2774"/>
      <c r="Z62" s="2774"/>
      <c r="AA62" s="2774"/>
      <c r="AB62" s="2774"/>
      <c r="AC62" s="2774"/>
    </row>
    <row r="63" spans="1:29" s="637" customFormat="1">
      <c r="A63" s="638" t="s">
        <v>1901</v>
      </c>
      <c r="B63" s="215">
        <f t="shared" si="18"/>
        <v>0</v>
      </c>
      <c r="C63" s="168">
        <f t="shared" si="17"/>
        <v>0</v>
      </c>
      <c r="D63" s="941">
        <v>0.25</v>
      </c>
      <c r="E63" s="214">
        <f>'数据-汇总表'!E14</f>
        <v>0</v>
      </c>
      <c r="F63" s="882">
        <f t="shared" si="16"/>
        <v>0</v>
      </c>
      <c r="G63" s="1980" t="s">
        <v>1892</v>
      </c>
      <c r="H63" s="883">
        <f>项目基本情况!B37</f>
        <v>0</v>
      </c>
      <c r="I63" s="887">
        <f>SUMIF(修正!A57:A68,H63,修正!G57:G68)</f>
        <v>0</v>
      </c>
      <c r="J63" s="891"/>
      <c r="K63" s="2720"/>
      <c r="L63" s="2774"/>
      <c r="M63" s="2774"/>
      <c r="N63" s="2774"/>
      <c r="O63" s="2774"/>
      <c r="P63" s="2774"/>
      <c r="Q63" s="2774"/>
      <c r="R63" s="2774"/>
      <c r="S63" s="2774"/>
      <c r="T63" s="2774"/>
      <c r="U63" s="2774"/>
      <c r="V63" s="2774"/>
      <c r="W63" s="2774"/>
      <c r="X63" s="2774"/>
      <c r="Y63" s="2774"/>
      <c r="Z63" s="2774"/>
      <c r="AA63" s="2774"/>
      <c r="AB63" s="2774"/>
      <c r="AC63" s="2774"/>
    </row>
    <row r="64" spans="1:29" s="637" customFormat="1" ht="15" thickBot="1">
      <c r="A64" s="638" t="s">
        <v>1902</v>
      </c>
      <c r="B64" s="215">
        <f t="shared" si="18"/>
        <v>0</v>
      </c>
      <c r="C64" s="168">
        <f t="shared" si="17"/>
        <v>0</v>
      </c>
      <c r="D64" s="941">
        <v>0.25</v>
      </c>
      <c r="E64" s="214">
        <f>'数据-汇总表'!E15</f>
        <v>0</v>
      </c>
      <c r="F64" s="882">
        <f t="shared" si="16"/>
        <v>0</v>
      </c>
      <c r="G64" s="1981" t="s">
        <v>1896</v>
      </c>
      <c r="H64" s="893">
        <f>项目基本情况!C37</f>
        <v>0</v>
      </c>
      <c r="I64" s="889">
        <f>SUMIF(修正!A57:A68,H64,修正!G57:G68)</f>
        <v>0</v>
      </c>
      <c r="J64" s="892"/>
      <c r="K64" s="2717"/>
      <c r="L64" s="2774"/>
      <c r="M64" s="2774"/>
      <c r="N64" s="2774"/>
      <c r="O64" s="2774"/>
      <c r="P64" s="2774"/>
      <c r="Q64" s="2774"/>
      <c r="R64" s="2774"/>
      <c r="S64" s="2774"/>
      <c r="T64" s="2774"/>
      <c r="U64" s="2774"/>
      <c r="V64" s="2774"/>
      <c r="W64" s="2774"/>
      <c r="X64" s="2774"/>
      <c r="Y64" s="2774"/>
      <c r="Z64" s="2774"/>
      <c r="AA64" s="2774"/>
      <c r="AB64" s="2774"/>
      <c r="AC64" s="2774"/>
    </row>
    <row r="65" spans="1:29" s="637" customFormat="1" ht="13.5" thickBot="1">
      <c r="A65" s="640" t="s">
        <v>1903</v>
      </c>
      <c r="B65" s="641" t="s">
        <v>22</v>
      </c>
      <c r="C65" s="641" t="s">
        <v>23</v>
      </c>
      <c r="D65" s="641" t="s">
        <v>392</v>
      </c>
      <c r="E65" s="641">
        <f>IF(B46="楼面地价",SUM(E56:E64),'数据-汇总表'!D3)</f>
        <v>1</v>
      </c>
      <c r="F65" s="642">
        <f>IF(B46="楼面地价",SUM(F56:F64),ROUND(C48*E65/10000,0))</f>
        <v>1</v>
      </c>
      <c r="G65" s="713"/>
      <c r="H65" s="713"/>
      <c r="I65" s="713"/>
      <c r="J65" s="713"/>
      <c r="K65" s="2775"/>
      <c r="L65" s="2774"/>
      <c r="M65" s="2774"/>
      <c r="N65" s="2774"/>
      <c r="O65" s="2774"/>
      <c r="P65" s="2774"/>
      <c r="Q65" s="2774"/>
      <c r="R65" s="2774"/>
      <c r="S65" s="2774"/>
      <c r="T65" s="2774"/>
      <c r="U65" s="2774"/>
      <c r="V65" s="2774"/>
      <c r="W65" s="2774"/>
      <c r="X65" s="2774"/>
      <c r="Y65" s="2774"/>
      <c r="Z65" s="2774"/>
      <c r="AA65" s="2774"/>
      <c r="AB65" s="2774"/>
      <c r="AC65" s="2774"/>
    </row>
    <row r="66" spans="1:29">
      <c r="A66" s="686"/>
      <c r="B66" s="688"/>
      <c r="C66" s="689"/>
      <c r="D66" s="686"/>
      <c r="E66" s="686"/>
      <c r="F66" s="686"/>
      <c r="G66" s="686"/>
      <c r="H66" s="686"/>
      <c r="I66" s="686"/>
      <c r="J66" s="923"/>
      <c r="K66" s="884"/>
      <c r="L66" s="885"/>
      <c r="M66" s="923"/>
      <c r="N66" s="923"/>
      <c r="O66" s="923"/>
      <c r="P66" s="2717"/>
      <c r="Q66" s="2717"/>
      <c r="R66" s="2717"/>
      <c r="S66" s="2717"/>
      <c r="T66" s="2717"/>
      <c r="U66" s="2717"/>
      <c r="V66" s="2717"/>
      <c r="W66" s="2717"/>
      <c r="X66" s="2717"/>
      <c r="Y66" s="2717"/>
      <c r="Z66" s="2717"/>
      <c r="AA66" s="2717"/>
      <c r="AB66" s="2717"/>
      <c r="AC66" s="2717"/>
    </row>
    <row r="67" spans="1:29">
      <c r="A67" s="686"/>
      <c r="B67" s="688"/>
      <c r="C67" s="688" t="str">
        <f>YEAR(C7)&amp;"-"&amp;MONTH(C7)&amp;"-1"</f>
        <v>2023-7-1</v>
      </c>
      <c r="D67" s="688">
        <f>EDATE(C67,-3)</f>
        <v>45017</v>
      </c>
      <c r="E67" s="688">
        <f>EDATE(D67,-3)</f>
        <v>44927</v>
      </c>
      <c r="F67" s="688">
        <f t="shared" ref="F67:O67" si="19">EDATE(E67,-3)</f>
        <v>44835</v>
      </c>
      <c r="G67" s="688">
        <f t="shared" si="19"/>
        <v>44743</v>
      </c>
      <c r="H67" s="688">
        <f t="shared" si="19"/>
        <v>44652</v>
      </c>
      <c r="I67" s="688">
        <f t="shared" si="19"/>
        <v>44562</v>
      </c>
      <c r="J67" s="688">
        <f t="shared" si="19"/>
        <v>44470</v>
      </c>
      <c r="K67" s="688">
        <f t="shared" si="19"/>
        <v>44378</v>
      </c>
      <c r="L67" s="688">
        <f t="shared" si="19"/>
        <v>44287</v>
      </c>
      <c r="M67" s="688">
        <f t="shared" si="19"/>
        <v>44197</v>
      </c>
      <c r="N67" s="688">
        <f t="shared" si="19"/>
        <v>44105</v>
      </c>
      <c r="O67" s="688">
        <f t="shared" si="19"/>
        <v>44013</v>
      </c>
      <c r="P67" s="2717"/>
      <c r="Q67" s="2717"/>
      <c r="R67" s="2717"/>
      <c r="S67" s="2717"/>
      <c r="T67" s="2717"/>
      <c r="U67" s="2717"/>
      <c r="V67" s="2717"/>
      <c r="W67" s="2717"/>
      <c r="X67" s="2717"/>
      <c r="Y67" s="2717"/>
      <c r="Z67" s="2717"/>
      <c r="AA67" s="2717"/>
      <c r="AB67" s="2717"/>
      <c r="AC67" s="2717"/>
    </row>
    <row r="68" spans="1:29" ht="21.75" thickBot="1">
      <c r="A68" s="690" t="s">
        <v>1798</v>
      </c>
      <c r="B68" s="686"/>
      <c r="C68" s="691"/>
      <c r="D68" s="691"/>
      <c r="E68" s="691"/>
      <c r="F68" s="692"/>
      <c r="G68" s="692"/>
      <c r="H68" s="691"/>
      <c r="I68" s="691"/>
      <c r="J68" s="936"/>
      <c r="K68" s="937"/>
      <c r="L68" s="938"/>
      <c r="M68" s="936"/>
      <c r="N68" s="2761"/>
      <c r="O68" s="2761"/>
      <c r="P68" s="2761"/>
      <c r="Q68" s="2731"/>
      <c r="R68" s="2717"/>
      <c r="S68" s="2717"/>
      <c r="T68" s="2717"/>
      <c r="U68" s="2717"/>
      <c r="V68" s="2717"/>
      <c r="W68" s="2717"/>
      <c r="X68" s="2717"/>
      <c r="Y68" s="2717"/>
      <c r="Z68" s="2717"/>
      <c r="AA68" s="2717"/>
      <c r="AB68" s="2717"/>
      <c r="AC68" s="2717"/>
    </row>
    <row r="69" spans="1:29" s="454" customFormat="1" ht="15">
      <c r="A69" s="1982" t="s">
        <v>1904</v>
      </c>
      <c r="B69" s="1105"/>
      <c r="C69" s="1178" t="str">
        <f>YEAR(C67)&amp;"-"&amp;ROUNDUP(MONTH(C67)/3,0)</f>
        <v>2023-3</v>
      </c>
      <c r="D69" s="1178" t="str">
        <f>YEAR(D67)&amp;"-"&amp;ROUNDUP(MONTH(D67)/3,0)</f>
        <v>2023-2</v>
      </c>
      <c r="E69" s="1178" t="str">
        <f t="shared" ref="E69:O69" si="20">YEAR(E67)&amp;"-"&amp;ROUNDUP(MONTH(E67)/3,0)</f>
        <v>2023-1</v>
      </c>
      <c r="F69" s="1178" t="str">
        <f t="shared" si="20"/>
        <v>2022-4</v>
      </c>
      <c r="G69" s="1178" t="str">
        <f t="shared" si="20"/>
        <v>2022-3</v>
      </c>
      <c r="H69" s="1178" t="str">
        <f t="shared" si="20"/>
        <v>2022-2</v>
      </c>
      <c r="I69" s="1178" t="str">
        <f t="shared" si="20"/>
        <v>2022-1</v>
      </c>
      <c r="J69" s="1178" t="str">
        <f t="shared" si="20"/>
        <v>2021-4</v>
      </c>
      <c r="K69" s="1178" t="str">
        <f t="shared" si="20"/>
        <v>2021-3</v>
      </c>
      <c r="L69" s="1178" t="str">
        <f t="shared" si="20"/>
        <v>2021-2</v>
      </c>
      <c r="M69" s="1178" t="str">
        <f t="shared" si="20"/>
        <v>2021-1</v>
      </c>
      <c r="N69" s="1178" t="str">
        <f t="shared" si="20"/>
        <v>2020-4</v>
      </c>
      <c r="O69" s="1178" t="str">
        <f t="shared" si="20"/>
        <v>2020-3</v>
      </c>
      <c r="P69" s="2768" t="s">
        <v>3483</v>
      </c>
      <c r="Q69" s="2733" t="s">
        <v>3484</v>
      </c>
      <c r="R69" s="2733"/>
      <c r="S69" s="2733"/>
      <c r="T69" s="2733"/>
      <c r="U69" s="2733"/>
      <c r="V69" s="2733"/>
      <c r="W69" s="2733"/>
      <c r="X69" s="2733"/>
      <c r="Y69" s="2733"/>
      <c r="Z69" s="2733"/>
      <c r="AA69" s="2733"/>
      <c r="AB69" s="2733"/>
      <c r="AC69" s="2733"/>
    </row>
    <row r="70" spans="1:29" s="108" customFormat="1" ht="30" customHeight="1" thickBot="1">
      <c r="A70" s="1983" t="s">
        <v>1905</v>
      </c>
      <c r="B70" s="285" t="str">
        <f>"北京市平均增长率"&amp;TEXT(SUMIF(基准地价修正!N25:N29,A70,基准地价修正!P25:P29),"0.00%")</f>
        <v>北京市平均增长率0.00%</v>
      </c>
      <c r="C70" s="464">
        <f t="shared" ref="C70:M70" si="21">ROUND(C71*100/$C$71,2)</f>
        <v>100</v>
      </c>
      <c r="D70" s="464">
        <f t="shared" si="21"/>
        <v>99.41</v>
      </c>
      <c r="E70" s="464">
        <f t="shared" si="21"/>
        <v>98.97</v>
      </c>
      <c r="F70" s="464">
        <f t="shared" si="21"/>
        <v>98.39</v>
      </c>
      <c r="G70" s="464">
        <f t="shared" si="21"/>
        <v>98.2</v>
      </c>
      <c r="H70" s="464">
        <f t="shared" si="21"/>
        <v>97.91</v>
      </c>
      <c r="I70" s="464">
        <f t="shared" si="21"/>
        <v>98.04</v>
      </c>
      <c r="J70" s="464">
        <f t="shared" si="21"/>
        <v>97.6</v>
      </c>
      <c r="K70" s="464">
        <f t="shared" si="21"/>
        <v>97.52</v>
      </c>
      <c r="L70" s="464">
        <f t="shared" si="21"/>
        <v>97.25</v>
      </c>
      <c r="M70" s="464">
        <f t="shared" si="21"/>
        <v>96.19</v>
      </c>
      <c r="N70" s="1175">
        <v>88</v>
      </c>
      <c r="O70" s="1175">
        <v>88</v>
      </c>
      <c r="P70" s="2653">
        <v>87</v>
      </c>
      <c r="Q70" s="2653">
        <v>86</v>
      </c>
      <c r="R70" s="2653"/>
      <c r="S70" s="2653"/>
      <c r="T70" s="2653"/>
      <c r="U70" s="2653"/>
      <c r="V70" s="2653"/>
      <c r="W70" s="2653"/>
      <c r="X70" s="2653"/>
      <c r="Y70" s="2653"/>
      <c r="Z70" s="2653"/>
      <c r="AA70" s="2653"/>
      <c r="AB70" s="2653"/>
      <c r="AC70" s="2653"/>
    </row>
    <row r="71" spans="1:29" s="108" customFormat="1" ht="15.75" thickBot="1">
      <c r="A71" s="461" t="s">
        <v>1716</v>
      </c>
      <c r="B71" s="462"/>
      <c r="C71" s="464">
        <f>ROUND((100+'[2]地价-分区'!F26)*D71/100,2)</f>
        <v>103.96</v>
      </c>
      <c r="D71" s="464">
        <f>ROUND((100+'[2]地价-分区'!F27)*E71/100,2)</f>
        <v>103.35</v>
      </c>
      <c r="E71" s="464">
        <f>ROUND((100+'[2]地价-分区'!F28)*F71/100,2)</f>
        <v>102.89</v>
      </c>
      <c r="F71" s="464">
        <f>ROUND((100+'[2]地价-分区'!F29)*G71/100,2)</f>
        <v>102.29</v>
      </c>
      <c r="G71" s="464">
        <f>ROUND((100+'[2]地价-分区'!F30)*H71/100,2)</f>
        <v>102.09</v>
      </c>
      <c r="H71" s="464">
        <f>ROUND((100+'[2]地价-分区'!F31)*I71/100,2)</f>
        <v>101.79</v>
      </c>
      <c r="I71" s="464">
        <f>ROUND((100+'[2]地价-分区'!F32)*J71/100,2)</f>
        <v>101.92</v>
      </c>
      <c r="J71" s="464">
        <f>ROUND((100+'[2]地价-分区'!F33)*K71/100,2)</f>
        <v>101.46</v>
      </c>
      <c r="K71" s="464">
        <f>ROUND((100+'[2]地价-分区'!F34)*L71/100,2)</f>
        <v>101.38</v>
      </c>
      <c r="L71" s="465">
        <v>101.1</v>
      </c>
      <c r="M71" s="464">
        <v>100</v>
      </c>
      <c r="N71" s="939"/>
      <c r="O71" s="939"/>
      <c r="P71" s="2731"/>
      <c r="Q71" s="2731"/>
      <c r="R71" s="2653"/>
      <c r="S71" s="2653"/>
      <c r="T71" s="2653"/>
      <c r="U71" s="2653"/>
      <c r="V71" s="2653"/>
      <c r="W71" s="2653"/>
      <c r="X71" s="2653"/>
      <c r="Y71" s="2653"/>
      <c r="Z71" s="2653"/>
      <c r="AA71" s="2653"/>
      <c r="AB71" s="2653"/>
      <c r="AC71" s="2653"/>
    </row>
    <row r="72" spans="1:29" s="108" customFormat="1" ht="15">
      <c r="A72" s="467" t="s">
        <v>1681</v>
      </c>
      <c r="B72" s="456"/>
      <c r="C72" s="468" t="s">
        <v>1776</v>
      </c>
      <c r="D72" s="469" t="s">
        <v>3488</v>
      </c>
      <c r="E72" s="469" t="s">
        <v>3487</v>
      </c>
      <c r="F72" s="469"/>
      <c r="G72" s="469"/>
      <c r="H72" s="469"/>
      <c r="I72" s="469"/>
      <c r="J72" s="469"/>
      <c r="K72" s="469"/>
      <c r="L72" s="470"/>
      <c r="M72" s="471"/>
      <c r="N72" s="2744"/>
      <c r="O72" s="2744"/>
      <c r="P72" s="2769"/>
      <c r="Q72" s="2731"/>
      <c r="R72" s="2653"/>
      <c r="S72" s="2653"/>
      <c r="T72" s="2653"/>
      <c r="U72" s="2653"/>
      <c r="V72" s="2653"/>
      <c r="W72" s="2653"/>
      <c r="X72" s="2653"/>
      <c r="Y72" s="2653"/>
      <c r="Z72" s="2653"/>
      <c r="AA72" s="2653"/>
      <c r="AB72" s="2653"/>
      <c r="AC72" s="2653"/>
    </row>
    <row r="73" spans="1:29" s="108" customFormat="1" ht="15.75" thickBot="1">
      <c r="A73" s="467"/>
      <c r="B73" s="456"/>
      <c r="C73" s="584">
        <v>100</v>
      </c>
      <c r="D73" s="458">
        <v>100</v>
      </c>
      <c r="E73" s="458">
        <v>100</v>
      </c>
      <c r="F73" s="458"/>
      <c r="G73" s="458"/>
      <c r="H73" s="458"/>
      <c r="I73" s="458"/>
      <c r="J73" s="458"/>
      <c r="K73" s="458"/>
      <c r="L73" s="458"/>
      <c r="M73" s="460"/>
      <c r="N73" s="2744"/>
      <c r="O73" s="2744"/>
      <c r="P73" s="2731"/>
      <c r="Q73" s="2731"/>
      <c r="R73" s="2653"/>
      <c r="S73" s="2653"/>
      <c r="T73" s="2653"/>
      <c r="U73" s="2653"/>
      <c r="V73" s="2653"/>
      <c r="W73" s="2653"/>
      <c r="X73" s="2653"/>
      <c r="Y73" s="2653"/>
      <c r="Z73" s="2653"/>
      <c r="AA73" s="2653"/>
      <c r="AB73" s="2653"/>
      <c r="AC73" s="2653"/>
    </row>
    <row r="74" spans="1:29" ht="42.75">
      <c r="A74" s="473" t="s">
        <v>1719</v>
      </c>
      <c r="B74" s="474" t="s">
        <v>1685</v>
      </c>
      <c r="C74" s="476" t="s">
        <v>3482</v>
      </c>
      <c r="D74" s="476"/>
      <c r="E74" s="476"/>
      <c r="F74" s="476"/>
      <c r="G74" s="476"/>
      <c r="H74" s="476"/>
      <c r="I74" s="476"/>
      <c r="J74" s="476"/>
      <c r="K74" s="477"/>
      <c r="L74" s="478"/>
      <c r="M74" s="479"/>
      <c r="N74" s="2745"/>
      <c r="O74" s="2745"/>
      <c r="P74" s="2770"/>
      <c r="Q74" s="2731"/>
      <c r="R74" s="2717"/>
      <c r="S74" s="2717"/>
      <c r="T74" s="2717"/>
      <c r="U74" s="2717"/>
      <c r="V74" s="2717"/>
      <c r="W74" s="2717"/>
      <c r="X74" s="2717"/>
      <c r="Y74" s="2717"/>
      <c r="Z74" s="2717"/>
      <c r="AA74" s="2717"/>
      <c r="AB74" s="2717"/>
      <c r="AC74" s="2717"/>
    </row>
    <row r="75" spans="1:29" ht="15.75" thickBot="1">
      <c r="A75" s="480"/>
      <c r="B75" s="481"/>
      <c r="C75" s="482">
        <v>100</v>
      </c>
      <c r="D75" s="482"/>
      <c r="E75" s="482"/>
      <c r="F75" s="482"/>
      <c r="G75" s="482"/>
      <c r="H75" s="482"/>
      <c r="I75" s="482"/>
      <c r="J75" s="482"/>
      <c r="K75" s="482"/>
      <c r="L75" s="482"/>
      <c r="M75" s="483"/>
      <c r="N75" s="2746"/>
      <c r="O75" s="2746"/>
      <c r="P75" s="2770"/>
      <c r="Q75" s="2731"/>
      <c r="R75" s="2717"/>
      <c r="S75" s="2717"/>
      <c r="T75" s="2717"/>
      <c r="U75" s="2717"/>
      <c r="V75" s="2717"/>
      <c r="W75" s="2717"/>
      <c r="X75" s="2717"/>
      <c r="Y75" s="2717"/>
      <c r="Z75" s="2717"/>
      <c r="AA75" s="2717"/>
      <c r="AB75" s="2717"/>
      <c r="AC75" s="2717"/>
    </row>
    <row r="76" spans="1:29" ht="27.75" thickTop="1">
      <c r="A76" s="480"/>
      <c r="B76" s="484" t="s">
        <v>1688</v>
      </c>
      <c r="C76" s="485"/>
      <c r="D76" s="485"/>
      <c r="E76" s="485"/>
      <c r="F76" s="485"/>
      <c r="G76" s="485"/>
      <c r="H76" s="485"/>
      <c r="I76" s="485"/>
      <c r="J76" s="485"/>
      <c r="K76" s="486"/>
      <c r="L76" s="487"/>
      <c r="M76" s="488"/>
      <c r="N76" s="2745"/>
      <c r="O76" s="2745"/>
      <c r="P76" s="2770"/>
      <c r="Q76" s="2731"/>
      <c r="R76" s="2717"/>
      <c r="S76" s="2717"/>
      <c r="T76" s="2717"/>
      <c r="U76" s="2717"/>
      <c r="V76" s="2717"/>
      <c r="W76" s="2717"/>
      <c r="X76" s="2717"/>
      <c r="Y76" s="2717"/>
      <c r="Z76" s="2717"/>
      <c r="AA76" s="2717"/>
      <c r="AB76" s="2717"/>
      <c r="AC76" s="2717"/>
    </row>
    <row r="77" spans="1:29" ht="15.75" thickBot="1">
      <c r="A77" s="480"/>
      <c r="B77" s="489"/>
      <c r="C77" s="490"/>
      <c r="D77" s="490"/>
      <c r="E77" s="490"/>
      <c r="F77" s="490"/>
      <c r="G77" s="490"/>
      <c r="H77" s="490"/>
      <c r="I77" s="490"/>
      <c r="J77" s="490"/>
      <c r="K77" s="490"/>
      <c r="L77" s="490"/>
      <c r="M77" s="491"/>
      <c r="N77" s="2746"/>
      <c r="O77" s="2746"/>
      <c r="P77" s="2770"/>
      <c r="Q77" s="2731"/>
      <c r="R77" s="2717"/>
      <c r="S77" s="2717"/>
      <c r="T77" s="2717"/>
      <c r="U77" s="2717"/>
      <c r="V77" s="2717"/>
      <c r="W77" s="2717"/>
      <c r="X77" s="2717"/>
      <c r="Y77" s="2717"/>
      <c r="Z77" s="2717"/>
      <c r="AA77" s="2717"/>
      <c r="AB77" s="2717"/>
      <c r="AC77" s="2717"/>
    </row>
    <row r="78" spans="1:29" ht="15.75" thickTop="1">
      <c r="A78" s="480"/>
      <c r="B78" s="492" t="s">
        <v>1689</v>
      </c>
      <c r="C78" s="493" t="str">
        <f>C79&amp;"（含）"&amp;"-"&amp;D79</f>
        <v>2（含）-2.1</v>
      </c>
      <c r="D78" s="493" t="str">
        <f t="shared" ref="D78:L78" si="22">D79&amp;"（含）"&amp;"-"&amp;E79</f>
        <v>2.1（含）-2.2</v>
      </c>
      <c r="E78" s="493" t="str">
        <f t="shared" si="22"/>
        <v>2.2（含）-2.3</v>
      </c>
      <c r="F78" s="493" t="str">
        <f t="shared" si="22"/>
        <v>2.3（含）-2.4</v>
      </c>
      <c r="G78" s="493" t="str">
        <f t="shared" si="22"/>
        <v>2.4（含）-2.5</v>
      </c>
      <c r="H78" s="493" t="str">
        <f t="shared" si="22"/>
        <v>2.5（含）-2.6</v>
      </c>
      <c r="I78" s="493" t="str">
        <f t="shared" si="22"/>
        <v>2.6（含）-2.7</v>
      </c>
      <c r="J78" s="493" t="str">
        <f t="shared" si="22"/>
        <v>2.7（含）-2.8</v>
      </c>
      <c r="K78" s="493" t="str">
        <f t="shared" si="22"/>
        <v>2.8（含）-2.9</v>
      </c>
      <c r="L78" s="493" t="str">
        <f t="shared" si="22"/>
        <v>2.9（含）-</v>
      </c>
      <c r="M78" s="396" t="str">
        <f>M79&amp;"（含）"&amp;"-"&amp;P79</f>
        <v>（含）-</v>
      </c>
      <c r="N78" s="2746"/>
      <c r="O78" s="2746"/>
      <c r="P78" s="2770"/>
      <c r="Q78" s="2731"/>
      <c r="R78" s="2717"/>
      <c r="S78" s="2717"/>
      <c r="T78" s="2717"/>
      <c r="U78" s="2717"/>
      <c r="V78" s="2717"/>
      <c r="W78" s="2717"/>
      <c r="X78" s="2717"/>
      <c r="Y78" s="2717"/>
      <c r="Z78" s="2717"/>
      <c r="AA78" s="2717"/>
      <c r="AB78" s="2717"/>
      <c r="AC78" s="2717"/>
    </row>
    <row r="79" spans="1:29" ht="15">
      <c r="A79" s="480"/>
      <c r="B79" s="494"/>
      <c r="C79" s="495">
        <v>2</v>
      </c>
      <c r="D79" s="495">
        <v>2.1</v>
      </c>
      <c r="E79" s="495">
        <v>2.2000000000000002</v>
      </c>
      <c r="F79" s="495">
        <v>2.2999999999999998</v>
      </c>
      <c r="G79" s="495">
        <v>2.4</v>
      </c>
      <c r="H79" s="495">
        <v>2.5</v>
      </c>
      <c r="I79" s="495">
        <v>2.6</v>
      </c>
      <c r="J79" s="495">
        <v>2.7</v>
      </c>
      <c r="K79" s="495">
        <v>2.8</v>
      </c>
      <c r="L79" s="495">
        <v>2.9</v>
      </c>
      <c r="M79" s="498"/>
      <c r="N79" s="2745"/>
      <c r="O79" s="2745"/>
      <c r="P79" s="2770"/>
      <c r="Q79" s="2731"/>
      <c r="R79" s="2717"/>
      <c r="S79" s="2717"/>
      <c r="T79" s="2717"/>
      <c r="U79" s="2717"/>
      <c r="V79" s="2717"/>
      <c r="W79" s="2717"/>
      <c r="X79" s="2717"/>
      <c r="Y79" s="2717"/>
      <c r="Z79" s="2717"/>
      <c r="AA79" s="2717"/>
      <c r="AB79" s="2717"/>
      <c r="AC79" s="2717"/>
    </row>
    <row r="80" spans="1:29" ht="15.75" thickBot="1">
      <c r="A80" s="480"/>
      <c r="B80" s="481"/>
      <c r="C80" s="490">
        <v>100</v>
      </c>
      <c r="D80" s="490">
        <f t="shared" ref="D80:M80" si="23">IF($B$46="单位面积地价",C80+$K11,C80-$K11)</f>
        <v>99.9</v>
      </c>
      <c r="E80" s="490">
        <f t="shared" si="23"/>
        <v>99.800000000000011</v>
      </c>
      <c r="F80" s="490">
        <f t="shared" si="23"/>
        <v>99.700000000000017</v>
      </c>
      <c r="G80" s="490">
        <f t="shared" si="23"/>
        <v>99.600000000000023</v>
      </c>
      <c r="H80" s="490">
        <f t="shared" si="23"/>
        <v>99.500000000000028</v>
      </c>
      <c r="I80" s="490">
        <f t="shared" si="23"/>
        <v>99.400000000000034</v>
      </c>
      <c r="J80" s="490">
        <f t="shared" si="23"/>
        <v>99.30000000000004</v>
      </c>
      <c r="K80" s="490">
        <f t="shared" si="23"/>
        <v>99.200000000000045</v>
      </c>
      <c r="L80" s="490">
        <f t="shared" si="23"/>
        <v>99.100000000000051</v>
      </c>
      <c r="M80" s="490">
        <f t="shared" si="23"/>
        <v>99.000000000000057</v>
      </c>
      <c r="N80" s="2746"/>
      <c r="O80" s="2746"/>
      <c r="P80" s="2770"/>
      <c r="Q80" s="2731"/>
      <c r="R80" s="2717"/>
      <c r="S80" s="2717"/>
      <c r="T80" s="2717"/>
      <c r="U80" s="2717"/>
      <c r="V80" s="2717"/>
      <c r="W80" s="2717"/>
      <c r="X80" s="2717"/>
      <c r="Y80" s="2717"/>
      <c r="Z80" s="2717"/>
      <c r="AA80" s="2717"/>
      <c r="AB80" s="2717"/>
      <c r="AC80" s="2717"/>
    </row>
    <row r="81" spans="1:29" s="419" customFormat="1" ht="15.75" thickTop="1">
      <c r="A81" s="499"/>
      <c r="B81" s="484" t="str">
        <f>B12</f>
        <v>配建</v>
      </c>
      <c r="C81" s="500"/>
      <c r="D81" s="500"/>
      <c r="E81" s="500"/>
      <c r="F81" s="500"/>
      <c r="G81" s="500"/>
      <c r="H81" s="501"/>
      <c r="I81" s="501"/>
      <c r="J81" s="501"/>
      <c r="K81" s="501"/>
      <c r="L81" s="502"/>
      <c r="M81" s="503"/>
      <c r="N81" s="2747"/>
      <c r="O81" s="2747"/>
      <c r="P81" s="2771"/>
      <c r="Q81" s="2738"/>
      <c r="R81" s="2739"/>
      <c r="S81" s="2739"/>
      <c r="T81" s="2739"/>
      <c r="U81" s="2739"/>
      <c r="V81" s="2739"/>
      <c r="W81" s="2739"/>
      <c r="X81" s="2739"/>
      <c r="Y81" s="2739"/>
      <c r="Z81" s="2739"/>
      <c r="AA81" s="2739"/>
      <c r="AB81" s="2739"/>
      <c r="AC81" s="2739"/>
    </row>
    <row r="82" spans="1:29" s="419" customFormat="1" ht="15.75" thickBot="1">
      <c r="A82" s="499"/>
      <c r="B82" s="489"/>
      <c r="C82" s="506"/>
      <c r="D82" s="482"/>
      <c r="E82" s="482"/>
      <c r="F82" s="482"/>
      <c r="G82" s="482"/>
      <c r="H82" s="482"/>
      <c r="I82" s="482"/>
      <c r="J82" s="482"/>
      <c r="K82" s="482"/>
      <c r="L82" s="482"/>
      <c r="M82" s="483"/>
      <c r="N82" s="2746"/>
      <c r="O82" s="2746"/>
      <c r="P82" s="2771"/>
      <c r="Q82" s="2738"/>
      <c r="R82" s="2739"/>
      <c r="S82" s="2739"/>
      <c r="T82" s="2739"/>
      <c r="U82" s="2739"/>
      <c r="V82" s="2739"/>
      <c r="W82" s="2739"/>
      <c r="X82" s="2739"/>
      <c r="Y82" s="2739"/>
      <c r="Z82" s="2739"/>
      <c r="AA82" s="2739"/>
      <c r="AB82" s="2739"/>
      <c r="AC82" s="2739"/>
    </row>
    <row r="83" spans="1:29" s="419" customFormat="1" ht="15.75" thickTop="1">
      <c r="A83" s="499"/>
      <c r="B83" s="484">
        <f>B13</f>
        <v>111</v>
      </c>
      <c r="C83" s="500"/>
      <c r="D83" s="500"/>
      <c r="E83" s="500"/>
      <c r="F83" s="500"/>
      <c r="G83" s="500"/>
      <c r="H83" s="501"/>
      <c r="I83" s="501"/>
      <c r="J83" s="501"/>
      <c r="K83" s="501"/>
      <c r="L83" s="502"/>
      <c r="M83" s="503"/>
      <c r="N83" s="2747"/>
      <c r="O83" s="2747"/>
      <c r="P83" s="2715"/>
      <c r="Q83" s="2741"/>
      <c r="R83" s="2739"/>
      <c r="S83" s="2739"/>
      <c r="T83" s="2739"/>
      <c r="U83" s="2739"/>
      <c r="V83" s="2739"/>
      <c r="W83" s="2739"/>
      <c r="X83" s="2739"/>
      <c r="Y83" s="2739"/>
      <c r="Z83" s="2739"/>
      <c r="AA83" s="2739"/>
      <c r="AB83" s="2739"/>
      <c r="AC83" s="2739"/>
    </row>
    <row r="84" spans="1:29" s="419" customFormat="1" ht="15.75" thickBot="1">
      <c r="A84" s="499"/>
      <c r="B84" s="489"/>
      <c r="C84" s="506"/>
      <c r="D84" s="506"/>
      <c r="E84" s="506"/>
      <c r="F84" s="506"/>
      <c r="G84" s="506"/>
      <c r="H84" s="508"/>
      <c r="I84" s="508"/>
      <c r="J84" s="508"/>
      <c r="K84" s="508"/>
      <c r="L84" s="508"/>
      <c r="M84" s="509"/>
      <c r="N84" s="2747"/>
      <c r="O84" s="2747"/>
      <c r="P84" s="2771"/>
      <c r="Q84" s="2738"/>
      <c r="R84" s="2739"/>
      <c r="S84" s="2739"/>
      <c r="T84" s="2739"/>
      <c r="U84" s="2739"/>
      <c r="V84" s="2739"/>
      <c r="W84" s="2739"/>
      <c r="X84" s="2739"/>
      <c r="Y84" s="2739"/>
      <c r="Z84" s="2739"/>
      <c r="AA84" s="2739"/>
      <c r="AB84" s="2739"/>
      <c r="AC84" s="2739"/>
    </row>
    <row r="85" spans="1:29" s="419" customFormat="1" ht="15.75" thickTop="1">
      <c r="A85" s="499"/>
      <c r="B85" s="492">
        <f>B14</f>
        <v>111</v>
      </c>
      <c r="C85" s="469"/>
      <c r="D85" s="469"/>
      <c r="E85" s="469"/>
      <c r="F85" s="469"/>
      <c r="G85" s="469"/>
      <c r="H85" s="510"/>
      <c r="I85" s="510"/>
      <c r="J85" s="510"/>
      <c r="K85" s="510"/>
      <c r="L85" s="511"/>
      <c r="M85" s="512"/>
      <c r="N85" s="2747"/>
      <c r="O85" s="2747"/>
      <c r="P85" s="2776"/>
      <c r="Q85" s="2738"/>
      <c r="R85" s="2739"/>
      <c r="S85" s="2739"/>
      <c r="T85" s="2739"/>
      <c r="U85" s="2739"/>
      <c r="V85" s="2739"/>
      <c r="W85" s="2739"/>
      <c r="X85" s="2739"/>
      <c r="Y85" s="2739"/>
      <c r="Z85" s="2739"/>
      <c r="AA85" s="2739"/>
      <c r="AB85" s="2739"/>
      <c r="AC85" s="2739"/>
    </row>
    <row r="86" spans="1:29" s="419" customFormat="1" ht="15.75" thickBot="1">
      <c r="A86" s="514"/>
      <c r="B86" s="515"/>
      <c r="C86" s="516"/>
      <c r="D86" s="516"/>
      <c r="E86" s="516"/>
      <c r="F86" s="516"/>
      <c r="G86" s="516"/>
      <c r="H86" s="517"/>
      <c r="I86" s="517"/>
      <c r="J86" s="517"/>
      <c r="K86" s="517"/>
      <c r="L86" s="517"/>
      <c r="M86" s="518"/>
      <c r="N86" s="2747"/>
      <c r="O86" s="2747"/>
      <c r="P86" s="2771"/>
      <c r="Q86" s="2738"/>
      <c r="R86" s="2739"/>
      <c r="S86" s="2739"/>
      <c r="T86" s="2739"/>
      <c r="U86" s="2739"/>
      <c r="V86" s="2739"/>
      <c r="W86" s="2739"/>
      <c r="X86" s="2739"/>
      <c r="Y86" s="2739"/>
      <c r="Z86" s="2739"/>
      <c r="AA86" s="2739"/>
      <c r="AB86" s="2739"/>
      <c r="AC86" s="2739"/>
    </row>
    <row r="87" spans="1:29">
      <c r="A87" s="473" t="s">
        <v>1690</v>
      </c>
      <c r="B87" s="474" t="s">
        <v>1720</v>
      </c>
      <c r="C87" s="519" t="s">
        <v>1721</v>
      </c>
      <c r="D87" s="519" t="s">
        <v>1722</v>
      </c>
      <c r="E87" s="519" t="s">
        <v>1723</v>
      </c>
      <c r="F87" s="519" t="s">
        <v>1724</v>
      </c>
      <c r="G87" s="519" t="s">
        <v>1725</v>
      </c>
      <c r="H87" s="475"/>
      <c r="I87" s="475"/>
      <c r="J87" s="475"/>
      <c r="K87" s="520"/>
      <c r="L87" s="521"/>
      <c r="M87" s="522"/>
      <c r="N87" s="2745"/>
      <c r="O87" s="2745"/>
      <c r="P87" s="2772"/>
      <c r="Q87" s="2731"/>
      <c r="R87" s="2717"/>
      <c r="S87" s="2717"/>
      <c r="T87" s="2717"/>
      <c r="U87" s="2717"/>
      <c r="V87" s="2717"/>
      <c r="W87" s="2717"/>
      <c r="X87" s="2717"/>
      <c r="Y87" s="2717"/>
      <c r="Z87" s="2717"/>
      <c r="AA87" s="2717"/>
      <c r="AB87" s="2717"/>
      <c r="AC87" s="2717"/>
    </row>
    <row r="88" spans="1:29" ht="15.75" thickBot="1">
      <c r="A88" s="480"/>
      <c r="B88" s="489"/>
      <c r="C88" s="490">
        <v>100</v>
      </c>
      <c r="D88" s="490">
        <f>C88-$K15</f>
        <v>98</v>
      </c>
      <c r="E88" s="490">
        <f>D88-$K15</f>
        <v>96</v>
      </c>
      <c r="F88" s="490">
        <f>E88-$K15</f>
        <v>94</v>
      </c>
      <c r="G88" s="490">
        <f>F88-$K15</f>
        <v>92</v>
      </c>
      <c r="H88" s="490"/>
      <c r="I88" s="490"/>
      <c r="J88" s="490"/>
      <c r="K88" s="490"/>
      <c r="L88" s="490"/>
      <c r="M88" s="491"/>
      <c r="N88" s="2746"/>
      <c r="O88" s="2746"/>
      <c r="P88" s="2770"/>
      <c r="Q88" s="2731"/>
      <c r="R88" s="2717"/>
      <c r="S88" s="2717"/>
      <c r="T88" s="2717"/>
      <c r="U88" s="2717"/>
      <c r="V88" s="2717"/>
      <c r="W88" s="2717"/>
      <c r="X88" s="2717"/>
      <c r="Y88" s="2717"/>
      <c r="Z88" s="2717"/>
      <c r="AA88" s="2717"/>
      <c r="AB88" s="2717"/>
      <c r="AC88" s="2717"/>
    </row>
    <row r="89" spans="1:29" ht="15.75" thickTop="1">
      <c r="A89" s="480"/>
      <c r="B89" s="484" t="s">
        <v>1906</v>
      </c>
      <c r="C89" s="524" t="s">
        <v>1721</v>
      </c>
      <c r="D89" s="524" t="s">
        <v>1722</v>
      </c>
      <c r="E89" s="524" t="s">
        <v>1723</v>
      </c>
      <c r="F89" s="524" t="s">
        <v>1724</v>
      </c>
      <c r="G89" s="524" t="s">
        <v>1725</v>
      </c>
      <c r="H89" s="485"/>
      <c r="I89" s="485"/>
      <c r="J89" s="485"/>
      <c r="K89" s="486"/>
      <c r="L89" s="487"/>
      <c r="M89" s="488"/>
      <c r="N89" s="2745"/>
      <c r="O89" s="2745"/>
      <c r="P89" s="2770"/>
      <c r="Q89" s="2731"/>
      <c r="R89" s="2717"/>
      <c r="S89" s="2717"/>
      <c r="T89" s="2717"/>
      <c r="U89" s="2717"/>
      <c r="V89" s="2717"/>
      <c r="W89" s="2717"/>
      <c r="X89" s="2717"/>
      <c r="Y89" s="2717"/>
      <c r="Z89" s="2717"/>
      <c r="AA89" s="2717"/>
      <c r="AB89" s="2717"/>
      <c r="AC89" s="2717"/>
    </row>
    <row r="90" spans="1:29" ht="15.75" thickBot="1">
      <c r="A90" s="480"/>
      <c r="B90" s="489"/>
      <c r="C90" s="490">
        <v>100</v>
      </c>
      <c r="D90" s="490">
        <f>C90-$K17</f>
        <v>100</v>
      </c>
      <c r="E90" s="490">
        <f>D90-$K17</f>
        <v>100</v>
      </c>
      <c r="F90" s="490">
        <f>E90-$K17</f>
        <v>100</v>
      </c>
      <c r="G90" s="490">
        <f>F90-$K17</f>
        <v>100</v>
      </c>
      <c r="H90" s="490"/>
      <c r="I90" s="490"/>
      <c r="J90" s="490"/>
      <c r="K90" s="490"/>
      <c r="L90" s="490"/>
      <c r="M90" s="491"/>
      <c r="N90" s="2746"/>
      <c r="O90" s="2746"/>
      <c r="P90" s="2770"/>
      <c r="Q90" s="2731"/>
      <c r="R90" s="2717"/>
      <c r="S90" s="2717"/>
      <c r="T90" s="2717"/>
      <c r="U90" s="2717"/>
      <c r="V90" s="2717"/>
      <c r="W90" s="2717"/>
      <c r="X90" s="2717"/>
      <c r="Y90" s="2717"/>
      <c r="Z90" s="2717"/>
      <c r="AA90" s="2717"/>
      <c r="AB90" s="2717"/>
      <c r="AC90" s="2717"/>
    </row>
    <row r="91" spans="1:29" ht="15.75" thickTop="1">
      <c r="A91" s="480"/>
      <c r="B91" s="484" t="s">
        <v>1821</v>
      </c>
      <c r="C91" s="524" t="s">
        <v>1721</v>
      </c>
      <c r="D91" s="524" t="s">
        <v>1722</v>
      </c>
      <c r="E91" s="524" t="s">
        <v>1723</v>
      </c>
      <c r="F91" s="524" t="s">
        <v>1724</v>
      </c>
      <c r="G91" s="524" t="s">
        <v>1725</v>
      </c>
      <c r="H91" s="485"/>
      <c r="I91" s="485"/>
      <c r="J91" s="485"/>
      <c r="K91" s="486"/>
      <c r="L91" s="487"/>
      <c r="M91" s="488"/>
      <c r="N91" s="2745"/>
      <c r="O91" s="2745"/>
      <c r="P91" s="2770"/>
      <c r="Q91" s="2731"/>
      <c r="R91" s="2717"/>
      <c r="S91" s="2717"/>
      <c r="T91" s="2717"/>
      <c r="U91" s="2717"/>
      <c r="V91" s="2717"/>
      <c r="W91" s="2717"/>
      <c r="X91" s="2717"/>
      <c r="Y91" s="2717"/>
      <c r="Z91" s="2717"/>
      <c r="AA91" s="2717"/>
      <c r="AB91" s="2717"/>
      <c r="AC91" s="2717"/>
    </row>
    <row r="92" spans="1:29" ht="15.75" thickBot="1">
      <c r="A92" s="480"/>
      <c r="B92" s="489"/>
      <c r="C92" s="490">
        <v>100</v>
      </c>
      <c r="D92" s="490">
        <f>C92-$K19</f>
        <v>100</v>
      </c>
      <c r="E92" s="490">
        <f>D92-$K19</f>
        <v>100</v>
      </c>
      <c r="F92" s="490">
        <f>E92-$K19</f>
        <v>100</v>
      </c>
      <c r="G92" s="490">
        <f>F92-$K19</f>
        <v>100</v>
      </c>
      <c r="H92" s="490"/>
      <c r="I92" s="490"/>
      <c r="J92" s="490"/>
      <c r="K92" s="490"/>
      <c r="L92" s="490"/>
      <c r="M92" s="491"/>
      <c r="N92" s="2746"/>
      <c r="O92" s="2746"/>
      <c r="P92" s="2770"/>
      <c r="Q92" s="2731"/>
      <c r="R92" s="2717"/>
      <c r="S92" s="2717"/>
      <c r="T92" s="2717"/>
      <c r="U92" s="2717"/>
      <c r="V92" s="2717"/>
      <c r="W92" s="2717"/>
      <c r="X92" s="2717"/>
      <c r="Y92" s="2717"/>
      <c r="Z92" s="2717"/>
      <c r="AA92" s="2717"/>
      <c r="AB92" s="2717"/>
      <c r="AC92" s="2717"/>
    </row>
    <row r="93" spans="1:29" ht="15.75" thickTop="1">
      <c r="A93" s="480"/>
      <c r="B93" s="484" t="s">
        <v>1726</v>
      </c>
      <c r="C93" s="524" t="s">
        <v>1721</v>
      </c>
      <c r="D93" s="524" t="s">
        <v>1722</v>
      </c>
      <c r="E93" s="524" t="s">
        <v>1723</v>
      </c>
      <c r="F93" s="524" t="s">
        <v>1724</v>
      </c>
      <c r="G93" s="524" t="s">
        <v>1725</v>
      </c>
      <c r="H93" s="485"/>
      <c r="I93" s="485"/>
      <c r="J93" s="485"/>
      <c r="K93" s="486"/>
      <c r="L93" s="487"/>
      <c r="M93" s="488"/>
      <c r="N93" s="2745"/>
      <c r="O93" s="2745"/>
      <c r="P93" s="2770"/>
      <c r="Q93" s="2731"/>
      <c r="R93" s="2717"/>
      <c r="S93" s="2717"/>
      <c r="T93" s="2717"/>
      <c r="U93" s="2717"/>
      <c r="V93" s="2717"/>
      <c r="W93" s="2717"/>
      <c r="X93" s="2717"/>
      <c r="Y93" s="2717"/>
      <c r="Z93" s="2717"/>
      <c r="AA93" s="2717"/>
      <c r="AB93" s="2717"/>
      <c r="AC93" s="2717"/>
    </row>
    <row r="94" spans="1:29" ht="15.75" thickBot="1">
      <c r="A94" s="480"/>
      <c r="B94" s="489"/>
      <c r="C94" s="490">
        <v>100</v>
      </c>
      <c r="D94" s="490">
        <f>C94-$K21</f>
        <v>98</v>
      </c>
      <c r="E94" s="490">
        <f>D94-$K21</f>
        <v>96</v>
      </c>
      <c r="F94" s="490">
        <f>E94-$K21</f>
        <v>94</v>
      </c>
      <c r="G94" s="490">
        <f>F94-$K21</f>
        <v>92</v>
      </c>
      <c r="H94" s="490"/>
      <c r="I94" s="490"/>
      <c r="J94" s="490"/>
      <c r="K94" s="490"/>
      <c r="L94" s="490"/>
      <c r="M94" s="491"/>
      <c r="N94" s="2746"/>
      <c r="O94" s="2746"/>
      <c r="P94" s="2770"/>
      <c r="Q94" s="2731"/>
      <c r="R94" s="2717"/>
      <c r="S94" s="2717"/>
      <c r="T94" s="2717"/>
      <c r="U94" s="2717"/>
      <c r="V94" s="2717"/>
      <c r="W94" s="2717"/>
      <c r="X94" s="2717"/>
      <c r="Y94" s="2717"/>
      <c r="Z94" s="2717"/>
      <c r="AA94" s="2717"/>
      <c r="AB94" s="2717"/>
      <c r="AC94" s="2717"/>
    </row>
    <row r="95" spans="1:29" s="108" customFormat="1" ht="15.75" thickTop="1">
      <c r="A95" s="525"/>
      <c r="B95" s="484" t="s">
        <v>1907</v>
      </c>
      <c r="C95" s="524" t="s">
        <v>1721</v>
      </c>
      <c r="D95" s="524" t="s">
        <v>1722</v>
      </c>
      <c r="E95" s="524" t="s">
        <v>1723</v>
      </c>
      <c r="F95" s="524" t="s">
        <v>1724</v>
      </c>
      <c r="G95" s="524" t="s">
        <v>1725</v>
      </c>
      <c r="H95" s="524"/>
      <c r="I95" s="524"/>
      <c r="J95" s="524"/>
      <c r="K95" s="524"/>
      <c r="L95" s="643"/>
      <c r="M95" s="567"/>
      <c r="N95" s="2744"/>
      <c r="O95" s="2744"/>
      <c r="P95" s="2770"/>
      <c r="Q95" s="2731"/>
      <c r="R95" s="2653"/>
      <c r="S95" s="2653"/>
      <c r="T95" s="2653"/>
      <c r="U95" s="2653"/>
      <c r="V95" s="2653"/>
      <c r="W95" s="2653"/>
      <c r="X95" s="2653"/>
      <c r="Y95" s="2653"/>
      <c r="Z95" s="2653"/>
      <c r="AA95" s="2653"/>
      <c r="AB95" s="2653"/>
      <c r="AC95" s="2653"/>
    </row>
    <row r="96" spans="1:29" s="108" customFormat="1" ht="15.75" thickBot="1">
      <c r="A96" s="525"/>
      <c r="B96" s="489"/>
      <c r="C96" s="528">
        <v>100</v>
      </c>
      <c r="D96" s="490">
        <f>C96-$K23</f>
        <v>98</v>
      </c>
      <c r="E96" s="490">
        <f>D96-$K23</f>
        <v>96</v>
      </c>
      <c r="F96" s="490">
        <f>E96-$K23</f>
        <v>94</v>
      </c>
      <c r="G96" s="490">
        <f>F96-$K23</f>
        <v>92</v>
      </c>
      <c r="H96" s="490"/>
      <c r="I96" s="490"/>
      <c r="J96" s="490"/>
      <c r="K96" s="490"/>
      <c r="L96" s="490"/>
      <c r="M96" s="491"/>
      <c r="N96" s="2746"/>
      <c r="O96" s="2746"/>
      <c r="P96" s="2770"/>
      <c r="Q96" s="2731"/>
      <c r="R96" s="2653"/>
      <c r="S96" s="2653"/>
      <c r="T96" s="2653"/>
      <c r="U96" s="2653"/>
      <c r="V96" s="2653"/>
      <c r="W96" s="2653"/>
      <c r="X96" s="2653"/>
      <c r="Y96" s="2653"/>
      <c r="Z96" s="2653"/>
      <c r="AA96" s="2653"/>
      <c r="AB96" s="2653"/>
      <c r="AC96" s="2653"/>
    </row>
    <row r="97" spans="1:29" s="108" customFormat="1" ht="27.75" thickTop="1">
      <c r="A97" s="525"/>
      <c r="B97" s="484" t="s">
        <v>1908</v>
      </c>
      <c r="C97" s="519" t="s">
        <v>1721</v>
      </c>
      <c r="D97" s="519" t="s">
        <v>1722</v>
      </c>
      <c r="E97" s="519" t="s">
        <v>1723</v>
      </c>
      <c r="F97" s="519" t="s">
        <v>1724</v>
      </c>
      <c r="G97" s="519" t="s">
        <v>1725</v>
      </c>
      <c r="H97" s="524"/>
      <c r="I97" s="524"/>
      <c r="J97" s="524"/>
      <c r="K97" s="524"/>
      <c r="L97" s="524"/>
      <c r="M97" s="567"/>
      <c r="N97" s="2744"/>
      <c r="O97" s="2744"/>
      <c r="P97" s="2770"/>
      <c r="Q97" s="2731"/>
      <c r="R97" s="2653"/>
      <c r="S97" s="2653"/>
      <c r="T97" s="2653"/>
      <c r="U97" s="2653"/>
      <c r="V97" s="2653"/>
      <c r="W97" s="2653"/>
      <c r="X97" s="2653"/>
      <c r="Y97" s="2653"/>
      <c r="Z97" s="2653"/>
      <c r="AA97" s="2653"/>
      <c r="AB97" s="2653"/>
      <c r="AC97" s="2653"/>
    </row>
    <row r="98" spans="1:29" s="108" customFormat="1" ht="15.75" thickBot="1">
      <c r="A98" s="525"/>
      <c r="B98" s="489"/>
      <c r="C98" s="490">
        <v>100</v>
      </c>
      <c r="D98" s="490">
        <f>C98-$K25</f>
        <v>97</v>
      </c>
      <c r="E98" s="490">
        <f>D98-$K25</f>
        <v>94</v>
      </c>
      <c r="F98" s="490">
        <f>E98-$K25</f>
        <v>91</v>
      </c>
      <c r="G98" s="490">
        <f>F98-$K25</f>
        <v>88</v>
      </c>
      <c r="H98" s="490"/>
      <c r="I98" s="490"/>
      <c r="J98" s="490"/>
      <c r="K98" s="490"/>
      <c r="L98" s="490"/>
      <c r="M98" s="491"/>
      <c r="N98" s="2746"/>
      <c r="O98" s="2746"/>
      <c r="P98" s="2770"/>
      <c r="Q98" s="2731"/>
      <c r="R98" s="2653"/>
      <c r="S98" s="2653"/>
      <c r="T98" s="2653"/>
      <c r="U98" s="2653"/>
      <c r="V98" s="2653"/>
      <c r="W98" s="2653"/>
      <c r="X98" s="2653"/>
      <c r="Y98" s="2653"/>
      <c r="Z98" s="2653"/>
      <c r="AA98" s="2653"/>
      <c r="AB98" s="2653"/>
      <c r="AC98" s="2653"/>
    </row>
    <row r="99" spans="1:29" s="419" customFormat="1" ht="15.75" thickTop="1">
      <c r="A99" s="499"/>
      <c r="B99" s="484" t="s">
        <v>1778</v>
      </c>
      <c r="C99" s="519" t="s">
        <v>1721</v>
      </c>
      <c r="D99" s="519" t="s">
        <v>1722</v>
      </c>
      <c r="E99" s="519" t="s">
        <v>1723</v>
      </c>
      <c r="F99" s="519" t="s">
        <v>1724</v>
      </c>
      <c r="G99" s="519" t="s">
        <v>1725</v>
      </c>
      <c r="H99" s="546"/>
      <c r="I99" s="546"/>
      <c r="J99" s="546"/>
      <c r="K99" s="546"/>
      <c r="L99" s="547"/>
      <c r="M99" s="548"/>
      <c r="N99" s="2747"/>
      <c r="O99" s="2747"/>
      <c r="P99" s="2771"/>
      <c r="Q99" s="2738"/>
      <c r="R99" s="2739"/>
      <c r="S99" s="2739"/>
      <c r="T99" s="2739"/>
      <c r="U99" s="2739"/>
      <c r="V99" s="2739"/>
      <c r="W99" s="2739"/>
      <c r="X99" s="2739"/>
      <c r="Y99" s="2739"/>
      <c r="Z99" s="2739"/>
      <c r="AA99" s="2739"/>
      <c r="AB99" s="2739"/>
      <c r="AC99" s="2739"/>
    </row>
    <row r="100" spans="1:29" s="419" customFormat="1" ht="15.75" thickBot="1">
      <c r="A100" s="499"/>
      <c r="B100" s="489"/>
      <c r="C100" s="490">
        <v>100</v>
      </c>
      <c r="D100" s="490">
        <f>C100-$K27</f>
        <v>98</v>
      </c>
      <c r="E100" s="490">
        <f>D100-$K27</f>
        <v>96</v>
      </c>
      <c r="F100" s="490">
        <f>E100-$K27</f>
        <v>94</v>
      </c>
      <c r="G100" s="490">
        <f>F100-$K27</f>
        <v>92</v>
      </c>
      <c r="H100" s="553"/>
      <c r="I100" s="553"/>
      <c r="J100" s="553"/>
      <c r="K100" s="553"/>
      <c r="L100" s="553"/>
      <c r="M100" s="554"/>
      <c r="N100" s="2747"/>
      <c r="O100" s="2747"/>
      <c r="P100" s="2771"/>
      <c r="Q100" s="2738"/>
      <c r="R100" s="2739"/>
      <c r="S100" s="2739"/>
      <c r="T100" s="2739"/>
      <c r="U100" s="2739"/>
      <c r="V100" s="2739"/>
      <c r="W100" s="2739"/>
      <c r="X100" s="2739"/>
      <c r="Y100" s="2739"/>
      <c r="Z100" s="2739"/>
      <c r="AA100" s="2739"/>
      <c r="AB100" s="2739"/>
      <c r="AC100" s="2739"/>
    </row>
    <row r="101" spans="1:29" s="419" customFormat="1" ht="15.75" thickTop="1">
      <c r="A101" s="499"/>
      <c r="B101" s="492" t="s">
        <v>1779</v>
      </c>
      <c r="C101" s="605" t="s">
        <v>1799</v>
      </c>
      <c r="D101" s="605" t="s">
        <v>1800</v>
      </c>
      <c r="E101" s="605" t="s">
        <v>1801</v>
      </c>
      <c r="F101" s="605" t="s">
        <v>1802</v>
      </c>
      <c r="G101" s="605" t="s">
        <v>1803</v>
      </c>
      <c r="H101" s="546"/>
      <c r="I101" s="546"/>
      <c r="J101" s="546"/>
      <c r="K101" s="546"/>
      <c r="L101" s="546"/>
      <c r="M101" s="1128"/>
      <c r="N101" s="2747"/>
      <c r="O101" s="2747"/>
      <c r="P101" s="2771"/>
      <c r="Q101" s="2738"/>
      <c r="R101" s="2739"/>
      <c r="S101" s="2739"/>
      <c r="T101" s="2739"/>
      <c r="U101" s="2739"/>
      <c r="V101" s="2739"/>
      <c r="W101" s="2739"/>
      <c r="X101" s="2739"/>
      <c r="Y101" s="2739"/>
      <c r="Z101" s="2739"/>
      <c r="AA101" s="2739"/>
      <c r="AB101" s="2739"/>
      <c r="AC101" s="2739"/>
    </row>
    <row r="102" spans="1:29" s="419" customFormat="1" ht="15.75" thickBot="1">
      <c r="A102" s="499"/>
      <c r="B102" s="492"/>
      <c r="C102" s="490">
        <v>100</v>
      </c>
      <c r="D102" s="490">
        <f>C102-$K29</f>
        <v>99</v>
      </c>
      <c r="E102" s="490">
        <f>D102-$K29</f>
        <v>98</v>
      </c>
      <c r="F102" s="490">
        <f>E102-$K29</f>
        <v>97</v>
      </c>
      <c r="G102" s="490">
        <f>F102-$K29</f>
        <v>96</v>
      </c>
      <c r="H102" s="494"/>
      <c r="I102" s="494"/>
      <c r="J102" s="494"/>
      <c r="K102" s="494"/>
      <c r="L102" s="494"/>
      <c r="M102" s="1128"/>
      <c r="N102" s="2747"/>
      <c r="O102" s="2747"/>
      <c r="P102" s="2771"/>
      <c r="Q102" s="2738"/>
      <c r="R102" s="2739"/>
      <c r="S102" s="2739"/>
      <c r="T102" s="2739"/>
      <c r="U102" s="2739"/>
      <c r="V102" s="2739"/>
      <c r="W102" s="2739"/>
      <c r="X102" s="2739"/>
      <c r="Y102" s="2739"/>
      <c r="Z102" s="2739"/>
      <c r="AA102" s="2739"/>
      <c r="AB102" s="2739"/>
      <c r="AC102" s="2739"/>
    </row>
    <row r="103" spans="1:29" ht="15.75" thickTop="1">
      <c r="A103" s="480"/>
      <c r="B103" s="484" t="str">
        <f>B31</f>
        <v>临街状况</v>
      </c>
      <c r="C103" s="485" t="s">
        <v>1909</v>
      </c>
      <c r="D103" s="485" t="s">
        <v>1910</v>
      </c>
      <c r="E103" s="485" t="s">
        <v>1911</v>
      </c>
      <c r="F103" s="485" t="s">
        <v>1912</v>
      </c>
      <c r="G103" s="485"/>
      <c r="H103" s="485"/>
      <c r="I103" s="485"/>
      <c r="J103" s="485"/>
      <c r="K103" s="486"/>
      <c r="L103" s="487"/>
      <c r="M103" s="488"/>
      <c r="N103" s="2745"/>
      <c r="O103" s="2745"/>
      <c r="P103" s="2770"/>
      <c r="Q103" s="2731"/>
      <c r="R103" s="2717"/>
      <c r="S103" s="2717"/>
      <c r="T103" s="2717"/>
      <c r="U103" s="2717"/>
      <c r="V103" s="2717"/>
      <c r="W103" s="2717"/>
      <c r="X103" s="2717"/>
      <c r="Y103" s="2717"/>
      <c r="Z103" s="2717"/>
      <c r="AA103" s="2717"/>
      <c r="AB103" s="2717"/>
      <c r="AC103" s="2717"/>
    </row>
    <row r="104" spans="1:29" ht="15.75" thickBot="1">
      <c r="A104" s="480"/>
      <c r="B104" s="489"/>
      <c r="C104" s="490">
        <v>100</v>
      </c>
      <c r="D104" s="490">
        <f t="shared" ref="D104:M104" si="24">C104-$K31</f>
        <v>100</v>
      </c>
      <c r="E104" s="490">
        <f t="shared" si="24"/>
        <v>100</v>
      </c>
      <c r="F104" s="490">
        <f t="shared" si="24"/>
        <v>100</v>
      </c>
      <c r="G104" s="490">
        <f t="shared" si="24"/>
        <v>100</v>
      </c>
      <c r="H104" s="490">
        <f t="shared" si="24"/>
        <v>100</v>
      </c>
      <c r="I104" s="490">
        <f t="shared" si="24"/>
        <v>100</v>
      </c>
      <c r="J104" s="490">
        <f t="shared" si="24"/>
        <v>100</v>
      </c>
      <c r="K104" s="490">
        <f t="shared" si="24"/>
        <v>100</v>
      </c>
      <c r="L104" s="490">
        <f t="shared" si="24"/>
        <v>100</v>
      </c>
      <c r="M104" s="490">
        <f t="shared" si="24"/>
        <v>100</v>
      </c>
      <c r="N104" s="2746"/>
      <c r="O104" s="2746"/>
      <c r="P104" s="2770"/>
      <c r="Q104" s="2731"/>
      <c r="R104" s="2717"/>
      <c r="S104" s="2717"/>
      <c r="T104" s="2717"/>
      <c r="U104" s="2717"/>
      <c r="V104" s="2717"/>
      <c r="W104" s="2717"/>
      <c r="X104" s="2717"/>
      <c r="Y104" s="2717"/>
      <c r="Z104" s="2717"/>
      <c r="AA104" s="2717"/>
      <c r="AB104" s="2717"/>
      <c r="AC104" s="2717"/>
    </row>
    <row r="105" spans="1:29" ht="27.75" thickTop="1">
      <c r="A105" s="480"/>
      <c r="B105" s="484" t="s">
        <v>1815</v>
      </c>
      <c r="C105" s="3461" t="s">
        <v>3499</v>
      </c>
      <c r="D105" s="3461" t="s">
        <v>3500</v>
      </c>
      <c r="E105" s="3461" t="s">
        <v>3501</v>
      </c>
      <c r="F105" s="3461" t="s">
        <v>3502</v>
      </c>
      <c r="G105" s="3461" t="s">
        <v>3503</v>
      </c>
      <c r="H105" s="529"/>
      <c r="I105" s="529"/>
      <c r="J105" s="529"/>
      <c r="K105" s="530"/>
      <c r="L105" s="531"/>
      <c r="M105" s="532"/>
      <c r="N105" s="2745"/>
      <c r="O105" s="2745"/>
      <c r="P105" s="2770"/>
      <c r="Q105" s="2731"/>
      <c r="R105" s="2717"/>
      <c r="S105" s="2717"/>
      <c r="T105" s="2717"/>
      <c r="U105" s="2717"/>
      <c r="V105" s="2717"/>
      <c r="W105" s="2717"/>
      <c r="X105" s="2717"/>
      <c r="Y105" s="2717"/>
      <c r="Z105" s="2717"/>
      <c r="AA105" s="2717"/>
      <c r="AB105" s="2717"/>
      <c r="AC105" s="2717"/>
    </row>
    <row r="106" spans="1:29" ht="15.75" thickBot="1">
      <c r="A106" s="480"/>
      <c r="B106" s="489"/>
      <c r="C106" s="490">
        <v>100</v>
      </c>
      <c r="D106" s="490">
        <f t="shared" ref="D106:M106" si="25">C106-$K32</f>
        <v>100</v>
      </c>
      <c r="E106" s="490">
        <f t="shared" si="25"/>
        <v>100</v>
      </c>
      <c r="F106" s="490">
        <f t="shared" si="25"/>
        <v>100</v>
      </c>
      <c r="G106" s="490">
        <f t="shared" si="25"/>
        <v>100</v>
      </c>
      <c r="H106" s="490">
        <f t="shared" si="25"/>
        <v>100</v>
      </c>
      <c r="I106" s="490">
        <f t="shared" si="25"/>
        <v>100</v>
      </c>
      <c r="J106" s="490">
        <f t="shared" si="25"/>
        <v>100</v>
      </c>
      <c r="K106" s="490">
        <f t="shared" si="25"/>
        <v>100</v>
      </c>
      <c r="L106" s="490">
        <f t="shared" si="25"/>
        <v>100</v>
      </c>
      <c r="M106" s="490">
        <f t="shared" si="25"/>
        <v>100</v>
      </c>
      <c r="N106" s="2746"/>
      <c r="O106" s="2746"/>
      <c r="P106" s="2770"/>
      <c r="Q106" s="2731"/>
      <c r="R106" s="2717"/>
      <c r="S106" s="2717"/>
      <c r="T106" s="2717"/>
      <c r="U106" s="2717"/>
      <c r="V106" s="2717"/>
      <c r="W106" s="2717"/>
      <c r="X106" s="2717"/>
      <c r="Y106" s="2717"/>
      <c r="Z106" s="2717"/>
      <c r="AA106" s="2717"/>
      <c r="AB106" s="2717"/>
      <c r="AC106" s="2717"/>
    </row>
    <row r="107" spans="1:29" ht="15.75" thickTop="1">
      <c r="A107" s="480"/>
      <c r="B107" s="484" t="s">
        <v>1873</v>
      </c>
      <c r="C107" s="3462" t="s">
        <v>25</v>
      </c>
      <c r="D107" s="3462" t="s">
        <v>2850</v>
      </c>
      <c r="E107" s="3462" t="s">
        <v>2851</v>
      </c>
      <c r="F107" s="3462" t="s">
        <v>2852</v>
      </c>
      <c r="G107" s="529"/>
      <c r="H107" s="529"/>
      <c r="I107" s="529"/>
      <c r="J107" s="529"/>
      <c r="K107" s="530"/>
      <c r="L107" s="531"/>
      <c r="M107" s="532"/>
      <c r="N107" s="2745"/>
      <c r="O107" s="2745"/>
      <c r="P107" s="2770"/>
      <c r="Q107" s="2731"/>
      <c r="R107" s="2717"/>
      <c r="S107" s="2717"/>
      <c r="T107" s="2717"/>
      <c r="U107" s="2717"/>
      <c r="V107" s="2717"/>
      <c r="W107" s="2717"/>
      <c r="X107" s="2717"/>
      <c r="Y107" s="2717"/>
      <c r="Z107" s="2717"/>
      <c r="AA107" s="2717"/>
      <c r="AB107" s="2717"/>
      <c r="AC107" s="2717"/>
    </row>
    <row r="108" spans="1:29" ht="15.75" thickBot="1">
      <c r="A108" s="480"/>
      <c r="B108" s="489"/>
      <c r="C108" s="490">
        <v>100</v>
      </c>
      <c r="D108" s="490">
        <f t="shared" ref="D108:M108" si="26">C108-$K34</f>
        <v>100</v>
      </c>
      <c r="E108" s="490">
        <f t="shared" si="26"/>
        <v>100</v>
      </c>
      <c r="F108" s="490">
        <f t="shared" si="26"/>
        <v>100</v>
      </c>
      <c r="G108" s="490">
        <f t="shared" si="26"/>
        <v>100</v>
      </c>
      <c r="H108" s="490">
        <f t="shared" si="26"/>
        <v>100</v>
      </c>
      <c r="I108" s="490">
        <f t="shared" si="26"/>
        <v>100</v>
      </c>
      <c r="J108" s="490">
        <f t="shared" si="26"/>
        <v>100</v>
      </c>
      <c r="K108" s="490">
        <f t="shared" si="26"/>
        <v>100</v>
      </c>
      <c r="L108" s="490">
        <f t="shared" si="26"/>
        <v>100</v>
      </c>
      <c r="M108" s="490">
        <f t="shared" si="26"/>
        <v>100</v>
      </c>
      <c r="N108" s="2746"/>
      <c r="O108" s="2746"/>
      <c r="P108" s="2770"/>
      <c r="Q108" s="2731"/>
      <c r="R108" s="2717"/>
      <c r="S108" s="2717"/>
      <c r="T108" s="2717"/>
      <c r="U108" s="2717"/>
      <c r="V108" s="2717"/>
      <c r="W108" s="2717"/>
      <c r="X108" s="2717"/>
      <c r="Y108" s="2717"/>
      <c r="Z108" s="2717"/>
      <c r="AA108" s="2717"/>
      <c r="AB108" s="2717"/>
      <c r="AC108" s="2717"/>
    </row>
    <row r="109" spans="1:29" ht="15.75" thickTop="1">
      <c r="A109" s="480"/>
      <c r="B109" s="492">
        <f>B35</f>
        <v>111</v>
      </c>
      <c r="C109" s="500"/>
      <c r="D109" s="500"/>
      <c r="E109" s="500"/>
      <c r="F109" s="500"/>
      <c r="G109" s="533"/>
      <c r="H109" s="533"/>
      <c r="I109" s="533"/>
      <c r="J109" s="533"/>
      <c r="K109" s="534"/>
      <c r="L109" s="535"/>
      <c r="M109" s="536"/>
      <c r="N109" s="2745"/>
      <c r="O109" s="2745"/>
      <c r="P109" s="2770"/>
      <c r="Q109" s="2731"/>
      <c r="R109" s="2717"/>
      <c r="S109" s="2717"/>
      <c r="T109" s="2717"/>
      <c r="U109" s="2717"/>
      <c r="V109" s="2717"/>
      <c r="W109" s="2717"/>
      <c r="X109" s="2717"/>
      <c r="Y109" s="2717"/>
      <c r="Z109" s="2717"/>
      <c r="AA109" s="2717"/>
      <c r="AB109" s="2717"/>
      <c r="AC109" s="2717"/>
    </row>
    <row r="110" spans="1:29" ht="15.75" thickBot="1">
      <c r="A110" s="480"/>
      <c r="B110" s="515"/>
      <c r="C110" s="506"/>
      <c r="D110" s="506"/>
      <c r="E110" s="506"/>
      <c r="F110" s="506"/>
      <c r="G110" s="537"/>
      <c r="H110" s="537"/>
      <c r="I110" s="537"/>
      <c r="J110" s="537"/>
      <c r="K110" s="537"/>
      <c r="L110" s="537"/>
      <c r="M110" s="538"/>
      <c r="N110" s="2746"/>
      <c r="O110" s="2746"/>
      <c r="P110" s="2770"/>
      <c r="Q110" s="2731"/>
      <c r="R110" s="2717"/>
      <c r="S110" s="2717"/>
      <c r="T110" s="2717"/>
      <c r="U110" s="2717"/>
      <c r="V110" s="2717"/>
      <c r="W110" s="2717"/>
      <c r="X110" s="2717"/>
      <c r="Y110" s="2717"/>
      <c r="Z110" s="2717"/>
      <c r="AA110" s="2717"/>
      <c r="AB110" s="2717"/>
      <c r="AC110" s="2717"/>
    </row>
    <row r="111" spans="1:29" ht="15" thickTop="1">
      <c r="A111" s="620"/>
      <c r="B111" s="484">
        <f>B36</f>
        <v>111</v>
      </c>
      <c r="C111" s="469"/>
      <c r="D111" s="469"/>
      <c r="E111" s="469"/>
      <c r="F111" s="469"/>
      <c r="G111" s="529"/>
      <c r="H111" s="529"/>
      <c r="I111" s="529"/>
      <c r="J111" s="529"/>
      <c r="K111" s="530"/>
      <c r="L111" s="531"/>
      <c r="M111" s="532"/>
      <c r="N111" s="2745"/>
      <c r="O111" s="2745"/>
      <c r="P111" s="2770"/>
      <c r="Q111" s="2731"/>
      <c r="R111" s="2717"/>
      <c r="S111" s="2717"/>
      <c r="T111" s="2717"/>
      <c r="U111" s="2717"/>
      <c r="V111" s="2717"/>
      <c r="W111" s="2717"/>
      <c r="X111" s="2717"/>
      <c r="Y111" s="2717"/>
      <c r="Z111" s="2717"/>
      <c r="AA111" s="2717"/>
      <c r="AB111" s="2717"/>
      <c r="AC111" s="2717"/>
    </row>
    <row r="112" spans="1:29" ht="15.75" thickBot="1">
      <c r="A112" s="480"/>
      <c r="B112" s="489"/>
      <c r="C112" s="516"/>
      <c r="D112" s="516"/>
      <c r="E112" s="516"/>
      <c r="F112" s="516"/>
      <c r="G112" s="482"/>
      <c r="H112" s="482"/>
      <c r="I112" s="482"/>
      <c r="J112" s="482"/>
      <c r="K112" s="482"/>
      <c r="L112" s="482"/>
      <c r="M112" s="483"/>
      <c r="N112" s="2746"/>
      <c r="O112" s="2746"/>
      <c r="P112" s="2770"/>
      <c r="Q112" s="2731"/>
      <c r="R112" s="2717"/>
      <c r="S112" s="2717"/>
      <c r="T112" s="2717"/>
      <c r="U112" s="2717"/>
      <c r="V112" s="2717"/>
      <c r="W112" s="2717"/>
      <c r="X112" s="2717"/>
      <c r="Y112" s="2717"/>
      <c r="Z112" s="2717"/>
      <c r="AA112" s="2717"/>
      <c r="AB112" s="2717"/>
      <c r="AC112" s="2717"/>
    </row>
    <row r="113" spans="1:29" s="419" customFormat="1" ht="15" thickTop="1">
      <c r="A113" s="539"/>
      <c r="B113" s="540">
        <f>B37</f>
        <v>111</v>
      </c>
      <c r="C113" s="541"/>
      <c r="D113" s="541"/>
      <c r="E113" s="541"/>
      <c r="F113" s="541"/>
      <c r="G113" s="541"/>
      <c r="H113" s="541"/>
      <c r="I113" s="541"/>
      <c r="J113" s="542"/>
      <c r="K113" s="542"/>
      <c r="L113" s="543"/>
      <c r="M113" s="544"/>
      <c r="N113" s="2747"/>
      <c r="O113" s="2747"/>
      <c r="P113" s="2771"/>
      <c r="Q113" s="2738"/>
      <c r="R113" s="2739"/>
      <c r="S113" s="2739"/>
      <c r="T113" s="2739"/>
      <c r="U113" s="2739"/>
      <c r="V113" s="2739"/>
      <c r="W113" s="2739"/>
      <c r="X113" s="2739"/>
      <c r="Y113" s="2739"/>
      <c r="Z113" s="2739"/>
      <c r="AA113" s="2739"/>
      <c r="AB113" s="2739"/>
      <c r="AC113" s="2739"/>
    </row>
    <row r="114" spans="1:29" s="419" customFormat="1" ht="15.75" thickBot="1">
      <c r="A114" s="499"/>
      <c r="B114" s="492"/>
      <c r="C114" s="458"/>
      <c r="D114" s="622"/>
      <c r="E114" s="622"/>
      <c r="F114" s="622"/>
      <c r="G114" s="622"/>
      <c r="H114" s="622"/>
      <c r="I114" s="622"/>
      <c r="J114" s="622"/>
      <c r="K114" s="622"/>
      <c r="L114" s="622"/>
      <c r="M114" s="644"/>
      <c r="N114" s="2746"/>
      <c r="O114" s="2746"/>
      <c r="P114" s="2771"/>
      <c r="Q114" s="2738"/>
      <c r="R114" s="2739"/>
      <c r="S114" s="2739"/>
      <c r="T114" s="2739"/>
      <c r="U114" s="2739"/>
      <c r="V114" s="2739"/>
      <c r="W114" s="2739"/>
      <c r="X114" s="2739"/>
      <c r="Y114" s="2739"/>
      <c r="Z114" s="2739"/>
      <c r="AA114" s="2739"/>
      <c r="AB114" s="2739"/>
      <c r="AC114" s="2739"/>
    </row>
    <row r="115" spans="1:29" ht="28.5">
      <c r="A115" s="473" t="s">
        <v>1694</v>
      </c>
      <c r="B115" s="474" t="s">
        <v>1913</v>
      </c>
      <c r="C115" s="475" t="str">
        <f>C116&amp;"(含)"&amp;"-"&amp;D116</f>
        <v>0(含)-50000</v>
      </c>
      <c r="D115" s="475" t="str">
        <f t="shared" ref="D115:M115" si="27">D116&amp;"(含)"&amp;"-"&amp;E116</f>
        <v>50000(含)-100000</v>
      </c>
      <c r="E115" s="475" t="str">
        <f t="shared" si="27"/>
        <v>100000(含)-150000</v>
      </c>
      <c r="F115" s="475" t="str">
        <f t="shared" si="27"/>
        <v>150000(含)-200000</v>
      </c>
      <c r="G115" s="475" t="str">
        <f t="shared" si="27"/>
        <v>200000(含)-250000</v>
      </c>
      <c r="H115" s="475" t="str">
        <f t="shared" si="27"/>
        <v>250000(含)-</v>
      </c>
      <c r="I115" s="475" t="str">
        <f t="shared" si="27"/>
        <v>(含)-</v>
      </c>
      <c r="J115" s="475" t="str">
        <f t="shared" si="27"/>
        <v>(含)-</v>
      </c>
      <c r="K115" s="475" t="str">
        <f t="shared" si="27"/>
        <v>(含)-</v>
      </c>
      <c r="L115" s="475" t="str">
        <f t="shared" si="27"/>
        <v>(含)-</v>
      </c>
      <c r="M115" s="475" t="str">
        <f t="shared" si="27"/>
        <v>(含)-</v>
      </c>
      <c r="N115" s="2745"/>
      <c r="O115" s="2745"/>
      <c r="P115" s="2770"/>
      <c r="Q115" s="2731"/>
      <c r="R115" s="2717"/>
      <c r="S115" s="2717"/>
      <c r="T115" s="2717"/>
      <c r="U115" s="2717"/>
      <c r="V115" s="2717"/>
      <c r="W115" s="2717"/>
      <c r="X115" s="2717"/>
      <c r="Y115" s="2717"/>
      <c r="Z115" s="2717"/>
      <c r="AA115" s="2717"/>
      <c r="AB115" s="2717"/>
      <c r="AC115" s="2717"/>
    </row>
    <row r="116" spans="1:29" ht="15">
      <c r="A116" s="480"/>
      <c r="B116" s="492"/>
      <c r="C116" s="541">
        <v>0</v>
      </c>
      <c r="D116" s="541">
        <v>50000</v>
      </c>
      <c r="E116" s="541">
        <v>100000</v>
      </c>
      <c r="F116" s="541">
        <v>150000</v>
      </c>
      <c r="G116" s="541">
        <v>200000</v>
      </c>
      <c r="H116" s="541">
        <v>250000</v>
      </c>
      <c r="I116" s="541"/>
      <c r="J116" s="542"/>
      <c r="K116" s="542"/>
      <c r="L116" s="543"/>
      <c r="M116" s="544"/>
      <c r="N116" s="2745"/>
      <c r="O116" s="2745"/>
      <c r="P116" s="2770"/>
      <c r="Q116" s="2731"/>
      <c r="R116" s="2717"/>
      <c r="S116" s="2717"/>
      <c r="T116" s="2717"/>
      <c r="U116" s="2717"/>
      <c r="V116" s="2717"/>
      <c r="W116" s="2717"/>
      <c r="X116" s="2717"/>
      <c r="Y116" s="2717"/>
      <c r="Z116" s="2717"/>
      <c r="AA116" s="2717"/>
      <c r="AB116" s="2717"/>
      <c r="AC116" s="2717"/>
    </row>
    <row r="117" spans="1:29" ht="15.75" thickBot="1">
      <c r="A117" s="480"/>
      <c r="B117" s="489"/>
      <c r="C117" s="516">
        <v>100</v>
      </c>
      <c r="D117" s="537">
        <v>101</v>
      </c>
      <c r="E117" s="537">
        <v>102</v>
      </c>
      <c r="F117" s="537">
        <v>103</v>
      </c>
      <c r="G117" s="537">
        <v>104</v>
      </c>
      <c r="H117" s="537">
        <v>105</v>
      </c>
      <c r="I117" s="537"/>
      <c r="J117" s="537"/>
      <c r="K117" s="537"/>
      <c r="L117" s="537"/>
      <c r="M117" s="538"/>
      <c r="N117" s="2746"/>
      <c r="O117" s="2746"/>
      <c r="P117" s="2770"/>
      <c r="Q117" s="2731"/>
      <c r="R117" s="2717"/>
      <c r="S117" s="2717"/>
      <c r="T117" s="2717"/>
      <c r="U117" s="2717"/>
      <c r="V117" s="2717"/>
      <c r="W117" s="2717"/>
      <c r="X117" s="2717"/>
      <c r="Y117" s="2717"/>
      <c r="Z117" s="2717"/>
      <c r="AA117" s="2717"/>
      <c r="AB117" s="2717"/>
      <c r="AC117" s="2717"/>
    </row>
    <row r="118" spans="1:29" ht="15" thickTop="1">
      <c r="A118" s="545"/>
      <c r="B118" s="484" t="s">
        <v>1914</v>
      </c>
      <c r="C118" s="3462" t="s">
        <v>3504</v>
      </c>
      <c r="D118" s="3462" t="s">
        <v>3505</v>
      </c>
      <c r="E118" s="3462" t="s">
        <v>3506</v>
      </c>
      <c r="F118" s="3462" t="s">
        <v>3507</v>
      </c>
      <c r="G118" s="3462" t="s">
        <v>3508</v>
      </c>
      <c r="H118" s="529"/>
      <c r="I118" s="529"/>
      <c r="J118" s="529"/>
      <c r="K118" s="530"/>
      <c r="L118" s="531"/>
      <c r="M118" s="532"/>
      <c r="N118" s="2745"/>
      <c r="O118" s="2745"/>
      <c r="P118" s="2770"/>
      <c r="Q118" s="2731"/>
      <c r="R118" s="2717"/>
      <c r="S118" s="2717"/>
      <c r="T118" s="2717"/>
      <c r="U118" s="2717"/>
      <c r="V118" s="2717"/>
      <c r="W118" s="2717"/>
      <c r="X118" s="2717"/>
      <c r="Y118" s="2717"/>
      <c r="Z118" s="2717"/>
      <c r="AA118" s="2717"/>
      <c r="AB118" s="2717"/>
      <c r="AC118" s="2717"/>
    </row>
    <row r="119" spans="1:29" ht="15.75" thickBot="1">
      <c r="A119" s="480"/>
      <c r="B119" s="489"/>
      <c r="C119" s="490">
        <v>100</v>
      </c>
      <c r="D119" s="490">
        <f t="shared" ref="D119:M119" si="28">C119-$K39</f>
        <v>100</v>
      </c>
      <c r="E119" s="490">
        <f t="shared" si="28"/>
        <v>100</v>
      </c>
      <c r="F119" s="490">
        <f t="shared" si="28"/>
        <v>100</v>
      </c>
      <c r="G119" s="490">
        <f t="shared" si="28"/>
        <v>100</v>
      </c>
      <c r="H119" s="490">
        <f t="shared" si="28"/>
        <v>100</v>
      </c>
      <c r="I119" s="490">
        <f t="shared" si="28"/>
        <v>100</v>
      </c>
      <c r="J119" s="490">
        <f t="shared" si="28"/>
        <v>100</v>
      </c>
      <c r="K119" s="490">
        <f t="shared" si="28"/>
        <v>100</v>
      </c>
      <c r="L119" s="490">
        <f t="shared" si="28"/>
        <v>100</v>
      </c>
      <c r="M119" s="491">
        <f t="shared" si="28"/>
        <v>100</v>
      </c>
      <c r="N119" s="2746"/>
      <c r="O119" s="2746"/>
      <c r="P119" s="2770"/>
      <c r="Q119" s="2731"/>
      <c r="R119" s="2717"/>
      <c r="S119" s="2717"/>
      <c r="T119" s="2717"/>
      <c r="U119" s="2717"/>
      <c r="V119" s="2717"/>
      <c r="W119" s="2717"/>
      <c r="X119" s="2717"/>
      <c r="Y119" s="2717"/>
      <c r="Z119" s="2717"/>
      <c r="AA119" s="2717"/>
      <c r="AB119" s="2717"/>
      <c r="AC119" s="2717"/>
    </row>
    <row r="120" spans="1:29" ht="15" thickTop="1">
      <c r="A120" s="545"/>
      <c r="B120" s="484" t="s">
        <v>1915</v>
      </c>
      <c r="C120" s="500"/>
      <c r="D120" s="500"/>
      <c r="E120" s="500"/>
      <c r="F120" s="529"/>
      <c r="G120" s="529"/>
      <c r="H120" s="529"/>
      <c r="I120" s="529"/>
      <c r="J120" s="529"/>
      <c r="K120" s="530"/>
      <c r="L120" s="531"/>
      <c r="M120" s="532"/>
      <c r="N120" s="2745"/>
      <c r="O120" s="2745"/>
      <c r="P120" s="2770"/>
      <c r="Q120" s="2731"/>
      <c r="R120" s="2717"/>
      <c r="S120" s="2717"/>
      <c r="T120" s="2717"/>
      <c r="U120" s="2717"/>
      <c r="V120" s="2717"/>
      <c r="W120" s="2717"/>
      <c r="X120" s="2717"/>
      <c r="Y120" s="2717"/>
      <c r="Z120" s="2717"/>
      <c r="AA120" s="2717"/>
      <c r="AB120" s="2717"/>
      <c r="AC120" s="2717"/>
    </row>
    <row r="121" spans="1:29" ht="15.75" thickBot="1">
      <c r="A121" s="480"/>
      <c r="B121" s="489"/>
      <c r="C121" s="490">
        <v>100</v>
      </c>
      <c r="D121" s="490">
        <f t="shared" ref="D121:M121" si="29">C121-$K40</f>
        <v>100</v>
      </c>
      <c r="E121" s="490">
        <f t="shared" si="29"/>
        <v>100</v>
      </c>
      <c r="F121" s="490">
        <f t="shared" si="29"/>
        <v>100</v>
      </c>
      <c r="G121" s="490">
        <f t="shared" si="29"/>
        <v>100</v>
      </c>
      <c r="H121" s="490">
        <f t="shared" si="29"/>
        <v>100</v>
      </c>
      <c r="I121" s="490">
        <f t="shared" si="29"/>
        <v>100</v>
      </c>
      <c r="J121" s="490">
        <f t="shared" si="29"/>
        <v>100</v>
      </c>
      <c r="K121" s="490">
        <f t="shared" si="29"/>
        <v>100</v>
      </c>
      <c r="L121" s="490">
        <f t="shared" si="29"/>
        <v>100</v>
      </c>
      <c r="M121" s="491">
        <f t="shared" si="29"/>
        <v>100</v>
      </c>
      <c r="N121" s="2746"/>
      <c r="O121" s="2746"/>
      <c r="P121" s="2770"/>
      <c r="Q121" s="2731"/>
      <c r="R121" s="2717"/>
      <c r="S121" s="2717"/>
      <c r="T121" s="2717"/>
      <c r="U121" s="2717"/>
      <c r="V121" s="2717"/>
      <c r="W121" s="2717"/>
      <c r="X121" s="2717"/>
      <c r="Y121" s="2717"/>
      <c r="Z121" s="2717"/>
      <c r="AA121" s="2717"/>
      <c r="AB121" s="2717"/>
      <c r="AC121" s="2717"/>
    </row>
    <row r="122" spans="1:29" s="419" customFormat="1" ht="15" thickTop="1">
      <c r="A122" s="539"/>
      <c r="B122" s="484" t="s">
        <v>1916</v>
      </c>
      <c r="C122" s="3461" t="s">
        <v>3509</v>
      </c>
      <c r="D122" s="3461" t="s">
        <v>3510</v>
      </c>
      <c r="E122" s="3461" t="s">
        <v>3511</v>
      </c>
      <c r="F122" s="3461" t="s">
        <v>3512</v>
      </c>
      <c r="G122" s="3461" t="s">
        <v>3513</v>
      </c>
      <c r="H122" s="3462" t="s">
        <v>3514</v>
      </c>
      <c r="I122" s="3462" t="s">
        <v>3515</v>
      </c>
      <c r="J122" s="3462" t="s">
        <v>3516</v>
      </c>
      <c r="K122" s="530"/>
      <c r="L122" s="531"/>
      <c r="M122" s="532"/>
      <c r="N122" s="2747"/>
      <c r="O122" s="2747"/>
      <c r="P122" s="2771"/>
      <c r="Q122" s="2738"/>
      <c r="R122" s="2739"/>
      <c r="S122" s="2739"/>
      <c r="T122" s="2739"/>
      <c r="U122" s="2739"/>
      <c r="V122" s="2739"/>
      <c r="W122" s="2739"/>
      <c r="X122" s="2739"/>
      <c r="Y122" s="2739"/>
      <c r="Z122" s="2739"/>
      <c r="AA122" s="2739"/>
      <c r="AB122" s="2739"/>
      <c r="AC122" s="2739"/>
    </row>
    <row r="123" spans="1:29" s="419" customFormat="1" ht="15.75" thickBot="1">
      <c r="A123" s="499"/>
      <c r="B123" s="489"/>
      <c r="C123" s="490">
        <v>100</v>
      </c>
      <c r="D123" s="490">
        <f t="shared" ref="D123:M123" si="30">C123-$K41</f>
        <v>100</v>
      </c>
      <c r="E123" s="490">
        <f t="shared" si="30"/>
        <v>100</v>
      </c>
      <c r="F123" s="490">
        <f t="shared" si="30"/>
        <v>100</v>
      </c>
      <c r="G123" s="490">
        <f t="shared" si="30"/>
        <v>100</v>
      </c>
      <c r="H123" s="490">
        <f t="shared" si="30"/>
        <v>100</v>
      </c>
      <c r="I123" s="490">
        <f t="shared" si="30"/>
        <v>100</v>
      </c>
      <c r="J123" s="490">
        <f t="shared" si="30"/>
        <v>100</v>
      </c>
      <c r="K123" s="490">
        <f t="shared" si="30"/>
        <v>100</v>
      </c>
      <c r="L123" s="490">
        <f t="shared" si="30"/>
        <v>100</v>
      </c>
      <c r="M123" s="491">
        <f t="shared" si="30"/>
        <v>100</v>
      </c>
      <c r="N123" s="2747"/>
      <c r="O123" s="2747"/>
      <c r="P123" s="2771"/>
      <c r="Q123" s="2738"/>
      <c r="R123" s="2739"/>
      <c r="S123" s="2739"/>
      <c r="T123" s="2739"/>
      <c r="U123" s="2739"/>
      <c r="V123" s="2739"/>
      <c r="W123" s="2739"/>
      <c r="X123" s="2739"/>
      <c r="Y123" s="2739"/>
      <c r="Z123" s="2739"/>
      <c r="AA123" s="2739"/>
      <c r="AB123" s="2739"/>
      <c r="AC123" s="2739"/>
    </row>
    <row r="124" spans="1:29" ht="15" thickTop="1">
      <c r="A124" s="545"/>
      <c r="B124" s="484" t="s">
        <v>1917</v>
      </c>
      <c r="C124" s="3461" t="s">
        <v>3517</v>
      </c>
      <c r="D124" s="3461" t="s">
        <v>3518</v>
      </c>
      <c r="E124" s="3462" t="s">
        <v>3506</v>
      </c>
      <c r="F124" s="3462" t="s">
        <v>3519</v>
      </c>
      <c r="G124" s="3462" t="s">
        <v>3520</v>
      </c>
      <c r="H124" s="529"/>
      <c r="I124" s="529"/>
      <c r="J124" s="529"/>
      <c r="K124" s="530"/>
      <c r="L124" s="531"/>
      <c r="M124" s="532"/>
      <c r="N124" s="2745"/>
      <c r="O124" s="2745"/>
      <c r="P124" s="2770"/>
      <c r="Q124" s="2731"/>
      <c r="R124" s="2717"/>
      <c r="S124" s="2717"/>
      <c r="T124" s="2717"/>
      <c r="U124" s="2717"/>
      <c r="V124" s="2717"/>
      <c r="W124" s="2717"/>
      <c r="X124" s="2717"/>
      <c r="Y124" s="2717"/>
      <c r="Z124" s="2717"/>
      <c r="AA124" s="2717"/>
      <c r="AB124" s="2717"/>
      <c r="AC124" s="2717"/>
    </row>
    <row r="125" spans="1:29" ht="15.75" thickBot="1">
      <c r="A125" s="480"/>
      <c r="B125" s="489"/>
      <c r="C125" s="490">
        <v>100</v>
      </c>
      <c r="D125" s="490">
        <f t="shared" ref="D125:M125" si="31">C125-$K42</f>
        <v>100</v>
      </c>
      <c r="E125" s="490">
        <f t="shared" si="31"/>
        <v>100</v>
      </c>
      <c r="F125" s="490">
        <f t="shared" si="31"/>
        <v>100</v>
      </c>
      <c r="G125" s="490">
        <f t="shared" si="31"/>
        <v>100</v>
      </c>
      <c r="H125" s="490">
        <f t="shared" si="31"/>
        <v>100</v>
      </c>
      <c r="I125" s="490">
        <f t="shared" si="31"/>
        <v>100</v>
      </c>
      <c r="J125" s="490">
        <f t="shared" si="31"/>
        <v>100</v>
      </c>
      <c r="K125" s="490">
        <f t="shared" si="31"/>
        <v>100</v>
      </c>
      <c r="L125" s="490">
        <f t="shared" si="31"/>
        <v>100</v>
      </c>
      <c r="M125" s="491">
        <f t="shared" si="31"/>
        <v>100</v>
      </c>
      <c r="N125" s="2746"/>
      <c r="O125" s="2746"/>
      <c r="P125" s="2770"/>
      <c r="Q125" s="2731"/>
      <c r="R125" s="2717"/>
      <c r="S125" s="2717"/>
      <c r="T125" s="2717"/>
      <c r="U125" s="2717"/>
      <c r="V125" s="2717"/>
      <c r="W125" s="2717"/>
      <c r="X125" s="2717"/>
      <c r="Y125" s="2717"/>
      <c r="Z125" s="2717"/>
      <c r="AA125" s="2717"/>
      <c r="AB125" s="2717"/>
      <c r="AC125" s="2717"/>
    </row>
    <row r="126" spans="1:29" ht="15" thickTop="1">
      <c r="A126" s="545"/>
      <c r="B126" s="484" t="str">
        <f>B43</f>
        <v>宗地规划限制</v>
      </c>
      <c r="C126" s="500"/>
      <c r="D126" s="500"/>
      <c r="E126" s="500"/>
      <c r="F126" s="500"/>
      <c r="G126" s="500"/>
      <c r="H126" s="529"/>
      <c r="I126" s="529"/>
      <c r="J126" s="529"/>
      <c r="K126" s="530"/>
      <c r="L126" s="531"/>
      <c r="M126" s="532"/>
      <c r="N126" s="2745"/>
      <c r="O126" s="2745"/>
      <c r="P126" s="2770"/>
      <c r="Q126" s="2731"/>
      <c r="R126" s="2717"/>
      <c r="S126" s="2717"/>
      <c r="T126" s="2717"/>
      <c r="U126" s="2717"/>
      <c r="V126" s="2717"/>
      <c r="W126" s="2717"/>
      <c r="X126" s="2717"/>
      <c r="Y126" s="2717"/>
      <c r="Z126" s="2717"/>
      <c r="AA126" s="2717"/>
      <c r="AB126" s="2717"/>
      <c r="AC126" s="2717"/>
    </row>
    <row r="127" spans="1:29" ht="15.75" thickBot="1">
      <c r="A127" s="480"/>
      <c r="B127" s="489"/>
      <c r="C127" s="506"/>
      <c r="D127" s="506"/>
      <c r="E127" s="506"/>
      <c r="F127" s="506"/>
      <c r="G127" s="482"/>
      <c r="H127" s="482"/>
      <c r="I127" s="482"/>
      <c r="J127" s="482"/>
      <c r="K127" s="482"/>
      <c r="L127" s="482"/>
      <c r="M127" s="483"/>
      <c r="N127" s="2746"/>
      <c r="O127" s="2746"/>
      <c r="P127" s="2770"/>
      <c r="Q127" s="2731"/>
      <c r="R127" s="2717"/>
      <c r="S127" s="2717"/>
      <c r="T127" s="2717"/>
      <c r="U127" s="2717"/>
      <c r="V127" s="2717"/>
      <c r="W127" s="2717"/>
      <c r="X127" s="2717"/>
      <c r="Y127" s="2717"/>
      <c r="Z127" s="2717"/>
      <c r="AA127" s="2717"/>
      <c r="AB127" s="2717"/>
      <c r="AC127" s="2717"/>
    </row>
    <row r="128" spans="1:29" ht="15" thickTop="1">
      <c r="A128" s="545"/>
      <c r="B128" s="484">
        <f>B44</f>
        <v>111</v>
      </c>
      <c r="C128" s="469"/>
      <c r="D128" s="469"/>
      <c r="E128" s="469"/>
      <c r="F128" s="469"/>
      <c r="G128" s="529"/>
      <c r="H128" s="529"/>
      <c r="I128" s="529"/>
      <c r="J128" s="529"/>
      <c r="K128" s="530"/>
      <c r="L128" s="531"/>
      <c r="M128" s="532"/>
      <c r="N128" s="2745"/>
      <c r="O128" s="2745"/>
      <c r="P128" s="2770"/>
      <c r="Q128" s="2731"/>
      <c r="R128" s="2717"/>
      <c r="S128" s="2717"/>
      <c r="T128" s="2717"/>
      <c r="U128" s="2717"/>
      <c r="V128" s="2717"/>
      <c r="W128" s="2717"/>
      <c r="X128" s="2717"/>
      <c r="Y128" s="2717"/>
      <c r="Z128" s="2717"/>
      <c r="AA128" s="2717"/>
      <c r="AB128" s="2717"/>
      <c r="AC128" s="2717"/>
    </row>
    <row r="129" spans="1:29" ht="15.75" thickBot="1">
      <c r="A129" s="480"/>
      <c r="B129" s="489"/>
      <c r="C129" s="516"/>
      <c r="D129" s="516"/>
      <c r="E129" s="516"/>
      <c r="F129" s="516"/>
      <c r="G129" s="482"/>
      <c r="H129" s="482"/>
      <c r="I129" s="482"/>
      <c r="J129" s="482"/>
      <c r="K129" s="482"/>
      <c r="L129" s="482"/>
      <c r="M129" s="483"/>
      <c r="N129" s="2746"/>
      <c r="O129" s="2746"/>
      <c r="P129" s="2770"/>
      <c r="Q129" s="2731"/>
      <c r="R129" s="2717"/>
      <c r="S129" s="2717"/>
      <c r="T129" s="2717"/>
      <c r="U129" s="2717"/>
      <c r="V129" s="2717"/>
      <c r="W129" s="2717"/>
      <c r="X129" s="2717"/>
      <c r="Y129" s="2717"/>
      <c r="Z129" s="2717"/>
      <c r="AA129" s="2717"/>
      <c r="AB129" s="2717"/>
      <c r="AC129" s="2717"/>
    </row>
    <row r="130" spans="1:29" s="419" customFormat="1" ht="15" thickTop="1">
      <c r="A130" s="539"/>
      <c r="B130" s="484">
        <f>B45</f>
        <v>111</v>
      </c>
      <c r="C130" s="469"/>
      <c r="D130" s="469"/>
      <c r="E130" s="469"/>
      <c r="F130" s="469"/>
      <c r="G130" s="501"/>
      <c r="H130" s="501"/>
      <c r="I130" s="501"/>
      <c r="J130" s="501"/>
      <c r="K130" s="501"/>
      <c r="L130" s="502"/>
      <c r="M130" s="503"/>
      <c r="N130" s="2747"/>
      <c r="O130" s="2747"/>
      <c r="P130" s="2771"/>
      <c r="Q130" s="2738"/>
      <c r="R130" s="2739"/>
      <c r="S130" s="2739"/>
      <c r="T130" s="2739"/>
      <c r="U130" s="2739"/>
      <c r="V130" s="2739"/>
      <c r="W130" s="2739"/>
      <c r="X130" s="2739"/>
      <c r="Y130" s="2739"/>
      <c r="Z130" s="2739"/>
      <c r="AA130" s="2739"/>
      <c r="AB130" s="2739"/>
      <c r="AC130" s="2739"/>
    </row>
    <row r="131" spans="1:29" s="419" customFormat="1" ht="15.75" thickBot="1">
      <c r="A131" s="514"/>
      <c r="B131" s="645"/>
      <c r="C131" s="516"/>
      <c r="D131" s="516"/>
      <c r="E131" s="516"/>
      <c r="F131" s="516"/>
      <c r="G131" s="537"/>
      <c r="H131" s="537"/>
      <c r="I131" s="537"/>
      <c r="J131" s="537"/>
      <c r="K131" s="537"/>
      <c r="L131" s="537"/>
      <c r="M131" s="538"/>
      <c r="N131" s="2747"/>
      <c r="O131" s="2747"/>
      <c r="P131" s="2771"/>
      <c r="Q131" s="2738"/>
      <c r="R131" s="2739"/>
      <c r="S131" s="2739"/>
      <c r="T131" s="2739"/>
      <c r="U131" s="2739"/>
      <c r="V131" s="2739"/>
      <c r="W131" s="2739"/>
      <c r="X131" s="2739"/>
      <c r="Y131" s="2739"/>
      <c r="Z131" s="2739"/>
      <c r="AA131" s="2739"/>
      <c r="AB131" s="2739"/>
      <c r="AC131" s="2739"/>
    </row>
  </sheetData>
  <sheetProtection formatCells="0" formatColumns="0" formatRows="0"/>
  <mergeCells count="41">
    <mergeCell ref="V47:W47"/>
    <mergeCell ref="P48:Q48"/>
    <mergeCell ref="R48:W48"/>
    <mergeCell ref="G55:H56"/>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 type="noConversion"/>
  <conditionalFormatting sqref="F51 H51 J51">
    <cfRule type="containsText" dxfId="161" priority="18" stopIfTrue="1" operator="containsText" text="超过">
      <formula>NOT(ISERROR(SEARCH("超过",F51)))</formula>
    </cfRule>
  </conditionalFormatting>
  <conditionalFormatting sqref="J53">
    <cfRule type="containsText" dxfId="160" priority="17" stopIfTrue="1" operator="containsText" text="超过">
      <formula>NOT(ISERROR(SEARCH("超过",J53)))</formula>
    </cfRule>
  </conditionalFormatting>
  <conditionalFormatting sqref="H53">
    <cfRule type="containsText" dxfId="159" priority="16" stopIfTrue="1" operator="containsText" text="超过">
      <formula>NOT(ISERROR(SEARCH("超过",H53)))</formula>
    </cfRule>
  </conditionalFormatting>
  <conditionalFormatting sqref="F53">
    <cfRule type="containsText" dxfId="158" priority="15" stopIfTrue="1" operator="containsText" text="超过">
      <formula>NOT(ISERROR(SEARCH("超过",F53)))</formula>
    </cfRule>
  </conditionalFormatting>
  <conditionalFormatting sqref="F52 H52 J52">
    <cfRule type="containsText" dxfId="157" priority="14" stopIfTrue="1" operator="containsText" text="超过">
      <formula>NOT(ISERROR(SEARCH("超过",F52)))</formula>
    </cfRule>
  </conditionalFormatting>
  <conditionalFormatting sqref="E51">
    <cfRule type="expression" dxfId="156" priority="13" stopIfTrue="1">
      <formula>$F$51="超过30%"</formula>
    </cfRule>
  </conditionalFormatting>
  <conditionalFormatting sqref="G53">
    <cfRule type="expression" dxfId="155" priority="12" stopIfTrue="1">
      <formula>$H$53="超过30%"</formula>
    </cfRule>
  </conditionalFormatting>
  <conditionalFormatting sqref="E52">
    <cfRule type="expression" dxfId="154" priority="11" stopIfTrue="1">
      <formula>$F$52="超过20%"</formula>
    </cfRule>
  </conditionalFormatting>
  <conditionalFormatting sqref="E53">
    <cfRule type="expression" dxfId="153" priority="10" stopIfTrue="1">
      <formula>$F$53="超过30%"</formula>
    </cfRule>
  </conditionalFormatting>
  <conditionalFormatting sqref="G51">
    <cfRule type="expression" dxfId="152" priority="9" stopIfTrue="1">
      <formula>$H$53+$H$51="超过30%"</formula>
    </cfRule>
  </conditionalFormatting>
  <conditionalFormatting sqref="G52">
    <cfRule type="expression" dxfId="151" priority="8" stopIfTrue="1">
      <formula>$H$52="超过20%"</formula>
    </cfRule>
  </conditionalFormatting>
  <conditionalFormatting sqref="I51">
    <cfRule type="expression" dxfId="150" priority="7" stopIfTrue="1">
      <formula>$J$51="超过30%"</formula>
    </cfRule>
  </conditionalFormatting>
  <conditionalFormatting sqref="I52">
    <cfRule type="expression" dxfId="149" priority="6" stopIfTrue="1">
      <formula>$J$52="超过20%"</formula>
    </cfRule>
  </conditionalFormatting>
  <conditionalFormatting sqref="I53">
    <cfRule type="expression" dxfId="148" priority="5" stopIfTrue="1">
      <formula>$J$53="超过30%"</formula>
    </cfRule>
  </conditionalFormatting>
  <conditionalFormatting sqref="F47">
    <cfRule type="expression" dxfId="147" priority="4">
      <formula>$D$47="简单平均"</formula>
    </cfRule>
  </conditionalFormatting>
  <conditionalFormatting sqref="H47">
    <cfRule type="expression" dxfId="146" priority="3">
      <formula>$D$47="简单平均"</formula>
    </cfRule>
  </conditionalFormatting>
  <conditionalFormatting sqref="J47">
    <cfRule type="expression" dxfId="145" priority="2">
      <formula>$D$47="简单平均"</formula>
    </cfRule>
  </conditionalFormatting>
  <conditionalFormatting sqref="F7:F45 H7:H45 J7:J45">
    <cfRule type="cellIs" dxfId="144"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G39 E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G42 E42 I42">
      <formula1>套综工程地质条件</formula1>
    </dataValidation>
    <dataValidation type="list" allowBlank="1" showInputMessage="1" showErrorMessage="1" sqref="C31 E31 G31 I31">
      <formula1>临街状况</formula1>
    </dataValidation>
    <dataValidation type="list" allowBlank="1" showInputMessage="1" showErrorMessage="1" sqref="C24 E24 G24 I24 C26 E26 G26 I26 I28 G28 E28 C28">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8" orientation="portrait"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8"/>
  <sheetViews>
    <sheetView zoomScale="90" zoomScaleNormal="90" workbookViewId="0">
      <selection activeCell="A29" sqref="A29:A35"/>
    </sheetView>
  </sheetViews>
  <sheetFormatPr defaultColWidth="8.875" defaultRowHeight="14.25"/>
  <cols>
    <col min="1" max="1" width="13.875" customWidth="1"/>
    <col min="11" max="17" width="0" hidden="1" customWidth="1"/>
    <col min="25" max="30" width="0" hidden="1" customWidth="1"/>
  </cols>
  <sheetData>
    <row r="1" spans="1:30">
      <c r="A1" s="3213">
        <f>基准地价修正!G23</f>
        <v>45114</v>
      </c>
      <c r="B1" s="3202" t="s">
        <v>2842</v>
      </c>
      <c r="C1" s="3203"/>
      <c r="D1" s="3203"/>
      <c r="E1" s="3203"/>
      <c r="F1" s="3203"/>
      <c r="G1" s="3203"/>
      <c r="H1" s="3203"/>
      <c r="I1" s="3203"/>
      <c r="J1" s="3157"/>
      <c r="K1" s="3203" t="s">
        <v>454</v>
      </c>
      <c r="L1" s="3203"/>
      <c r="M1" s="3203"/>
      <c r="N1" s="3203"/>
      <c r="O1" s="3203"/>
      <c r="P1" s="3203"/>
      <c r="Q1" s="3157"/>
      <c r="R1" s="3762" t="s">
        <v>456</v>
      </c>
      <c r="S1" s="3763"/>
      <c r="T1" s="3763"/>
      <c r="U1" s="3763"/>
      <c r="V1" s="3763"/>
      <c r="W1" s="3763"/>
      <c r="X1" s="3157"/>
      <c r="Y1" s="3762" t="s">
        <v>457</v>
      </c>
      <c r="Z1" s="3763"/>
      <c r="AA1" s="3763"/>
      <c r="AB1" s="3763"/>
      <c r="AC1" s="3763"/>
      <c r="AD1" s="3763"/>
    </row>
    <row r="2" spans="1:30" s="3135" customFormat="1" thickBot="1">
      <c r="B2" s="3136"/>
      <c r="C2" s="3137"/>
      <c r="D2" s="3138" t="s">
        <v>2810</v>
      </c>
      <c r="E2" s="3139" t="s">
        <v>2811</v>
      </c>
      <c r="F2" s="3139" t="s">
        <v>2812</v>
      </c>
      <c r="G2" s="3139" t="s">
        <v>2813</v>
      </c>
      <c r="H2" s="3139" t="s">
        <v>2814</v>
      </c>
      <c r="I2" s="3139" t="s">
        <v>2631</v>
      </c>
      <c r="J2" s="3140"/>
      <c r="K2" s="3138" t="s">
        <v>2810</v>
      </c>
      <c r="L2" s="3139" t="s">
        <v>2811</v>
      </c>
      <c r="M2" s="3139" t="s">
        <v>2812</v>
      </c>
      <c r="N2" s="3139" t="s">
        <v>2813</v>
      </c>
      <c r="O2" s="3139" t="s">
        <v>2815</v>
      </c>
      <c r="P2" s="3139" t="s">
        <v>2631</v>
      </c>
      <c r="Q2" s="3140"/>
      <c r="R2" s="3138" t="s">
        <v>2810</v>
      </c>
      <c r="S2" s="3139" t="s">
        <v>2811</v>
      </c>
      <c r="T2" s="3139" t="s">
        <v>2812</v>
      </c>
      <c r="U2" s="3139" t="s">
        <v>2816</v>
      </c>
      <c r="V2" s="3139" t="s">
        <v>2817</v>
      </c>
      <c r="W2" s="3139" t="s">
        <v>2631</v>
      </c>
      <c r="X2" s="3140"/>
      <c r="Y2" s="3138" t="s">
        <v>2810</v>
      </c>
      <c r="Z2" s="3139" t="s">
        <v>2811</v>
      </c>
      <c r="AA2" s="3139" t="s">
        <v>2812</v>
      </c>
      <c r="AB2" s="3139" t="s">
        <v>2818</v>
      </c>
      <c r="AC2" s="3139" t="s">
        <v>2817</v>
      </c>
      <c r="AD2" s="3139" t="s">
        <v>2631</v>
      </c>
    </row>
    <row r="3" spans="1:30" s="3153" customFormat="1" ht="12.75">
      <c r="A3" s="3141" t="s">
        <v>2819</v>
      </c>
      <c r="B3" s="3142"/>
      <c r="C3" s="3143"/>
      <c r="D3" s="3143">
        <f>ROUND(AVERAGEIF(D4:D16,"&lt;&gt;0"),2)</f>
        <v>0.81</v>
      </c>
      <c r="E3" s="3143">
        <f t="shared" ref="E3:H3" si="0">ROUND(AVERAGEIF(E4:E16,"&lt;&gt;0"),2)</f>
        <v>0.33</v>
      </c>
      <c r="F3" s="3143">
        <f t="shared" si="0"/>
        <v>0.15</v>
      </c>
      <c r="G3" s="3143">
        <f t="shared" si="0"/>
        <v>0.89</v>
      </c>
      <c r="H3" s="3143">
        <f t="shared" si="0"/>
        <v>0.66</v>
      </c>
      <c r="I3" s="3143">
        <f>F3</f>
        <v>0.15</v>
      </c>
      <c r="J3" s="3144"/>
      <c r="K3" s="3145">
        <f>ROUND(AVERAGEIF(K4:K16,"&lt;&gt;0"),4)</f>
        <v>8.0999999999999996E-3</v>
      </c>
      <c r="L3" s="3146">
        <f t="shared" ref="L3:O3" si="1">ROUND(AVERAGEIF(L4:L16,"&lt;&gt;0"),4)</f>
        <v>3.3E-3</v>
      </c>
      <c r="M3" s="3146">
        <f t="shared" si="1"/>
        <v>1.5E-3</v>
      </c>
      <c r="N3" s="3146">
        <f t="shared" si="1"/>
        <v>8.8999999999999999E-3</v>
      </c>
      <c r="O3" s="3146">
        <f t="shared" si="1"/>
        <v>6.6E-3</v>
      </c>
      <c r="P3" s="3146">
        <f>M3</f>
        <v>1.5E-3</v>
      </c>
      <c r="Q3" s="3144"/>
      <c r="R3" s="3147">
        <f>ROUND(SUMPRODUCT(PRODUCT(1+K4:K16)),4)</f>
        <v>1.0668</v>
      </c>
      <c r="S3" s="3148">
        <f t="shared" ref="S3:V3" si="2">ROUND(SUMPRODUCT(PRODUCT(1+L4:L16)),4)</f>
        <v>1.0266999999999999</v>
      </c>
      <c r="T3" s="3148">
        <f t="shared" si="2"/>
        <v>1.0119</v>
      </c>
      <c r="U3" s="3148">
        <f t="shared" si="2"/>
        <v>1.0734999999999999</v>
      </c>
      <c r="V3" s="3148">
        <f t="shared" si="2"/>
        <v>1.054</v>
      </c>
      <c r="W3" s="3147">
        <f>T3</f>
        <v>1.0119</v>
      </c>
      <c r="X3" s="3144"/>
      <c r="Y3" s="3149">
        <f>ROUND(AVERAGEIF(Y5:Y16,"&lt;&gt;0"),4)</f>
        <v>8.6999999999999994E-3</v>
      </c>
      <c r="Z3" s="3150">
        <f t="shared" ref="Z3:AC3" si="3">ROUND(AVERAGEIF(Z5:Z16,"&lt;&gt;0"),4)</f>
        <v>3.5000000000000001E-3</v>
      </c>
      <c r="AA3" s="3151">
        <f t="shared" si="3"/>
        <v>8.9999999999999998E-4</v>
      </c>
      <c r="AB3" s="3149">
        <f t="shared" si="3"/>
        <v>9.4999999999999998E-3</v>
      </c>
      <c r="AC3" s="3152">
        <f t="shared" si="3"/>
        <v>6.1000000000000004E-3</v>
      </c>
      <c r="AD3" s="3149">
        <f>AA3</f>
        <v>8.9999999999999998E-4</v>
      </c>
    </row>
    <row r="4" spans="1:30" s="3154" customFormat="1" ht="12.75">
      <c r="B4" s="3155"/>
      <c r="C4" s="3156"/>
      <c r="D4" s="3156"/>
      <c r="E4" s="3156"/>
      <c r="F4" s="3156"/>
      <c r="G4" s="3156"/>
      <c r="H4" s="3156"/>
      <c r="I4" s="3156"/>
      <c r="J4" s="3157"/>
      <c r="K4" s="3158"/>
      <c r="L4" s="3159"/>
      <c r="M4" s="3159"/>
      <c r="N4" s="3159"/>
      <c r="O4" s="3159"/>
      <c r="P4" s="3159"/>
      <c r="Q4" s="3157"/>
      <c r="R4" s="3160"/>
      <c r="S4" s="3161"/>
      <c r="T4" s="3162"/>
      <c r="U4" s="3160"/>
      <c r="V4" s="3163"/>
      <c r="W4" s="3160"/>
      <c r="X4" s="3157"/>
      <c r="Y4" s="3164"/>
      <c r="Z4" s="3165"/>
      <c r="AA4" s="3166"/>
      <c r="AB4" s="3164"/>
      <c r="AC4" s="3167"/>
      <c r="AD4" s="3164"/>
    </row>
    <row r="5" spans="1:30" s="3177" customFormat="1" ht="12.75">
      <c r="A5" s="3168" t="s">
        <v>3374</v>
      </c>
      <c r="B5" s="3169">
        <v>2023</v>
      </c>
      <c r="C5" s="3170">
        <v>4</v>
      </c>
      <c r="D5" s="3171">
        <v>0</v>
      </c>
      <c r="E5" s="3171">
        <v>0</v>
      </c>
      <c r="F5" s="3171">
        <v>0</v>
      </c>
      <c r="G5" s="3171">
        <v>0</v>
      </c>
      <c r="H5" s="3171">
        <v>0</v>
      </c>
      <c r="I5" s="3172">
        <f t="shared" ref="I5:I16" si="4">F5</f>
        <v>0</v>
      </c>
      <c r="J5" s="3173"/>
      <c r="K5" s="3174">
        <f t="shared" ref="K5:O16" si="5">D5/100</f>
        <v>0</v>
      </c>
      <c r="L5" s="3164">
        <f t="shared" si="5"/>
        <v>0</v>
      </c>
      <c r="M5" s="3164">
        <f t="shared" si="5"/>
        <v>0</v>
      </c>
      <c r="N5" s="3164">
        <f t="shared" si="5"/>
        <v>0</v>
      </c>
      <c r="O5" s="3164">
        <f t="shared" si="5"/>
        <v>0</v>
      </c>
      <c r="P5" s="3164">
        <f>M5</f>
        <v>0</v>
      </c>
      <c r="Q5" s="3173"/>
      <c r="R5" s="3175">
        <f>ROUND(IF(项目基本情况!$B$8="出让",SUMPRODUCT(PRODUCT(1+K5:$K$16)),SUMPRODUCT(PRODUCT(1+K5:$K$15))),4)</f>
        <v>1.0565</v>
      </c>
      <c r="S5" s="3175">
        <f>ROUND(IF(项目基本情况!$B$8="出让",SUMPRODUCT(PRODUCT(1+L5:$L$16)),SUMPRODUCT(PRODUCT(1+L5:$L$15))),4)</f>
        <v>1.0250999999999999</v>
      </c>
      <c r="T5" s="3175">
        <f>ROUND(IF(项目基本情况!$B$8="出让",SUMPRODUCT(PRODUCT(1+M5:$M$16)),SUMPRODUCT(PRODUCT(1+M5:$M$15))),4)</f>
        <v>1.0145</v>
      </c>
      <c r="U5" s="3175">
        <f>ROUND(IF(项目基本情况!$B$8="出让",SUMPRODUCT(PRODUCT(1+N5:$N$16)),SUMPRODUCT(PRODUCT(1+N5:$N$15))),4)</f>
        <v>1.0618000000000001</v>
      </c>
      <c r="V5" s="3175">
        <f>ROUND(IF(项目基本情况!$B$8="出让",SUMPRODUCT(PRODUCT(1+O5:$O$16)),SUMPRODUCT(PRODUCT(1+O5:$O$15))),4)</f>
        <v>1.0502</v>
      </c>
      <c r="W5" s="3175">
        <f>T5</f>
        <v>1.0145</v>
      </c>
      <c r="X5" s="3173"/>
      <c r="Y5" s="3176">
        <f>IF(D5=0,0,ROUND(AVERAGE(D5:D16)/100,4))</f>
        <v>0</v>
      </c>
      <c r="Z5" s="3176">
        <f t="shared" ref="Z5:AC5" si="6">IF(E5=0,0,ROUND(AVERAGE(E5:E16)/100,4))</f>
        <v>0</v>
      </c>
      <c r="AA5" s="3176">
        <f t="shared" si="6"/>
        <v>0</v>
      </c>
      <c r="AB5" s="3176">
        <f t="shared" si="6"/>
        <v>0</v>
      </c>
      <c r="AC5" s="3176">
        <f t="shared" si="6"/>
        <v>0</v>
      </c>
      <c r="AD5" s="3176">
        <f t="shared" ref="AD5:AD15" si="7">AA5</f>
        <v>0</v>
      </c>
    </row>
    <row r="6" spans="1:30" s="3177" customFormat="1" ht="12.75">
      <c r="A6" s="3168" t="s">
        <v>3375</v>
      </c>
      <c r="B6" s="3169">
        <v>2023</v>
      </c>
      <c r="C6" s="3170">
        <v>3</v>
      </c>
      <c r="D6" s="3171">
        <v>0</v>
      </c>
      <c r="E6" s="3171">
        <v>0</v>
      </c>
      <c r="F6" s="3171">
        <v>0</v>
      </c>
      <c r="G6" s="3171">
        <v>0</v>
      </c>
      <c r="H6" s="3171">
        <v>0</v>
      </c>
      <c r="I6" s="3172">
        <f t="shared" si="4"/>
        <v>0</v>
      </c>
      <c r="J6" s="3173"/>
      <c r="K6" s="3174">
        <f t="shared" ref="K6:K8" si="8">D6/100</f>
        <v>0</v>
      </c>
      <c r="L6" s="3164">
        <f t="shared" ref="L6:L8" si="9">E6/100</f>
        <v>0</v>
      </c>
      <c r="M6" s="3164">
        <f t="shared" ref="M6:M8" si="10">F6/100</f>
        <v>0</v>
      </c>
      <c r="N6" s="3164">
        <f t="shared" ref="N6:N8" si="11">G6/100</f>
        <v>0</v>
      </c>
      <c r="O6" s="3164">
        <f t="shared" ref="O6:O8" si="12">H6/100</f>
        <v>0</v>
      </c>
      <c r="P6" s="3164">
        <f t="shared" ref="P6:P8" si="13">M6</f>
        <v>0</v>
      </c>
      <c r="Q6" s="3173"/>
      <c r="R6" s="3175">
        <f>ROUND(IF(项目基本情况!$B$8="出让",SUMPRODUCT(PRODUCT(1+K6:$K$16)),SUMPRODUCT(PRODUCT(1+K6:$K$15))),4)</f>
        <v>1.0565</v>
      </c>
      <c r="S6" s="3175">
        <f>ROUND(IF(项目基本情况!$B$8="出让",SUMPRODUCT(PRODUCT(1+L6:$L$16)),SUMPRODUCT(PRODUCT(1+L6:$L$15))),4)</f>
        <v>1.0250999999999999</v>
      </c>
      <c r="T6" s="3175">
        <f>ROUND(IF(项目基本情况!$B$8="出让",SUMPRODUCT(PRODUCT(1+M6:$M$16)),SUMPRODUCT(PRODUCT(1+M6:$M$15))),4)</f>
        <v>1.0145</v>
      </c>
      <c r="U6" s="3175">
        <f>ROUND(IF(项目基本情况!$B$8="出让",SUMPRODUCT(PRODUCT(1+N6:$N$16)),SUMPRODUCT(PRODUCT(1+N6:$N$15))),4)</f>
        <v>1.0618000000000001</v>
      </c>
      <c r="V6" s="3175">
        <f>ROUND(IF(项目基本情况!$B$8="出让",SUMPRODUCT(PRODUCT(1+O6:$O$16)),SUMPRODUCT(PRODUCT(1+O6:$O$15))),4)</f>
        <v>1.0502</v>
      </c>
      <c r="W6" s="3175">
        <f t="shared" ref="W6:W8" si="14">T6</f>
        <v>1.0145</v>
      </c>
      <c r="X6" s="3173"/>
      <c r="Y6" s="3176"/>
      <c r="Z6" s="3176"/>
      <c r="AA6" s="3176"/>
      <c r="AB6" s="3176"/>
      <c r="AC6" s="3176"/>
      <c r="AD6" s="3176"/>
    </row>
    <row r="7" spans="1:30" s="3177" customFormat="1" ht="12.75">
      <c r="A7" s="3168" t="s">
        <v>3373</v>
      </c>
      <c r="B7" s="3169">
        <v>2023</v>
      </c>
      <c r="C7" s="3170">
        <v>2</v>
      </c>
      <c r="D7" s="3171">
        <v>0</v>
      </c>
      <c r="E7" s="3171">
        <v>0</v>
      </c>
      <c r="F7" s="3171">
        <v>0</v>
      </c>
      <c r="G7" s="3171">
        <v>0</v>
      </c>
      <c r="H7" s="3171">
        <v>0</v>
      </c>
      <c r="I7" s="3172">
        <f t="shared" si="4"/>
        <v>0</v>
      </c>
      <c r="J7" s="3173"/>
      <c r="K7" s="3174">
        <f t="shared" si="8"/>
        <v>0</v>
      </c>
      <c r="L7" s="3164">
        <f t="shared" si="9"/>
        <v>0</v>
      </c>
      <c r="M7" s="3164">
        <f t="shared" si="10"/>
        <v>0</v>
      </c>
      <c r="N7" s="3164">
        <f t="shared" si="11"/>
        <v>0</v>
      </c>
      <c r="O7" s="3164">
        <f t="shared" si="12"/>
        <v>0</v>
      </c>
      <c r="P7" s="3164">
        <f t="shared" si="13"/>
        <v>0</v>
      </c>
      <c r="Q7" s="3173"/>
      <c r="R7" s="3175">
        <f>ROUND(IF(项目基本情况!$B$8="出让",SUMPRODUCT(PRODUCT(1+K7:$K$16)),SUMPRODUCT(PRODUCT(1+K7:$K$15))),4)</f>
        <v>1.0565</v>
      </c>
      <c r="S7" s="3175">
        <f>ROUND(IF(项目基本情况!$B$8="出让",SUMPRODUCT(PRODUCT(1+L7:$L$16)),SUMPRODUCT(PRODUCT(1+L7:$L$15))),4)</f>
        <v>1.0250999999999999</v>
      </c>
      <c r="T7" s="3175">
        <f>ROUND(IF(项目基本情况!$B$8="出让",SUMPRODUCT(PRODUCT(1+M7:$M$16)),SUMPRODUCT(PRODUCT(1+M7:$M$15))),4)</f>
        <v>1.0145</v>
      </c>
      <c r="U7" s="3175">
        <f>ROUND(IF(项目基本情况!$B$8="出让",SUMPRODUCT(PRODUCT(1+N7:$N$16)),SUMPRODUCT(PRODUCT(1+N7:$N$15))),4)</f>
        <v>1.0618000000000001</v>
      </c>
      <c r="V7" s="3175">
        <f>ROUND(IF(项目基本情况!$B$8="出让",SUMPRODUCT(PRODUCT(1+O7:$O$16)),SUMPRODUCT(PRODUCT(1+O7:$O$15))),4)</f>
        <v>1.0502</v>
      </c>
      <c r="W7" s="3175">
        <f t="shared" si="14"/>
        <v>1.0145</v>
      </c>
      <c r="X7" s="3173"/>
      <c r="Y7" s="3176"/>
      <c r="Z7" s="3176"/>
      <c r="AA7" s="3176"/>
      <c r="AB7" s="3176"/>
      <c r="AC7" s="3176"/>
      <c r="AD7" s="3176"/>
    </row>
    <row r="8" spans="1:30" s="3177" customFormat="1" ht="12.75">
      <c r="A8" s="3168" t="s">
        <v>2820</v>
      </c>
      <c r="B8" s="3169">
        <v>2023</v>
      </c>
      <c r="C8" s="3170">
        <v>1</v>
      </c>
      <c r="D8" s="3171">
        <v>0</v>
      </c>
      <c r="E8" s="3171">
        <v>0</v>
      </c>
      <c r="F8" s="3171">
        <v>0</v>
      </c>
      <c r="G8" s="3171">
        <v>0</v>
      </c>
      <c r="H8" s="3171">
        <v>0</v>
      </c>
      <c r="I8" s="3172">
        <f t="shared" si="4"/>
        <v>0</v>
      </c>
      <c r="J8" s="3173"/>
      <c r="K8" s="3174">
        <f t="shared" si="8"/>
        <v>0</v>
      </c>
      <c r="L8" s="3164">
        <f t="shared" si="9"/>
        <v>0</v>
      </c>
      <c r="M8" s="3164">
        <f t="shared" si="10"/>
        <v>0</v>
      </c>
      <c r="N8" s="3164">
        <f t="shared" si="11"/>
        <v>0</v>
      </c>
      <c r="O8" s="3164">
        <f t="shared" si="12"/>
        <v>0</v>
      </c>
      <c r="P8" s="3164">
        <f t="shared" si="13"/>
        <v>0</v>
      </c>
      <c r="Q8" s="3173"/>
      <c r="R8" s="3175">
        <f>ROUND(IF(项目基本情况!$B$8="出让",SUMPRODUCT(PRODUCT(1+K8:$K$16)),SUMPRODUCT(PRODUCT(1+K8:$K$15))),4)</f>
        <v>1.0565</v>
      </c>
      <c r="S8" s="3175">
        <f>ROUND(IF(项目基本情况!$B$8="出让",SUMPRODUCT(PRODUCT(1+L8:$L$16)),SUMPRODUCT(PRODUCT(1+L8:$L$15))),4)</f>
        <v>1.0250999999999999</v>
      </c>
      <c r="T8" s="3175">
        <f>ROUND(IF(项目基本情况!$B$8="出让",SUMPRODUCT(PRODUCT(1+M8:$M$16)),SUMPRODUCT(PRODUCT(1+M8:$M$15))),4)</f>
        <v>1.0145</v>
      </c>
      <c r="U8" s="3175">
        <f>ROUND(IF(项目基本情况!$B$8="出让",SUMPRODUCT(PRODUCT(1+N8:$N$16)),SUMPRODUCT(PRODUCT(1+N8:$N$15))),4)</f>
        <v>1.0618000000000001</v>
      </c>
      <c r="V8" s="3175">
        <f>ROUND(IF(项目基本情况!$B$8="出让",SUMPRODUCT(PRODUCT(1+O8:$O$16)),SUMPRODUCT(PRODUCT(1+O8:$O$15))),4)</f>
        <v>1.0502</v>
      </c>
      <c r="W8" s="3175">
        <f t="shared" si="14"/>
        <v>1.0145</v>
      </c>
      <c r="X8" s="3173"/>
      <c r="Y8" s="3176"/>
      <c r="Z8" s="3176"/>
      <c r="AA8" s="3176"/>
      <c r="AB8" s="3176"/>
      <c r="AC8" s="3176"/>
      <c r="AD8" s="3176"/>
    </row>
    <row r="9" spans="1:30" s="3187" customFormat="1" ht="12.75">
      <c r="A9" s="3178" t="s">
        <v>2821</v>
      </c>
      <c r="B9" s="3179">
        <v>2022</v>
      </c>
      <c r="C9" s="3180">
        <v>4</v>
      </c>
      <c r="D9" s="3181">
        <v>0.62</v>
      </c>
      <c r="E9" s="3181">
        <v>0.2</v>
      </c>
      <c r="F9" s="3181">
        <v>0.11</v>
      </c>
      <c r="G9" s="3181">
        <v>0.69</v>
      </c>
      <c r="H9" s="3182">
        <v>0.53</v>
      </c>
      <c r="I9" s="3183">
        <f t="shared" si="4"/>
        <v>0.11</v>
      </c>
      <c r="J9" s="3184"/>
      <c r="K9" s="3185">
        <f t="shared" si="5"/>
        <v>6.1999999999999998E-3</v>
      </c>
      <c r="L9" s="3186">
        <f t="shared" si="5"/>
        <v>2E-3</v>
      </c>
      <c r="M9" s="3186">
        <f t="shared" si="5"/>
        <v>1.1000000000000001E-3</v>
      </c>
      <c r="N9" s="3186">
        <f t="shared" si="5"/>
        <v>6.8999999999999999E-3</v>
      </c>
      <c r="O9" s="3186">
        <f t="shared" si="5"/>
        <v>5.3E-3</v>
      </c>
      <c r="P9" s="3186">
        <f t="shared" ref="P9:P16" si="15">M9</f>
        <v>1.1000000000000001E-3</v>
      </c>
      <c r="Q9" s="3184"/>
      <c r="R9" s="3184" t="e">
        <f>ROUND(IF([3]项目基本情况!B8="出让",SUMPRODUCT(PRODUCT(1+K9:K16)),SUMPRODUCT(PRODUCT(1+K9:K15))),4)</f>
        <v>#REF!</v>
      </c>
      <c r="S9" s="3184" t="e">
        <f>ROUND(IF([3]项目基本情况!B8="出让",SUMPRODUCT(PRODUCT(1+L9:L16)),SUMPRODUCT(PRODUCT(1+L9:L15))),4)</f>
        <v>#REF!</v>
      </c>
      <c r="T9" s="3184" t="e">
        <f>ROUND(IF([3]项目基本情况!B8="出让",SUMPRODUCT(PRODUCT(1+M9:M16)),SUMPRODUCT(PRODUCT(1+M9:M15))),4)</f>
        <v>#REF!</v>
      </c>
      <c r="U9" s="3184" t="e">
        <f>ROUND(IF([3]项目基本情况!B8="出让",SUMPRODUCT(PRODUCT(1+N9:N16)),SUMPRODUCT(PRODUCT(1+N9:N15))),4)</f>
        <v>#REF!</v>
      </c>
      <c r="V9" s="3184" t="e">
        <f>ROUND(IF([3]项目基本情况!B8="出让",SUMPRODUCT(PRODUCT(1+O9:O16)),SUMPRODUCT(PRODUCT(1+O9:O15))),4)</f>
        <v>#REF!</v>
      </c>
      <c r="W9" s="3184" t="e">
        <f t="shared" ref="W9:W16" si="16">T9</f>
        <v>#REF!</v>
      </c>
      <c r="X9" s="3184"/>
      <c r="Y9" s="3186">
        <f>IF(D9=0,0,ROUND(AVERAGE(D9:D17)/100,4))</f>
        <v>8.0999999999999996E-3</v>
      </c>
      <c r="Z9" s="3186">
        <f t="shared" ref="Z9:AC9" si="17">IF(E9=0,0,ROUND(AVERAGE(E9:E16)/100,4))</f>
        <v>3.3E-3</v>
      </c>
      <c r="AA9" s="3186">
        <f t="shared" si="17"/>
        <v>1.5E-3</v>
      </c>
      <c r="AB9" s="3186">
        <f t="shared" si="17"/>
        <v>8.8999999999999999E-3</v>
      </c>
      <c r="AC9" s="3186">
        <f t="shared" si="17"/>
        <v>6.6E-3</v>
      </c>
      <c r="AD9" s="3186">
        <f t="shared" si="7"/>
        <v>1.5E-3</v>
      </c>
    </row>
    <row r="10" spans="1:30" s="3177" customFormat="1" ht="12.75">
      <c r="A10" s="3168" t="s">
        <v>3368</v>
      </c>
      <c r="B10" s="3169">
        <v>2022</v>
      </c>
      <c r="C10" s="3170">
        <v>3</v>
      </c>
      <c r="D10" s="3171">
        <v>0.66</v>
      </c>
      <c r="E10" s="3171">
        <v>0.32</v>
      </c>
      <c r="F10" s="3171">
        <v>0.23</v>
      </c>
      <c r="G10" s="3171">
        <v>0.72</v>
      </c>
      <c r="H10" s="3188">
        <v>0.63</v>
      </c>
      <c r="I10" s="3172">
        <f t="shared" si="4"/>
        <v>0.23</v>
      </c>
      <c r="J10" s="3173"/>
      <c r="K10" s="3174">
        <f t="shared" si="5"/>
        <v>6.6E-3</v>
      </c>
      <c r="L10" s="3164">
        <f t="shared" si="5"/>
        <v>3.2000000000000002E-3</v>
      </c>
      <c r="M10" s="3164">
        <f t="shared" si="5"/>
        <v>2.3E-3</v>
      </c>
      <c r="N10" s="3164">
        <f t="shared" si="5"/>
        <v>7.1999999999999998E-3</v>
      </c>
      <c r="O10" s="3164">
        <f t="shared" si="5"/>
        <v>6.3E-3</v>
      </c>
      <c r="P10" s="3164">
        <f t="shared" si="15"/>
        <v>2.3E-3</v>
      </c>
      <c r="Q10" s="3173"/>
      <c r="R10" s="3175" t="e">
        <f>ROUND(IF([3]项目基本情况!B8="出让",SUMPRODUCT(PRODUCT(1+K10:K16)),SUMPRODUCT(PRODUCT(1+K10:K15))),4)</f>
        <v>#REF!</v>
      </c>
      <c r="S10" s="3175" t="e">
        <f>ROUND(IF([3]项目基本情况!B8="出让",SUMPRODUCT(PRODUCT(1+L10:L16)),SUMPRODUCT(PRODUCT(1+L10:L15))),4)</f>
        <v>#REF!</v>
      </c>
      <c r="T10" s="3175" t="e">
        <f>ROUND(IF([3]项目基本情况!B8="出让",SUMPRODUCT(PRODUCT(1+M10:M16)),SUMPRODUCT(PRODUCT(1+M10:M15))),4)</f>
        <v>#REF!</v>
      </c>
      <c r="U10" s="3175" t="e">
        <f>ROUND(IF([3]项目基本情况!B8="出让",SUMPRODUCT(PRODUCT(1+N10:N16)),SUMPRODUCT(PRODUCT(1+N10:N15))),4)</f>
        <v>#REF!</v>
      </c>
      <c r="V10" s="3175" t="e">
        <f>ROUND(IF([3]项目基本情况!B8="出让",SUMPRODUCT(PRODUCT(1+O10:O16)),SUMPRODUCT(PRODUCT(1+O10:O15))),4)</f>
        <v>#REF!</v>
      </c>
      <c r="W10" s="3175" t="e">
        <f t="shared" si="16"/>
        <v>#REF!</v>
      </c>
      <c r="X10" s="3173"/>
      <c r="Y10" s="3176">
        <f>IF(D10=0,0,ROUND(AVERAGE(D10:D16)/100,4))</f>
        <v>8.3999999999999995E-3</v>
      </c>
      <c r="Z10" s="3176">
        <f t="shared" ref="Z10:AC10" si="18">IF(E10=0,0,ROUND(AVERAGE(E10:E16)/100,4))</f>
        <v>3.5000000000000001E-3</v>
      </c>
      <c r="AA10" s="3176">
        <f t="shared" si="18"/>
        <v>1.5E-3</v>
      </c>
      <c r="AB10" s="3176">
        <f t="shared" si="18"/>
        <v>9.1999999999999998E-3</v>
      </c>
      <c r="AC10" s="3176">
        <f t="shared" si="18"/>
        <v>6.7999999999999996E-3</v>
      </c>
      <c r="AD10" s="3176">
        <f t="shared" si="7"/>
        <v>1.5E-3</v>
      </c>
    </row>
    <row r="11" spans="1:30" s="3177" customFormat="1" ht="12.75">
      <c r="A11" s="3168" t="s">
        <v>3359</v>
      </c>
      <c r="B11" s="3169">
        <v>2022</v>
      </c>
      <c r="C11" s="3170">
        <v>2</v>
      </c>
      <c r="D11" s="3171">
        <v>0.93</v>
      </c>
      <c r="E11" s="3171">
        <v>0.15</v>
      </c>
      <c r="F11" s="3171">
        <v>0.01</v>
      </c>
      <c r="G11" s="3171">
        <v>1.05</v>
      </c>
      <c r="H11" s="3188">
        <v>1.08</v>
      </c>
      <c r="I11" s="3172">
        <f t="shared" si="4"/>
        <v>0.01</v>
      </c>
      <c r="J11" s="3173"/>
      <c r="K11" s="3174">
        <f t="shared" si="5"/>
        <v>9.300000000000001E-3</v>
      </c>
      <c r="L11" s="3164">
        <f t="shared" si="5"/>
        <v>1.5E-3</v>
      </c>
      <c r="M11" s="3164">
        <f t="shared" si="5"/>
        <v>1E-4</v>
      </c>
      <c r="N11" s="3164">
        <f t="shared" si="5"/>
        <v>1.0500000000000001E-2</v>
      </c>
      <c r="O11" s="3164">
        <f t="shared" si="5"/>
        <v>1.0800000000000001E-2</v>
      </c>
      <c r="P11" s="3164">
        <f t="shared" si="15"/>
        <v>1E-4</v>
      </c>
      <c r="Q11" s="3173"/>
      <c r="R11" s="3175" t="e">
        <f>ROUND(IF([3]项目基本情况!B8="出让",SUMPRODUCT(PRODUCT(1+K11:K16)),SUMPRODUCT(PRODUCT(1+K11:K15))),4)</f>
        <v>#REF!</v>
      </c>
      <c r="S11" s="3175" t="e">
        <f>ROUND(IF([3]项目基本情况!B8="出让",SUMPRODUCT(PRODUCT(1+L11:L16)),SUMPRODUCT(PRODUCT(1+L11:L15))),4)</f>
        <v>#REF!</v>
      </c>
      <c r="T11" s="3175" t="e">
        <f>ROUND(IF([3]项目基本情况!B8="出让",SUMPRODUCT(PRODUCT(1+M11:M16)),SUMPRODUCT(PRODUCT(1+M11:M15))),4)</f>
        <v>#REF!</v>
      </c>
      <c r="U11" s="3175" t="e">
        <f>ROUND(IF([3]项目基本情况!B8="出让",SUMPRODUCT(PRODUCT(1+N11:N16)),SUMPRODUCT(PRODUCT(1+N11:N15))),4)</f>
        <v>#REF!</v>
      </c>
      <c r="V11" s="3175" t="e">
        <f>ROUND(IF([3]项目基本情况!B8="出让",SUMPRODUCT(PRODUCT(1+O11:O16)),SUMPRODUCT(PRODUCT(1+O11:O15))),4)</f>
        <v>#REF!</v>
      </c>
      <c r="W11" s="3175" t="e">
        <f t="shared" si="16"/>
        <v>#REF!</v>
      </c>
      <c r="X11" s="3173"/>
      <c r="Y11" s="3176">
        <f>IF(D11=0,0,ROUND(AVERAGE(D11:D16)/100,4))</f>
        <v>8.6999999999999994E-3</v>
      </c>
      <c r="Z11" s="3176">
        <f t="shared" ref="Z11:AC11" si="19">IF(E11=0,0,ROUND(AVERAGE(E11:E16)/100,4))</f>
        <v>3.5000000000000001E-3</v>
      </c>
      <c r="AA11" s="3176">
        <f t="shared" si="19"/>
        <v>1.4E-3</v>
      </c>
      <c r="AB11" s="3176">
        <f t="shared" si="19"/>
        <v>9.4999999999999998E-3</v>
      </c>
      <c r="AC11" s="3176">
        <f t="shared" si="19"/>
        <v>6.8999999999999999E-3</v>
      </c>
      <c r="AD11" s="3176">
        <f t="shared" si="7"/>
        <v>1.4E-3</v>
      </c>
    </row>
    <row r="12" spans="1:30" s="3177" customFormat="1" ht="12.75">
      <c r="A12" s="3168" t="s">
        <v>2822</v>
      </c>
      <c r="B12" s="3169">
        <v>2022</v>
      </c>
      <c r="C12" s="3170">
        <v>1</v>
      </c>
      <c r="D12" s="3171">
        <v>0.89</v>
      </c>
      <c r="E12" s="3171">
        <v>0.44</v>
      </c>
      <c r="F12" s="3171">
        <v>0.37</v>
      </c>
      <c r="G12" s="3171">
        <v>0.96</v>
      </c>
      <c r="H12" s="3188">
        <v>0.64</v>
      </c>
      <c r="I12" s="3172">
        <f t="shared" si="4"/>
        <v>0.37</v>
      </c>
      <c r="J12" s="3173"/>
      <c r="K12" s="3174">
        <f t="shared" si="5"/>
        <v>8.8999999999999999E-3</v>
      </c>
      <c r="L12" s="3164">
        <f t="shared" si="5"/>
        <v>4.4000000000000003E-3</v>
      </c>
      <c r="M12" s="3164">
        <f t="shared" si="5"/>
        <v>3.7000000000000002E-3</v>
      </c>
      <c r="N12" s="3164">
        <f t="shared" si="5"/>
        <v>9.5999999999999992E-3</v>
      </c>
      <c r="O12" s="3164">
        <f t="shared" si="5"/>
        <v>6.4000000000000003E-3</v>
      </c>
      <c r="P12" s="3164">
        <f t="shared" si="15"/>
        <v>3.7000000000000002E-3</v>
      </c>
      <c r="Q12" s="3173"/>
      <c r="R12" s="3175" t="e">
        <f>ROUND(IF([3]项目基本情况!B8="出让",SUMPRODUCT(PRODUCT(1+K12:K16)),SUMPRODUCT(PRODUCT(1+K12:K15))),4)</f>
        <v>#REF!</v>
      </c>
      <c r="S12" s="3175" t="e">
        <f>ROUND(IF([3]项目基本情况!B8="出让",SUMPRODUCT(PRODUCT(1+L12:L16)),SUMPRODUCT(PRODUCT(1+L12:L15))),4)</f>
        <v>#REF!</v>
      </c>
      <c r="T12" s="3175" t="e">
        <f>ROUND(IF([3]项目基本情况!B8="出让",SUMPRODUCT(PRODUCT(1+M12:M16)),SUMPRODUCT(PRODUCT(1+M12:M15))),4)</f>
        <v>#REF!</v>
      </c>
      <c r="U12" s="3175" t="e">
        <f>ROUND(IF([3]项目基本情况!B8="出让",SUMPRODUCT(PRODUCT(1+N12:N16)),SUMPRODUCT(PRODUCT(1+N12:N15))),4)</f>
        <v>#REF!</v>
      </c>
      <c r="V12" s="3175" t="e">
        <f>ROUND(IF([3]项目基本情况!B8="出让",SUMPRODUCT(PRODUCT(1+O12:O16)),SUMPRODUCT(PRODUCT(1+O12:O15))),4)</f>
        <v>#REF!</v>
      </c>
      <c r="W12" s="3175" t="e">
        <f t="shared" si="16"/>
        <v>#REF!</v>
      </c>
      <c r="X12" s="3173"/>
      <c r="Y12" s="3176">
        <f>IF(D12=0,0,ROUND(AVERAGE(D12:D16)/100,4))</f>
        <v>8.6E-3</v>
      </c>
      <c r="Z12" s="3176">
        <f t="shared" ref="Z12:AC12" si="20">IF(E12=0,0,ROUND(AVERAGE(E12:E16)/100,4))</f>
        <v>3.8999999999999998E-3</v>
      </c>
      <c r="AA12" s="3176">
        <f t="shared" si="20"/>
        <v>1.6999999999999999E-3</v>
      </c>
      <c r="AB12" s="3176">
        <f t="shared" si="20"/>
        <v>9.2999999999999992E-3</v>
      </c>
      <c r="AC12" s="3176">
        <f t="shared" si="20"/>
        <v>6.1000000000000004E-3</v>
      </c>
      <c r="AD12" s="3176">
        <f t="shared" si="7"/>
        <v>1.6999999999999999E-3</v>
      </c>
    </row>
    <row r="13" spans="1:30" s="3177" customFormat="1" ht="12.75">
      <c r="A13" s="3168" t="s">
        <v>2823</v>
      </c>
      <c r="B13" s="3169">
        <v>2021</v>
      </c>
      <c r="C13" s="3170">
        <v>4</v>
      </c>
      <c r="D13" s="3171">
        <v>1.03</v>
      </c>
      <c r="E13" s="3171">
        <v>0.24</v>
      </c>
      <c r="F13" s="3171">
        <v>7.0000000000000007E-2</v>
      </c>
      <c r="G13" s="3171">
        <v>1.17</v>
      </c>
      <c r="H13" s="3188">
        <v>0.55000000000000004</v>
      </c>
      <c r="I13" s="3172">
        <f t="shared" si="4"/>
        <v>7.0000000000000007E-2</v>
      </c>
      <c r="J13" s="3173"/>
      <c r="K13" s="3174">
        <f t="shared" si="5"/>
        <v>1.03E-2</v>
      </c>
      <c r="L13" s="3164">
        <f t="shared" si="5"/>
        <v>2.3999999999999998E-3</v>
      </c>
      <c r="M13" s="3164">
        <f t="shared" si="5"/>
        <v>7.000000000000001E-4</v>
      </c>
      <c r="N13" s="3164">
        <f t="shared" si="5"/>
        <v>1.1699999999999999E-2</v>
      </c>
      <c r="O13" s="3164">
        <f t="shared" si="5"/>
        <v>5.5000000000000005E-3</v>
      </c>
      <c r="P13" s="3164">
        <f t="shared" si="15"/>
        <v>7.000000000000001E-4</v>
      </c>
      <c r="Q13" s="3173"/>
      <c r="R13" s="3175" t="e">
        <f>ROUND(IF([3]项目基本情况!B8="出让",SUMPRODUCT(PRODUCT(1+K13:K16)),SUMPRODUCT(PRODUCT(1+K13:K15))),4)</f>
        <v>#REF!</v>
      </c>
      <c r="S13" s="3175" t="e">
        <f>ROUND(IF([3]项目基本情况!B8="出让",SUMPRODUCT(PRODUCT(1+L13:L16)),SUMPRODUCT(PRODUCT(1+L13:L15))),4)</f>
        <v>#REF!</v>
      </c>
      <c r="T13" s="3175" t="e">
        <f>ROUND(IF([3]项目基本情况!B8="出让",SUMPRODUCT(PRODUCT(1+M13:M16)),SUMPRODUCT(PRODUCT(1+M13:M15))),4)</f>
        <v>#REF!</v>
      </c>
      <c r="U13" s="3175" t="e">
        <f>ROUND(IF([3]项目基本情况!B8="出让",SUMPRODUCT(PRODUCT(1+N13:N16)),SUMPRODUCT(PRODUCT(1+N13:N15))),4)</f>
        <v>#REF!</v>
      </c>
      <c r="V13" s="3175" t="e">
        <f>ROUND(IF([3]项目基本情况!B8="出让",SUMPRODUCT(PRODUCT(1+O13:O16)),SUMPRODUCT(PRODUCT(1+O13:O15))),4)</f>
        <v>#REF!</v>
      </c>
      <c r="W13" s="3175" t="e">
        <f t="shared" si="16"/>
        <v>#REF!</v>
      </c>
      <c r="X13" s="3173"/>
      <c r="Y13" s="3176">
        <f>IF(D13=0,0,ROUND(AVERAGE(D13:D16)/100,4))</f>
        <v>8.5000000000000006E-3</v>
      </c>
      <c r="Z13" s="3176">
        <f t="shared" ref="Z13:AC13" si="21">IF(E13=0,0,ROUND(AVERAGE(E13:E16)/100,4))</f>
        <v>3.8E-3</v>
      </c>
      <c r="AA13" s="3176">
        <f t="shared" si="21"/>
        <v>1.1999999999999999E-3</v>
      </c>
      <c r="AB13" s="3176">
        <f t="shared" si="21"/>
        <v>9.2999999999999992E-3</v>
      </c>
      <c r="AC13" s="3176">
        <f t="shared" si="21"/>
        <v>6.0000000000000001E-3</v>
      </c>
      <c r="AD13" s="3176">
        <f t="shared" si="7"/>
        <v>1.1999999999999999E-3</v>
      </c>
    </row>
    <row r="14" spans="1:30" s="3177" customFormat="1" ht="12.75">
      <c r="A14" s="3168" t="s">
        <v>2824</v>
      </c>
      <c r="B14" s="3169">
        <v>2021</v>
      </c>
      <c r="C14" s="3170">
        <v>3</v>
      </c>
      <c r="D14" s="3171">
        <v>0.47</v>
      </c>
      <c r="E14" s="3171">
        <v>0.41</v>
      </c>
      <c r="F14" s="3171">
        <v>0.24</v>
      </c>
      <c r="G14" s="3171">
        <v>0.48</v>
      </c>
      <c r="H14" s="3188">
        <v>0.48</v>
      </c>
      <c r="I14" s="3172">
        <f t="shared" si="4"/>
        <v>0.24</v>
      </c>
      <c r="J14" s="3173"/>
      <c r="K14" s="3174">
        <f t="shared" si="5"/>
        <v>4.6999999999999993E-3</v>
      </c>
      <c r="L14" s="3164">
        <f t="shared" si="5"/>
        <v>4.0999999999999995E-3</v>
      </c>
      <c r="M14" s="3164">
        <f t="shared" si="5"/>
        <v>2.3999999999999998E-3</v>
      </c>
      <c r="N14" s="3164">
        <f t="shared" si="5"/>
        <v>4.7999999999999996E-3</v>
      </c>
      <c r="O14" s="3164">
        <f t="shared" si="5"/>
        <v>4.7999999999999996E-3</v>
      </c>
      <c r="P14" s="3164">
        <f t="shared" si="15"/>
        <v>2.3999999999999998E-3</v>
      </c>
      <c r="Q14" s="3173"/>
      <c r="R14" s="3175" t="e">
        <f>ROUND(IF([3]项目基本情况!B8="出让",SUMPRODUCT(PRODUCT(1+K14:K16)),SUMPRODUCT(PRODUCT(1+K14:K15))),4)</f>
        <v>#REF!</v>
      </c>
      <c r="S14" s="3175" t="e">
        <f>ROUND(IF([3]项目基本情况!B8="出让",SUMPRODUCT(PRODUCT(1+L14:L16)),SUMPRODUCT(PRODUCT(1+L14:L15))),4)</f>
        <v>#REF!</v>
      </c>
      <c r="T14" s="3175" t="e">
        <f>ROUND(IF([3]项目基本情况!B8="出让",SUMPRODUCT(PRODUCT(1+M14:M16)),SUMPRODUCT(PRODUCT(1+M14:M15))),4)</f>
        <v>#REF!</v>
      </c>
      <c r="U14" s="3175" t="e">
        <f>ROUND(IF([3]项目基本情况!B8="出让",SUMPRODUCT(PRODUCT(1+N14:N16)),SUMPRODUCT(PRODUCT(1+N14:N15))),4)</f>
        <v>#REF!</v>
      </c>
      <c r="V14" s="3175" t="e">
        <f>ROUND(IF([3]项目基本情况!B8="出让",SUMPRODUCT(PRODUCT(1+O14:O16)),SUMPRODUCT(PRODUCT(1+O14:O15))),4)</f>
        <v>#REF!</v>
      </c>
      <c r="W14" s="3175" t="e">
        <f t="shared" si="16"/>
        <v>#REF!</v>
      </c>
      <c r="X14" s="3173"/>
      <c r="Y14" s="3176">
        <f>IF(D14=0,0,ROUND(AVERAGE(D14:D16)/100,4))</f>
        <v>7.9000000000000008E-3</v>
      </c>
      <c r="Z14" s="3176">
        <f>IF(E14=0,0,ROUND(AVERAGE(E14:E16)/100,4))</f>
        <v>4.3E-3</v>
      </c>
      <c r="AA14" s="3176">
        <f>IF(F14=0,0,ROUND(AVERAGE(F14:F16)/100,4))</f>
        <v>1.2999999999999999E-3</v>
      </c>
      <c r="AB14" s="3176">
        <f>IF(G14=0,0,ROUND(AVERAGE(G14:G16)/100,4))</f>
        <v>8.5000000000000006E-3</v>
      </c>
      <c r="AC14" s="3176">
        <f>IF(H14=0,0,ROUND(AVERAGE(H14:H16)/100,4))</f>
        <v>6.1999999999999998E-3</v>
      </c>
      <c r="AD14" s="3176">
        <f t="shared" si="7"/>
        <v>1.2999999999999999E-3</v>
      </c>
    </row>
    <row r="15" spans="1:30" s="3177" customFormat="1" ht="12.75">
      <c r="A15" s="3168" t="s">
        <v>2825</v>
      </c>
      <c r="B15" s="3169">
        <v>2021</v>
      </c>
      <c r="C15" s="3170">
        <v>2</v>
      </c>
      <c r="D15" s="3171">
        <v>0.92</v>
      </c>
      <c r="E15" s="3171">
        <v>0.72</v>
      </c>
      <c r="F15" s="3171">
        <v>0.41</v>
      </c>
      <c r="G15" s="3171">
        <v>0.95</v>
      </c>
      <c r="H15" s="3188">
        <v>1.01</v>
      </c>
      <c r="I15" s="3172">
        <f t="shared" si="4"/>
        <v>0.41</v>
      </c>
      <c r="J15" s="3173"/>
      <c r="K15" s="3174">
        <f t="shared" si="5"/>
        <v>9.1999999999999998E-3</v>
      </c>
      <c r="L15" s="3164">
        <f t="shared" si="5"/>
        <v>7.1999999999999998E-3</v>
      </c>
      <c r="M15" s="3164">
        <f t="shared" si="5"/>
        <v>4.0999999999999995E-3</v>
      </c>
      <c r="N15" s="3164">
        <f t="shared" si="5"/>
        <v>9.4999999999999998E-3</v>
      </c>
      <c r="O15" s="3164">
        <f t="shared" si="5"/>
        <v>1.01E-2</v>
      </c>
      <c r="P15" s="3164">
        <f t="shared" si="15"/>
        <v>4.0999999999999995E-3</v>
      </c>
      <c r="Q15" s="3173"/>
      <c r="R15" s="3175" t="e">
        <f>ROUND(IF([3]项目基本情况!B8="出让",SUMPRODUCT(PRODUCT(1+K15:K16)),SUMPRODUCT(PRODUCT(1+K15:K15))),4)</f>
        <v>#REF!</v>
      </c>
      <c r="S15" s="3175" t="e">
        <f>ROUND(IF([3]项目基本情况!B8="出让",SUMPRODUCT(PRODUCT(1+L15:L16)),SUMPRODUCT(PRODUCT(1+L15:L15))),4)</f>
        <v>#REF!</v>
      </c>
      <c r="T15" s="3175" t="e">
        <f>ROUND(IF([3]项目基本情况!B8="出让",SUMPRODUCT(PRODUCT(1+M15:M16)),SUMPRODUCT(PRODUCT(1+M15:M15))),4)</f>
        <v>#REF!</v>
      </c>
      <c r="U15" s="3175" t="e">
        <f>ROUND(IF([3]项目基本情况!B8="出让",SUMPRODUCT(PRODUCT(1+N15:N16)),SUMPRODUCT(PRODUCT(1+N15:N15))),4)</f>
        <v>#REF!</v>
      </c>
      <c r="V15" s="3175" t="e">
        <f>ROUND(IF([3]项目基本情况!B8="出让",SUMPRODUCT(PRODUCT(1+O15:O16)),SUMPRODUCT(PRODUCT(1+O15:O15))),4)</f>
        <v>#REF!</v>
      </c>
      <c r="W15" s="3175" t="e">
        <f t="shared" si="16"/>
        <v>#REF!</v>
      </c>
      <c r="X15" s="3173"/>
      <c r="Y15" s="3176">
        <f>IF(D15=0,0,ROUND(AVERAGE(D15:D16)/100,4))</f>
        <v>9.4999999999999998E-3</v>
      </c>
      <c r="Z15" s="3176">
        <f>IF(E15=0,0,ROUND(AVERAGE(E15:E16)/100,4))</f>
        <v>4.4000000000000003E-3</v>
      </c>
      <c r="AA15" s="3176">
        <f>IF(F15=0,0,ROUND(AVERAGE(F15:F16)/100,4))</f>
        <v>8.0000000000000004E-4</v>
      </c>
      <c r="AB15" s="3176">
        <f>IF(G15=0,0,ROUND(AVERAGE(G15:G16)/100,4))</f>
        <v>1.03E-2</v>
      </c>
      <c r="AC15" s="3176">
        <f>IF(H15=0,0,ROUND(AVERAGE(H15:H16)/100,4))</f>
        <v>6.8999999999999999E-3</v>
      </c>
      <c r="AD15" s="3176">
        <f t="shared" si="7"/>
        <v>8.0000000000000004E-4</v>
      </c>
    </row>
    <row r="16" spans="1:30" s="3199" customFormat="1" ht="13.5" thickBot="1">
      <c r="A16" s="3189" t="s">
        <v>2826</v>
      </c>
      <c r="B16" s="3190">
        <v>2021</v>
      </c>
      <c r="C16" s="3191">
        <v>1</v>
      </c>
      <c r="D16" s="3192">
        <v>0.97</v>
      </c>
      <c r="E16" s="3192">
        <v>0.16</v>
      </c>
      <c r="F16" s="3192">
        <v>-0.25</v>
      </c>
      <c r="G16" s="3192">
        <v>1.1100000000000001</v>
      </c>
      <c r="H16" s="3193">
        <v>0.36</v>
      </c>
      <c r="I16" s="3194">
        <f t="shared" si="4"/>
        <v>-0.25</v>
      </c>
      <c r="J16" s="3195"/>
      <c r="K16" s="3196">
        <f t="shared" si="5"/>
        <v>9.7000000000000003E-3</v>
      </c>
      <c r="L16" s="3197">
        <f t="shared" si="5"/>
        <v>1.6000000000000001E-3</v>
      </c>
      <c r="M16" s="3197">
        <f>F16/100</f>
        <v>-2.5000000000000001E-3</v>
      </c>
      <c r="N16" s="3197">
        <f t="shared" si="5"/>
        <v>1.11E-2</v>
      </c>
      <c r="O16" s="3197">
        <f t="shared" si="5"/>
        <v>3.5999999999999999E-3</v>
      </c>
      <c r="P16" s="3197">
        <f t="shared" si="15"/>
        <v>-2.5000000000000001E-3</v>
      </c>
      <c r="Q16" s="3195"/>
      <c r="R16" s="3198">
        <v>1</v>
      </c>
      <c r="S16" s="3198">
        <v>1</v>
      </c>
      <c r="T16" s="3198">
        <v>1</v>
      </c>
      <c r="U16" s="3198">
        <v>1</v>
      </c>
      <c r="V16" s="3198">
        <v>1</v>
      </c>
      <c r="W16" s="3198">
        <f t="shared" si="16"/>
        <v>1</v>
      </c>
      <c r="X16" s="3195"/>
      <c r="Y16" s="3197">
        <f>IF(D16=0,0,ROUND(AVERAGE(D16:D16)/100,4))</f>
        <v>9.7000000000000003E-3</v>
      </c>
      <c r="Z16" s="3197">
        <f>IF(E16=0,0,ROUND(AVERAGE(E16:E16)/100,4))</f>
        <v>1.6000000000000001E-3</v>
      </c>
      <c r="AA16" s="3197">
        <f>IF(F16=0,0,ROUND(AVERAGE(F16:F16)/100,4))</f>
        <v>-2.5000000000000001E-3</v>
      </c>
      <c r="AB16" s="3197">
        <f>IF(G16=0,0,ROUND(AVERAGE(G16:G16)/100,4))</f>
        <v>1.11E-2</v>
      </c>
      <c r="AC16" s="3197">
        <f>IF(H16=0,0,ROUND(AVERAGE(H16:H16)/100,4))</f>
        <v>3.5999999999999999E-3</v>
      </c>
      <c r="AD16" s="3197">
        <f>AA16</f>
        <v>-2.5000000000000001E-3</v>
      </c>
    </row>
    <row r="17" spans="1:30" s="3001" customFormat="1" ht="15" thickTop="1"/>
    <row r="18" spans="1:30" s="3001" customFormat="1">
      <c r="A18" s="3440" t="s">
        <v>3371</v>
      </c>
    </row>
    <row r="19" spans="1:30" s="3001" customFormat="1">
      <c r="I19" s="3200" t="s">
        <v>2827</v>
      </c>
    </row>
    <row r="20" spans="1:30" s="3001" customFormat="1"/>
    <row r="21" spans="1:30" s="3201" customFormat="1" ht="12.75">
      <c r="B21" s="3202" t="s">
        <v>2828</v>
      </c>
      <c r="C21" s="3203"/>
      <c r="D21" s="3203"/>
      <c r="E21" s="3203"/>
      <c r="F21" s="3203"/>
      <c r="G21" s="3203"/>
      <c r="H21" s="3203"/>
      <c r="I21" s="3203"/>
      <c r="J21" s="3157"/>
      <c r="K21" s="3203" t="s">
        <v>2829</v>
      </c>
      <c r="L21" s="3203"/>
      <c r="M21" s="3203"/>
      <c r="N21" s="3203"/>
      <c r="O21" s="3203"/>
      <c r="P21" s="3203"/>
      <c r="Q21" s="3157"/>
      <c r="R21" s="3762" t="s">
        <v>2830</v>
      </c>
      <c r="S21" s="3763"/>
      <c r="T21" s="3763"/>
      <c r="U21" s="3763"/>
      <c r="V21" s="3763"/>
      <c r="W21" s="3763"/>
      <c r="X21" s="3157"/>
      <c r="Y21" s="3762" t="s">
        <v>2831</v>
      </c>
      <c r="Z21" s="3763"/>
      <c r="AA21" s="3763"/>
      <c r="AB21" s="3763"/>
      <c r="AC21" s="3763"/>
      <c r="AD21" s="3763"/>
    </row>
    <row r="22" spans="1:30" s="3135" customFormat="1" thickBot="1">
      <c r="B22" s="3136"/>
      <c r="C22" s="3137"/>
      <c r="D22" s="3138" t="s">
        <v>2832</v>
      </c>
      <c r="E22" s="3139" t="s">
        <v>2833</v>
      </c>
      <c r="F22" s="3139" t="s">
        <v>2834</v>
      </c>
      <c r="G22" s="3139" t="s">
        <v>2835</v>
      </c>
      <c r="H22" s="3139"/>
      <c r="I22" s="3139" t="s">
        <v>2836</v>
      </c>
      <c r="J22" s="3140"/>
      <c r="K22" s="3138" t="s">
        <v>2832</v>
      </c>
      <c r="L22" s="3139" t="s">
        <v>2833</v>
      </c>
      <c r="M22" s="3139" t="s">
        <v>2834</v>
      </c>
      <c r="N22" s="3139" t="s">
        <v>2835</v>
      </c>
      <c r="O22" s="3139"/>
      <c r="P22" s="3139" t="s">
        <v>2836</v>
      </c>
      <c r="Q22" s="3140"/>
      <c r="R22" s="3138" t="s">
        <v>2832</v>
      </c>
      <c r="S22" s="3139" t="s">
        <v>2833</v>
      </c>
      <c r="T22" s="3139" t="s">
        <v>2834</v>
      </c>
      <c r="U22" s="3139" t="s">
        <v>2835</v>
      </c>
      <c r="V22" s="3139"/>
      <c r="W22" s="3139" t="s">
        <v>2836</v>
      </c>
      <c r="X22" s="3140"/>
      <c r="Y22" s="3138" t="s">
        <v>2832</v>
      </c>
      <c r="Z22" s="3139" t="s">
        <v>2833</v>
      </c>
      <c r="AA22" s="3139" t="s">
        <v>2834</v>
      </c>
      <c r="AB22" s="3139" t="s">
        <v>2835</v>
      </c>
      <c r="AC22" s="3139"/>
      <c r="AD22" s="3139" t="s">
        <v>2836</v>
      </c>
    </row>
    <row r="23" spans="1:30" s="3153" customFormat="1" ht="12.75">
      <c r="A23" s="3141" t="s">
        <v>2837</v>
      </c>
      <c r="B23" s="3142"/>
      <c r="C23" s="3143"/>
      <c r="D23" s="3143"/>
      <c r="E23" s="3143">
        <f t="shared" ref="E23:G23" si="22">ROUND(AVERAGEIF(E24:E36,"&lt;&gt;0"),2)</f>
        <v>0.4</v>
      </c>
      <c r="F23" s="3143">
        <f t="shared" si="22"/>
        <v>0.26</v>
      </c>
      <c r="G23" s="3143">
        <f t="shared" si="22"/>
        <v>0.74</v>
      </c>
      <c r="H23" s="3143"/>
      <c r="I23" s="3143">
        <f>F23</f>
        <v>0.26</v>
      </c>
      <c r="J23" s="3144"/>
      <c r="K23" s="3145"/>
      <c r="L23" s="3146">
        <f t="shared" ref="L23:N23" si="23">ROUND(AVERAGEIF(L24:L36,"&lt;&gt;0"),4)</f>
        <v>4.0000000000000001E-3</v>
      </c>
      <c r="M23" s="3146">
        <f t="shared" si="23"/>
        <v>2.5999999999999999E-3</v>
      </c>
      <c r="N23" s="3146">
        <f t="shared" si="23"/>
        <v>7.4000000000000003E-3</v>
      </c>
      <c r="O23" s="3146"/>
      <c r="P23" s="3146">
        <f>M23</f>
        <v>2.5999999999999999E-3</v>
      </c>
      <c r="Q23" s="3144"/>
      <c r="R23" s="3147"/>
      <c r="S23" s="3148">
        <f>ROUND(SUMPRODUCT(PRODUCT(1+L24:L36)),4)</f>
        <v>1.0323</v>
      </c>
      <c r="T23" s="3148">
        <f t="shared" ref="T23:U23" si="24">ROUND(SUMPRODUCT(PRODUCT(1+M24:M36)),4)</f>
        <v>1.0213000000000001</v>
      </c>
      <c r="U23" s="3148">
        <f t="shared" si="24"/>
        <v>1.0609</v>
      </c>
      <c r="V23" s="3148"/>
      <c r="W23" s="3147">
        <f>T23</f>
        <v>1.0213000000000001</v>
      </c>
      <c r="X23" s="3144"/>
      <c r="Y23" s="3149"/>
      <c r="Z23" s="3150">
        <f t="shared" ref="Z23:AB23" si="25">ROUND(AVERAGEIF(Z24:Z36,"&lt;&gt;0"),4)</f>
        <v>4.3E-3</v>
      </c>
      <c r="AA23" s="3151">
        <f t="shared" si="25"/>
        <v>3.5999999999999999E-3</v>
      </c>
      <c r="AB23" s="3149">
        <f t="shared" si="25"/>
        <v>8.8999999999999999E-3</v>
      </c>
      <c r="AC23" s="3152"/>
      <c r="AD23" s="3149">
        <f>AA23</f>
        <v>3.5999999999999999E-3</v>
      </c>
    </row>
    <row r="24" spans="1:30" s="3154" customFormat="1" ht="12.75">
      <c r="B24" s="3155"/>
      <c r="C24" s="3156"/>
      <c r="D24" s="3156"/>
      <c r="E24" s="3156"/>
      <c r="F24" s="3156"/>
      <c r="G24" s="3156"/>
      <c r="H24" s="3156"/>
      <c r="I24" s="3156"/>
      <c r="J24" s="3157"/>
      <c r="K24" s="3158"/>
      <c r="L24" s="3159"/>
      <c r="M24" s="3159"/>
      <c r="N24" s="3159"/>
      <c r="O24" s="3159"/>
      <c r="P24" s="3159"/>
      <c r="Q24" s="3157"/>
      <c r="R24" s="3160"/>
      <c r="S24" s="3161"/>
      <c r="T24" s="3162"/>
      <c r="U24" s="3160"/>
      <c r="V24" s="3163"/>
      <c r="W24" s="3160"/>
      <c r="X24" s="3157"/>
      <c r="Y24" s="3164"/>
      <c r="Z24" s="3165"/>
      <c r="AA24" s="3166"/>
      <c r="AB24" s="3164"/>
      <c r="AC24" s="3167"/>
      <c r="AD24" s="3164"/>
    </row>
    <row r="25" spans="1:30" s="3177" customFormat="1" ht="12.75">
      <c r="A25" s="3168" t="s">
        <v>3374</v>
      </c>
      <c r="B25" s="3169">
        <v>2023</v>
      </c>
      <c r="C25" s="3170">
        <v>4</v>
      </c>
      <c r="D25" s="3171"/>
      <c r="E25" s="3171">
        <v>0</v>
      </c>
      <c r="F25" s="3171">
        <v>0</v>
      </c>
      <c r="G25" s="3171">
        <v>0</v>
      </c>
      <c r="H25" s="3171"/>
      <c r="I25" s="3172">
        <f t="shared" ref="I25:I36" si="26">F25</f>
        <v>0</v>
      </c>
      <c r="J25" s="3173"/>
      <c r="K25" s="3174"/>
      <c r="L25" s="3164">
        <f t="shared" ref="L25:N36" si="27">E25/100</f>
        <v>0</v>
      </c>
      <c r="M25" s="3164">
        <f t="shared" si="27"/>
        <v>0</v>
      </c>
      <c r="N25" s="3164">
        <f t="shared" si="27"/>
        <v>0</v>
      </c>
      <c r="O25" s="3164"/>
      <c r="P25" s="3164">
        <f>M25</f>
        <v>0</v>
      </c>
      <c r="Q25" s="3173"/>
      <c r="R25" s="3175"/>
      <c r="S25" s="3175" t="e">
        <f>ROUND(IF([3]项目基本情况!$B$8="出让",SUMPRODUCT(PRODUCT(1+L25:L$36)),SUMPRODUCT(PRODUCT(1+L25:L$35))),4)</f>
        <v>#REF!</v>
      </c>
      <c r="T25" s="3175" t="e">
        <f>ROUND(IF([3]项目基本情况!$B$8="出让",SUMPRODUCT(PRODUCT(1+M25:M$36)),SUMPRODUCT(PRODUCT(1+M25:M$35))),4)</f>
        <v>#REF!</v>
      </c>
      <c r="U25" s="3175" t="e">
        <f>ROUND(IF([3]项目基本情况!$B$8="出让",SUMPRODUCT(PRODUCT(1+N25:N$36)),SUMPRODUCT(PRODUCT(1+N25:N$35))),4)</f>
        <v>#REF!</v>
      </c>
      <c r="V25" s="3175"/>
      <c r="W25" s="3175" t="e">
        <f>T25</f>
        <v>#REF!</v>
      </c>
      <c r="X25" s="3173"/>
      <c r="Y25" s="3176"/>
      <c r="Z25" s="3204">
        <f>IF(E25=0,0,ROUND(AVERAGE(E25:E36)/100,4))</f>
        <v>0</v>
      </c>
      <c r="AA25" s="3204">
        <f>IF(F25=0,0,ROUND(AVERAGE(F25:F36)/100,4))</f>
        <v>0</v>
      </c>
      <c r="AB25" s="3204">
        <f>IF(G25=0,0,ROUND(AVERAGE(G25:G36)/100,4))</f>
        <v>0</v>
      </c>
      <c r="AC25" s="3205"/>
      <c r="AD25" s="3176">
        <f>IF(I25=0,0,ROUND(AVERAGE(I25:I36)/100,4))</f>
        <v>0</v>
      </c>
    </row>
    <row r="26" spans="1:30" s="3177" customFormat="1" ht="12.75">
      <c r="A26" s="3168" t="s">
        <v>3375</v>
      </c>
      <c r="B26" s="3169">
        <v>2023</v>
      </c>
      <c r="C26" s="3170">
        <v>3</v>
      </c>
      <c r="D26" s="3171"/>
      <c r="E26" s="3171">
        <v>0</v>
      </c>
      <c r="F26" s="3171">
        <v>0</v>
      </c>
      <c r="G26" s="3171">
        <v>0</v>
      </c>
      <c r="H26" s="3188"/>
      <c r="I26" s="3172">
        <f t="shared" si="26"/>
        <v>0</v>
      </c>
      <c r="J26" s="3173"/>
      <c r="K26" s="3174"/>
      <c r="L26" s="3164">
        <f t="shared" ref="L26:L28" si="28">E26/100</f>
        <v>0</v>
      </c>
      <c r="M26" s="3164">
        <f t="shared" ref="M26:M28" si="29">F26/100</f>
        <v>0</v>
      </c>
      <c r="N26" s="3164">
        <f t="shared" ref="N26:N28" si="30">G26/100</f>
        <v>0</v>
      </c>
      <c r="O26" s="3164"/>
      <c r="P26" s="3164">
        <f t="shared" ref="P26:P28" si="31">M26</f>
        <v>0</v>
      </c>
      <c r="Q26" s="3173"/>
      <c r="R26" s="3175"/>
      <c r="S26" s="3175" t="e">
        <f>ROUND(IF([3]项目基本情况!$B$8="出让",SUMPRODUCT(PRODUCT(1+L26:L$36)),SUMPRODUCT(PRODUCT(1+L26:L$35))),4)</f>
        <v>#REF!</v>
      </c>
      <c r="T26" s="3175" t="e">
        <f>ROUND(IF([3]项目基本情况!$B$8="出让",SUMPRODUCT(PRODUCT(1+M26:M$36)),SUMPRODUCT(PRODUCT(1+M26:M$35))),4)</f>
        <v>#REF!</v>
      </c>
      <c r="U26" s="3175" t="e">
        <f>ROUND(IF([3]项目基本情况!$B$8="出让",SUMPRODUCT(PRODUCT(1+N26:N$36)),SUMPRODUCT(PRODUCT(1+N26:N$35))),4)</f>
        <v>#REF!</v>
      </c>
      <c r="V26" s="3175"/>
      <c r="W26" s="3175" t="e">
        <f t="shared" ref="W26:W28" si="32">T26</f>
        <v>#REF!</v>
      </c>
      <c r="X26" s="3173"/>
      <c r="Y26" s="3176"/>
      <c r="Z26" s="3204"/>
      <c r="AA26" s="3441"/>
      <c r="AB26" s="3441"/>
      <c r="AC26" s="3205"/>
      <c r="AD26" s="3176"/>
    </row>
    <row r="27" spans="1:30" s="3177" customFormat="1" ht="12.75">
      <c r="A27" s="3168" t="s">
        <v>3373</v>
      </c>
      <c r="B27" s="3169">
        <v>2023</v>
      </c>
      <c r="C27" s="3170">
        <v>2</v>
      </c>
      <c r="D27" s="3171"/>
      <c r="E27" s="3171">
        <v>0</v>
      </c>
      <c r="F27" s="3171">
        <v>0</v>
      </c>
      <c r="G27" s="3171">
        <v>0</v>
      </c>
      <c r="H27" s="3188"/>
      <c r="I27" s="3172">
        <f t="shared" si="26"/>
        <v>0</v>
      </c>
      <c r="J27" s="3173"/>
      <c r="K27" s="3174"/>
      <c r="L27" s="3164">
        <f t="shared" si="28"/>
        <v>0</v>
      </c>
      <c r="M27" s="3164">
        <f t="shared" si="29"/>
        <v>0</v>
      </c>
      <c r="N27" s="3164">
        <f t="shared" si="30"/>
        <v>0</v>
      </c>
      <c r="O27" s="3164"/>
      <c r="P27" s="3164">
        <f t="shared" si="31"/>
        <v>0</v>
      </c>
      <c r="Q27" s="3173"/>
      <c r="R27" s="3175"/>
      <c r="S27" s="3175" t="e">
        <f>ROUND(IF([3]项目基本情况!$B$8="出让",SUMPRODUCT(PRODUCT(1+L27:L$36)),SUMPRODUCT(PRODUCT(1+L27:L$35))),4)</f>
        <v>#REF!</v>
      </c>
      <c r="T27" s="3175" t="e">
        <f>ROUND(IF([3]项目基本情况!$B$8="出让",SUMPRODUCT(PRODUCT(1+M27:M$36)),SUMPRODUCT(PRODUCT(1+M27:M$35))),4)</f>
        <v>#REF!</v>
      </c>
      <c r="U27" s="3175" t="e">
        <f>ROUND(IF([3]项目基本情况!$B$8="出让",SUMPRODUCT(PRODUCT(1+N27:N$36)),SUMPRODUCT(PRODUCT(1+N27:N$35))),4)</f>
        <v>#REF!</v>
      </c>
      <c r="V27" s="3175"/>
      <c r="W27" s="3175" t="e">
        <f t="shared" si="32"/>
        <v>#REF!</v>
      </c>
      <c r="X27" s="3173"/>
      <c r="Y27" s="3176"/>
      <c r="Z27" s="3204"/>
      <c r="AA27" s="3441"/>
      <c r="AB27" s="3441"/>
      <c r="AC27" s="3205"/>
      <c r="AD27" s="3176"/>
    </row>
    <row r="28" spans="1:30" s="3177" customFormat="1" ht="12.75">
      <c r="A28" s="3168" t="s">
        <v>2820</v>
      </c>
      <c r="B28" s="3169">
        <v>2023</v>
      </c>
      <c r="C28" s="3170">
        <v>1</v>
      </c>
      <c r="D28" s="3171"/>
      <c r="E28" s="3171">
        <v>0</v>
      </c>
      <c r="F28" s="3171">
        <v>0</v>
      </c>
      <c r="G28" s="3171">
        <v>0</v>
      </c>
      <c r="H28" s="3188"/>
      <c r="I28" s="3172">
        <f t="shared" si="26"/>
        <v>0</v>
      </c>
      <c r="J28" s="3173"/>
      <c r="K28" s="3174"/>
      <c r="L28" s="3164">
        <f t="shared" si="28"/>
        <v>0</v>
      </c>
      <c r="M28" s="3164">
        <f t="shared" si="29"/>
        <v>0</v>
      </c>
      <c r="N28" s="3164">
        <f t="shared" si="30"/>
        <v>0</v>
      </c>
      <c r="O28" s="3164"/>
      <c r="P28" s="3164">
        <f t="shared" si="31"/>
        <v>0</v>
      </c>
      <c r="Q28" s="3173"/>
      <c r="R28" s="3175"/>
      <c r="S28" s="3175" t="e">
        <f>ROUND(IF([3]项目基本情况!$B$8="出让",SUMPRODUCT(PRODUCT(1+L28:L$36)),SUMPRODUCT(PRODUCT(1+L28:L$35))),4)</f>
        <v>#REF!</v>
      </c>
      <c r="T28" s="3175" t="e">
        <f>ROUND(IF([3]项目基本情况!$B$8="出让",SUMPRODUCT(PRODUCT(1+M28:M$36)),SUMPRODUCT(PRODUCT(1+M28:M$35))),4)</f>
        <v>#REF!</v>
      </c>
      <c r="U28" s="3175" t="e">
        <f>ROUND(IF([3]项目基本情况!$B$8="出让",SUMPRODUCT(PRODUCT(1+N28:N$36)),SUMPRODUCT(PRODUCT(1+N28:N$35))),4)</f>
        <v>#REF!</v>
      </c>
      <c r="V28" s="3175"/>
      <c r="W28" s="3175" t="e">
        <f t="shared" si="32"/>
        <v>#REF!</v>
      </c>
      <c r="X28" s="3173"/>
      <c r="Y28" s="3176"/>
      <c r="Z28" s="3204"/>
      <c r="AA28" s="3441"/>
      <c r="AB28" s="3441"/>
      <c r="AC28" s="3205"/>
      <c r="AD28" s="3176"/>
    </row>
    <row r="29" spans="1:30" s="3187" customFormat="1" ht="12.75">
      <c r="A29" s="3178" t="s">
        <v>3369</v>
      </c>
      <c r="B29" s="3179">
        <v>2022</v>
      </c>
      <c r="C29" s="3180">
        <v>4</v>
      </c>
      <c r="D29" s="3181"/>
      <c r="E29" s="3181">
        <v>0.45</v>
      </c>
      <c r="F29" s="3181">
        <v>0.2</v>
      </c>
      <c r="G29" s="3181">
        <v>0.38</v>
      </c>
      <c r="H29" s="3182"/>
      <c r="I29" s="3183">
        <f t="shared" si="26"/>
        <v>0.2</v>
      </c>
      <c r="J29" s="3184"/>
      <c r="K29" s="3185"/>
      <c r="L29" s="3186">
        <f t="shared" si="27"/>
        <v>4.5000000000000005E-3</v>
      </c>
      <c r="M29" s="3186">
        <f t="shared" si="27"/>
        <v>2E-3</v>
      </c>
      <c r="N29" s="3186">
        <f t="shared" si="27"/>
        <v>3.8E-3</v>
      </c>
      <c r="O29" s="3186"/>
      <c r="P29" s="3186">
        <f t="shared" ref="P29:P36" si="33">M29</f>
        <v>2E-3</v>
      </c>
      <c r="Q29" s="3184"/>
      <c r="R29" s="3184"/>
      <c r="S29" s="3184" t="e">
        <f>ROUND(IF([3]项目基本情况!$B$8="出让",SUMPRODUCT(PRODUCT(1+L29:L$36)),SUMPRODUCT(PRODUCT(1+L29:L$35))),4)</f>
        <v>#REF!</v>
      </c>
      <c r="T29" s="3184" t="e">
        <f>ROUND(IF([3]项目基本情况!$B$8="出让",SUMPRODUCT(PRODUCT(1+M29:M$36)),SUMPRODUCT(PRODUCT(1+M29:M$35))),4)</f>
        <v>#REF!</v>
      </c>
      <c r="U29" s="3184" t="e">
        <f>ROUND(IF([3]项目基本情况!$B$8="出让",SUMPRODUCT(PRODUCT(1+N29:N$36)),SUMPRODUCT(PRODUCT(1+N29:N$35))),4)</f>
        <v>#REF!</v>
      </c>
      <c r="V29" s="3184"/>
      <c r="W29" s="3184" t="e">
        <f t="shared" ref="W29:W36" si="34">T29</f>
        <v>#REF!</v>
      </c>
      <c r="X29" s="3184"/>
      <c r="Y29" s="3186"/>
      <c r="Z29" s="3207">
        <f t="shared" ref="Z29:AD36" si="35">IF(E29=0,0,ROUND(AVERAGE(E29:E37)/100,4))</f>
        <v>4.0000000000000001E-3</v>
      </c>
      <c r="AA29" s="3208">
        <f t="shared" si="35"/>
        <v>2.5999999999999999E-3</v>
      </c>
      <c r="AB29" s="3186">
        <f t="shared" si="35"/>
        <v>7.4000000000000003E-3</v>
      </c>
      <c r="AC29" s="3209"/>
      <c r="AD29" s="3186">
        <f t="shared" si="35"/>
        <v>2.5999999999999999E-3</v>
      </c>
    </row>
    <row r="30" spans="1:30" s="3177" customFormat="1" ht="12.75">
      <c r="A30" s="3168" t="s">
        <v>3370</v>
      </c>
      <c r="B30" s="3169">
        <v>2022</v>
      </c>
      <c r="C30" s="3170">
        <v>3</v>
      </c>
      <c r="D30" s="3171"/>
      <c r="E30" s="3171">
        <v>0.3</v>
      </c>
      <c r="F30" s="3171">
        <v>0.28999999999999998</v>
      </c>
      <c r="G30" s="3171">
        <v>0.83</v>
      </c>
      <c r="H30" s="3188"/>
      <c r="I30" s="3172">
        <f t="shared" si="26"/>
        <v>0.28999999999999998</v>
      </c>
      <c r="J30" s="3173"/>
      <c r="K30" s="3174"/>
      <c r="L30" s="3164">
        <f t="shared" si="27"/>
        <v>3.0000000000000001E-3</v>
      </c>
      <c r="M30" s="3164">
        <f t="shared" si="27"/>
        <v>2.8999999999999998E-3</v>
      </c>
      <c r="N30" s="3164">
        <f t="shared" si="27"/>
        <v>8.3000000000000001E-3</v>
      </c>
      <c r="O30" s="3164"/>
      <c r="P30" s="3164">
        <f t="shared" si="33"/>
        <v>2.8999999999999998E-3</v>
      </c>
      <c r="Q30" s="3173"/>
      <c r="R30" s="3175"/>
      <c r="S30" s="3175" t="e">
        <f>ROUND(IF([3]项目基本情况!$B$8="出让",SUMPRODUCT(PRODUCT(1+L30:L$36)),SUMPRODUCT(PRODUCT(1+L30:L$35))),4)</f>
        <v>#REF!</v>
      </c>
      <c r="T30" s="3175" t="e">
        <f>ROUND(IF([3]项目基本情况!$B$8="出让",SUMPRODUCT(PRODUCT(1+M30:M$36)),SUMPRODUCT(PRODUCT(1+M30:M$35))),4)</f>
        <v>#REF!</v>
      </c>
      <c r="U30" s="3175" t="e">
        <f>ROUND(IF([3]项目基本情况!$B$8="出让",SUMPRODUCT(PRODUCT(1+N30:N$36)),SUMPRODUCT(PRODUCT(1+N30:N$35))),4)</f>
        <v>#REF!</v>
      </c>
      <c r="V30" s="3175"/>
      <c r="W30" s="3175" t="e">
        <f t="shared" si="34"/>
        <v>#REF!</v>
      </c>
      <c r="X30" s="3173"/>
      <c r="Y30" s="3176"/>
      <c r="Z30" s="3204">
        <f t="shared" si="35"/>
        <v>3.8999999999999998E-3</v>
      </c>
      <c r="AA30" s="3206">
        <f t="shared" si="35"/>
        <v>2.7000000000000001E-3</v>
      </c>
      <c r="AB30" s="3176">
        <f t="shared" si="35"/>
        <v>7.9000000000000008E-3</v>
      </c>
      <c r="AC30" s="3205"/>
      <c r="AD30" s="3176">
        <f t="shared" si="35"/>
        <v>2.7000000000000001E-3</v>
      </c>
    </row>
    <row r="31" spans="1:30" s="3177" customFormat="1" ht="12.75">
      <c r="A31" s="3168" t="s">
        <v>3359</v>
      </c>
      <c r="B31" s="3169">
        <v>2022</v>
      </c>
      <c r="C31" s="3170">
        <v>2</v>
      </c>
      <c r="D31" s="3171"/>
      <c r="E31" s="3171">
        <v>-0.11</v>
      </c>
      <c r="F31" s="3171">
        <v>-0.13</v>
      </c>
      <c r="G31" s="3171">
        <v>0.53</v>
      </c>
      <c r="H31" s="3188"/>
      <c r="I31" s="3172">
        <f t="shared" si="26"/>
        <v>-0.13</v>
      </c>
      <c r="J31" s="3173"/>
      <c r="K31" s="3174"/>
      <c r="L31" s="3164">
        <f t="shared" si="27"/>
        <v>-1.1000000000000001E-3</v>
      </c>
      <c r="M31" s="3164">
        <f t="shared" si="27"/>
        <v>-1.2999999999999999E-3</v>
      </c>
      <c r="N31" s="3164">
        <f t="shared" si="27"/>
        <v>5.3E-3</v>
      </c>
      <c r="O31" s="3164"/>
      <c r="P31" s="3164">
        <f t="shared" si="33"/>
        <v>-1.2999999999999999E-3</v>
      </c>
      <c r="Q31" s="3173"/>
      <c r="R31" s="3175"/>
      <c r="S31" s="3175" t="e">
        <f>ROUND(IF([3]项目基本情况!$B$8="出让",SUMPRODUCT(PRODUCT(1+L31:L$36)),SUMPRODUCT(PRODUCT(1+L31:L$35))),4)</f>
        <v>#REF!</v>
      </c>
      <c r="T31" s="3175" t="e">
        <f>ROUND(IF([3]项目基本情况!$B$8="出让",SUMPRODUCT(PRODUCT(1+M31:M$36)),SUMPRODUCT(PRODUCT(1+M31:M$35))),4)</f>
        <v>#REF!</v>
      </c>
      <c r="U31" s="3175" t="e">
        <f>ROUND(IF([3]项目基本情况!$B$8="出让",SUMPRODUCT(PRODUCT(1+N31:N$36)),SUMPRODUCT(PRODUCT(1+N31:N$35))),4)</f>
        <v>#REF!</v>
      </c>
      <c r="V31" s="3175"/>
      <c r="W31" s="3175" t="e">
        <f t="shared" si="34"/>
        <v>#REF!</v>
      </c>
      <c r="X31" s="3173"/>
      <c r="Y31" s="3176"/>
      <c r="Z31" s="3204">
        <f t="shared" si="35"/>
        <v>4.1000000000000003E-3</v>
      </c>
      <c r="AA31" s="3206">
        <f t="shared" si="35"/>
        <v>2.7000000000000001E-3</v>
      </c>
      <c r="AB31" s="3176">
        <f t="shared" si="35"/>
        <v>7.9000000000000008E-3</v>
      </c>
      <c r="AC31" s="3205"/>
      <c r="AD31" s="3176">
        <f t="shared" si="35"/>
        <v>2.7000000000000001E-3</v>
      </c>
    </row>
    <row r="32" spans="1:30" s="3177" customFormat="1" ht="12.75">
      <c r="A32" s="3168" t="s">
        <v>2838</v>
      </c>
      <c r="B32" s="3169">
        <v>2022</v>
      </c>
      <c r="C32" s="3170">
        <v>1</v>
      </c>
      <c r="D32" s="3171"/>
      <c r="E32" s="3171">
        <v>0.6</v>
      </c>
      <c r="F32" s="3171">
        <v>0.45</v>
      </c>
      <c r="G32" s="3171">
        <v>0.53</v>
      </c>
      <c r="H32" s="3188"/>
      <c r="I32" s="3172">
        <f t="shared" si="26"/>
        <v>0.45</v>
      </c>
      <c r="J32" s="3173"/>
      <c r="K32" s="3174"/>
      <c r="L32" s="3164">
        <f t="shared" si="27"/>
        <v>6.0000000000000001E-3</v>
      </c>
      <c r="M32" s="3164">
        <f t="shared" si="27"/>
        <v>4.5000000000000005E-3</v>
      </c>
      <c r="N32" s="3164">
        <f t="shared" si="27"/>
        <v>5.3E-3</v>
      </c>
      <c r="O32" s="3164"/>
      <c r="P32" s="3164">
        <f t="shared" si="33"/>
        <v>4.5000000000000005E-3</v>
      </c>
      <c r="Q32" s="3173"/>
      <c r="R32" s="3175"/>
      <c r="S32" s="3175" t="e">
        <f>ROUND(IF([3]项目基本情况!$B$8="出让",SUMPRODUCT(PRODUCT(1+L32:L$36)),SUMPRODUCT(PRODUCT(1+L32:L$35))),4)</f>
        <v>#REF!</v>
      </c>
      <c r="T32" s="3175" t="e">
        <f>ROUND(IF([3]项目基本情况!$B$8="出让",SUMPRODUCT(PRODUCT(1+M32:M$36)),SUMPRODUCT(PRODUCT(1+M32:M$35))),4)</f>
        <v>#REF!</v>
      </c>
      <c r="U32" s="3175" t="e">
        <f>ROUND(IF([3]项目基本情况!$B$8="出让",SUMPRODUCT(PRODUCT(1+N32:N$36)),SUMPRODUCT(PRODUCT(1+N32:N$35))),4)</f>
        <v>#REF!</v>
      </c>
      <c r="V32" s="3175"/>
      <c r="W32" s="3175" t="e">
        <f t="shared" si="34"/>
        <v>#REF!</v>
      </c>
      <c r="X32" s="3173"/>
      <c r="Y32" s="3176"/>
      <c r="Z32" s="3204">
        <f t="shared" si="35"/>
        <v>5.1000000000000004E-3</v>
      </c>
      <c r="AA32" s="3206">
        <f t="shared" si="35"/>
        <v>3.5000000000000001E-3</v>
      </c>
      <c r="AB32" s="3176">
        <f t="shared" si="35"/>
        <v>8.3999999999999995E-3</v>
      </c>
      <c r="AC32" s="3205"/>
      <c r="AD32" s="3176">
        <f t="shared" si="35"/>
        <v>3.5000000000000001E-3</v>
      </c>
    </row>
    <row r="33" spans="1:30" s="3177" customFormat="1" ht="12.75">
      <c r="A33" s="3168" t="s">
        <v>2839</v>
      </c>
      <c r="B33" s="3169">
        <v>2021</v>
      </c>
      <c r="C33" s="3170">
        <v>4</v>
      </c>
      <c r="D33" s="3171"/>
      <c r="E33" s="3171">
        <v>0.57999999999999996</v>
      </c>
      <c r="F33" s="3171">
        <v>0.08</v>
      </c>
      <c r="G33" s="3171">
        <v>0.68</v>
      </c>
      <c r="H33" s="3188"/>
      <c r="I33" s="3172">
        <f t="shared" si="26"/>
        <v>0.08</v>
      </c>
      <c r="J33" s="3173"/>
      <c r="K33" s="3174"/>
      <c r="L33" s="3164">
        <f t="shared" si="27"/>
        <v>5.7999999999999996E-3</v>
      </c>
      <c r="M33" s="3164">
        <f t="shared" si="27"/>
        <v>8.0000000000000004E-4</v>
      </c>
      <c r="N33" s="3164">
        <f t="shared" si="27"/>
        <v>6.8000000000000005E-3</v>
      </c>
      <c r="O33" s="3164"/>
      <c r="P33" s="3164">
        <f t="shared" si="33"/>
        <v>8.0000000000000004E-4</v>
      </c>
      <c r="Q33" s="3173"/>
      <c r="R33" s="3175"/>
      <c r="S33" s="3175" t="e">
        <f>ROUND(IF([3]项目基本情况!$B$8="出让",SUMPRODUCT(PRODUCT(1+L33:L$36)),SUMPRODUCT(PRODUCT(1+L33:L$35))),4)</f>
        <v>#REF!</v>
      </c>
      <c r="T33" s="3175" t="e">
        <f>ROUND(IF([3]项目基本情况!$B$8="出让",SUMPRODUCT(PRODUCT(1+M33:M$36)),SUMPRODUCT(PRODUCT(1+M33:M$35))),4)</f>
        <v>#REF!</v>
      </c>
      <c r="U33" s="3175" t="e">
        <f>ROUND(IF([3]项目基本情况!$B$8="出让",SUMPRODUCT(PRODUCT(1+N33:N$36)),SUMPRODUCT(PRODUCT(1+N33:N$35))),4)</f>
        <v>#REF!</v>
      </c>
      <c r="V33" s="3175"/>
      <c r="W33" s="3175" t="e">
        <f t="shared" si="34"/>
        <v>#REF!</v>
      </c>
      <c r="X33" s="3173"/>
      <c r="Y33" s="3176"/>
      <c r="Z33" s="3204">
        <f t="shared" si="35"/>
        <v>4.8999999999999998E-3</v>
      </c>
      <c r="AA33" s="3206">
        <f t="shared" si="35"/>
        <v>3.3E-3</v>
      </c>
      <c r="AB33" s="3176">
        <f t="shared" si="35"/>
        <v>9.1999999999999998E-3</v>
      </c>
      <c r="AC33" s="3205"/>
      <c r="AD33" s="3176">
        <f t="shared" si="35"/>
        <v>3.3E-3</v>
      </c>
    </row>
    <row r="34" spans="1:30" s="3177" customFormat="1" ht="12.75">
      <c r="A34" s="3168" t="s">
        <v>2840</v>
      </c>
      <c r="B34" s="3169">
        <v>2021</v>
      </c>
      <c r="C34" s="3170">
        <v>3</v>
      </c>
      <c r="D34" s="3171"/>
      <c r="E34" s="3171">
        <v>0.47</v>
      </c>
      <c r="F34" s="3171">
        <v>0.28000000000000003</v>
      </c>
      <c r="G34" s="3171">
        <v>0.91</v>
      </c>
      <c r="H34" s="3188"/>
      <c r="I34" s="3172">
        <f t="shared" si="26"/>
        <v>0.28000000000000003</v>
      </c>
      <c r="J34" s="3173"/>
      <c r="K34" s="3174"/>
      <c r="L34" s="3164">
        <f t="shared" si="27"/>
        <v>4.6999999999999993E-3</v>
      </c>
      <c r="M34" s="3164">
        <f t="shared" si="27"/>
        <v>2.8000000000000004E-3</v>
      </c>
      <c r="N34" s="3164">
        <f t="shared" si="27"/>
        <v>9.1000000000000004E-3</v>
      </c>
      <c r="O34" s="3164"/>
      <c r="P34" s="3164">
        <f t="shared" si="33"/>
        <v>2.8000000000000004E-3</v>
      </c>
      <c r="Q34" s="3173"/>
      <c r="R34" s="3175"/>
      <c r="S34" s="3175" t="e">
        <f>ROUND(IF([3]项目基本情况!$B$8="出让",SUMPRODUCT(PRODUCT(1+L34:L$36)),SUMPRODUCT(PRODUCT(1+L34:L$35))),4)</f>
        <v>#REF!</v>
      </c>
      <c r="T34" s="3175" t="e">
        <f>ROUND(IF([3]项目基本情况!$B$8="出让",SUMPRODUCT(PRODUCT(1+M34:M$36)),SUMPRODUCT(PRODUCT(1+M34:M$35))),4)</f>
        <v>#REF!</v>
      </c>
      <c r="U34" s="3175" t="e">
        <f>ROUND(IF([3]项目基本情况!$B$8="出让",SUMPRODUCT(PRODUCT(1+N34:N$36)),SUMPRODUCT(PRODUCT(1+N34:N$35))),4)</f>
        <v>#REF!</v>
      </c>
      <c r="V34" s="3175"/>
      <c r="W34" s="3175" t="e">
        <f t="shared" si="34"/>
        <v>#REF!</v>
      </c>
      <c r="X34" s="3173"/>
      <c r="Y34" s="3176"/>
      <c r="Z34" s="3204">
        <f t="shared" si="35"/>
        <v>4.5999999999999999E-3</v>
      </c>
      <c r="AA34" s="3206">
        <f t="shared" si="35"/>
        <v>4.1000000000000003E-3</v>
      </c>
      <c r="AB34" s="3176">
        <f t="shared" si="35"/>
        <v>0.01</v>
      </c>
      <c r="AC34" s="3205"/>
      <c r="AD34" s="3176">
        <f t="shared" si="35"/>
        <v>4.1000000000000003E-3</v>
      </c>
    </row>
    <row r="35" spans="1:30" s="3177" customFormat="1" ht="12.75">
      <c r="A35" s="3168" t="s">
        <v>2841</v>
      </c>
      <c r="B35" s="3169">
        <v>2021</v>
      </c>
      <c r="C35" s="3170">
        <v>2</v>
      </c>
      <c r="D35" s="3171"/>
      <c r="E35" s="3171">
        <v>0.55000000000000004</v>
      </c>
      <c r="F35" s="3171">
        <v>0.46</v>
      </c>
      <c r="G35" s="3171">
        <v>1.1000000000000001</v>
      </c>
      <c r="H35" s="3188"/>
      <c r="I35" s="3172">
        <f t="shared" si="26"/>
        <v>0.46</v>
      </c>
      <c r="J35" s="3173"/>
      <c r="K35" s="3174"/>
      <c r="L35" s="3164">
        <f t="shared" si="27"/>
        <v>5.5000000000000005E-3</v>
      </c>
      <c r="M35" s="3164">
        <f t="shared" si="27"/>
        <v>4.5999999999999999E-3</v>
      </c>
      <c r="N35" s="3164">
        <f t="shared" si="27"/>
        <v>1.1000000000000001E-2</v>
      </c>
      <c r="O35" s="3164"/>
      <c r="P35" s="3164">
        <f t="shared" si="33"/>
        <v>4.5999999999999999E-3</v>
      </c>
      <c r="Q35" s="3173"/>
      <c r="R35" s="3175"/>
      <c r="S35" s="3175" t="e">
        <f>ROUND(IF([3]项目基本情况!$B$8="出让",SUMPRODUCT(PRODUCT(1+L35:L$36)),SUMPRODUCT(PRODUCT(1+L35:L$35))),4)</f>
        <v>#REF!</v>
      </c>
      <c r="T35" s="3175" t="e">
        <f>ROUND(IF([3]项目基本情况!$B$8="出让",SUMPRODUCT(PRODUCT(1+M35:M$36)),SUMPRODUCT(PRODUCT(1+M35:M$35))),4)</f>
        <v>#REF!</v>
      </c>
      <c r="U35" s="3175" t="e">
        <f>ROUND(IF([3]项目基本情况!$B$8="出让",SUMPRODUCT(PRODUCT(1+N35:N$36)),SUMPRODUCT(PRODUCT(1+N35:N$35))),4)</f>
        <v>#REF!</v>
      </c>
      <c r="V35" s="3175"/>
      <c r="W35" s="3175" t="e">
        <f t="shared" si="34"/>
        <v>#REF!</v>
      </c>
      <c r="X35" s="3173"/>
      <c r="Y35" s="3176"/>
      <c r="Z35" s="3204">
        <f t="shared" si="35"/>
        <v>4.4999999999999997E-3</v>
      </c>
      <c r="AA35" s="3206">
        <f t="shared" si="35"/>
        <v>4.7000000000000002E-3</v>
      </c>
      <c r="AB35" s="3176">
        <f t="shared" si="35"/>
        <v>1.04E-2</v>
      </c>
      <c r="AC35" s="3205"/>
      <c r="AD35" s="3176">
        <f t="shared" si="35"/>
        <v>4.7000000000000002E-3</v>
      </c>
    </row>
    <row r="36" spans="1:30" s="3199" customFormat="1" ht="13.5" thickBot="1">
      <c r="A36" s="3189" t="s">
        <v>2826</v>
      </c>
      <c r="B36" s="3190">
        <v>2021</v>
      </c>
      <c r="C36" s="3191">
        <v>1</v>
      </c>
      <c r="D36" s="3192"/>
      <c r="E36" s="3192">
        <v>0.35</v>
      </c>
      <c r="F36" s="3192">
        <v>0.48</v>
      </c>
      <c r="G36" s="3192">
        <v>0.98</v>
      </c>
      <c r="H36" s="3193"/>
      <c r="I36" s="3194">
        <f t="shared" si="26"/>
        <v>0.48</v>
      </c>
      <c r="J36" s="3195"/>
      <c r="K36" s="3196"/>
      <c r="L36" s="3197">
        <f t="shared" si="27"/>
        <v>3.4999999999999996E-3</v>
      </c>
      <c r="M36" s="3197">
        <f>F36/100</f>
        <v>4.7999999999999996E-3</v>
      </c>
      <c r="N36" s="3197">
        <f t="shared" si="27"/>
        <v>9.7999999999999997E-3</v>
      </c>
      <c r="O36" s="3197"/>
      <c r="P36" s="3197">
        <f t="shared" si="33"/>
        <v>4.7999999999999996E-3</v>
      </c>
      <c r="Q36" s="3195"/>
      <c r="R36" s="3198"/>
      <c r="S36" s="3198">
        <v>1</v>
      </c>
      <c r="T36" s="3198">
        <v>1</v>
      </c>
      <c r="U36" s="3198">
        <v>1</v>
      </c>
      <c r="V36" s="3198"/>
      <c r="W36" s="3198">
        <f t="shared" si="34"/>
        <v>1</v>
      </c>
      <c r="X36" s="3195"/>
      <c r="Y36" s="3197"/>
      <c r="Z36" s="3210">
        <f t="shared" si="35"/>
        <v>3.5000000000000001E-3</v>
      </c>
      <c r="AA36" s="3211">
        <f t="shared" si="35"/>
        <v>4.7999999999999996E-3</v>
      </c>
      <c r="AB36" s="3197">
        <f t="shared" si="35"/>
        <v>9.7999999999999997E-3</v>
      </c>
      <c r="AC36" s="3212"/>
      <c r="AD36" s="3197">
        <f t="shared" si="35"/>
        <v>4.7999999999999996E-3</v>
      </c>
    </row>
    <row r="37" spans="1:30" ht="15" thickTop="1"/>
    <row r="38" spans="1:30">
      <c r="A38" s="3440" t="s">
        <v>3372</v>
      </c>
    </row>
  </sheetData>
  <sheetProtection password="CEE9" sheet="1" objects="1" scenarios="1"/>
  <mergeCells count="4">
    <mergeCell ref="R21:W21"/>
    <mergeCell ref="Y21:AD21"/>
    <mergeCell ref="R1:W1"/>
    <mergeCell ref="Y1:AD1"/>
  </mergeCells>
  <phoneticPr fontId="134" type="noConversion"/>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80" zoomScaleNormal="80" workbookViewId="0">
      <selection activeCell="M25" sqref="M25"/>
    </sheetView>
  </sheetViews>
  <sheetFormatPr defaultColWidth="9" defaultRowHeight="12.75"/>
  <cols>
    <col min="1" max="1" width="9" style="2185"/>
    <col min="2" max="6" width="9" style="2185" customWidth="1"/>
    <col min="7" max="7" width="9" style="2223"/>
    <col min="8" max="8" width="9" style="2185"/>
    <col min="9" max="12" width="9" style="2185" customWidth="1"/>
    <col min="13" max="13" width="2.125" style="2185" customWidth="1"/>
    <col min="14" max="14" width="9" style="2223" customWidth="1"/>
    <col min="15" max="17" width="9" style="2185" customWidth="1"/>
    <col min="18" max="18" width="2.375" style="2185" customWidth="1"/>
    <col min="19" max="19" width="7.125" style="2223" customWidth="1"/>
    <col min="20" max="22" width="7.125" style="2185" customWidth="1"/>
    <col min="23" max="23" width="24.125" style="2185" customWidth="1"/>
    <col min="24" max="25" width="9" style="2185"/>
    <col min="26" max="27" width="11.625" style="2185" customWidth="1"/>
    <col min="28" max="28" width="9" style="2185"/>
    <col min="29" max="29" width="2" style="2185" customWidth="1"/>
    <col min="30" max="16384" width="9" style="2185"/>
  </cols>
  <sheetData>
    <row r="1" spans="1:34" s="2164" customFormat="1">
      <c r="B1" s="3769" t="s">
        <v>452</v>
      </c>
      <c r="C1" s="3769"/>
      <c r="D1" s="3769"/>
      <c r="E1" s="3769"/>
      <c r="F1" s="3769"/>
      <c r="G1" s="3765" t="s">
        <v>453</v>
      </c>
      <c r="H1" s="3765"/>
      <c r="I1" s="3765"/>
      <c r="J1" s="3765"/>
      <c r="K1" s="3765"/>
      <c r="L1" s="3765"/>
      <c r="N1" s="3765" t="s">
        <v>454</v>
      </c>
      <c r="O1" s="3765"/>
      <c r="P1" s="3765"/>
      <c r="Q1" s="3765"/>
      <c r="S1" s="3765" t="s">
        <v>455</v>
      </c>
      <c r="T1" s="3765"/>
      <c r="U1" s="3765"/>
      <c r="V1" s="3765"/>
      <c r="X1" s="3764" t="s">
        <v>456</v>
      </c>
      <c r="Y1" s="3765"/>
      <c r="Z1" s="3765"/>
      <c r="AA1" s="3765"/>
      <c r="AB1" s="3765"/>
      <c r="AD1" s="3764" t="s">
        <v>457</v>
      </c>
      <c r="AE1" s="3765"/>
      <c r="AF1" s="3765"/>
      <c r="AG1" s="3765"/>
      <c r="AH1" s="3765"/>
    </row>
    <row r="2" spans="1:34" s="2165" customFormat="1" ht="14.25" thickBot="1">
      <c r="B2" s="2166" t="s">
        <v>458</v>
      </c>
      <c r="C2" s="2166" t="s">
        <v>459</v>
      </c>
      <c r="D2" s="2167" t="s">
        <v>460</v>
      </c>
      <c r="E2" s="2167" t="s">
        <v>461</v>
      </c>
      <c r="F2" s="2166" t="s">
        <v>462</v>
      </c>
      <c r="G2" s="2168"/>
      <c r="I2" s="2166" t="s">
        <v>458</v>
      </c>
      <c r="J2" s="2167" t="s">
        <v>676</v>
      </c>
      <c r="K2" s="2167" t="s">
        <v>308</v>
      </c>
      <c r="L2" s="2166" t="s">
        <v>462</v>
      </c>
      <c r="N2" s="2166" t="s">
        <v>458</v>
      </c>
      <c r="O2" s="2167" t="s">
        <v>676</v>
      </c>
      <c r="P2" s="2167" t="s">
        <v>308</v>
      </c>
      <c r="Q2" s="2166" t="s">
        <v>462</v>
      </c>
      <c r="S2" s="2166" t="s">
        <v>458</v>
      </c>
      <c r="T2" s="2167" t="s">
        <v>676</v>
      </c>
      <c r="U2" s="2167" t="s">
        <v>308</v>
      </c>
      <c r="V2" s="2166" t="s">
        <v>462</v>
      </c>
      <c r="X2" s="2166" t="s">
        <v>458</v>
      </c>
      <c r="Y2" s="2166" t="s">
        <v>459</v>
      </c>
      <c r="Z2" s="2167" t="s">
        <v>460</v>
      </c>
      <c r="AA2" s="2167" t="s">
        <v>461</v>
      </c>
      <c r="AB2" s="2166" t="s">
        <v>462</v>
      </c>
      <c r="AD2" s="2166" t="s">
        <v>458</v>
      </c>
      <c r="AE2" s="2166" t="s">
        <v>459</v>
      </c>
      <c r="AF2" s="2167" t="s">
        <v>460</v>
      </c>
      <c r="AG2" s="2167" t="s">
        <v>461</v>
      </c>
      <c r="AH2" s="2166" t="s">
        <v>462</v>
      </c>
    </row>
    <row r="3" spans="1:34" s="2175" customFormat="1" ht="14.25">
      <c r="A3" s="2169" t="s">
        <v>2114</v>
      </c>
      <c r="B3" s="2170"/>
      <c r="C3" s="2170"/>
      <c r="D3" s="2171"/>
      <c r="E3" s="2171"/>
      <c r="F3" s="2170"/>
      <c r="G3" s="2172"/>
      <c r="H3" s="2173"/>
      <c r="I3" s="2174">
        <f>ROUND(AVERAGE($I4:$I40),2)</f>
        <v>1.55</v>
      </c>
      <c r="J3" s="2174">
        <f>ROUND(AVERAGE($J4:$J40),2)</f>
        <v>0.97</v>
      </c>
      <c r="K3" s="2174">
        <f>ROUND(AVERAGE($K4:$K40),2)</f>
        <v>1.66</v>
      </c>
      <c r="L3" s="2174">
        <f>ROUND(AVERAGE($L4:$L40),2)</f>
        <v>1.1000000000000001</v>
      </c>
      <c r="N3" s="2172"/>
      <c r="S3" s="2172"/>
      <c r="W3" s="2176"/>
      <c r="X3" s="2177">
        <f>ROUND(SUMPRODUCT(PRODUCT(1+N3:N$39)),4)</f>
        <v>1.6585000000000001</v>
      </c>
      <c r="Y3" s="2177">
        <f>ROUND(SUMPRODUCT(PRODUCT(1+O3:O$39)),4)</f>
        <v>1.3676999999999999</v>
      </c>
      <c r="Z3" s="2177">
        <f t="shared" ref="Z3:Z37" si="0">Y3</f>
        <v>1.3676999999999999</v>
      </c>
      <c r="AA3" s="2177">
        <f>ROUND(SUMPRODUCT(PRODUCT(1+P3:P$39)),4)</f>
        <v>1.7434000000000001</v>
      </c>
      <c r="AB3" s="2177">
        <f>ROUND(SUMPRODUCT(PRODUCT(1+Q3:Q$39)),4)</f>
        <v>1.4609000000000001</v>
      </c>
      <c r="AD3" s="2178">
        <f>ROUND(AVERAGE(I3:I$40)/100,4)</f>
        <v>1.55E-2</v>
      </c>
      <c r="AE3" s="2178">
        <f>ROUND(AVERAGE(J3:J$40)/100,4)</f>
        <v>9.7000000000000003E-3</v>
      </c>
      <c r="AF3" s="2178">
        <f t="shared" ref="AF3:AF38" si="1">AE3</f>
        <v>9.7000000000000003E-3</v>
      </c>
      <c r="AG3" s="2178">
        <f>ROUND(AVERAGE(K3:K$40)/100,4)</f>
        <v>1.66E-2</v>
      </c>
      <c r="AH3" s="2178">
        <f>ROUND(AVERAGE(L3:L$40)/100,4)</f>
        <v>1.0999999999999999E-2</v>
      </c>
    </row>
    <row r="4" spans="1:34" s="2179" customFormat="1" ht="14.25">
      <c r="B4" s="2180"/>
      <c r="C4" s="2180"/>
      <c r="D4" s="2181"/>
      <c r="E4" s="2181"/>
      <c r="F4" s="2180"/>
      <c r="G4" s="2182"/>
      <c r="H4" s="2183"/>
      <c r="I4" s="2184"/>
      <c r="J4" s="2184"/>
      <c r="K4" s="2184"/>
      <c r="L4" s="2184"/>
      <c r="N4" s="2182"/>
      <c r="S4" s="2182"/>
      <c r="X4" s="2185"/>
      <c r="Y4" s="2185"/>
      <c r="Z4" s="2185"/>
      <c r="AA4" s="2185"/>
      <c r="AB4" s="2185"/>
      <c r="AD4" s="2186"/>
      <c r="AE4" s="2186"/>
      <c r="AF4" s="2186"/>
      <c r="AG4" s="2186"/>
      <c r="AH4" s="2186"/>
    </row>
    <row r="5" spans="1:34" s="2205" customFormat="1">
      <c r="A5" s="2198" t="s">
        <v>3367</v>
      </c>
      <c r="B5" s="2199">
        <f t="shared" ref="B5" si="2">B6*(1+N5)</f>
        <v>510.07089659554606</v>
      </c>
      <c r="C5" s="2199">
        <f t="shared" ref="C5" si="3">C6*(1+O5)</f>
        <v>352.55593185737411</v>
      </c>
      <c r="D5" s="2199">
        <f t="shared" ref="D5" si="4">C5</f>
        <v>352.55593185737411</v>
      </c>
      <c r="E5" s="2199">
        <f t="shared" ref="E5" si="5">E6*(1+P5)</f>
        <v>737.27992463403655</v>
      </c>
      <c r="F5" s="2199">
        <f t="shared" ref="F5" si="6">F6*(1+Q5)</f>
        <v>335.88319198297864</v>
      </c>
      <c r="G5" s="3428">
        <v>2022</v>
      </c>
      <c r="H5" s="2200">
        <v>1</v>
      </c>
      <c r="I5" s="2162">
        <v>0</v>
      </c>
      <c r="J5" s="2162">
        <v>0</v>
      </c>
      <c r="K5" s="2162">
        <v>0</v>
      </c>
      <c r="L5" s="2163">
        <v>0</v>
      </c>
      <c r="M5" s="2185"/>
      <c r="N5" s="2201">
        <f t="shared" ref="N5" si="7">I5/100</f>
        <v>0</v>
      </c>
      <c r="O5" s="2186">
        <f t="shared" ref="O5" si="8">J5/100</f>
        <v>0</v>
      </c>
      <c r="P5" s="2186">
        <f t="shared" ref="P5" si="9">K5/100</f>
        <v>0</v>
      </c>
      <c r="Q5" s="2186">
        <f t="shared" ref="Q5" si="10">L5/100</f>
        <v>0</v>
      </c>
      <c r="R5" s="2202"/>
      <c r="S5" s="2201"/>
      <c r="T5" s="2186"/>
      <c r="U5" s="2186"/>
      <c r="V5" s="2186"/>
      <c r="W5" s="2203"/>
      <c r="X5" s="2203" t="e">
        <f>ROUND(IF(项目基本情况!#REF!="出让",SUMPRODUCT(PRODUCT(1+N5:N$40)),SUMPRODUCT(PRODUCT(1+N5:N$39))),4)</f>
        <v>#REF!</v>
      </c>
      <c r="Y5" s="2203" t="e">
        <f>ROUND(IF(项目基本情况!#REF!="出让",SUMPRODUCT(PRODUCT(1+O5:O$40)),SUMPRODUCT(PRODUCT(1+O5:O$39))),4)</f>
        <v>#REF!</v>
      </c>
      <c r="Z5" s="2203" t="e">
        <f t="shared" ref="Z5" si="11">Y5</f>
        <v>#REF!</v>
      </c>
      <c r="AA5" s="2203" t="e">
        <f>ROUND(IF(项目基本情况!#REF!="出让",SUMPRODUCT(PRODUCT(1+P5:P$40)),SUMPRODUCT(PRODUCT(1+P5:P$39))),4)</f>
        <v>#REF!</v>
      </c>
      <c r="AB5" s="2203" t="e">
        <f>ROUND(IF(项目基本情况!#REF!="出让",SUMPRODUCT(PRODUCT(1+Q5:Q$40)),SUMPRODUCT(PRODUCT(1+Q5:Q$39))),4)</f>
        <v>#REF!</v>
      </c>
      <c r="AC5" s="2203"/>
      <c r="AD5" s="2204">
        <f>ROUND(AVERAGE(I5:I$40)/100,4)</f>
        <v>1.55E-2</v>
      </c>
      <c r="AE5" s="2204">
        <f>ROUND(AVERAGE(J5:J$40)/100,4)</f>
        <v>9.7000000000000003E-3</v>
      </c>
      <c r="AF5" s="2204">
        <f t="shared" ref="AF5" si="12">AE5</f>
        <v>9.7000000000000003E-3</v>
      </c>
      <c r="AG5" s="2204">
        <f>ROUND(AVERAGE(K5:K$40)/100,4)</f>
        <v>1.66E-2</v>
      </c>
      <c r="AH5" s="2204">
        <f>ROUND(AVERAGE(L5:L$40)/100,4)</f>
        <v>1.0999999999999999E-2</v>
      </c>
    </row>
    <row r="6" spans="1:34" s="2192" customFormat="1">
      <c r="A6" s="2187" t="s">
        <v>3364</v>
      </c>
      <c r="B6" s="2188">
        <f t="shared" ref="B6" si="13">B7*(1+N6)</f>
        <v>510.07089659554606</v>
      </c>
      <c r="C6" s="2188">
        <f t="shared" ref="C6" si="14">C7*(1+O6)</f>
        <v>352.55593185737411</v>
      </c>
      <c r="D6" s="2188">
        <f t="shared" ref="D6" si="15">C6</f>
        <v>352.55593185737411</v>
      </c>
      <c r="E6" s="2188">
        <f t="shared" ref="E6" si="16">E7*(1+P6)</f>
        <v>737.27992463403655</v>
      </c>
      <c r="F6" s="2188">
        <f t="shared" ref="F6" si="17">F7*(1+Q6)</f>
        <v>335.88319198297864</v>
      </c>
      <c r="G6" s="3428">
        <v>2022</v>
      </c>
      <c r="H6" s="2190">
        <v>1</v>
      </c>
      <c r="I6" s="2191">
        <v>0</v>
      </c>
      <c r="J6" s="2191">
        <v>0</v>
      </c>
      <c r="K6" s="2191">
        <v>0</v>
      </c>
      <c r="L6" s="2191">
        <v>0</v>
      </c>
      <c r="N6" s="2193">
        <f t="shared" ref="N6" si="18">I6/100</f>
        <v>0</v>
      </c>
      <c r="O6" s="2193">
        <f t="shared" ref="O6" si="19">J6/100</f>
        <v>0</v>
      </c>
      <c r="P6" s="2193">
        <f t="shared" ref="P6" si="20">K6/100</f>
        <v>0</v>
      </c>
      <c r="Q6" s="2193">
        <f t="shared" ref="Q6" si="21">L6/100</f>
        <v>0</v>
      </c>
      <c r="S6" s="2194"/>
      <c r="W6" s="2195" t="s">
        <v>2115</v>
      </c>
      <c r="X6" s="2196" t="e">
        <f>ROUND(IF(项目基本情况!#REF!="出让",SUMPRODUCT(PRODUCT(1+N6:N$40)),SUMPRODUCT(PRODUCT(1+N6:N$39))),4)</f>
        <v>#REF!</v>
      </c>
      <c r="Y6" s="2196" t="e">
        <f>ROUND(IF(项目基本情况!#REF!="出让",SUMPRODUCT(PRODUCT(1+O6:O$40)),SUMPRODUCT(PRODUCT(1+O6:O$39))),4)</f>
        <v>#REF!</v>
      </c>
      <c r="Z6" s="2196" t="e">
        <f t="shared" ref="Z6" si="22">Y6</f>
        <v>#REF!</v>
      </c>
      <c r="AA6" s="2196" t="e">
        <f>ROUND(IF(项目基本情况!#REF!="出让",SUMPRODUCT(PRODUCT(1+P6:P$40)),SUMPRODUCT(PRODUCT(1+P6:P$39))),4)</f>
        <v>#REF!</v>
      </c>
      <c r="AB6" s="2196" t="e">
        <f>ROUND(IF(项目基本情况!#REF!="出让",SUMPRODUCT(PRODUCT(1+Q6:Q$40)),SUMPRODUCT(PRODUCT(1+Q6:Q$39))),4)</f>
        <v>#REF!</v>
      </c>
      <c r="AD6" s="2197">
        <f>ROUND(AVERAGE(I6:I$40)/100,4)</f>
        <v>1.6E-2</v>
      </c>
      <c r="AE6" s="2197">
        <f>ROUND(AVERAGE(J6:J$40)/100,4)</f>
        <v>0.01</v>
      </c>
      <c r="AF6" s="2197">
        <f t="shared" ref="AF6" si="23">AE6</f>
        <v>0.01</v>
      </c>
      <c r="AG6" s="2197">
        <f>ROUND(AVERAGE(K6:K$40)/100,4)</f>
        <v>1.7100000000000001E-2</v>
      </c>
      <c r="AH6" s="2197">
        <f>ROUND(AVERAGE(L6:L$40)/100,4)</f>
        <v>1.1299999999999999E-2</v>
      </c>
    </row>
    <row r="7" spans="1:34" s="2205" customFormat="1">
      <c r="A7" s="2198" t="s">
        <v>3365</v>
      </c>
      <c r="B7" s="2199">
        <f t="shared" ref="B7" si="24">B8*(1+N7)</f>
        <v>510.07089659554606</v>
      </c>
      <c r="C7" s="2199">
        <f t="shared" ref="C7" si="25">C8*(1+O7)</f>
        <v>352.55593185737411</v>
      </c>
      <c r="D7" s="2199">
        <f t="shared" ref="D7" si="26">C7</f>
        <v>352.55593185737411</v>
      </c>
      <c r="E7" s="2199">
        <f t="shared" ref="E7" si="27">E8*(1+P7)</f>
        <v>737.27992463403655</v>
      </c>
      <c r="F7" s="2199">
        <f t="shared" ref="F7" si="28">F8*(1+Q7)</f>
        <v>335.88319198297864</v>
      </c>
      <c r="G7" s="3428">
        <v>2022</v>
      </c>
      <c r="H7" s="2200">
        <v>1</v>
      </c>
      <c r="I7" s="2162">
        <v>0</v>
      </c>
      <c r="J7" s="2162">
        <v>0</v>
      </c>
      <c r="K7" s="2162">
        <v>0</v>
      </c>
      <c r="L7" s="2163">
        <v>0</v>
      </c>
      <c r="M7" s="2185"/>
      <c r="N7" s="2201">
        <f t="shared" ref="N7" si="29">I7/100</f>
        <v>0</v>
      </c>
      <c r="O7" s="2186">
        <f t="shared" ref="O7" si="30">J7/100</f>
        <v>0</v>
      </c>
      <c r="P7" s="2186">
        <f t="shared" ref="P7" si="31">K7/100</f>
        <v>0</v>
      </c>
      <c r="Q7" s="2186">
        <f t="shared" ref="Q7" si="32">L7/100</f>
        <v>0</v>
      </c>
      <c r="R7" s="2202"/>
      <c r="S7" s="2201"/>
      <c r="T7" s="2186"/>
      <c r="U7" s="2186"/>
      <c r="V7" s="2186"/>
      <c r="W7" s="2203"/>
      <c r="X7" s="2203" t="e">
        <f>ROUND(IF(项目基本情况!#REF!="出让",SUMPRODUCT(PRODUCT(1+N7:N$40)),SUMPRODUCT(PRODUCT(1+N7:N$39))),4)</f>
        <v>#REF!</v>
      </c>
      <c r="Y7" s="2203" t="e">
        <f>ROUND(IF(项目基本情况!#REF!="出让",SUMPRODUCT(PRODUCT(1+O7:O$40)),SUMPRODUCT(PRODUCT(1+O7:O$39))),4)</f>
        <v>#REF!</v>
      </c>
      <c r="Z7" s="2203" t="e">
        <f t="shared" ref="Z7" si="33">Y7</f>
        <v>#REF!</v>
      </c>
      <c r="AA7" s="2203" t="e">
        <f>ROUND(IF(项目基本情况!#REF!="出让",SUMPRODUCT(PRODUCT(1+P7:P$40)),SUMPRODUCT(PRODUCT(1+P7:P$39))),4)</f>
        <v>#REF!</v>
      </c>
      <c r="AB7" s="2203" t="e">
        <f>ROUND(IF(项目基本情况!#REF!="出让",SUMPRODUCT(PRODUCT(1+Q7:Q$40)),SUMPRODUCT(PRODUCT(1+Q7:Q$39))),4)</f>
        <v>#REF!</v>
      </c>
      <c r="AC7" s="2203"/>
      <c r="AD7" s="2204">
        <f>ROUND(AVERAGE(I7:I$40)/100,4)</f>
        <v>1.6400000000000001E-2</v>
      </c>
      <c r="AE7" s="2204">
        <f>ROUND(AVERAGE(J7:J$40)/100,4)</f>
        <v>1.03E-2</v>
      </c>
      <c r="AF7" s="2204">
        <f t="shared" ref="AF7" si="34">AE7</f>
        <v>1.03E-2</v>
      </c>
      <c r="AG7" s="2204">
        <f>ROUND(AVERAGE(K7:K$40)/100,4)</f>
        <v>1.7600000000000001E-2</v>
      </c>
      <c r="AH7" s="2204">
        <f>ROUND(AVERAGE(L7:L$40)/100,4)</f>
        <v>1.1599999999999999E-2</v>
      </c>
    </row>
    <row r="8" spans="1:34" s="2205" customFormat="1">
      <c r="A8" s="2198" t="s">
        <v>3366</v>
      </c>
      <c r="B8" s="2199">
        <f t="shared" ref="B8" si="35">B9*(1+N8)</f>
        <v>510.07089659554606</v>
      </c>
      <c r="C8" s="2199">
        <f t="shared" ref="C8" si="36">C9*(1+O8)</f>
        <v>352.55593185737411</v>
      </c>
      <c r="D8" s="2199">
        <f t="shared" ref="D8" si="37">C8</f>
        <v>352.55593185737411</v>
      </c>
      <c r="E8" s="2199">
        <f t="shared" ref="E8" si="38">E9*(1+P8)</f>
        <v>737.27992463403655</v>
      </c>
      <c r="F8" s="2199">
        <f t="shared" ref="F8" si="39">F9*(1+Q8)</f>
        <v>335.88319198297864</v>
      </c>
      <c r="G8" s="3428">
        <v>2022</v>
      </c>
      <c r="H8" s="2200">
        <v>1</v>
      </c>
      <c r="I8" s="2162"/>
      <c r="J8" s="2162"/>
      <c r="K8" s="2162">
        <v>0</v>
      </c>
      <c r="L8" s="2163">
        <v>0</v>
      </c>
      <c r="M8" s="2185"/>
      <c r="N8" s="2201">
        <f t="shared" ref="N8" si="40">I8/100</f>
        <v>0</v>
      </c>
      <c r="O8" s="2186">
        <f t="shared" ref="O8" si="41">J8/100</f>
        <v>0</v>
      </c>
      <c r="P8" s="2186">
        <f t="shared" ref="P8" si="42">K8/100</f>
        <v>0</v>
      </c>
      <c r="Q8" s="2186">
        <f t="shared" ref="Q8" si="43">L8/100</f>
        <v>0</v>
      </c>
      <c r="R8" s="2202"/>
      <c r="S8" s="2201"/>
      <c r="T8" s="2186"/>
      <c r="U8" s="2186"/>
      <c r="V8" s="2186"/>
      <c r="W8" s="2203"/>
      <c r="X8" s="2203">
        <f>ROUND(IF(项目基本情况!B1="出让",SUMPRODUCT(PRODUCT(1+N8:N$40)),SUMPRODUCT(PRODUCT(1+N8:N$39))),4)</f>
        <v>1.6585000000000001</v>
      </c>
      <c r="Y8" s="2203">
        <f>ROUND(IF(项目基本情况!B1="出让",SUMPRODUCT(PRODUCT(1+O8:O$40)),SUMPRODUCT(PRODUCT(1+O8:O$39))),4)</f>
        <v>1.3676999999999999</v>
      </c>
      <c r="Z8" s="2203">
        <f t="shared" ref="Z8" si="44">Y8</f>
        <v>1.3676999999999999</v>
      </c>
      <c r="AA8" s="2203">
        <f>ROUND(IF(项目基本情况!B1="出让",SUMPRODUCT(PRODUCT(1+P8:P$40)),SUMPRODUCT(PRODUCT(1+P8:P$39))),4)</f>
        <v>1.7434000000000001</v>
      </c>
      <c r="AB8" s="2203">
        <f>ROUND(IF(项目基本情况!B1="出让",SUMPRODUCT(PRODUCT(1+Q8:Q$40)),SUMPRODUCT(PRODUCT(1+Q8:Q$39))),4)</f>
        <v>1.4609000000000001</v>
      </c>
      <c r="AC8" s="2203"/>
      <c r="AD8" s="2204">
        <f>ROUND(AVERAGE(I8:I$40)/100,4)</f>
        <v>1.6899999999999998E-2</v>
      </c>
      <c r="AE8" s="2204">
        <f>ROUND(AVERAGE(J8:J$40)/100,4)</f>
        <v>1.06E-2</v>
      </c>
      <c r="AF8" s="2204">
        <f t="shared" ref="AF8" si="45">AE8</f>
        <v>1.06E-2</v>
      </c>
      <c r="AG8" s="2204">
        <f>ROUND(AVERAGE(K8:K$40)/100,4)</f>
        <v>1.8100000000000002E-2</v>
      </c>
      <c r="AH8" s="2204">
        <f>ROUND(AVERAGE(L8:L$40)/100,4)</f>
        <v>1.2E-2</v>
      </c>
    </row>
    <row r="9" spans="1:34" s="2205" customFormat="1">
      <c r="A9" s="2198" t="s">
        <v>2436</v>
      </c>
      <c r="B9" s="2199">
        <f t="shared" ref="B9" si="46">B10*(1+N9)</f>
        <v>510.07089659554606</v>
      </c>
      <c r="C9" s="2199">
        <f t="shared" ref="C9" si="47">C10*(1+O9)</f>
        <v>352.55593185737411</v>
      </c>
      <c r="D9" s="2199">
        <f t="shared" ref="D9" si="48">C9</f>
        <v>352.55593185737411</v>
      </c>
      <c r="E9" s="2199">
        <f t="shared" ref="E9" si="49">E10*(1+P9)</f>
        <v>737.27992463403655</v>
      </c>
      <c r="F9" s="2199">
        <f t="shared" ref="F9" si="50">F10*(1+Q9)</f>
        <v>335.88319198297864</v>
      </c>
      <c r="G9" s="2997">
        <v>2021</v>
      </c>
      <c r="H9" s="2200">
        <v>4</v>
      </c>
      <c r="I9" s="2162">
        <v>1.03</v>
      </c>
      <c r="J9" s="2162">
        <v>0.24</v>
      </c>
      <c r="K9" s="2162">
        <v>1.17</v>
      </c>
      <c r="L9" s="2163">
        <v>0.55000000000000004</v>
      </c>
      <c r="M9" s="2185"/>
      <c r="N9" s="2201">
        <f t="shared" ref="N9" si="51">I9/100</f>
        <v>1.03E-2</v>
      </c>
      <c r="O9" s="2186">
        <f t="shared" ref="O9" si="52">J9/100</f>
        <v>2.3999999999999998E-3</v>
      </c>
      <c r="P9" s="2186">
        <f t="shared" ref="P9" si="53">K9/100</f>
        <v>1.1699999999999999E-2</v>
      </c>
      <c r="Q9" s="2186">
        <f t="shared" ref="Q9" si="54">L9/100</f>
        <v>5.5000000000000005E-3</v>
      </c>
      <c r="R9" s="2202"/>
      <c r="S9" s="2201"/>
      <c r="T9" s="2186"/>
      <c r="U9" s="2186"/>
      <c r="V9" s="2186"/>
      <c r="W9" s="2203"/>
      <c r="X9" s="2203">
        <f>ROUND(IF(项目基本情况!B2="出让",SUMPRODUCT(PRODUCT(1+N9:N$40)),SUMPRODUCT(PRODUCT(1+N9:N$39))),4)</f>
        <v>1.6585000000000001</v>
      </c>
      <c r="Y9" s="2203">
        <f>ROUND(IF(项目基本情况!B2="出让",SUMPRODUCT(PRODUCT(1+O9:O$40)),SUMPRODUCT(PRODUCT(1+O9:O$39))),4)</f>
        <v>1.3676999999999999</v>
      </c>
      <c r="Z9" s="2203">
        <f t="shared" ref="Z9" si="55">Y9</f>
        <v>1.3676999999999999</v>
      </c>
      <c r="AA9" s="2203">
        <f>ROUND(IF(项目基本情况!B2="出让",SUMPRODUCT(PRODUCT(1+P9:P$40)),SUMPRODUCT(PRODUCT(1+P9:P$39))),4)</f>
        <v>1.7434000000000001</v>
      </c>
      <c r="AB9" s="2203">
        <f>ROUND(IF(项目基本情况!B2="出让",SUMPRODUCT(PRODUCT(1+Q9:Q$40)),SUMPRODUCT(PRODUCT(1+Q9:Q$39))),4)</f>
        <v>1.4609000000000001</v>
      </c>
      <c r="AC9" s="2203"/>
      <c r="AD9" s="2204">
        <f>ROUND(AVERAGE(I9:I$40)/100,4)</f>
        <v>1.6899999999999998E-2</v>
      </c>
      <c r="AE9" s="2204">
        <f>ROUND(AVERAGE(J9:J$40)/100,4)</f>
        <v>1.06E-2</v>
      </c>
      <c r="AF9" s="2204">
        <f t="shared" ref="AF9" si="56">AE9</f>
        <v>1.06E-2</v>
      </c>
      <c r="AG9" s="2204">
        <f>ROUND(AVERAGE(K9:K$40)/100,4)</f>
        <v>1.8700000000000001E-2</v>
      </c>
      <c r="AH9" s="2204">
        <f>ROUND(AVERAGE(L9:L$40)/100,4)</f>
        <v>1.24E-2</v>
      </c>
    </row>
    <row r="10" spans="1:34" s="2205" customFormat="1">
      <c r="A10" s="2198" t="s">
        <v>2313</v>
      </c>
      <c r="B10" s="2199">
        <f t="shared" ref="B10" si="57">B11*(1+N10)</f>
        <v>504.87072809615569</v>
      </c>
      <c r="C10" s="2199">
        <f t="shared" ref="C10" si="58">C11*(1+O10)</f>
        <v>351.71182348101968</v>
      </c>
      <c r="D10" s="2199">
        <f t="shared" ref="D10" si="59">C10</f>
        <v>351.71182348101968</v>
      </c>
      <c r="E10" s="2199">
        <f t="shared" ref="E10" si="60">E11*(1+P10)</f>
        <v>728.75350858360832</v>
      </c>
      <c r="F10" s="2199">
        <f t="shared" ref="F10" si="61">F11*(1+Q10)</f>
        <v>334.04593931673656</v>
      </c>
      <c r="G10" s="2822">
        <v>2021</v>
      </c>
      <c r="H10" s="2200">
        <v>3</v>
      </c>
      <c r="I10" s="2162">
        <v>0.47</v>
      </c>
      <c r="J10" s="2162">
        <v>0.41</v>
      </c>
      <c r="K10" s="2162">
        <v>0.48</v>
      </c>
      <c r="L10" s="2163">
        <v>0.48</v>
      </c>
      <c r="M10" s="2185"/>
      <c r="N10" s="2201">
        <f t="shared" ref="N10" si="62">I10/100</f>
        <v>4.6999999999999993E-3</v>
      </c>
      <c r="O10" s="2186">
        <f t="shared" ref="O10" si="63">J10/100</f>
        <v>4.0999999999999995E-3</v>
      </c>
      <c r="P10" s="2186">
        <f t="shared" ref="P10" si="64">K10/100</f>
        <v>4.7999999999999996E-3</v>
      </c>
      <c r="Q10" s="2186">
        <f t="shared" ref="Q10" si="65">L10/100</f>
        <v>4.7999999999999996E-3</v>
      </c>
      <c r="R10" s="2202"/>
      <c r="S10" s="2201"/>
      <c r="T10" s="2186"/>
      <c r="U10" s="2186"/>
      <c r="V10" s="2186"/>
      <c r="W10" s="2203"/>
      <c r="X10" s="2203">
        <f>ROUND(IF(项目基本情况!B3="出让",SUMPRODUCT(PRODUCT(1+N10:N$40)),SUMPRODUCT(PRODUCT(1+N10:N$39))),4)</f>
        <v>1.6415999999999999</v>
      </c>
      <c r="Y10" s="2203">
        <f>ROUND(IF(项目基本情况!B3="出让",SUMPRODUCT(PRODUCT(1+O10:O$40)),SUMPRODUCT(PRODUCT(1+O10:O$39))),4)</f>
        <v>1.3644000000000001</v>
      </c>
      <c r="Z10" s="2203">
        <f t="shared" ref="Z10" si="66">Y10</f>
        <v>1.3644000000000001</v>
      </c>
      <c r="AA10" s="2203">
        <f>ROUND(IF(项目基本情况!B3="出让",SUMPRODUCT(PRODUCT(1+P10:P$40)),SUMPRODUCT(PRODUCT(1+P10:P$39))),4)</f>
        <v>1.7232000000000001</v>
      </c>
      <c r="AB10" s="2203">
        <f>ROUND(IF(项目基本情况!B3="出让",SUMPRODUCT(PRODUCT(1+Q10:Q$40)),SUMPRODUCT(PRODUCT(1+Q10:Q$39))),4)</f>
        <v>1.4529000000000001</v>
      </c>
      <c r="AC10" s="2203"/>
      <c r="AD10" s="2204">
        <f>ROUND(AVERAGE(I10:I$40)/100,4)</f>
        <v>1.72E-2</v>
      </c>
      <c r="AE10" s="2204">
        <f>ROUND(AVERAGE(J10:J$40)/100,4)</f>
        <v>1.09E-2</v>
      </c>
      <c r="AF10" s="2204">
        <f t="shared" ref="AF10" si="67">AE10</f>
        <v>1.09E-2</v>
      </c>
      <c r="AG10" s="2204">
        <f>ROUND(AVERAGE(K10:K$40)/100,4)</f>
        <v>1.89E-2</v>
      </c>
      <c r="AH10" s="2204">
        <f>ROUND(AVERAGE(L10:L$40)/100,4)</f>
        <v>1.26E-2</v>
      </c>
    </row>
    <row r="11" spans="1:34" s="2205" customFormat="1">
      <c r="A11" s="2198" t="s">
        <v>2312</v>
      </c>
      <c r="B11" s="2199">
        <f t="shared" ref="B11" si="68">B12*(1+N11)</f>
        <v>502.50893609650217</v>
      </c>
      <c r="C11" s="2199">
        <f t="shared" ref="C11" si="69">C12*(1+O11)</f>
        <v>350.27569313914915</v>
      </c>
      <c r="D11" s="2199">
        <f t="shared" ref="D11" si="70">C11</f>
        <v>350.27569313914915</v>
      </c>
      <c r="E11" s="2199">
        <f t="shared" ref="E11" si="71">E12*(1+P11)</f>
        <v>725.27220201394141</v>
      </c>
      <c r="F11" s="2199">
        <f t="shared" ref="F11" si="72">F12*(1+Q11)</f>
        <v>332.45017846012797</v>
      </c>
      <c r="G11" s="2821">
        <v>2021</v>
      </c>
      <c r="H11" s="2200">
        <v>2</v>
      </c>
      <c r="I11" s="2162">
        <v>0.92</v>
      </c>
      <c r="J11" s="2162">
        <v>0.72</v>
      </c>
      <c r="K11" s="2162">
        <v>0.95</v>
      </c>
      <c r="L11" s="2163">
        <v>1.01</v>
      </c>
      <c r="M11" s="2185"/>
      <c r="N11" s="2201">
        <f t="shared" ref="N11" si="73">I11/100</f>
        <v>9.1999999999999998E-3</v>
      </c>
      <c r="O11" s="2186">
        <f t="shared" ref="O11" si="74">J11/100</f>
        <v>7.1999999999999998E-3</v>
      </c>
      <c r="P11" s="2186">
        <f t="shared" ref="P11" si="75">K11/100</f>
        <v>9.4999999999999998E-3</v>
      </c>
      <c r="Q11" s="2186">
        <f t="shared" ref="Q11" si="76">L11/100</f>
        <v>1.01E-2</v>
      </c>
      <c r="R11" s="2202"/>
      <c r="S11" s="2201"/>
      <c r="T11" s="2186"/>
      <c r="U11" s="2186"/>
      <c r="V11" s="2186"/>
      <c r="W11" s="2203"/>
      <c r="X11" s="2203">
        <f>ROUND(IF(项目基本情况!B4="出让",SUMPRODUCT(PRODUCT(1+N11:N$40)),SUMPRODUCT(PRODUCT(1+N11:N$39))),4)</f>
        <v>1.6338999999999999</v>
      </c>
      <c r="Y11" s="2203">
        <f>ROUND(IF(项目基本情况!B4="出让",SUMPRODUCT(PRODUCT(1+O11:O$40)),SUMPRODUCT(PRODUCT(1+O11:O$39))),4)</f>
        <v>1.3588</v>
      </c>
      <c r="Z11" s="2203">
        <f t="shared" ref="Z11" si="77">Y11</f>
        <v>1.3588</v>
      </c>
      <c r="AA11" s="2203">
        <f>ROUND(IF(项目基本情况!B4="出让",SUMPRODUCT(PRODUCT(1+P11:P$40)),SUMPRODUCT(PRODUCT(1+P11:P$39))),4)</f>
        <v>1.7150000000000001</v>
      </c>
      <c r="AB11" s="2203">
        <f>ROUND(IF(项目基本情况!B4="出让",SUMPRODUCT(PRODUCT(1+Q11:Q$40)),SUMPRODUCT(PRODUCT(1+Q11:Q$39))),4)</f>
        <v>1.446</v>
      </c>
      <c r="AC11" s="2203"/>
      <c r="AD11" s="2204">
        <f>ROUND(AVERAGE(I11:I$40)/100,4)</f>
        <v>1.7600000000000001E-2</v>
      </c>
      <c r="AE11" s="2204">
        <f>ROUND(AVERAGE(J11:J$40)/100,4)</f>
        <v>1.11E-2</v>
      </c>
      <c r="AF11" s="2204">
        <f t="shared" ref="AF11" si="78">AE11</f>
        <v>1.11E-2</v>
      </c>
      <c r="AG11" s="2204">
        <f>ROUND(AVERAGE(K11:K$40)/100,4)</f>
        <v>1.9400000000000001E-2</v>
      </c>
      <c r="AH11" s="2204">
        <f>ROUND(AVERAGE(L11:L$40)/100,4)</f>
        <v>1.2800000000000001E-2</v>
      </c>
    </row>
    <row r="12" spans="1:34" s="2205" customFormat="1">
      <c r="A12" s="2198" t="s">
        <v>2311</v>
      </c>
      <c r="B12" s="2199">
        <f t="shared" ref="B12" si="79">B13*(1+N12)</f>
        <v>497.92799851020823</v>
      </c>
      <c r="C12" s="2199">
        <f t="shared" ref="C12" si="80">C13*(1+O12)</f>
        <v>347.77173663537445</v>
      </c>
      <c r="D12" s="2199">
        <f t="shared" ref="D12" si="81">C12</f>
        <v>347.77173663537445</v>
      </c>
      <c r="E12" s="2199">
        <f t="shared" ref="E12" si="82">E13*(1+P12)</f>
        <v>718.44695593258189</v>
      </c>
      <c r="F12" s="2199">
        <f t="shared" ref="F12" si="83">F13*(1+Q12)</f>
        <v>329.12600580153247</v>
      </c>
      <c r="G12" s="2805">
        <v>2021</v>
      </c>
      <c r="H12" s="2200">
        <v>1</v>
      </c>
      <c r="I12" s="2162">
        <v>0.97</v>
      </c>
      <c r="J12" s="2162">
        <v>0.16</v>
      </c>
      <c r="K12" s="2162">
        <v>1.1100000000000001</v>
      </c>
      <c r="L12" s="2163">
        <v>0.36</v>
      </c>
      <c r="M12" s="2185"/>
      <c r="N12" s="2201">
        <f t="shared" ref="N12" si="84">I12/100</f>
        <v>9.7000000000000003E-3</v>
      </c>
      <c r="O12" s="2186">
        <f t="shared" ref="O12" si="85">J12/100</f>
        <v>1.6000000000000001E-3</v>
      </c>
      <c r="P12" s="2186">
        <f t="shared" ref="P12" si="86">K12/100</f>
        <v>1.11E-2</v>
      </c>
      <c r="Q12" s="2186">
        <f t="shared" ref="Q12" si="87">L12/100</f>
        <v>3.5999999999999999E-3</v>
      </c>
      <c r="R12" s="2202"/>
      <c r="S12" s="2201">
        <f>B12/B13-1</f>
        <v>9.7000000000000419E-3</v>
      </c>
      <c r="T12" s="2186">
        <f t="shared" ref="T12" si="88">C12/C13-1</f>
        <v>1.6000000000000458E-3</v>
      </c>
      <c r="U12" s="2186">
        <f t="shared" ref="U12" si="89">D12/D13-1</f>
        <v>1.6000000000000458E-3</v>
      </c>
      <c r="V12" s="2186">
        <f t="shared" ref="V12" si="90">E12/E13-1</f>
        <v>1.110000000000011E-2</v>
      </c>
      <c r="W12" s="2203"/>
      <c r="X12" s="2203">
        <f>ROUND(IF(项目基本情况!B5="出让",SUMPRODUCT(PRODUCT(1+N12:N$40)),SUMPRODUCT(PRODUCT(1+N12:N$39))),4)</f>
        <v>1.619</v>
      </c>
      <c r="Y12" s="2203">
        <f>ROUND(IF(项目基本情况!B5="出让",SUMPRODUCT(PRODUCT(1+O12:O$40)),SUMPRODUCT(PRODUCT(1+O12:O$39))),4)</f>
        <v>1.3491</v>
      </c>
      <c r="Z12" s="2203">
        <f t="shared" ref="Z12" si="91">Y12</f>
        <v>1.3491</v>
      </c>
      <c r="AA12" s="2203">
        <f>ROUND(IF(项目基本情况!B5="出让",SUMPRODUCT(PRODUCT(1+P12:P$40)),SUMPRODUCT(PRODUCT(1+P12:P$39))),4)</f>
        <v>1.6988000000000001</v>
      </c>
      <c r="AB12" s="2203">
        <f>ROUND(IF(项目基本情况!B5="出让",SUMPRODUCT(PRODUCT(1+Q12:Q$40)),SUMPRODUCT(PRODUCT(1+Q12:Q$39))),4)</f>
        <v>1.4315</v>
      </c>
      <c r="AC12" s="2203"/>
      <c r="AD12" s="2204">
        <f>ROUND(AVERAGE(I12:I$40)/100,4)</f>
        <v>1.7899999999999999E-2</v>
      </c>
      <c r="AE12" s="2204">
        <f>ROUND(AVERAGE(J12:J$40)/100,4)</f>
        <v>1.12E-2</v>
      </c>
      <c r="AF12" s="2204">
        <f t="shared" ref="AF12" si="92">AE12</f>
        <v>1.12E-2</v>
      </c>
      <c r="AG12" s="2204">
        <f>ROUND(AVERAGE(K12:K$40)/100,4)</f>
        <v>1.9699999999999999E-2</v>
      </c>
      <c r="AH12" s="2204">
        <f>ROUND(AVERAGE(L12:L$40)/100,4)</f>
        <v>1.29E-2</v>
      </c>
    </row>
    <row r="13" spans="1:34" s="2205" customFormat="1">
      <c r="A13" s="2198" t="s">
        <v>2309</v>
      </c>
      <c r="B13" s="2199">
        <f t="shared" ref="B13" si="93">B14*(1+N13)</f>
        <v>493.14449689037161</v>
      </c>
      <c r="C13" s="2199">
        <f t="shared" ref="C13" si="94">C14*(1+O13)</f>
        <v>347.21619073020611</v>
      </c>
      <c r="D13" s="2199">
        <f t="shared" ref="D13" si="95">C13</f>
        <v>347.21619073020611</v>
      </c>
      <c r="E13" s="2199">
        <f t="shared" ref="E13" si="96">E14*(1+P13)</f>
        <v>710.55974278763904</v>
      </c>
      <c r="F13" s="2199">
        <f t="shared" ref="F13" si="97">F14*(1+Q13)</f>
        <v>327.94540235306141</v>
      </c>
      <c r="G13" s="2804">
        <v>2020</v>
      </c>
      <c r="H13" s="2200">
        <v>4</v>
      </c>
      <c r="I13" s="2162">
        <v>2.0699999999999998</v>
      </c>
      <c r="J13" s="2162">
        <v>0.37</v>
      </c>
      <c r="K13" s="2162">
        <v>2.35</v>
      </c>
      <c r="L13" s="2163">
        <v>2.69</v>
      </c>
      <c r="M13" s="2185"/>
      <c r="N13" s="2201">
        <f t="shared" ref="N13" si="98">I13/100</f>
        <v>2.07E-2</v>
      </c>
      <c r="O13" s="2186">
        <f t="shared" ref="O13" si="99">J13/100</f>
        <v>3.7000000000000002E-3</v>
      </c>
      <c r="P13" s="2186">
        <f t="shared" ref="P13" si="100">K13/100</f>
        <v>2.35E-2</v>
      </c>
      <c r="Q13" s="2186">
        <f t="shared" ref="Q13" si="101">L13/100</f>
        <v>2.69E-2</v>
      </c>
      <c r="R13" s="2202"/>
      <c r="S13" s="2201"/>
      <c r="T13" s="2186"/>
      <c r="U13" s="2186"/>
      <c r="V13" s="2186"/>
      <c r="W13" s="2203"/>
      <c r="X13" s="2203">
        <f>ROUND(IF(项目基本情况!B6="出让",SUMPRODUCT(PRODUCT(1+N13:N$40)),SUMPRODUCT(PRODUCT(1+N13:N$39))),4)</f>
        <v>1.6034999999999999</v>
      </c>
      <c r="Y13" s="2203">
        <f>ROUND(IF(项目基本情况!B6="出让",SUMPRODUCT(PRODUCT(1+O13:O$40)),SUMPRODUCT(PRODUCT(1+O13:O$39))),4)</f>
        <v>1.3469</v>
      </c>
      <c r="Z13" s="2203">
        <f t="shared" ref="Z13" si="102">Y13</f>
        <v>1.3469</v>
      </c>
      <c r="AA13" s="2203">
        <f>ROUND(IF(项目基本情况!B6="出让",SUMPRODUCT(PRODUCT(1+P13:P$40)),SUMPRODUCT(PRODUCT(1+P13:P$39))),4)</f>
        <v>1.6801999999999999</v>
      </c>
      <c r="AB13" s="2203">
        <f>ROUND(IF(项目基本情况!B6="出让",SUMPRODUCT(PRODUCT(1+Q13:Q$40)),SUMPRODUCT(PRODUCT(1+Q13:Q$39))),4)</f>
        <v>1.4263999999999999</v>
      </c>
      <c r="AC13" s="2203"/>
      <c r="AD13" s="2204">
        <f>ROUND(AVERAGE(I13:I$40)/100,4)</f>
        <v>1.8200000000000001E-2</v>
      </c>
      <c r="AE13" s="2204">
        <f>ROUND(AVERAGE(J13:J$40)/100,4)</f>
        <v>1.1599999999999999E-2</v>
      </c>
      <c r="AF13" s="2204">
        <f t="shared" ref="AF13" si="103">AE13</f>
        <v>1.1599999999999999E-2</v>
      </c>
      <c r="AG13" s="2204">
        <f>ROUND(AVERAGE(K13:K$40)/100,4)</f>
        <v>0.02</v>
      </c>
      <c r="AH13" s="2204">
        <f>ROUND(AVERAGE(L13:L$40)/100,4)</f>
        <v>1.3299999999999999E-2</v>
      </c>
    </row>
    <row r="14" spans="1:34" s="2205" customFormat="1">
      <c r="A14" s="2198" t="s">
        <v>2308</v>
      </c>
      <c r="B14" s="2199">
        <f t="shared" ref="B14" si="104">B15*(1+N14)</f>
        <v>483.1434279321756</v>
      </c>
      <c r="C14" s="2199">
        <f t="shared" ref="C14" si="105">C15*(1+O14)</f>
        <v>345.93622669144776</v>
      </c>
      <c r="D14" s="2199">
        <f t="shared" ref="D14" si="106">C14</f>
        <v>345.93622669144776</v>
      </c>
      <c r="E14" s="2199">
        <f t="shared" ref="E14" si="107">E15*(1+P14)</f>
        <v>694.24498562544113</v>
      </c>
      <c r="F14" s="2199">
        <f t="shared" ref="F14" si="108">F15*(1+Q14)</f>
        <v>319.35475932716082</v>
      </c>
      <c r="G14" s="2801">
        <v>2020</v>
      </c>
      <c r="H14" s="2200">
        <v>3</v>
      </c>
      <c r="I14" s="2162">
        <v>0.36</v>
      </c>
      <c r="J14" s="2162">
        <v>-0.39</v>
      </c>
      <c r="K14" s="2162">
        <v>0.49</v>
      </c>
      <c r="L14" s="2163">
        <v>7.0000000000000007E-2</v>
      </c>
      <c r="M14" s="2185"/>
      <c r="N14" s="2201">
        <f t="shared" ref="N14" si="109">I14/100</f>
        <v>3.5999999999999999E-3</v>
      </c>
      <c r="O14" s="2186">
        <f t="shared" ref="O14" si="110">J14/100</f>
        <v>-3.9000000000000003E-3</v>
      </c>
      <c r="P14" s="2186">
        <f t="shared" ref="P14" si="111">K14/100</f>
        <v>4.8999999999999998E-3</v>
      </c>
      <c r="Q14" s="2186">
        <f t="shared" ref="Q14" si="112">L14/100</f>
        <v>7.000000000000001E-4</v>
      </c>
      <c r="R14" s="2202"/>
      <c r="S14" s="2201"/>
      <c r="T14" s="2186"/>
      <c r="U14" s="2186"/>
      <c r="V14" s="2186"/>
      <c r="W14" s="2203"/>
      <c r="X14" s="2203">
        <f>ROUND(IF(项目基本情况!B7="出让",SUMPRODUCT(PRODUCT(1+N14:N$40)),SUMPRODUCT(PRODUCT(1+N14:N$39))),4)</f>
        <v>1.571</v>
      </c>
      <c r="Y14" s="2203">
        <f>ROUND(IF(项目基本情况!B7="出让",SUMPRODUCT(PRODUCT(1+O14:O$40)),SUMPRODUCT(PRODUCT(1+O14:O$39))),4)</f>
        <v>1.3420000000000001</v>
      </c>
      <c r="Z14" s="2203">
        <f t="shared" ref="Z14" si="113">Y14</f>
        <v>1.3420000000000001</v>
      </c>
      <c r="AA14" s="2203">
        <f>ROUND(IF(项目基本情况!B7="出让",SUMPRODUCT(PRODUCT(1+P14:P$40)),SUMPRODUCT(PRODUCT(1+P14:P$39))),4)</f>
        <v>1.6415999999999999</v>
      </c>
      <c r="AB14" s="2203">
        <f>ROUND(IF(项目基本情况!B7="出让",SUMPRODUCT(PRODUCT(1+Q14:Q$40)),SUMPRODUCT(PRODUCT(1+Q14:Q$39))),4)</f>
        <v>1.389</v>
      </c>
      <c r="AC14" s="2203"/>
      <c r="AD14" s="2204">
        <f>ROUND(AVERAGE(I14:I$40)/100,4)</f>
        <v>1.8100000000000002E-2</v>
      </c>
      <c r="AE14" s="2204">
        <f>ROUND(AVERAGE(J14:J$40)/100,4)</f>
        <v>1.1900000000000001E-2</v>
      </c>
      <c r="AF14" s="2204">
        <f t="shared" ref="AF14" si="114">AE14</f>
        <v>1.1900000000000001E-2</v>
      </c>
      <c r="AG14" s="2204">
        <f>ROUND(AVERAGE(K14:K$40)/100,4)</f>
        <v>1.9900000000000001E-2</v>
      </c>
      <c r="AH14" s="2204">
        <f>ROUND(AVERAGE(L14:L$40)/100,4)</f>
        <v>1.2800000000000001E-2</v>
      </c>
    </row>
    <row r="15" spans="1:34" s="2205" customFormat="1">
      <c r="A15" s="2198" t="s">
        <v>2130</v>
      </c>
      <c r="B15" s="2199">
        <f t="shared" ref="B15" si="115">B16*(1+N15)</f>
        <v>481.4103506697644</v>
      </c>
      <c r="C15" s="2199">
        <f t="shared" ref="C15" si="116">C16*(1+O15)</f>
        <v>347.29066026648707</v>
      </c>
      <c r="D15" s="2199">
        <f t="shared" ref="D15" si="117">C15</f>
        <v>347.29066026648707</v>
      </c>
      <c r="E15" s="2199">
        <f t="shared" ref="E15" si="118">E16*(1+P15)</f>
        <v>690.85977273901995</v>
      </c>
      <c r="F15" s="2199">
        <f t="shared" ref="F15" si="119">F16*(1+Q15)</f>
        <v>319.13136737000184</v>
      </c>
      <c r="G15" s="2189">
        <v>2020</v>
      </c>
      <c r="H15" s="2200">
        <v>2</v>
      </c>
      <c r="I15" s="2162">
        <v>0.31</v>
      </c>
      <c r="J15" s="2162">
        <v>-0.78</v>
      </c>
      <c r="K15" s="2162">
        <v>0.5</v>
      </c>
      <c r="L15" s="2163">
        <v>0.47</v>
      </c>
      <c r="M15" s="2185"/>
      <c r="N15" s="2201">
        <f t="shared" ref="N15" si="120">I15/100</f>
        <v>3.0999999999999999E-3</v>
      </c>
      <c r="O15" s="2186">
        <f t="shared" ref="O15" si="121">J15/100</f>
        <v>-7.8000000000000005E-3</v>
      </c>
      <c r="P15" s="2186">
        <f t="shared" ref="P15" si="122">K15/100</f>
        <v>5.0000000000000001E-3</v>
      </c>
      <c r="Q15" s="2186">
        <f t="shared" ref="Q15" si="123">L15/100</f>
        <v>4.6999999999999993E-3</v>
      </c>
      <c r="R15" s="2202"/>
      <c r="S15" s="2201"/>
      <c r="T15" s="2186"/>
      <c r="U15" s="2186"/>
      <c r="V15" s="2186"/>
      <c r="W15" s="2203"/>
      <c r="X15" s="2203">
        <f>ROUND(IF(项目基本情况!B8="出让",SUMPRODUCT(PRODUCT(1+N15:N$40)),SUMPRODUCT(PRODUCT(1+N15:N$39))),4)</f>
        <v>1.5652999999999999</v>
      </c>
      <c r="Y15" s="2203">
        <f>ROUND(IF(项目基本情况!B8="出让",SUMPRODUCT(PRODUCT(1+O15:O$40)),SUMPRODUCT(PRODUCT(1+O15:O$39))),4)</f>
        <v>1.3472</v>
      </c>
      <c r="Z15" s="2203">
        <f t="shared" ref="Z15" si="124">Y15</f>
        <v>1.3472</v>
      </c>
      <c r="AA15" s="2203">
        <f>ROUND(IF(项目基本情况!B8="出让",SUMPRODUCT(PRODUCT(1+P15:P$40)),SUMPRODUCT(PRODUCT(1+P15:P$39))),4)</f>
        <v>1.6335999999999999</v>
      </c>
      <c r="AB15" s="2203">
        <f>ROUND(IF(项目基本情况!B8="出让",SUMPRODUCT(PRODUCT(1+Q15:Q$40)),SUMPRODUCT(PRODUCT(1+Q15:Q$39))),4)</f>
        <v>1.3880999999999999</v>
      </c>
      <c r="AC15" s="2203"/>
      <c r="AD15" s="2204">
        <f>ROUND(AVERAGE(I15:I$40)/100,4)</f>
        <v>1.8599999999999998E-2</v>
      </c>
      <c r="AE15" s="2204">
        <f>ROUND(AVERAGE(J15:J$40)/100,4)</f>
        <v>1.2500000000000001E-2</v>
      </c>
      <c r="AF15" s="2204">
        <f t="shared" ref="AF15" si="125">AE15</f>
        <v>1.2500000000000001E-2</v>
      </c>
      <c r="AG15" s="2204">
        <f>ROUND(AVERAGE(K15:K$40)/100,4)</f>
        <v>2.0400000000000001E-2</v>
      </c>
      <c r="AH15" s="2204">
        <f>ROUND(AVERAGE(L15:L$40)/100,4)</f>
        <v>1.32E-2</v>
      </c>
    </row>
    <row r="16" spans="1:34" s="2205" customFormat="1">
      <c r="A16" s="2198" t="s">
        <v>2128</v>
      </c>
      <c r="B16" s="2199">
        <f t="shared" ref="B16" si="126">B17*(1+N16)</f>
        <v>479.92259063878413</v>
      </c>
      <c r="C16" s="2199">
        <f t="shared" ref="C16" si="127">C17*(1+O16)</f>
        <v>350.02082268341775</v>
      </c>
      <c r="D16" s="2199">
        <f t="shared" ref="D16" si="128">C16</f>
        <v>350.02082268341775</v>
      </c>
      <c r="E16" s="2199">
        <f t="shared" ref="E16" si="129">E17*(1+P16)</f>
        <v>687.42265944181099</v>
      </c>
      <c r="F16" s="2199">
        <f t="shared" ref="F16" si="130">F17*(1+Q16)</f>
        <v>317.63846657708956</v>
      </c>
      <c r="G16" s="2189">
        <v>2020</v>
      </c>
      <c r="H16" s="2200">
        <v>1</v>
      </c>
      <c r="I16" s="2162">
        <v>0.12</v>
      </c>
      <c r="J16" s="2162">
        <v>-0.4</v>
      </c>
      <c r="K16" s="2162">
        <v>0.21</v>
      </c>
      <c r="L16" s="2163">
        <v>0.27</v>
      </c>
      <c r="M16" s="2185"/>
      <c r="N16" s="2201">
        <f t="shared" ref="N16" si="131">I16/100</f>
        <v>1.1999999999999999E-3</v>
      </c>
      <c r="O16" s="2186">
        <f t="shared" ref="O16" si="132">J16/100</f>
        <v>-4.0000000000000001E-3</v>
      </c>
      <c r="P16" s="2186">
        <f t="shared" ref="P16" si="133">K16/100</f>
        <v>2.0999999999999999E-3</v>
      </c>
      <c r="Q16" s="2186">
        <f t="shared" ref="Q16" si="134">L16/100</f>
        <v>2.7000000000000001E-3</v>
      </c>
      <c r="R16" s="2202"/>
      <c r="S16" s="2201">
        <f>B16/B17-1</f>
        <v>1.2000000000000899E-3</v>
      </c>
      <c r="T16" s="2186">
        <f t="shared" ref="T16" si="135">C16/C17-1</f>
        <v>-4.0000000000000036E-3</v>
      </c>
      <c r="U16" s="2186">
        <f t="shared" ref="U16" si="136">D16/D17-1</f>
        <v>-4.0000000000000036E-3</v>
      </c>
      <c r="V16" s="2186">
        <f t="shared" ref="V16" si="137">E16/E17-1</f>
        <v>2.0999999999999908E-3</v>
      </c>
      <c r="W16" s="2203"/>
      <c r="X16" s="2203">
        <f>ROUND(IF(项目基本情况!B8="出让",SUMPRODUCT(PRODUCT(1+N16:N$40)),SUMPRODUCT(PRODUCT(1+N16:N$39))),4)</f>
        <v>1.5605</v>
      </c>
      <c r="Y16" s="2203">
        <f>ROUND(IF(项目基本情况!B8="出让",SUMPRODUCT(PRODUCT(1+O16:O$40)),SUMPRODUCT(PRODUCT(1+O16:O$39))),4)</f>
        <v>1.3577999999999999</v>
      </c>
      <c r="Z16" s="2203">
        <f t="shared" ref="Z16" si="138">Y16</f>
        <v>1.3577999999999999</v>
      </c>
      <c r="AA16" s="2203">
        <f>ROUND(IF(项目基本情况!B8="出让",SUMPRODUCT(PRODUCT(1+P16:P$40)),SUMPRODUCT(PRODUCT(1+P16:P$39))),4)</f>
        <v>1.6254999999999999</v>
      </c>
      <c r="AB16" s="2203">
        <f>ROUND(IF(项目基本情况!B8="出让",SUMPRODUCT(PRODUCT(1+Q16:Q$40)),SUMPRODUCT(PRODUCT(1+Q16:Q$39))),4)</f>
        <v>1.3815999999999999</v>
      </c>
      <c r="AC16" s="2203"/>
      <c r="AD16" s="2204">
        <f>ROUND(AVERAGE(I16:I$40)/100,4)</f>
        <v>1.9199999999999998E-2</v>
      </c>
      <c r="AE16" s="2204">
        <f>ROUND(AVERAGE(J16:J$40)/100,4)</f>
        <v>1.3299999999999999E-2</v>
      </c>
      <c r="AF16" s="2204">
        <f t="shared" ref="AF16" si="139">AE16</f>
        <v>1.3299999999999999E-2</v>
      </c>
      <c r="AG16" s="2204">
        <f>ROUND(AVERAGE(K16:K$40)/100,4)</f>
        <v>2.1100000000000001E-2</v>
      </c>
      <c r="AH16" s="2204">
        <f>ROUND(AVERAGE(L16:L$40)/100,4)</f>
        <v>1.3599999999999999E-2</v>
      </c>
    </row>
    <row r="17" spans="1:34" s="2205" customFormat="1">
      <c r="A17" s="2198" t="s">
        <v>2127</v>
      </c>
      <c r="B17" s="2199">
        <f t="shared" ref="B17" si="140">B18*(1+N17)</f>
        <v>479.34737379023579</v>
      </c>
      <c r="C17" s="2199">
        <f t="shared" ref="C17" si="141">C18*(1+O17)</f>
        <v>351.4265287986122</v>
      </c>
      <c r="D17" s="2199">
        <f t="shared" ref="D17" si="142">C17</f>
        <v>351.4265287986122</v>
      </c>
      <c r="E17" s="2199">
        <f t="shared" ref="E17" si="143">E18*(1+P17)</f>
        <v>685.98209703803116</v>
      </c>
      <c r="F17" s="2199">
        <f t="shared" ref="F17" si="144">F18*(1+Q17)</f>
        <v>316.78315206651001</v>
      </c>
      <c r="G17" s="2189">
        <v>2019</v>
      </c>
      <c r="H17" s="2200">
        <v>4</v>
      </c>
      <c r="I17" s="2200">
        <v>0.45</v>
      </c>
      <c r="J17" s="2200">
        <v>-0.12</v>
      </c>
      <c r="K17" s="2200">
        <v>0.54</v>
      </c>
      <c r="L17" s="2206">
        <v>0.48</v>
      </c>
      <c r="M17" s="2185"/>
      <c r="N17" s="2201">
        <f t="shared" ref="N17:N22" si="145">I17/100</f>
        <v>4.5000000000000005E-3</v>
      </c>
      <c r="O17" s="2186">
        <f t="shared" ref="O17" si="146">J17/100</f>
        <v>-1.1999999999999999E-3</v>
      </c>
      <c r="P17" s="2186">
        <f t="shared" ref="P17" si="147">K17/100</f>
        <v>5.4000000000000003E-3</v>
      </c>
      <c r="Q17" s="2186">
        <f t="shared" ref="Q17" si="148">L17/100</f>
        <v>4.7999999999999996E-3</v>
      </c>
      <c r="R17" s="2202"/>
      <c r="S17" s="2201"/>
      <c r="T17" s="2186"/>
      <c r="U17" s="2186"/>
      <c r="V17" s="2186"/>
      <c r="W17" s="2203"/>
      <c r="X17" s="2203">
        <f>ROUND(IF(项目基本情况!B8="出让",SUMPRODUCT(PRODUCT(1+N17:N$40)),SUMPRODUCT(PRODUCT(1+N17:N$39))),4)</f>
        <v>1.5586</v>
      </c>
      <c r="Y17" s="2203">
        <f>ROUND(IF(项目基本情况!B8="出让",SUMPRODUCT(PRODUCT(1+O17:O$40)),SUMPRODUCT(PRODUCT(1+O17:O$39))),4)</f>
        <v>1.3633</v>
      </c>
      <c r="Z17" s="2203">
        <f t="shared" ref="Z17" si="149">Y17</f>
        <v>1.3633</v>
      </c>
      <c r="AA17" s="2203">
        <f>ROUND(IF(项目基本情况!B8="出让",SUMPRODUCT(PRODUCT(1+P17:P$40)),SUMPRODUCT(PRODUCT(1+P17:P$39))),4)</f>
        <v>1.6221000000000001</v>
      </c>
      <c r="AB17" s="2203">
        <f>ROUND(IF(项目基本情况!B8="出让",SUMPRODUCT(PRODUCT(1+Q17:Q$40)),SUMPRODUCT(PRODUCT(1+Q17:Q$39))),4)</f>
        <v>1.3777999999999999</v>
      </c>
      <c r="AC17" s="2203"/>
      <c r="AD17" s="2204">
        <f>ROUND(AVERAGE(I17:I$40)/100,4)</f>
        <v>0.02</v>
      </c>
      <c r="AE17" s="2204">
        <f>ROUND(AVERAGE(J17:J$40)/100,4)</f>
        <v>1.4E-2</v>
      </c>
      <c r="AF17" s="2204">
        <f t="shared" ref="AF17" si="150">AE17</f>
        <v>1.4E-2</v>
      </c>
      <c r="AG17" s="2204">
        <f>ROUND(AVERAGE(K17:K$40)/100,4)</f>
        <v>2.1899999999999999E-2</v>
      </c>
      <c r="AH17" s="2204">
        <f>ROUND(AVERAGE(L17:L$40)/100,4)</f>
        <v>1.4E-2</v>
      </c>
    </row>
    <row r="18" spans="1:34" s="2205" customFormat="1" ht="13.5" thickBot="1">
      <c r="A18" s="2198" t="s">
        <v>2126</v>
      </c>
      <c r="B18" s="2199">
        <f t="shared" ref="B18" si="151">B19*(1+N18)</f>
        <v>477.19997390765138</v>
      </c>
      <c r="C18" s="2199">
        <f t="shared" ref="C18" si="152">C19*(1+O18)</f>
        <v>351.84874729536665</v>
      </c>
      <c r="D18" s="2199">
        <f t="shared" ref="D18" si="153">C18</f>
        <v>351.84874729536665</v>
      </c>
      <c r="E18" s="2199">
        <f t="shared" ref="E18" si="154">E19*(1+P18)</f>
        <v>682.29768951465201</v>
      </c>
      <c r="F18" s="2199">
        <f t="shared" ref="F18" si="155">F19*(1+Q18)</f>
        <v>315.26985675409043</v>
      </c>
      <c r="G18" s="2189">
        <v>2019</v>
      </c>
      <c r="H18" s="2200">
        <v>3</v>
      </c>
      <c r="I18" s="2200">
        <v>0.61</v>
      </c>
      <c r="J18" s="2200">
        <v>0.67</v>
      </c>
      <c r="K18" s="2200">
        <v>0.6</v>
      </c>
      <c r="L18" s="2206">
        <v>1.03</v>
      </c>
      <c r="M18" s="2185"/>
      <c r="N18" s="2201">
        <f t="shared" si="145"/>
        <v>6.0999999999999995E-3</v>
      </c>
      <c r="O18" s="2186">
        <f t="shared" ref="O18" si="156">J18/100</f>
        <v>6.7000000000000002E-3</v>
      </c>
      <c r="P18" s="2186">
        <f t="shared" ref="P18" si="157">K18/100</f>
        <v>6.0000000000000001E-3</v>
      </c>
      <c r="Q18" s="2186">
        <f t="shared" ref="Q18" si="158">L18/100</f>
        <v>1.03E-2</v>
      </c>
      <c r="R18" s="2202"/>
      <c r="S18" s="2201"/>
      <c r="T18" s="2186"/>
      <c r="U18" s="2186"/>
      <c r="V18" s="2186"/>
      <c r="W18" s="2203"/>
      <c r="X18" s="2203">
        <f>ROUND(IF(项目基本情况!B8="出让",SUMPRODUCT(PRODUCT(1+N18:N$40)),SUMPRODUCT(PRODUCT(1+N18:N$39))),4)</f>
        <v>1.5516000000000001</v>
      </c>
      <c r="Y18" s="2203">
        <f>ROUND(IF(项目基本情况!B8="出让",SUMPRODUCT(PRODUCT(1+O18:O$40)),SUMPRODUCT(PRODUCT(1+O18:O$39))),4)</f>
        <v>1.3649</v>
      </c>
      <c r="Z18" s="2203">
        <f t="shared" ref="Z18" si="159">Y18</f>
        <v>1.3649</v>
      </c>
      <c r="AA18" s="2203">
        <f>ROUND(IF(项目基本情况!B8="出让",SUMPRODUCT(PRODUCT(1+P18:P$40)),SUMPRODUCT(PRODUCT(1+P18:P$39))),4)</f>
        <v>1.6133999999999999</v>
      </c>
      <c r="AB18" s="2203">
        <f>ROUND(IF(项目基本情况!B8="出让",SUMPRODUCT(PRODUCT(1+Q18:Q$40)),SUMPRODUCT(PRODUCT(1+Q18:Q$39))),4)</f>
        <v>1.3713</v>
      </c>
      <c r="AC18" s="2203"/>
      <c r="AD18" s="2204">
        <f>ROUND(AVERAGE(I18:I$40)/100,4)</f>
        <v>2.07E-2</v>
      </c>
      <c r="AE18" s="2204">
        <f>ROUND(AVERAGE(J18:J$40)/100,4)</f>
        <v>1.47E-2</v>
      </c>
      <c r="AF18" s="2204">
        <f t="shared" ref="AF18" si="160">AE18</f>
        <v>1.47E-2</v>
      </c>
      <c r="AG18" s="2204">
        <f>ROUND(AVERAGE(K18:K$40)/100,4)</f>
        <v>2.2599999999999999E-2</v>
      </c>
      <c r="AH18" s="2204">
        <f>ROUND(AVERAGE(L18:L$40)/100,4)</f>
        <v>1.44E-2</v>
      </c>
    </row>
    <row r="19" spans="1:34" s="2205" customFormat="1">
      <c r="A19" s="2198" t="s">
        <v>2124</v>
      </c>
      <c r="B19" s="2199">
        <f t="shared" ref="B19" si="161">B20*(1+N19)</f>
        <v>474.30670301923408</v>
      </c>
      <c r="C19" s="2199">
        <f t="shared" ref="C19" si="162">C20*(1+O19)</f>
        <v>349.50705005996491</v>
      </c>
      <c r="D19" s="2199">
        <f t="shared" ref="D19" si="163">C19</f>
        <v>349.50705005996491</v>
      </c>
      <c r="E19" s="2199">
        <f t="shared" ref="E19" si="164">E20*(1+P19)</f>
        <v>678.22831959706957</v>
      </c>
      <c r="F19" s="2199">
        <f t="shared" ref="F19" si="165">F20*(1+Q19)</f>
        <v>312.0556832169558</v>
      </c>
      <c r="G19" s="2189">
        <v>2019</v>
      </c>
      <c r="H19" s="2207">
        <v>2</v>
      </c>
      <c r="I19" s="2207">
        <v>1.53</v>
      </c>
      <c r="J19" s="2207">
        <v>1.01</v>
      </c>
      <c r="K19" s="2207">
        <v>1.62</v>
      </c>
      <c r="L19" s="2208">
        <v>1.25</v>
      </c>
      <c r="M19" s="2185"/>
      <c r="N19" s="2201">
        <f t="shared" si="145"/>
        <v>1.5300000000000001E-2</v>
      </c>
      <c r="O19" s="2186">
        <f t="shared" ref="O19" si="166">J19/100</f>
        <v>1.01E-2</v>
      </c>
      <c r="P19" s="2186">
        <f t="shared" ref="P19" si="167">K19/100</f>
        <v>1.6200000000000003E-2</v>
      </c>
      <c r="Q19" s="2186">
        <f t="shared" ref="Q19" si="168">L19/100</f>
        <v>1.2500000000000001E-2</v>
      </c>
      <c r="R19" s="2202"/>
      <c r="S19" s="2201"/>
      <c r="T19" s="2186"/>
      <c r="U19" s="2186"/>
      <c r="V19" s="2186"/>
      <c r="W19" s="2203"/>
      <c r="X19" s="2203">
        <f>ROUND(IF(项目基本情况!B8="出让",SUMPRODUCT(PRODUCT(1+N19:N$40)),SUMPRODUCT(PRODUCT(1+N19:N$39))),4)</f>
        <v>1.5422</v>
      </c>
      <c r="Y19" s="2203">
        <f>ROUND(IF(项目基本情况!B8="出让",SUMPRODUCT(PRODUCT(1+O19:O$40)),SUMPRODUCT(PRODUCT(1+O19:O$39))),4)</f>
        <v>1.3557999999999999</v>
      </c>
      <c r="Z19" s="2203">
        <f t="shared" ref="Z19" si="169">Y19</f>
        <v>1.3557999999999999</v>
      </c>
      <c r="AA19" s="2203">
        <f>ROUND(IF(项目基本情况!B8="出让",SUMPRODUCT(PRODUCT(1+P19:P$40)),SUMPRODUCT(PRODUCT(1+P19:P$39))),4)</f>
        <v>1.6036999999999999</v>
      </c>
      <c r="AB19" s="2203">
        <f>ROUND(IF(项目基本情况!B8="出让",SUMPRODUCT(PRODUCT(1+Q19:Q$40)),SUMPRODUCT(PRODUCT(1+Q19:Q$39))),4)</f>
        <v>1.3573</v>
      </c>
      <c r="AC19" s="2203"/>
      <c r="AD19" s="2204">
        <f>ROUND(AVERAGE(I19:I$40)/100,4)</f>
        <v>2.1299999999999999E-2</v>
      </c>
      <c r="AE19" s="2204">
        <f>ROUND(AVERAGE(J19:J$40)/100,4)</f>
        <v>1.4999999999999999E-2</v>
      </c>
      <c r="AF19" s="2204">
        <f t="shared" ref="AF19" si="170">AE19</f>
        <v>1.4999999999999999E-2</v>
      </c>
      <c r="AG19" s="2204">
        <f>ROUND(AVERAGE(K19:K$40)/100,4)</f>
        <v>2.3300000000000001E-2</v>
      </c>
      <c r="AH19" s="2204">
        <f>ROUND(AVERAGE(L19:L$40)/100,4)</f>
        <v>1.46E-2</v>
      </c>
    </row>
    <row r="20" spans="1:34" s="2205" customFormat="1" ht="13.5" thickBot="1">
      <c r="A20" s="2198" t="s">
        <v>2123</v>
      </c>
      <c r="B20" s="2199">
        <f t="shared" ref="B20" si="171">B21*(1+N20)</f>
        <v>467.15916775261894</v>
      </c>
      <c r="C20" s="2199">
        <f t="shared" ref="C20" si="172">C21*(1+O20)</f>
        <v>346.01232557169084</v>
      </c>
      <c r="D20" s="2199">
        <f t="shared" ref="D20" si="173">C20</f>
        <v>346.01232557169084</v>
      </c>
      <c r="E20" s="2199">
        <f t="shared" ref="E20" si="174">E21*(1+P20)</f>
        <v>667.41617752122568</v>
      </c>
      <c r="F20" s="2199">
        <f t="shared" ref="F20" si="175">F21*(1+Q20)</f>
        <v>308.20314391798104</v>
      </c>
      <c r="G20" s="2189">
        <v>2019</v>
      </c>
      <c r="H20" s="2200">
        <v>1</v>
      </c>
      <c r="I20" s="2200">
        <v>0.6</v>
      </c>
      <c r="J20" s="2200">
        <v>0.37</v>
      </c>
      <c r="K20" s="2200">
        <v>0.63</v>
      </c>
      <c r="L20" s="2206">
        <v>1.1299999999999999</v>
      </c>
      <c r="M20" s="2185"/>
      <c r="N20" s="2201">
        <f t="shared" si="145"/>
        <v>6.0000000000000001E-3</v>
      </c>
      <c r="O20" s="2186">
        <f t="shared" ref="O20" si="176">J20/100</f>
        <v>3.7000000000000002E-3</v>
      </c>
      <c r="P20" s="2186">
        <f t="shared" ref="P20" si="177">K20/100</f>
        <v>6.3E-3</v>
      </c>
      <c r="Q20" s="2186">
        <f t="shared" ref="Q20" si="178">L20/100</f>
        <v>1.1299999999999999E-2</v>
      </c>
      <c r="R20" s="2202"/>
      <c r="S20" s="2201">
        <f>B20/B21-1</f>
        <v>6.0000000000000053E-3</v>
      </c>
      <c r="T20" s="2186">
        <f t="shared" ref="T20" si="179">C20/C21-1</f>
        <v>3.7000000000000366E-3</v>
      </c>
      <c r="U20" s="2186">
        <f t="shared" ref="U20" si="180">D20/D21-1</f>
        <v>3.7000000000000366E-3</v>
      </c>
      <c r="V20" s="2186">
        <f t="shared" ref="V20" si="181">E20/E21-1</f>
        <v>6.2999999999999723E-3</v>
      </c>
      <c r="W20" s="2203"/>
      <c r="X20" s="2203">
        <f>ROUND(IF(项目基本情况!B8="出让",SUMPRODUCT(PRODUCT(1+N20:N$40)),SUMPRODUCT(PRODUCT(1+N20:N$39))),4)</f>
        <v>1.5189999999999999</v>
      </c>
      <c r="Y20" s="2203">
        <f>ROUND(IF(项目基本情况!B8="出让",SUMPRODUCT(PRODUCT(1+O20:O$40)),SUMPRODUCT(PRODUCT(1+O20:O$39))),4)</f>
        <v>1.3423</v>
      </c>
      <c r="Z20" s="2203">
        <f t="shared" ref="Z20" si="182">Y20</f>
        <v>1.3423</v>
      </c>
      <c r="AA20" s="2203">
        <f>ROUND(IF(项目基本情况!B8="出让",SUMPRODUCT(PRODUCT(1+P20:P$40)),SUMPRODUCT(PRODUCT(1+P20:P$39))),4)</f>
        <v>1.5782</v>
      </c>
      <c r="AB20" s="2203">
        <f>ROUND(IF(项目基本情况!B8="出让",SUMPRODUCT(PRODUCT(1+Q20:Q$40)),SUMPRODUCT(PRODUCT(1+Q20:Q$39))),4)</f>
        <v>1.3405</v>
      </c>
      <c r="AC20" s="2203"/>
      <c r="AD20" s="2204">
        <f>ROUND(AVERAGE(I20:I$40)/100,4)</f>
        <v>2.1600000000000001E-2</v>
      </c>
      <c r="AE20" s="2204">
        <f>ROUND(AVERAGE(J20:J$40)/100,4)</f>
        <v>1.5299999999999999E-2</v>
      </c>
      <c r="AF20" s="2204">
        <f t="shared" ref="AF20" si="183">AE20</f>
        <v>1.5299999999999999E-2</v>
      </c>
      <c r="AG20" s="2204">
        <f>ROUND(AVERAGE(K20:K$40)/100,4)</f>
        <v>2.3699999999999999E-2</v>
      </c>
      <c r="AH20" s="2204">
        <f>ROUND(AVERAGE(L20:L$40)/100,4)</f>
        <v>1.47E-2</v>
      </c>
    </row>
    <row r="21" spans="1:34" s="2205" customFormat="1">
      <c r="A21" s="2198" t="s">
        <v>2125</v>
      </c>
      <c r="B21" s="2209">
        <f t="shared" ref="B21" si="184">B22*(1+N21)</f>
        <v>464.37293017158942</v>
      </c>
      <c r="C21" s="2209">
        <f t="shared" ref="C21" si="185">C22*(1+O21)</f>
        <v>344.73679941385956</v>
      </c>
      <c r="D21" s="2209">
        <f t="shared" ref="D21" si="186">C21</f>
        <v>344.73679941385956</v>
      </c>
      <c r="E21" s="2209">
        <f t="shared" ref="E21" si="187">E22*(1+P21)</f>
        <v>663.2377795103107</v>
      </c>
      <c r="F21" s="2210">
        <f t="shared" ref="F21" si="188">F22*(1+Q21)</f>
        <v>304.75936311478398</v>
      </c>
      <c r="G21" s="3767">
        <v>2018</v>
      </c>
      <c r="H21" s="2207">
        <v>4</v>
      </c>
      <c r="I21" s="2207">
        <v>0.96</v>
      </c>
      <c r="J21" s="2207">
        <v>1.03</v>
      </c>
      <c r="K21" s="2207">
        <v>0.92</v>
      </c>
      <c r="L21" s="2208">
        <v>1.29</v>
      </c>
      <c r="M21" s="2185"/>
      <c r="N21" s="2201">
        <f t="shared" si="145"/>
        <v>9.5999999999999992E-3</v>
      </c>
      <c r="O21" s="2186">
        <f t="shared" ref="O21" si="189">J21/100</f>
        <v>1.03E-2</v>
      </c>
      <c r="P21" s="2186">
        <f t="shared" ref="P21" si="190">K21/100</f>
        <v>9.1999999999999998E-3</v>
      </c>
      <c r="Q21" s="2186">
        <f t="shared" ref="Q21" si="191">L21/100</f>
        <v>1.29E-2</v>
      </c>
      <c r="R21" s="2202"/>
      <c r="S21" s="2201"/>
      <c r="T21" s="2186"/>
      <c r="U21" s="2186"/>
      <c r="V21" s="2186"/>
      <c r="W21" s="2203"/>
      <c r="X21" s="2203">
        <f>ROUND(SUMPRODUCT(PRODUCT(1+N21:N$39)),4)</f>
        <v>1.5099</v>
      </c>
      <c r="Y21" s="2203">
        <f>ROUND(SUMPRODUCT(PRODUCT(1+O21:O$39)),4)</f>
        <v>1.3372999999999999</v>
      </c>
      <c r="Z21" s="2203">
        <f t="shared" ref="Z21" si="192">Y21</f>
        <v>1.3372999999999999</v>
      </c>
      <c r="AA21" s="2203">
        <f>ROUND(SUMPRODUCT(PRODUCT(1+P21:P$39)),4)</f>
        <v>1.5683</v>
      </c>
      <c r="AB21" s="2203">
        <f>ROUND(SUMPRODUCT(PRODUCT(1+Q21:Q$39)),4)</f>
        <v>1.3255999999999999</v>
      </c>
      <c r="AC21" s="2203"/>
      <c r="AD21" s="2204">
        <f>ROUND(AVERAGE(I21:I$40)/100,4)</f>
        <v>2.24E-2</v>
      </c>
      <c r="AE21" s="2204">
        <f>ROUND(AVERAGE(J21:J$40)/100,4)</f>
        <v>1.5800000000000002E-2</v>
      </c>
      <c r="AF21" s="2204">
        <f t="shared" ref="AF21" si="193">AE21</f>
        <v>1.5800000000000002E-2</v>
      </c>
      <c r="AG21" s="2204">
        <f>ROUND(AVERAGE(K21:K$40)/100,4)</f>
        <v>2.4500000000000001E-2</v>
      </c>
      <c r="AH21" s="2204">
        <f>ROUND(AVERAGE(L21:L$40)/100,4)</f>
        <v>1.49E-2</v>
      </c>
    </row>
    <row r="22" spans="1:34" s="2205" customFormat="1" ht="14.45" customHeight="1">
      <c r="A22" s="2198" t="s">
        <v>2121</v>
      </c>
      <c r="B22" s="2199">
        <f t="shared" ref="B22" si="194">B23*(1+N22)</f>
        <v>459.95733971036987</v>
      </c>
      <c r="C22" s="2199">
        <f t="shared" ref="C22" si="195">C23*(1+O22)</f>
        <v>341.22221064422405</v>
      </c>
      <c r="D22" s="2199">
        <f t="shared" ref="D22" si="196">C22</f>
        <v>341.22221064422405</v>
      </c>
      <c r="E22" s="2199">
        <f t="shared" ref="E22" si="197">E23*(1+P22)</f>
        <v>657.19161663724799</v>
      </c>
      <c r="F22" s="2199">
        <f t="shared" ref="F22" si="198">F23*(1+Q22)</f>
        <v>300.87803644464805</v>
      </c>
      <c r="G22" s="3767"/>
      <c r="H22" s="2200">
        <v>3</v>
      </c>
      <c r="I22" s="2200">
        <v>1.51</v>
      </c>
      <c r="J22" s="2200">
        <v>1.41</v>
      </c>
      <c r="K22" s="2200">
        <v>1.52</v>
      </c>
      <c r="L22" s="2206">
        <v>1.74</v>
      </c>
      <c r="M22" s="2185"/>
      <c r="N22" s="2201">
        <f t="shared" si="145"/>
        <v>1.5100000000000001E-2</v>
      </c>
      <c r="O22" s="2186">
        <f t="shared" ref="O22" si="199">J22/100</f>
        <v>1.41E-2</v>
      </c>
      <c r="P22" s="2186">
        <f t="shared" ref="P22" si="200">K22/100</f>
        <v>1.52E-2</v>
      </c>
      <c r="Q22" s="2186">
        <f t="shared" ref="Q22" si="201">L22/100</f>
        <v>1.7399999999999999E-2</v>
      </c>
      <c r="R22" s="2202"/>
      <c r="S22" s="2201"/>
      <c r="T22" s="2186"/>
      <c r="U22" s="2186"/>
      <c r="V22" s="2186"/>
      <c r="W22" s="2203"/>
      <c r="X22" s="2203">
        <f>ROUND(SUMPRODUCT(PRODUCT(1+N22:N$39)),4)</f>
        <v>1.4956</v>
      </c>
      <c r="Y22" s="2203">
        <f>ROUND(SUMPRODUCT(PRODUCT(1+O22:O$39)),4)</f>
        <v>1.3237000000000001</v>
      </c>
      <c r="Z22" s="2203">
        <f t="shared" ref="Z22" si="202">Y22</f>
        <v>1.3237000000000001</v>
      </c>
      <c r="AA22" s="2203">
        <f>ROUND(SUMPRODUCT(PRODUCT(1+P22:P$39)),4)</f>
        <v>1.554</v>
      </c>
      <c r="AB22" s="2203">
        <f>ROUND(SUMPRODUCT(PRODUCT(1+Q22:Q$39)),4)</f>
        <v>1.3087</v>
      </c>
      <c r="AC22" s="2203"/>
      <c r="AD22" s="2204">
        <f>ROUND(AVERAGE(I22:I$40)/100,4)</f>
        <v>2.3099999999999999E-2</v>
      </c>
      <c r="AE22" s="2204">
        <f>ROUND(AVERAGE(J22:J$40)/100,4)</f>
        <v>1.61E-2</v>
      </c>
      <c r="AF22" s="2204">
        <f t="shared" ref="AF22" si="203">AE22</f>
        <v>1.61E-2</v>
      </c>
      <c r="AG22" s="2204">
        <f>ROUND(AVERAGE(K22:K$40)/100,4)</f>
        <v>2.53E-2</v>
      </c>
      <c r="AH22" s="2204">
        <f>ROUND(AVERAGE(L22:L$40)/100,4)</f>
        <v>1.4999999999999999E-2</v>
      </c>
    </row>
    <row r="23" spans="1:34" s="2205" customFormat="1" ht="14.45" customHeight="1">
      <c r="A23" s="2198" t="s">
        <v>2120</v>
      </c>
      <c r="B23" s="2199">
        <f t="shared" ref="B23" si="204">B24*(1+N23)</f>
        <v>453.11529869999993</v>
      </c>
      <c r="C23" s="2199">
        <f t="shared" ref="C23" si="205">C24*(1+O23)</f>
        <v>336.47787264000004</v>
      </c>
      <c r="D23" s="2199">
        <f t="shared" ref="D23" si="206">C23</f>
        <v>336.47787264000004</v>
      </c>
      <c r="E23" s="2199">
        <f t="shared" ref="E23" si="207">E24*(1+P23)</f>
        <v>647.35186823999993</v>
      </c>
      <c r="F23" s="2199">
        <f t="shared" ref="F23" si="208">F24*(1+Q23)</f>
        <v>295.73229452000004</v>
      </c>
      <c r="G23" s="3767"/>
      <c r="H23" s="2211">
        <v>2</v>
      </c>
      <c r="I23" s="2211">
        <v>1.49</v>
      </c>
      <c r="J23" s="2211">
        <v>0.96</v>
      </c>
      <c r="K23" s="2211">
        <v>1.58</v>
      </c>
      <c r="L23" s="2212">
        <v>2.44</v>
      </c>
      <c r="M23" s="2185"/>
      <c r="N23" s="2201">
        <f t="shared" ref="N23" si="209">I23/100</f>
        <v>1.49E-2</v>
      </c>
      <c r="O23" s="2186">
        <f t="shared" ref="O23" si="210">J23/100</f>
        <v>9.5999999999999992E-3</v>
      </c>
      <c r="P23" s="2186">
        <f t="shared" ref="P23" si="211">K23/100</f>
        <v>1.5800000000000002E-2</v>
      </c>
      <c r="Q23" s="2186">
        <f t="shared" ref="Q23" si="212">L23/100</f>
        <v>2.4399999999999998E-2</v>
      </c>
      <c r="R23" s="2202"/>
      <c r="S23" s="2201"/>
      <c r="T23" s="2186"/>
      <c r="U23" s="2186"/>
      <c r="V23" s="2186"/>
      <c r="W23" s="2203"/>
      <c r="X23" s="2203">
        <f>ROUND(SUMPRODUCT(PRODUCT(1+N23:N$39)),4)</f>
        <v>1.4733000000000001</v>
      </c>
      <c r="Y23" s="2203">
        <f>ROUND(SUMPRODUCT(PRODUCT(1+O23:O$39)),4)</f>
        <v>1.3052999999999999</v>
      </c>
      <c r="Z23" s="2203">
        <f t="shared" ref="Z23" si="213">Y23</f>
        <v>1.3052999999999999</v>
      </c>
      <c r="AA23" s="2203">
        <f>ROUND(SUMPRODUCT(PRODUCT(1+P23:P$39)),4)</f>
        <v>1.5306999999999999</v>
      </c>
      <c r="AB23" s="2203">
        <f>ROUND(SUMPRODUCT(PRODUCT(1+Q23:Q$39)),4)</f>
        <v>1.2863</v>
      </c>
      <c r="AC23" s="2203"/>
      <c r="AD23" s="2204">
        <f>ROUND(AVERAGE(I23:I$40)/100,4)</f>
        <v>2.35E-2</v>
      </c>
      <c r="AE23" s="2204">
        <f>ROUND(AVERAGE(J23:J$40)/100,4)</f>
        <v>1.6199999999999999E-2</v>
      </c>
      <c r="AF23" s="2204">
        <f t="shared" ref="AF23" si="214">AE23</f>
        <v>1.6199999999999999E-2</v>
      </c>
      <c r="AG23" s="2204">
        <f>ROUND(AVERAGE(K23:K$40)/100,4)</f>
        <v>2.5899999999999999E-2</v>
      </c>
      <c r="AH23" s="2204">
        <f>ROUND(AVERAGE(L23:L$40)/100,4)</f>
        <v>1.49E-2</v>
      </c>
    </row>
    <row r="24" spans="1:34" s="2205" customFormat="1" ht="15" customHeight="1" thickBot="1">
      <c r="A24" s="2198" t="s">
        <v>2113</v>
      </c>
      <c r="B24" s="2199">
        <f t="shared" ref="B24" si="215">B25*(1+N24)</f>
        <v>446.46299999999997</v>
      </c>
      <c r="C24" s="2199">
        <f t="shared" ref="C24" si="216">C25*(1+O24)</f>
        <v>333.27840000000003</v>
      </c>
      <c r="D24" s="2199">
        <f t="shared" ref="D24" si="217">C24</f>
        <v>333.27840000000003</v>
      </c>
      <c r="E24" s="2199">
        <f t="shared" ref="E24" si="218">E25*(1+P24)</f>
        <v>637.28279999999995</v>
      </c>
      <c r="F24" s="2199">
        <f t="shared" ref="F24" si="219">F25*(1+Q24)</f>
        <v>288.68830000000003</v>
      </c>
      <c r="G24" s="3774"/>
      <c r="H24" s="2200">
        <v>1</v>
      </c>
      <c r="I24" s="2200">
        <v>1.7</v>
      </c>
      <c r="J24" s="2200">
        <v>1.92</v>
      </c>
      <c r="K24" s="2200">
        <v>1.64</v>
      </c>
      <c r="L24" s="2206">
        <v>2.0099999999999998</v>
      </c>
      <c r="M24" s="2185"/>
      <c r="N24" s="2201">
        <f t="shared" ref="N24:N29" si="220">I24/100</f>
        <v>1.7000000000000001E-2</v>
      </c>
      <c r="O24" s="2186">
        <f t="shared" ref="O24" si="221">J24/100</f>
        <v>1.9199999999999998E-2</v>
      </c>
      <c r="P24" s="2186">
        <f t="shared" ref="P24" si="222">K24/100</f>
        <v>1.6399999999999998E-2</v>
      </c>
      <c r="Q24" s="2186">
        <f t="shared" ref="Q24" si="223">L24/100</f>
        <v>2.0099999999999996E-2</v>
      </c>
      <c r="R24" s="2202"/>
      <c r="S24" s="2201">
        <f>B24/B25-1</f>
        <v>1.6999999999999904E-2</v>
      </c>
      <c r="T24" s="2186">
        <f t="shared" ref="T24" si="224">C24/C25-1</f>
        <v>1.9200000000000106E-2</v>
      </c>
      <c r="U24" s="2186">
        <f t="shared" ref="U24" si="225">D24/D25-1</f>
        <v>1.9200000000000106E-2</v>
      </c>
      <c r="V24" s="2186">
        <f t="shared" ref="V24" si="226">E24/E25-1</f>
        <v>1.639999999999997E-2</v>
      </c>
      <c r="W24" s="2203"/>
      <c r="X24" s="2203">
        <f>ROUND(SUMPRODUCT(PRODUCT(1+N24:N$39)),4)</f>
        <v>1.4517</v>
      </c>
      <c r="Y24" s="2203">
        <f>ROUND(SUMPRODUCT(PRODUCT(1+O24:O$39)),4)</f>
        <v>1.2928999999999999</v>
      </c>
      <c r="Z24" s="2203">
        <f t="shared" ref="Z24" si="227">Y24</f>
        <v>1.2928999999999999</v>
      </c>
      <c r="AA24" s="2203">
        <f>ROUND(SUMPRODUCT(PRODUCT(1+P24:P$39)),4)</f>
        <v>1.5068999999999999</v>
      </c>
      <c r="AB24" s="2203">
        <f>ROUND(SUMPRODUCT(PRODUCT(1+Q24:Q$39)),4)</f>
        <v>1.2557</v>
      </c>
      <c r="AC24" s="2203"/>
      <c r="AD24" s="2204">
        <f>ROUND(AVERAGE(I24:I$40)/100,4)</f>
        <v>2.4E-2</v>
      </c>
      <c r="AE24" s="2204">
        <f>ROUND(AVERAGE(J24:J$40)/100,4)</f>
        <v>1.66E-2</v>
      </c>
      <c r="AF24" s="2204">
        <f t="shared" ref="AF24" si="228">AE24</f>
        <v>1.66E-2</v>
      </c>
      <c r="AG24" s="2204">
        <f>ROUND(AVERAGE(K24:K$40)/100,4)</f>
        <v>2.6499999999999999E-2</v>
      </c>
      <c r="AH24" s="2204">
        <f>ROUND(AVERAGE(L24:L$40)/100,4)</f>
        <v>1.43E-2</v>
      </c>
    </row>
    <row r="25" spans="1:34">
      <c r="A25" s="2198" t="s">
        <v>2111</v>
      </c>
      <c r="B25" s="2213">
        <v>439</v>
      </c>
      <c r="C25" s="2213">
        <v>327</v>
      </c>
      <c r="D25" s="2213">
        <f>C25</f>
        <v>327</v>
      </c>
      <c r="E25" s="2213">
        <v>627</v>
      </c>
      <c r="F25" s="2214">
        <v>283</v>
      </c>
      <c r="G25" s="3770">
        <v>2017</v>
      </c>
      <c r="H25" s="2207">
        <v>4</v>
      </c>
      <c r="I25" s="2207">
        <v>1.71</v>
      </c>
      <c r="J25" s="2207">
        <v>1.78</v>
      </c>
      <c r="K25" s="2207">
        <v>1.71</v>
      </c>
      <c r="L25" s="2208">
        <v>1.43</v>
      </c>
      <c r="N25" s="2201">
        <f t="shared" si="220"/>
        <v>1.7100000000000001E-2</v>
      </c>
      <c r="O25" s="2186">
        <f t="shared" ref="O25" si="229">J25/100</f>
        <v>1.78E-2</v>
      </c>
      <c r="P25" s="2186">
        <f t="shared" ref="P25" si="230">K25/100</f>
        <v>1.7100000000000001E-2</v>
      </c>
      <c r="Q25" s="2186">
        <f t="shared" ref="Q25" si="231">L25/100</f>
        <v>1.43E-2</v>
      </c>
      <c r="R25" s="2202"/>
      <c r="S25" s="2215"/>
      <c r="T25" s="2216"/>
      <c r="U25" s="2216"/>
      <c r="V25" s="2216"/>
      <c r="X25" s="2185">
        <f>ROUND(SUMPRODUCT(PRODUCT(1+N25:N$39)),4)</f>
        <v>1.4274</v>
      </c>
      <c r="Y25" s="2185">
        <f>ROUND(SUMPRODUCT(PRODUCT(1+O25:O$39)),4)</f>
        <v>1.2685</v>
      </c>
      <c r="Z25" s="2185">
        <f t="shared" si="0"/>
        <v>1.2685</v>
      </c>
      <c r="AA25" s="2185">
        <f>ROUND(SUMPRODUCT(PRODUCT(1+P25:P$39)),4)</f>
        <v>1.4825999999999999</v>
      </c>
      <c r="AB25" s="2185">
        <f>ROUND(SUMPRODUCT(PRODUCT(1+Q25:Q$39)),4)</f>
        <v>1.2309000000000001</v>
      </c>
      <c r="AD25" s="2186">
        <f>ROUND(AVERAGE(I25:I$40)/100,4)</f>
        <v>2.4500000000000001E-2</v>
      </c>
      <c r="AE25" s="2186">
        <f>ROUND(AVERAGE(J25:J$40)/100,4)</f>
        <v>1.6500000000000001E-2</v>
      </c>
      <c r="AF25" s="2186">
        <f t="shared" si="1"/>
        <v>1.6500000000000001E-2</v>
      </c>
      <c r="AG25" s="2186">
        <f>ROUND(AVERAGE(K25:K$40)/100,4)</f>
        <v>2.7099999999999999E-2</v>
      </c>
      <c r="AH25" s="2186">
        <f>ROUND(AVERAGE(L25:L$40)/100,4)</f>
        <v>1.3899999999999999E-2</v>
      </c>
    </row>
    <row r="26" spans="1:34" s="2205" customFormat="1" ht="14.45" customHeight="1">
      <c r="A26" s="2198" t="s">
        <v>2112</v>
      </c>
      <c r="B26" s="2199">
        <f t="shared" ref="B26:B27" si="232">B27*(1+N26)</f>
        <v>431.80730811680002</v>
      </c>
      <c r="C26" s="2199">
        <f t="shared" ref="C26:C27" si="233">C27*(1+O26)</f>
        <v>320.57880516480003</v>
      </c>
      <c r="D26" s="2199">
        <f t="shared" ref="D26:D27" si="234">C26</f>
        <v>320.57880516480003</v>
      </c>
      <c r="E26" s="2199">
        <f t="shared" ref="E26:E27" si="235">E27*(1+P26)</f>
        <v>615.96110553196797</v>
      </c>
      <c r="F26" s="2199">
        <f t="shared" ref="F26:F27" si="236">F27*(1+Q26)</f>
        <v>279.46777300108801</v>
      </c>
      <c r="G26" s="3767"/>
      <c r="H26" s="2200">
        <v>3</v>
      </c>
      <c r="I26" s="2200">
        <v>2.98</v>
      </c>
      <c r="J26" s="2200">
        <v>2.11</v>
      </c>
      <c r="K26" s="2200">
        <v>3.24</v>
      </c>
      <c r="L26" s="2206">
        <v>1.72</v>
      </c>
      <c r="M26" s="2185"/>
      <c r="N26" s="2201">
        <f t="shared" si="220"/>
        <v>2.98E-2</v>
      </c>
      <c r="O26" s="2186">
        <f t="shared" ref="O26" si="237">J26/100</f>
        <v>2.1099999999999997E-2</v>
      </c>
      <c r="P26" s="2186">
        <f t="shared" ref="P26" si="238">K26/100</f>
        <v>3.2400000000000005E-2</v>
      </c>
      <c r="Q26" s="2186">
        <f t="shared" ref="Q26" si="239">L26/100</f>
        <v>1.72E-2</v>
      </c>
      <c r="R26" s="2202"/>
      <c r="S26" s="2201"/>
      <c r="T26" s="2186"/>
      <c r="U26" s="2186"/>
      <c r="V26" s="2186"/>
      <c r="W26" s="2203"/>
      <c r="X26" s="2203">
        <f>ROUND(SUMPRODUCT(PRODUCT(1+N26:N$39)),4)</f>
        <v>1.4034</v>
      </c>
      <c r="Y26" s="2203">
        <f>ROUND(SUMPRODUCT(PRODUCT(1+O26:O$39)),4)</f>
        <v>1.2463</v>
      </c>
      <c r="Z26" s="2203">
        <f t="shared" si="0"/>
        <v>1.2463</v>
      </c>
      <c r="AA26" s="2203">
        <f>ROUND(SUMPRODUCT(PRODUCT(1+P26:P$39)),4)</f>
        <v>1.4577</v>
      </c>
      <c r="AB26" s="2203">
        <f>ROUND(SUMPRODUCT(PRODUCT(1+Q26:Q$39)),4)</f>
        <v>1.2136</v>
      </c>
      <c r="AC26" s="2203"/>
      <c r="AD26" s="2204">
        <f>ROUND(AVERAGE(I26:I$40)/100,4)</f>
        <v>2.4899999999999999E-2</v>
      </c>
      <c r="AE26" s="2204">
        <f>ROUND(AVERAGE(J26:J$40)/100,4)</f>
        <v>1.6400000000000001E-2</v>
      </c>
      <c r="AF26" s="2204">
        <f t="shared" si="1"/>
        <v>1.6400000000000001E-2</v>
      </c>
      <c r="AG26" s="2204">
        <f>ROUND(AVERAGE(K26:K$40)/100,4)</f>
        <v>2.7799999999999998E-2</v>
      </c>
      <c r="AH26" s="2204">
        <f>ROUND(AVERAGE(L26:L$40)/100,4)</f>
        <v>1.3899999999999999E-2</v>
      </c>
    </row>
    <row r="27" spans="1:34" s="2192" customFormat="1" ht="14.45" customHeight="1">
      <c r="A27" s="2198" t="s">
        <v>677</v>
      </c>
      <c r="B27" s="2199">
        <f t="shared" si="232"/>
        <v>419.31181600000002</v>
      </c>
      <c r="C27" s="2199">
        <f t="shared" si="233"/>
        <v>313.95436800000004</v>
      </c>
      <c r="D27" s="2199">
        <f t="shared" si="234"/>
        <v>313.95436800000004</v>
      </c>
      <c r="E27" s="2199">
        <f t="shared" si="235"/>
        <v>596.63028431999999</v>
      </c>
      <c r="F27" s="2199">
        <f t="shared" si="236"/>
        <v>274.74220703999998</v>
      </c>
      <c r="G27" s="3767"/>
      <c r="H27" s="2211">
        <v>2</v>
      </c>
      <c r="I27" s="2211">
        <v>3.4</v>
      </c>
      <c r="J27" s="2211">
        <v>2</v>
      </c>
      <c r="K27" s="2211">
        <v>3.82</v>
      </c>
      <c r="L27" s="2212">
        <v>1.68</v>
      </c>
      <c r="M27" s="2185"/>
      <c r="N27" s="2201">
        <f t="shared" si="220"/>
        <v>3.4000000000000002E-2</v>
      </c>
      <c r="O27" s="2186">
        <f t="shared" ref="O27" si="240">J27/100</f>
        <v>0.02</v>
      </c>
      <c r="P27" s="2186">
        <f t="shared" ref="P27" si="241">K27/100</f>
        <v>3.8199999999999998E-2</v>
      </c>
      <c r="Q27" s="2186">
        <f t="shared" ref="Q27" si="242">L27/100</f>
        <v>1.6799999999999999E-2</v>
      </c>
      <c r="R27" s="2202"/>
      <c r="S27" s="2215"/>
      <c r="T27" s="2216"/>
      <c r="U27" s="2216"/>
      <c r="V27" s="2216"/>
      <c r="W27" s="2179"/>
      <c r="X27" s="2203">
        <f>ROUND(SUMPRODUCT(PRODUCT(1+N27:N$39)),4)</f>
        <v>1.3628</v>
      </c>
      <c r="Y27" s="2203">
        <f>ROUND(SUMPRODUCT(PRODUCT(1+O27:O$39)),4)</f>
        <v>1.2205999999999999</v>
      </c>
      <c r="Z27" s="2203">
        <f t="shared" si="0"/>
        <v>1.2205999999999999</v>
      </c>
      <c r="AA27" s="2203">
        <f>ROUND(SUMPRODUCT(PRODUCT(1+P27:P$39)),4)</f>
        <v>1.4118999999999999</v>
      </c>
      <c r="AB27" s="2203">
        <f>ROUND(SUMPRODUCT(PRODUCT(1+Q27:Q$39)),4)</f>
        <v>1.1930000000000001</v>
      </c>
      <c r="AC27" s="2179"/>
      <c r="AD27" s="2204">
        <f>ROUND(AVERAGE(I27:I$40)/100,4)</f>
        <v>2.46E-2</v>
      </c>
      <c r="AE27" s="2204">
        <f>ROUND(AVERAGE(J27:J$40)/100,4)</f>
        <v>1.6E-2</v>
      </c>
      <c r="AF27" s="2204">
        <f t="shared" si="1"/>
        <v>1.6E-2</v>
      </c>
      <c r="AG27" s="2204">
        <f>ROUND(AVERAGE(K27:K$40)/100,4)</f>
        <v>2.75E-2</v>
      </c>
      <c r="AH27" s="2204">
        <f>ROUND(AVERAGE(L27:L$40)/100,4)</f>
        <v>1.37E-2</v>
      </c>
    </row>
    <row r="28" spans="1:34" s="2205" customFormat="1" ht="15" customHeight="1" thickBot="1">
      <c r="A28" s="2198" t="s">
        <v>463</v>
      </c>
      <c r="B28" s="2199">
        <f>B29*(1+N28)</f>
        <v>405.524</v>
      </c>
      <c r="C28" s="2199">
        <f>C29*(1+O28)</f>
        <v>307.79840000000002</v>
      </c>
      <c r="D28" s="2199">
        <f>C28</f>
        <v>307.79840000000002</v>
      </c>
      <c r="E28" s="2199">
        <f>E29*(1+P28)</f>
        <v>574.67759999999998</v>
      </c>
      <c r="F28" s="2199">
        <f>F29*(1+Q28)</f>
        <v>270.20280000000002</v>
      </c>
      <c r="G28" s="3774"/>
      <c r="H28" s="2200">
        <v>1</v>
      </c>
      <c r="I28" s="2200">
        <v>3.45</v>
      </c>
      <c r="J28" s="2200">
        <v>1.92</v>
      </c>
      <c r="K28" s="2200">
        <v>3.92</v>
      </c>
      <c r="L28" s="2206">
        <v>1.58</v>
      </c>
      <c r="M28" s="2185"/>
      <c r="N28" s="2201">
        <f t="shared" si="220"/>
        <v>3.4500000000000003E-2</v>
      </c>
      <c r="O28" s="2186">
        <f t="shared" ref="O28:Q43" si="243">J28/100</f>
        <v>1.9199999999999998E-2</v>
      </c>
      <c r="P28" s="2186">
        <f t="shared" si="243"/>
        <v>3.9199999999999999E-2</v>
      </c>
      <c r="Q28" s="2186">
        <f t="shared" si="243"/>
        <v>1.5800000000000002E-2</v>
      </c>
      <c r="R28" s="2202"/>
      <c r="S28" s="2201">
        <f>B28/B29-1</f>
        <v>3.4499999999999975E-2</v>
      </c>
      <c r="T28" s="2186">
        <f t="shared" ref="T28:V28" si="244">C28/C29-1</f>
        <v>1.9200000000000106E-2</v>
      </c>
      <c r="U28" s="2186">
        <f t="shared" si="244"/>
        <v>1.9200000000000106E-2</v>
      </c>
      <c r="V28" s="2186">
        <f t="shared" si="244"/>
        <v>3.9199999999999902E-2</v>
      </c>
      <c r="W28" s="2203"/>
      <c r="X28" s="2203">
        <f>ROUND(SUMPRODUCT(PRODUCT(1+N28:N$39)),4)</f>
        <v>1.3180000000000001</v>
      </c>
      <c r="Y28" s="2203">
        <f>ROUND(SUMPRODUCT(PRODUCT(1+O28:O$39)),4)</f>
        <v>1.1966000000000001</v>
      </c>
      <c r="Z28" s="2203">
        <f t="shared" si="0"/>
        <v>1.1966000000000001</v>
      </c>
      <c r="AA28" s="2203">
        <f>ROUND(SUMPRODUCT(PRODUCT(1+P28:P$39)),4)</f>
        <v>1.36</v>
      </c>
      <c r="AB28" s="2203">
        <f>ROUND(SUMPRODUCT(PRODUCT(1+Q28:Q$39)),4)</f>
        <v>1.1733</v>
      </c>
      <c r="AC28" s="2203"/>
      <c r="AD28" s="2204">
        <f>ROUND(AVERAGE(I28:I$40)/100,4)</f>
        <v>2.3900000000000001E-2</v>
      </c>
      <c r="AE28" s="2204">
        <f>ROUND(AVERAGE(J28:J$40)/100,4)</f>
        <v>1.5699999999999999E-2</v>
      </c>
      <c r="AF28" s="2204">
        <f t="shared" si="1"/>
        <v>1.5699999999999999E-2</v>
      </c>
      <c r="AG28" s="2204">
        <f>ROUND(AVERAGE(K28:K$40)/100,4)</f>
        <v>2.6599999999999999E-2</v>
      </c>
      <c r="AH28" s="2204">
        <f>ROUND(AVERAGE(L28:L$40)/100,4)</f>
        <v>1.34E-2</v>
      </c>
    </row>
    <row r="29" spans="1:34">
      <c r="A29" s="2198" t="s">
        <v>127</v>
      </c>
      <c r="B29" s="2213">
        <v>392</v>
      </c>
      <c r="C29" s="2213">
        <v>302</v>
      </c>
      <c r="D29" s="2213">
        <f>C29</f>
        <v>302</v>
      </c>
      <c r="E29" s="2213">
        <v>553</v>
      </c>
      <c r="F29" s="2214">
        <v>266</v>
      </c>
      <c r="G29" s="3770">
        <v>2016</v>
      </c>
      <c r="H29" s="2207">
        <v>4</v>
      </c>
      <c r="I29" s="2207">
        <v>4.5599999999999996</v>
      </c>
      <c r="J29" s="2207">
        <v>2.15</v>
      </c>
      <c r="K29" s="2207">
        <v>5.32</v>
      </c>
      <c r="L29" s="2208">
        <v>1.57</v>
      </c>
      <c r="N29" s="2201">
        <f t="shared" si="220"/>
        <v>4.5599999999999995E-2</v>
      </c>
      <c r="O29" s="2186">
        <f t="shared" si="243"/>
        <v>2.1499999999999998E-2</v>
      </c>
      <c r="P29" s="2186">
        <f t="shared" si="243"/>
        <v>5.3200000000000004E-2</v>
      </c>
      <c r="Q29" s="2186">
        <f t="shared" si="243"/>
        <v>1.5700000000000002E-2</v>
      </c>
      <c r="R29" s="2202"/>
      <c r="S29" s="2215"/>
      <c r="T29" s="2216"/>
      <c r="U29" s="2216"/>
      <c r="V29" s="2216"/>
      <c r="X29" s="2185">
        <f>ROUND(SUMPRODUCT(PRODUCT(1+N29:N$39)),4)</f>
        <v>1.274</v>
      </c>
      <c r="Y29" s="2185">
        <f>ROUND(SUMPRODUCT(PRODUCT(1+O29:O$39)),4)</f>
        <v>1.1740999999999999</v>
      </c>
      <c r="Z29" s="2185">
        <f t="shared" si="0"/>
        <v>1.1740999999999999</v>
      </c>
      <c r="AA29" s="2185">
        <f>ROUND(SUMPRODUCT(PRODUCT(1+P29:P$39)),4)</f>
        <v>1.3087</v>
      </c>
      <c r="AB29" s="2185">
        <f>ROUND(SUMPRODUCT(PRODUCT(1+Q29:Q$39)),4)</f>
        <v>1.1551</v>
      </c>
      <c r="AD29" s="2186">
        <f>ROUND(AVERAGE(I29:I$40)/100,4)</f>
        <v>2.3E-2</v>
      </c>
      <c r="AE29" s="2186">
        <f>ROUND(AVERAGE(J29:J$40)/100,4)</f>
        <v>1.55E-2</v>
      </c>
      <c r="AF29" s="2186">
        <f t="shared" si="1"/>
        <v>1.55E-2</v>
      </c>
      <c r="AG29" s="2186">
        <f>ROUND(AVERAGE(K29:K$40)/100,4)</f>
        <v>2.5600000000000001E-2</v>
      </c>
      <c r="AH29" s="2186">
        <f>ROUND(AVERAGE(L29:L$40)/100,4)</f>
        <v>1.32E-2</v>
      </c>
    </row>
    <row r="30" spans="1:34">
      <c r="A30" s="2198" t="s">
        <v>126</v>
      </c>
      <c r="B30" s="2199">
        <f t="shared" ref="B30:C32" si="245">B29/(1+N29)</f>
        <v>374.90436113236416</v>
      </c>
      <c r="C30" s="2199">
        <f t="shared" si="245"/>
        <v>295.64366128242779</v>
      </c>
      <c r="D30" s="2199">
        <f t="shared" ref="D30:D89" si="246">C30</f>
        <v>295.64366128242779</v>
      </c>
      <c r="E30" s="2199">
        <f t="shared" ref="E30:F32" si="247">E29/(1+P29)</f>
        <v>525.06646410938095</v>
      </c>
      <c r="F30" s="2199">
        <f t="shared" si="247"/>
        <v>261.88835286009646</v>
      </c>
      <c r="G30" s="3767"/>
      <c r="H30" s="2200">
        <v>3</v>
      </c>
      <c r="I30" s="2200">
        <v>4.12</v>
      </c>
      <c r="J30" s="2200">
        <v>2</v>
      </c>
      <c r="K30" s="2200">
        <v>4.79</v>
      </c>
      <c r="L30" s="2206">
        <v>1.97</v>
      </c>
      <c r="N30" s="2201">
        <f t="shared" ref="N30:Q64" si="248">I30/100</f>
        <v>4.1200000000000001E-2</v>
      </c>
      <c r="O30" s="2186">
        <f t="shared" si="243"/>
        <v>0.02</v>
      </c>
      <c r="P30" s="2186">
        <f t="shared" si="243"/>
        <v>4.7899999999999998E-2</v>
      </c>
      <c r="Q30" s="2186">
        <f t="shared" si="243"/>
        <v>1.9699999999999999E-2</v>
      </c>
      <c r="R30" s="2202"/>
      <c r="S30" s="2201"/>
      <c r="T30" s="2186"/>
      <c r="U30" s="2186"/>
      <c r="V30" s="2186"/>
      <c r="X30" s="2185">
        <f>ROUND(SUMPRODUCT(PRODUCT(1+N30:N$39)),4)</f>
        <v>1.2184999999999999</v>
      </c>
      <c r="Y30" s="2185">
        <f>ROUND(SUMPRODUCT(PRODUCT(1+O30:O$39)),4)</f>
        <v>1.1494</v>
      </c>
      <c r="Z30" s="2185">
        <f t="shared" si="0"/>
        <v>1.1494</v>
      </c>
      <c r="AA30" s="2185">
        <f>ROUND(SUMPRODUCT(PRODUCT(1+P30:P$39)),4)</f>
        <v>1.2425999999999999</v>
      </c>
      <c r="AB30" s="2185">
        <f>ROUND(SUMPRODUCT(PRODUCT(1+Q30:Q$39)),4)</f>
        <v>1.1372</v>
      </c>
      <c r="AD30" s="2186">
        <f>ROUND(AVERAGE(I30:I$40)/100,4)</f>
        <v>2.0899999999999998E-2</v>
      </c>
      <c r="AE30" s="2186">
        <f>ROUND(AVERAGE(J30:J$40)/100,4)</f>
        <v>1.49E-2</v>
      </c>
      <c r="AF30" s="2186">
        <f t="shared" si="1"/>
        <v>1.49E-2</v>
      </c>
      <c r="AG30" s="2186">
        <f>ROUND(AVERAGE(K30:K$40)/100,4)</f>
        <v>2.3099999999999999E-2</v>
      </c>
      <c r="AH30" s="2186">
        <f>ROUND(AVERAGE(L30:L$40)/100,4)</f>
        <v>1.2999999999999999E-2</v>
      </c>
    </row>
    <row r="31" spans="1:34">
      <c r="A31" s="2198" t="s">
        <v>116</v>
      </c>
      <c r="B31" s="2199">
        <f t="shared" si="245"/>
        <v>360.06949782209392</v>
      </c>
      <c r="C31" s="2199">
        <f t="shared" si="245"/>
        <v>289.84672674747821</v>
      </c>
      <c r="D31" s="2199">
        <f t="shared" si="246"/>
        <v>289.84672674747821</v>
      </c>
      <c r="E31" s="2199">
        <f t="shared" si="247"/>
        <v>501.06543001181495</v>
      </c>
      <c r="F31" s="2199">
        <f t="shared" si="247"/>
        <v>256.82882500744967</v>
      </c>
      <c r="G31" s="3767"/>
      <c r="H31" s="2211">
        <v>2</v>
      </c>
      <c r="I31" s="2211">
        <v>3.85</v>
      </c>
      <c r="J31" s="2211">
        <v>1.95</v>
      </c>
      <c r="K31" s="2211">
        <v>4.4800000000000004</v>
      </c>
      <c r="L31" s="2212">
        <v>1.41</v>
      </c>
      <c r="N31" s="2201">
        <f t="shared" si="248"/>
        <v>3.85E-2</v>
      </c>
      <c r="O31" s="2186">
        <f t="shared" si="243"/>
        <v>1.95E-2</v>
      </c>
      <c r="P31" s="2186">
        <f t="shared" si="243"/>
        <v>4.4800000000000006E-2</v>
      </c>
      <c r="Q31" s="2186">
        <f t="shared" si="243"/>
        <v>1.41E-2</v>
      </c>
      <c r="R31" s="2202"/>
      <c r="S31" s="2201"/>
      <c r="T31" s="2186"/>
      <c r="U31" s="2186"/>
      <c r="V31" s="2186"/>
      <c r="X31" s="2185">
        <f>ROUND(SUMPRODUCT(PRODUCT(1+N31:N$39)),4)</f>
        <v>1.1702999999999999</v>
      </c>
      <c r="Y31" s="2185">
        <f>ROUND(SUMPRODUCT(PRODUCT(1+O31:O$39)),4)</f>
        <v>1.1269</v>
      </c>
      <c r="Z31" s="2185">
        <f t="shared" si="0"/>
        <v>1.1269</v>
      </c>
      <c r="AA31" s="2185">
        <f>ROUND(SUMPRODUCT(PRODUCT(1+P31:P$39)),4)</f>
        <v>1.1858</v>
      </c>
      <c r="AB31" s="2185">
        <f>ROUND(SUMPRODUCT(PRODUCT(1+Q31:Q$39)),4)</f>
        <v>1.1152</v>
      </c>
      <c r="AD31" s="2186">
        <f>ROUND(AVERAGE(I31:I$40)/100,4)</f>
        <v>1.89E-2</v>
      </c>
      <c r="AE31" s="2186">
        <f>ROUND(AVERAGE(J31:J$40)/100,4)</f>
        <v>1.44E-2</v>
      </c>
      <c r="AF31" s="2186">
        <f t="shared" si="1"/>
        <v>1.44E-2</v>
      </c>
      <c r="AG31" s="2186">
        <f>ROUND(AVERAGE(K31:K$40)/100,4)</f>
        <v>2.06E-2</v>
      </c>
      <c r="AH31" s="2186">
        <f>ROUND(AVERAGE(L31:L$40)/100,4)</f>
        <v>1.23E-2</v>
      </c>
    </row>
    <row r="32" spans="1:34" ht="13.5" thickBot="1">
      <c r="A32" s="2198" t="s">
        <v>125</v>
      </c>
      <c r="B32" s="2199">
        <f t="shared" si="245"/>
        <v>346.720748986128</v>
      </c>
      <c r="C32" s="2199">
        <f t="shared" si="245"/>
        <v>284.30282172386285</v>
      </c>
      <c r="D32" s="2199">
        <f t="shared" si="246"/>
        <v>284.30282172386285</v>
      </c>
      <c r="E32" s="2199">
        <f t="shared" si="247"/>
        <v>479.58023546306947</v>
      </c>
      <c r="F32" s="2199">
        <f t="shared" si="247"/>
        <v>253.25788877571213</v>
      </c>
      <c r="G32" s="3768"/>
      <c r="H32" s="2200">
        <v>1</v>
      </c>
      <c r="I32" s="2200">
        <v>4.09</v>
      </c>
      <c r="J32" s="2200">
        <v>2.93</v>
      </c>
      <c r="K32" s="2200">
        <v>4.54</v>
      </c>
      <c r="L32" s="2206">
        <v>1.48</v>
      </c>
      <c r="N32" s="2201">
        <f t="shared" si="248"/>
        <v>4.0899999999999999E-2</v>
      </c>
      <c r="O32" s="2186">
        <f t="shared" si="243"/>
        <v>2.9300000000000003E-2</v>
      </c>
      <c r="P32" s="2186">
        <f t="shared" si="243"/>
        <v>4.5400000000000003E-2</v>
      </c>
      <c r="Q32" s="2186">
        <f t="shared" si="243"/>
        <v>1.4800000000000001E-2</v>
      </c>
      <c r="R32" s="2202"/>
      <c r="S32" s="2217">
        <f>B32/B33-1</f>
        <v>4.1203450408792808E-2</v>
      </c>
      <c r="T32" s="2218">
        <f>C32/C33-1</f>
        <v>2.6363977342465095E-2</v>
      </c>
      <c r="U32" s="2218">
        <f>E32/E33-1</f>
        <v>4.4837114298626357E-2</v>
      </c>
      <c r="V32" s="2218">
        <f>F32/F33-1</f>
        <v>1.7099954922538574E-2</v>
      </c>
      <c r="X32" s="2185">
        <f>ROUND(SUMPRODUCT(PRODUCT(1+N32:N$39)),4)</f>
        <v>1.1269</v>
      </c>
      <c r="Y32" s="2185">
        <f>ROUND(SUMPRODUCT(PRODUCT(1+O32:O$39)),4)</f>
        <v>1.1052999999999999</v>
      </c>
      <c r="Z32" s="2185">
        <f t="shared" si="0"/>
        <v>1.1052999999999999</v>
      </c>
      <c r="AA32" s="2185">
        <f>ROUND(SUMPRODUCT(PRODUCT(1+P32:P$39)),4)</f>
        <v>1.1349</v>
      </c>
      <c r="AB32" s="2185">
        <f>ROUND(SUMPRODUCT(PRODUCT(1+Q32:Q$39)),4)</f>
        <v>1.0996999999999999</v>
      </c>
      <c r="AD32" s="2186">
        <f>ROUND(AVERAGE(I32:I$40)/100,4)</f>
        <v>1.67E-2</v>
      </c>
      <c r="AE32" s="2186">
        <f>ROUND(AVERAGE(J32:J$40)/100,4)</f>
        <v>1.38E-2</v>
      </c>
      <c r="AF32" s="2186">
        <f t="shared" si="1"/>
        <v>1.38E-2</v>
      </c>
      <c r="AG32" s="2186">
        <f>ROUND(AVERAGE(K32:K$40)/100,4)</f>
        <v>1.7899999999999999E-2</v>
      </c>
      <c r="AH32" s="2186">
        <f>ROUND(AVERAGE(L32:L$40)/100,4)</f>
        <v>1.21E-2</v>
      </c>
    </row>
    <row r="33" spans="1:34" ht="13.5" thickBot="1">
      <c r="A33" s="2198" t="s">
        <v>124</v>
      </c>
      <c r="B33" s="2213">
        <v>333</v>
      </c>
      <c r="C33" s="2213">
        <v>277</v>
      </c>
      <c r="D33" s="2213">
        <f t="shared" si="246"/>
        <v>277</v>
      </c>
      <c r="E33" s="2213">
        <v>459</v>
      </c>
      <c r="F33" s="2214">
        <v>249</v>
      </c>
      <c r="G33" s="3766">
        <v>2015</v>
      </c>
      <c r="H33" s="2219">
        <v>4</v>
      </c>
      <c r="I33" s="2219">
        <v>1.63</v>
      </c>
      <c r="J33" s="2219">
        <v>1.1100000000000001</v>
      </c>
      <c r="K33" s="2219">
        <v>1.77</v>
      </c>
      <c r="L33" s="2220">
        <v>1.89</v>
      </c>
      <c r="N33" s="2221">
        <f t="shared" si="248"/>
        <v>1.6299999999999999E-2</v>
      </c>
      <c r="O33" s="2222">
        <f t="shared" si="243"/>
        <v>1.11E-2</v>
      </c>
      <c r="P33" s="2222">
        <f t="shared" si="243"/>
        <v>1.77E-2</v>
      </c>
      <c r="Q33" s="2222">
        <f t="shared" si="243"/>
        <v>1.89E-2</v>
      </c>
      <c r="R33" s="2202"/>
      <c r="X33" s="2185">
        <f>ROUND(SUMPRODUCT(PRODUCT(1+N33:N$39)),4)</f>
        <v>1.0826</v>
      </c>
      <c r="Y33" s="2185">
        <f>ROUND(SUMPRODUCT(PRODUCT(1+O33:O$39)),4)</f>
        <v>1.0738000000000001</v>
      </c>
      <c r="Z33" s="2185">
        <f t="shared" si="0"/>
        <v>1.0738000000000001</v>
      </c>
      <c r="AA33" s="2185">
        <f>ROUND(SUMPRODUCT(PRODUCT(1+P33:P$39)),4)</f>
        <v>1.0855999999999999</v>
      </c>
      <c r="AB33" s="2185">
        <f>ROUND(SUMPRODUCT(PRODUCT(1+Q33:Q$39)),4)</f>
        <v>1.0837000000000001</v>
      </c>
      <c r="AD33" s="2186">
        <f>ROUND(AVERAGE(I33:I$40)/100,4)</f>
        <v>1.37E-2</v>
      </c>
      <c r="AE33" s="2186">
        <f>ROUND(AVERAGE(J33:J$40)/100,4)</f>
        <v>1.1900000000000001E-2</v>
      </c>
      <c r="AF33" s="2186">
        <f t="shared" si="1"/>
        <v>1.1900000000000001E-2</v>
      </c>
      <c r="AG33" s="2186">
        <f>ROUND(AVERAGE(K33:K$40)/100,4)</f>
        <v>1.4500000000000001E-2</v>
      </c>
      <c r="AH33" s="2186">
        <f>ROUND(AVERAGE(L33:L$40)/100,4)</f>
        <v>1.18E-2</v>
      </c>
    </row>
    <row r="34" spans="1:34">
      <c r="A34" s="2198" t="s">
        <v>123</v>
      </c>
      <c r="B34" s="2199">
        <f t="shared" ref="B34:C36" si="249">B33/(1+N33)</f>
        <v>327.65915576109415</v>
      </c>
      <c r="C34" s="2199">
        <f t="shared" si="249"/>
        <v>273.95905449510434</v>
      </c>
      <c r="D34" s="2199">
        <f t="shared" si="246"/>
        <v>273.95905449510434</v>
      </c>
      <c r="E34" s="2199">
        <f t="shared" ref="E34:F36" si="250">E33/(1+P33)</f>
        <v>451.01699911565294</v>
      </c>
      <c r="F34" s="2199">
        <f t="shared" si="250"/>
        <v>244.38119540681129</v>
      </c>
      <c r="G34" s="3767"/>
      <c r="H34" s="2224">
        <v>3</v>
      </c>
      <c r="I34" s="2224">
        <v>1.65</v>
      </c>
      <c r="J34" s="2224">
        <v>0.92</v>
      </c>
      <c r="K34" s="2224">
        <v>1.88</v>
      </c>
      <c r="L34" s="2225">
        <v>1.26</v>
      </c>
      <c r="N34" s="2201">
        <f t="shared" si="248"/>
        <v>1.6500000000000001E-2</v>
      </c>
      <c r="O34" s="2226">
        <f t="shared" si="243"/>
        <v>9.1999999999999998E-3</v>
      </c>
      <c r="P34" s="2226">
        <f t="shared" si="243"/>
        <v>1.8799999999999997E-2</v>
      </c>
      <c r="Q34" s="2226">
        <f t="shared" si="243"/>
        <v>1.26E-2</v>
      </c>
      <c r="R34" s="2202"/>
      <c r="S34" s="2201"/>
      <c r="T34" s="2186"/>
      <c r="U34" s="2186"/>
      <c r="V34" s="2186"/>
      <c r="X34" s="2185">
        <f>ROUND(SUMPRODUCT(PRODUCT(1+N34:N$39)),4)</f>
        <v>1.0651999999999999</v>
      </c>
      <c r="Y34" s="2185">
        <f>ROUND(SUMPRODUCT(PRODUCT(1+O34:O$39)),4)</f>
        <v>1.0621</v>
      </c>
      <c r="Z34" s="2185">
        <f t="shared" si="0"/>
        <v>1.0621</v>
      </c>
      <c r="AA34" s="2185">
        <f>ROUND(SUMPRODUCT(PRODUCT(1+P34:P$39)),4)</f>
        <v>1.0668</v>
      </c>
      <c r="AB34" s="2185">
        <f>ROUND(SUMPRODUCT(PRODUCT(1+Q34:Q$39)),4)</f>
        <v>1.0636000000000001</v>
      </c>
      <c r="AD34" s="2186">
        <f>ROUND(AVERAGE(I34:I$40)/100,4)</f>
        <v>1.3299999999999999E-2</v>
      </c>
      <c r="AE34" s="2186">
        <f>ROUND(AVERAGE(J34:J$40)/100,4)</f>
        <v>1.2E-2</v>
      </c>
      <c r="AF34" s="2186">
        <f t="shared" si="1"/>
        <v>1.2E-2</v>
      </c>
      <c r="AG34" s="2186">
        <f>ROUND(AVERAGE(K34:K$40)/100,4)</f>
        <v>1.4E-2</v>
      </c>
      <c r="AH34" s="2186">
        <f>ROUND(AVERAGE(L34:L$40)/100,4)</f>
        <v>1.0800000000000001E-2</v>
      </c>
    </row>
    <row r="35" spans="1:34">
      <c r="A35" s="2198" t="s">
        <v>122</v>
      </c>
      <c r="B35" s="2199">
        <f t="shared" si="249"/>
        <v>322.34053690220776</v>
      </c>
      <c r="C35" s="2199">
        <f t="shared" si="249"/>
        <v>271.46160770422546</v>
      </c>
      <c r="D35" s="2199">
        <f t="shared" si="246"/>
        <v>271.46160770422546</v>
      </c>
      <c r="E35" s="2199">
        <f t="shared" si="250"/>
        <v>442.69434542172456</v>
      </c>
      <c r="F35" s="2199">
        <f t="shared" si="250"/>
        <v>241.34030753190925</v>
      </c>
      <c r="G35" s="3767"/>
      <c r="H35" s="2211">
        <v>2</v>
      </c>
      <c r="I35" s="2211">
        <v>0.77</v>
      </c>
      <c r="J35" s="2211">
        <v>0.69</v>
      </c>
      <c r="K35" s="2211">
        <v>0.8</v>
      </c>
      <c r="L35" s="2212">
        <v>0.88</v>
      </c>
      <c r="N35" s="2201">
        <f t="shared" si="248"/>
        <v>7.7000000000000002E-3</v>
      </c>
      <c r="O35" s="2226">
        <f t="shared" si="243"/>
        <v>6.8999999999999999E-3</v>
      </c>
      <c r="P35" s="2226">
        <f t="shared" si="243"/>
        <v>8.0000000000000002E-3</v>
      </c>
      <c r="Q35" s="2226">
        <f t="shared" si="243"/>
        <v>8.8000000000000005E-3</v>
      </c>
      <c r="R35" s="2202"/>
      <c r="S35" s="2201"/>
      <c r="T35" s="2186"/>
      <c r="U35" s="2186"/>
      <c r="V35" s="2186"/>
      <c r="X35" s="2185">
        <f>ROUND(SUMPRODUCT(PRODUCT(1+N35:N$39)),4)</f>
        <v>1.048</v>
      </c>
      <c r="Y35" s="2185">
        <f>ROUND(SUMPRODUCT(PRODUCT(1+O35:O$39)),4)</f>
        <v>1.0524</v>
      </c>
      <c r="Z35" s="2185">
        <f t="shared" si="0"/>
        <v>1.0524</v>
      </c>
      <c r="AA35" s="2185">
        <f>ROUND(SUMPRODUCT(PRODUCT(1+P35:P$39)),4)</f>
        <v>1.0470999999999999</v>
      </c>
      <c r="AB35" s="2185">
        <f>ROUND(SUMPRODUCT(PRODUCT(1+Q35:Q$39)),4)</f>
        <v>1.0504</v>
      </c>
      <c r="AD35" s="2186">
        <f>ROUND(AVERAGE(I35:I$40)/100,4)</f>
        <v>1.2800000000000001E-2</v>
      </c>
      <c r="AE35" s="2186">
        <f>ROUND(AVERAGE(J35:J$40)/100,4)</f>
        <v>1.2500000000000001E-2</v>
      </c>
      <c r="AF35" s="2186">
        <f t="shared" si="1"/>
        <v>1.2500000000000001E-2</v>
      </c>
      <c r="AG35" s="2186">
        <f>ROUND(AVERAGE(K35:K$40)/100,4)</f>
        <v>1.32E-2</v>
      </c>
      <c r="AH35" s="2186">
        <f>ROUND(AVERAGE(L35:L$40)/100,4)</f>
        <v>1.0500000000000001E-2</v>
      </c>
    </row>
    <row r="36" spans="1:34">
      <c r="A36" s="2198" t="s">
        <v>121</v>
      </c>
      <c r="B36" s="2199">
        <f t="shared" si="249"/>
        <v>319.87748030386797</v>
      </c>
      <c r="C36" s="2199">
        <f t="shared" si="249"/>
        <v>269.60135833173649</v>
      </c>
      <c r="D36" s="2199">
        <f t="shared" si="246"/>
        <v>269.60135833173649</v>
      </c>
      <c r="E36" s="2199">
        <f t="shared" si="250"/>
        <v>439.18089823583784</v>
      </c>
      <c r="F36" s="2199">
        <f t="shared" si="250"/>
        <v>239.23503918706311</v>
      </c>
      <c r="G36" s="3768"/>
      <c r="H36" s="2200">
        <v>1</v>
      </c>
      <c r="I36" s="2200">
        <v>0.51</v>
      </c>
      <c r="J36" s="2200">
        <v>0.54</v>
      </c>
      <c r="K36" s="2200">
        <v>0.48</v>
      </c>
      <c r="L36" s="2206">
        <v>0.93</v>
      </c>
      <c r="N36" s="2217">
        <f t="shared" si="248"/>
        <v>5.1000000000000004E-3</v>
      </c>
      <c r="O36" s="2218">
        <f t="shared" si="243"/>
        <v>5.4000000000000003E-3</v>
      </c>
      <c r="P36" s="2218">
        <f t="shared" si="243"/>
        <v>4.7999999999999996E-3</v>
      </c>
      <c r="Q36" s="2218">
        <f t="shared" si="243"/>
        <v>9.300000000000001E-3</v>
      </c>
      <c r="R36" s="2202"/>
      <c r="S36" s="2217">
        <f>B36/B37-1</f>
        <v>5.9040261127922822E-3</v>
      </c>
      <c r="T36" s="2218">
        <f>C36/C37-1</f>
        <v>5.9752176557332781E-3</v>
      </c>
      <c r="U36" s="2218">
        <f>E36/E37-1</f>
        <v>4.9906138119859556E-3</v>
      </c>
      <c r="V36" s="2218">
        <f>F36/F37-1</f>
        <v>9.4305450930933787E-3</v>
      </c>
      <c r="X36" s="2185">
        <f>ROUND(SUMPRODUCT(PRODUCT(1+N36:N$39)),4)</f>
        <v>1.0399</v>
      </c>
      <c r="Y36" s="2185">
        <f>ROUND(SUMPRODUCT(PRODUCT(1+O36:O$39)),4)</f>
        <v>1.0451999999999999</v>
      </c>
      <c r="Z36" s="2185">
        <f t="shared" si="0"/>
        <v>1.0451999999999999</v>
      </c>
      <c r="AA36" s="2185">
        <f>ROUND(SUMPRODUCT(PRODUCT(1+P36:P$39)),4)</f>
        <v>1.0387999999999999</v>
      </c>
      <c r="AB36" s="2185">
        <f>ROUND(SUMPRODUCT(PRODUCT(1+Q36:Q$39)),4)</f>
        <v>1.0411999999999999</v>
      </c>
      <c r="AD36" s="2186">
        <f>ROUND(AVERAGE(I36:I$40)/100,4)</f>
        <v>1.38E-2</v>
      </c>
      <c r="AE36" s="2186">
        <f>ROUND(AVERAGE(J36:J$40)/100,4)</f>
        <v>1.3599999999999999E-2</v>
      </c>
      <c r="AF36" s="2186">
        <f t="shared" si="1"/>
        <v>1.3599999999999999E-2</v>
      </c>
      <c r="AG36" s="2186">
        <f>ROUND(AVERAGE(K36:K$40)/100,4)</f>
        <v>1.4200000000000001E-2</v>
      </c>
      <c r="AH36" s="2186">
        <f>ROUND(AVERAGE(L36:L$40)/100,4)</f>
        <v>1.0800000000000001E-2</v>
      </c>
    </row>
    <row r="37" spans="1:34" ht="13.5" thickBot="1">
      <c r="A37" s="2198" t="s">
        <v>120</v>
      </c>
      <c r="B37" s="2227">
        <v>318</v>
      </c>
      <c r="C37" s="2227">
        <v>268</v>
      </c>
      <c r="D37" s="2227">
        <f t="shared" si="246"/>
        <v>268</v>
      </c>
      <c r="E37" s="2227">
        <v>437</v>
      </c>
      <c r="F37" s="2228">
        <v>237</v>
      </c>
      <c r="G37" s="3766">
        <v>2014</v>
      </c>
      <c r="H37" s="2219">
        <v>4</v>
      </c>
      <c r="I37" s="2219">
        <v>0.21</v>
      </c>
      <c r="J37" s="2219">
        <v>0.41</v>
      </c>
      <c r="K37" s="2219">
        <v>0.12</v>
      </c>
      <c r="L37" s="2220">
        <v>0.89</v>
      </c>
      <c r="N37" s="2201">
        <f t="shared" si="248"/>
        <v>2.0999999999999999E-3</v>
      </c>
      <c r="O37" s="2186">
        <f t="shared" si="243"/>
        <v>4.0999999999999995E-3</v>
      </c>
      <c r="P37" s="2186">
        <f t="shared" si="243"/>
        <v>1.1999999999999999E-3</v>
      </c>
      <c r="Q37" s="2186">
        <f t="shared" si="243"/>
        <v>8.8999999999999999E-3</v>
      </c>
      <c r="R37" s="2202"/>
      <c r="S37" s="2215"/>
      <c r="T37" s="2216"/>
      <c r="U37" s="2216"/>
      <c r="V37" s="2216"/>
      <c r="X37" s="2185">
        <f>ROUND(SUMPRODUCT(PRODUCT(1+N37:N$39)),4)</f>
        <v>1.0347</v>
      </c>
      <c r="Y37" s="2185">
        <f>ROUND(SUMPRODUCT(PRODUCT(1+O37:O$39)),4)</f>
        <v>1.0395000000000001</v>
      </c>
      <c r="Z37" s="2185">
        <f t="shared" si="0"/>
        <v>1.0395000000000001</v>
      </c>
      <c r="AA37" s="2185">
        <f>ROUND(SUMPRODUCT(PRODUCT(1+P37:P$39)),4)</f>
        <v>1.0338000000000001</v>
      </c>
      <c r="AB37" s="2185">
        <f>ROUND(SUMPRODUCT(PRODUCT(1+Q37:Q$39)),4)</f>
        <v>1.0316000000000001</v>
      </c>
      <c r="AD37" s="2186">
        <f>ROUND(AVERAGE(I37:I$40)/100,4)</f>
        <v>1.6E-2</v>
      </c>
      <c r="AE37" s="2186">
        <f>ROUND(AVERAGE(J37:J$40)/100,4)</f>
        <v>1.5599999999999999E-2</v>
      </c>
      <c r="AF37" s="2186">
        <f t="shared" si="1"/>
        <v>1.5599999999999999E-2</v>
      </c>
      <c r="AG37" s="2186">
        <f>ROUND(AVERAGE(K37:K$40)/100,4)</f>
        <v>1.66E-2</v>
      </c>
      <c r="AH37" s="2186">
        <f>ROUND(AVERAGE(L37:L$40)/100,4)</f>
        <v>1.12E-2</v>
      </c>
    </row>
    <row r="38" spans="1:34">
      <c r="A38" s="2198" t="s">
        <v>119</v>
      </c>
      <c r="B38" s="2199">
        <f t="shared" ref="B38:C40" si="251">B37/(1+N37)</f>
        <v>317.33359944117353</v>
      </c>
      <c r="C38" s="2199">
        <f t="shared" si="251"/>
        <v>266.90568668459315</v>
      </c>
      <c r="D38" s="2199">
        <f t="shared" si="246"/>
        <v>266.90568668459315</v>
      </c>
      <c r="E38" s="2199">
        <f t="shared" ref="E38:F40" si="252">E37/(1+P37)</f>
        <v>436.47622852576905</v>
      </c>
      <c r="F38" s="2199">
        <f t="shared" si="252"/>
        <v>234.90930716622066</v>
      </c>
      <c r="G38" s="3767"/>
      <c r="H38" s="2229">
        <v>3</v>
      </c>
      <c r="I38" s="2229">
        <v>0.83</v>
      </c>
      <c r="J38" s="2229">
        <v>1.47</v>
      </c>
      <c r="K38" s="2229">
        <v>0.65</v>
      </c>
      <c r="L38" s="2230">
        <v>0.72</v>
      </c>
      <c r="N38" s="2201">
        <f t="shared" si="248"/>
        <v>8.3000000000000001E-3</v>
      </c>
      <c r="O38" s="2186">
        <f t="shared" si="243"/>
        <v>1.47E-2</v>
      </c>
      <c r="P38" s="2186">
        <f t="shared" si="243"/>
        <v>6.5000000000000006E-3</v>
      </c>
      <c r="Q38" s="2186">
        <f t="shared" si="243"/>
        <v>7.1999999999999998E-3</v>
      </c>
      <c r="R38" s="2202"/>
      <c r="S38" s="2201"/>
      <c r="T38" s="2186"/>
      <c r="U38" s="2186"/>
      <c r="V38" s="2186"/>
      <c r="X38" s="2185">
        <f>ROUND(SUMPRODUCT(PRODUCT(1+N38:N$39)),4)</f>
        <v>1.0325</v>
      </c>
      <c r="Y38" s="2185">
        <f>ROUND(SUMPRODUCT(PRODUCT(1+O38:O$39)),4)</f>
        <v>1.0353000000000001</v>
      </c>
      <c r="Z38" s="2185">
        <f t="shared" ref="Z38:Z39" si="253">Y38</f>
        <v>1.0353000000000001</v>
      </c>
      <c r="AA38" s="2185">
        <f>ROUND(SUMPRODUCT(PRODUCT(1+P38:P$39)),4)</f>
        <v>1.0326</v>
      </c>
      <c r="AB38" s="2185">
        <f>ROUND(SUMPRODUCT(PRODUCT(1+Q38:Q$39)),4)</f>
        <v>1.0225</v>
      </c>
      <c r="AD38" s="2186">
        <f>ROUND(AVERAGE(I38:I$40)/100,4)</f>
        <v>2.07E-2</v>
      </c>
      <c r="AE38" s="2186">
        <f>ROUND(AVERAGE(J38:J$40)/100,4)</f>
        <v>1.95E-2</v>
      </c>
      <c r="AF38" s="2186">
        <f t="shared" si="1"/>
        <v>1.95E-2</v>
      </c>
      <c r="AG38" s="2186">
        <f>ROUND(AVERAGE(K38:K$40)/100,4)</f>
        <v>2.1700000000000001E-2</v>
      </c>
      <c r="AH38" s="2186">
        <f>ROUND(AVERAGE(L38:L$40)/100,4)</f>
        <v>1.2E-2</v>
      </c>
    </row>
    <row r="39" spans="1:34" ht="13.5" thickBot="1">
      <c r="A39" s="2198" t="s">
        <v>118</v>
      </c>
      <c r="B39" s="2199">
        <f t="shared" si="251"/>
        <v>314.72141172386546</v>
      </c>
      <c r="C39" s="2199">
        <f t="shared" si="251"/>
        <v>263.03901319069001</v>
      </c>
      <c r="D39" s="2199">
        <f t="shared" si="246"/>
        <v>263.03901319069001</v>
      </c>
      <c r="E39" s="2199">
        <f t="shared" si="252"/>
        <v>433.65745506782821</v>
      </c>
      <c r="F39" s="2199">
        <f t="shared" si="252"/>
        <v>233.23005080045735</v>
      </c>
      <c r="G39" s="3767"/>
      <c r="H39" s="2219">
        <v>2</v>
      </c>
      <c r="I39" s="2219">
        <v>2.4</v>
      </c>
      <c r="J39" s="2219">
        <v>2.0299999999999998</v>
      </c>
      <c r="K39" s="2219">
        <v>2.59</v>
      </c>
      <c r="L39" s="2220">
        <v>1.52</v>
      </c>
      <c r="N39" s="2201">
        <f t="shared" si="248"/>
        <v>2.4E-2</v>
      </c>
      <c r="O39" s="2186">
        <f t="shared" si="243"/>
        <v>2.0299999999999999E-2</v>
      </c>
      <c r="P39" s="2186">
        <f t="shared" si="243"/>
        <v>2.5899999999999999E-2</v>
      </c>
      <c r="Q39" s="2186">
        <f t="shared" si="243"/>
        <v>1.52E-2</v>
      </c>
      <c r="R39" s="2202"/>
      <c r="S39" s="2201"/>
      <c r="T39" s="2186"/>
      <c r="U39" s="2186"/>
      <c r="V39" s="2186"/>
      <c r="X39" s="2185">
        <f>1+N39</f>
        <v>1.024</v>
      </c>
      <c r="Y39" s="2185">
        <f>1+O39</f>
        <v>1.0203</v>
      </c>
      <c r="Z39" s="2185">
        <f t="shared" si="253"/>
        <v>1.0203</v>
      </c>
      <c r="AA39" s="2185">
        <f>1+P39</f>
        <v>1.0259</v>
      </c>
      <c r="AB39" s="2185">
        <f>1+Q39</f>
        <v>1.0152000000000001</v>
      </c>
      <c r="AD39" s="2186">
        <f>ROUND(AVERAGE(I39:I$40)/100,4)</f>
        <v>2.69E-2</v>
      </c>
      <c r="AE39" s="2186">
        <f>ROUND(AVERAGE(J39:J$40)/100,4)</f>
        <v>2.1899999999999999E-2</v>
      </c>
      <c r="AF39" s="2186">
        <f t="shared" ref="AF39" si="254">AE39</f>
        <v>2.1899999999999999E-2</v>
      </c>
      <c r="AG39" s="2186">
        <f>ROUND(AVERAGE(K39:K$40)/100,4)</f>
        <v>2.9399999999999999E-2</v>
      </c>
      <c r="AH39" s="2186">
        <f>ROUND(AVERAGE(L39:L$40)/100,4)</f>
        <v>1.44E-2</v>
      </c>
    </row>
    <row r="40" spans="1:34" s="2235" customFormat="1" ht="13.5" thickBot="1">
      <c r="A40" s="2231" t="s">
        <v>117</v>
      </c>
      <c r="B40" s="2232">
        <f t="shared" si="251"/>
        <v>307.34512863658733</v>
      </c>
      <c r="C40" s="2232">
        <f t="shared" si="251"/>
        <v>257.80556031626975</v>
      </c>
      <c r="D40" s="2232">
        <f t="shared" si="246"/>
        <v>257.80556031626975</v>
      </c>
      <c r="E40" s="2232">
        <f t="shared" si="252"/>
        <v>422.70928459677179</v>
      </c>
      <c r="F40" s="2232">
        <f t="shared" si="252"/>
        <v>229.73803270336617</v>
      </c>
      <c r="G40" s="3768"/>
      <c r="H40" s="2233">
        <v>1</v>
      </c>
      <c r="I40" s="2233">
        <v>2.97</v>
      </c>
      <c r="J40" s="2233">
        <v>2.34</v>
      </c>
      <c r="K40" s="2233">
        <v>3.28</v>
      </c>
      <c r="L40" s="2234">
        <v>1.36</v>
      </c>
      <c r="N40" s="2236">
        <f t="shared" si="248"/>
        <v>2.9700000000000001E-2</v>
      </c>
      <c r="O40" s="2237">
        <f t="shared" si="243"/>
        <v>2.3399999999999997E-2</v>
      </c>
      <c r="P40" s="2237">
        <f t="shared" si="243"/>
        <v>3.2799999999999996E-2</v>
      </c>
      <c r="Q40" s="2237">
        <f t="shared" si="243"/>
        <v>1.3600000000000001E-2</v>
      </c>
      <c r="R40" s="2238"/>
      <c r="S40" s="2239">
        <f>B40/B41-1</f>
        <v>2.7910129219355539E-2</v>
      </c>
      <c r="T40" s="2240">
        <f>C40/C41-1</f>
        <v>2.3037937762975247E-2</v>
      </c>
      <c r="U40" s="2240">
        <f>E40/E41-1</f>
        <v>3.3519033243940788E-2</v>
      </c>
      <c r="V40" s="2240">
        <f>F40/F41-1</f>
        <v>1.2061818076502862E-2</v>
      </c>
      <c r="W40" s="2241" t="s">
        <v>464</v>
      </c>
      <c r="X40" s="2242">
        <v>1</v>
      </c>
      <c r="Y40" s="2242">
        <v>1</v>
      </c>
      <c r="Z40" s="2242">
        <v>1</v>
      </c>
      <c r="AA40" s="2242">
        <v>1</v>
      </c>
      <c r="AB40" s="2242">
        <v>1</v>
      </c>
      <c r="AD40" s="2237">
        <f>I40/100</f>
        <v>2.9700000000000001E-2</v>
      </c>
      <c r="AE40" s="2237">
        <f>J40/100</f>
        <v>2.3399999999999997E-2</v>
      </c>
      <c r="AF40" s="2237">
        <f>AE40</f>
        <v>2.3399999999999997E-2</v>
      </c>
      <c r="AG40" s="2237">
        <f>K40/100</f>
        <v>3.2799999999999996E-2</v>
      </c>
      <c r="AH40" s="2237">
        <f>L40/100</f>
        <v>1.3600000000000001E-2</v>
      </c>
    </row>
    <row r="41" spans="1:34" ht="13.5" thickBot="1">
      <c r="A41" s="2198" t="s">
        <v>465</v>
      </c>
      <c r="B41" s="2213">
        <v>299</v>
      </c>
      <c r="C41" s="2213">
        <v>252</v>
      </c>
      <c r="D41" s="2213">
        <f t="shared" si="246"/>
        <v>252</v>
      </c>
      <c r="E41" s="2213">
        <v>409</v>
      </c>
      <c r="F41" s="2214">
        <v>227</v>
      </c>
      <c r="G41" s="3771">
        <v>2013</v>
      </c>
      <c r="H41" s="2243">
        <v>4</v>
      </c>
      <c r="I41" s="2243">
        <v>1.83</v>
      </c>
      <c r="J41" s="2243">
        <v>1.68</v>
      </c>
      <c r="K41" s="2243">
        <v>1.97</v>
      </c>
      <c r="L41" s="2244">
        <v>0.87</v>
      </c>
      <c r="N41" s="2221">
        <f t="shared" si="248"/>
        <v>1.83E-2</v>
      </c>
      <c r="O41" s="2222">
        <f t="shared" si="243"/>
        <v>1.6799999999999999E-2</v>
      </c>
      <c r="P41" s="2222">
        <f t="shared" si="243"/>
        <v>1.9699999999999999E-2</v>
      </c>
      <c r="Q41" s="2222">
        <f t="shared" si="243"/>
        <v>8.6999999999999994E-3</v>
      </c>
      <c r="R41" s="2202"/>
      <c r="S41" s="2215"/>
      <c r="T41" s="2216"/>
      <c r="U41" s="2216"/>
      <c r="V41" s="2216"/>
      <c r="X41" s="2216"/>
      <c r="Y41" s="2216"/>
      <c r="Z41" s="2216"/>
    </row>
    <row r="42" spans="1:34">
      <c r="A42" s="2198" t="s">
        <v>466</v>
      </c>
      <c r="B42" s="2199">
        <f t="shared" ref="B42:C44" si="255">B41/(1+N41)</f>
        <v>293.62663262299913</v>
      </c>
      <c r="C42" s="2199">
        <f t="shared" si="255"/>
        <v>247.83634933123525</v>
      </c>
      <c r="D42" s="2199">
        <f t="shared" si="246"/>
        <v>247.83634933123525</v>
      </c>
      <c r="E42" s="2199">
        <f t="shared" ref="E42:F44" si="256">E41/(1+P41)</f>
        <v>401.09836226341076</v>
      </c>
      <c r="F42" s="2199">
        <f t="shared" si="256"/>
        <v>225.04213343908003</v>
      </c>
      <c r="G42" s="3772"/>
      <c r="H42" s="2224">
        <v>3</v>
      </c>
      <c r="I42" s="2224">
        <v>1.86</v>
      </c>
      <c r="J42" s="2224">
        <v>1.72</v>
      </c>
      <c r="K42" s="2224">
        <v>1.98</v>
      </c>
      <c r="L42" s="2225">
        <v>0.88</v>
      </c>
      <c r="N42" s="2201">
        <f t="shared" si="248"/>
        <v>1.8600000000000002E-2</v>
      </c>
      <c r="O42" s="2226">
        <f t="shared" si="243"/>
        <v>1.72E-2</v>
      </c>
      <c r="P42" s="2226">
        <f t="shared" si="243"/>
        <v>1.9799999999999998E-2</v>
      </c>
      <c r="Q42" s="2226">
        <f t="shared" si="243"/>
        <v>8.8000000000000005E-3</v>
      </c>
      <c r="R42" s="2202"/>
      <c r="S42" s="2201"/>
      <c r="T42" s="2186"/>
      <c r="U42" s="2186"/>
      <c r="V42" s="2186"/>
    </row>
    <row r="43" spans="1:34">
      <c r="A43" s="2198" t="s">
        <v>467</v>
      </c>
      <c r="B43" s="2199">
        <f t="shared" si="255"/>
        <v>288.2649053828776</v>
      </c>
      <c r="C43" s="2199">
        <f t="shared" si="255"/>
        <v>243.64564425013293</v>
      </c>
      <c r="D43" s="2199">
        <f t="shared" si="246"/>
        <v>243.64564425013293</v>
      </c>
      <c r="E43" s="2199">
        <f t="shared" si="256"/>
        <v>393.31080825986544</v>
      </c>
      <c r="F43" s="2199">
        <f t="shared" si="256"/>
        <v>223.07903790551154</v>
      </c>
      <c r="G43" s="3772"/>
      <c r="H43" s="2211">
        <v>2</v>
      </c>
      <c r="I43" s="2211">
        <v>2.04</v>
      </c>
      <c r="J43" s="2211">
        <v>2.33</v>
      </c>
      <c r="K43" s="2211">
        <v>2.0699999999999998</v>
      </c>
      <c r="L43" s="2212">
        <v>0.69</v>
      </c>
      <c r="N43" s="2201">
        <f t="shared" si="248"/>
        <v>2.0400000000000001E-2</v>
      </c>
      <c r="O43" s="2226">
        <f t="shared" si="243"/>
        <v>2.3300000000000001E-2</v>
      </c>
      <c r="P43" s="2226">
        <f t="shared" si="243"/>
        <v>2.07E-2</v>
      </c>
      <c r="Q43" s="2226">
        <f t="shared" si="243"/>
        <v>6.8999999999999999E-3</v>
      </c>
      <c r="R43" s="2202"/>
      <c r="S43" s="2201"/>
      <c r="T43" s="2186"/>
      <c r="U43" s="2186"/>
      <c r="V43" s="2186"/>
      <c r="X43" s="2245"/>
      <c r="Y43" s="2246"/>
    </row>
    <row r="44" spans="1:34">
      <c r="A44" s="2198" t="s">
        <v>468</v>
      </c>
      <c r="B44" s="2199">
        <f t="shared" si="255"/>
        <v>282.50186729015837</v>
      </c>
      <c r="C44" s="2199">
        <f t="shared" si="255"/>
        <v>238.09796174155468</v>
      </c>
      <c r="D44" s="2199">
        <f t="shared" si="246"/>
        <v>238.09796174155468</v>
      </c>
      <c r="E44" s="2199">
        <f t="shared" si="256"/>
        <v>385.33438646014054</v>
      </c>
      <c r="F44" s="2199">
        <f t="shared" si="256"/>
        <v>221.55034055567739</v>
      </c>
      <c r="G44" s="3773"/>
      <c r="H44" s="2200">
        <v>1</v>
      </c>
      <c r="I44" s="2200">
        <v>1.67</v>
      </c>
      <c r="J44" s="2200">
        <v>1.31</v>
      </c>
      <c r="K44" s="2200">
        <v>1.85</v>
      </c>
      <c r="L44" s="2206">
        <v>0.96</v>
      </c>
      <c r="N44" s="2217">
        <f t="shared" si="248"/>
        <v>1.67E-2</v>
      </c>
      <c r="O44" s="2218">
        <f t="shared" si="248"/>
        <v>1.3100000000000001E-2</v>
      </c>
      <c r="P44" s="2218">
        <f t="shared" si="248"/>
        <v>1.8500000000000003E-2</v>
      </c>
      <c r="Q44" s="2218">
        <f t="shared" si="248"/>
        <v>9.5999999999999992E-3</v>
      </c>
      <c r="R44" s="2202"/>
      <c r="S44" s="2217">
        <f>B44/B45-1</f>
        <v>1.6193767230785472E-2</v>
      </c>
      <c r="T44" s="2218">
        <f>C44/C45-1</f>
        <v>1.7512657015190891E-2</v>
      </c>
      <c r="U44" s="2218">
        <f>E44/E45-1</f>
        <v>1.6713420739157048E-2</v>
      </c>
      <c r="V44" s="2218">
        <f>F44/F45-1</f>
        <v>7.0470025258062563E-3</v>
      </c>
      <c r="X44" s="2247"/>
      <c r="Y44" s="2186"/>
      <c r="Z44" s="2186"/>
    </row>
    <row r="45" spans="1:34" ht="13.5" thickBot="1">
      <c r="A45" s="2198" t="s">
        <v>469</v>
      </c>
      <c r="B45" s="2248">
        <v>278</v>
      </c>
      <c r="C45" s="2248">
        <v>234</v>
      </c>
      <c r="D45" s="2248">
        <f t="shared" si="246"/>
        <v>234</v>
      </c>
      <c r="E45" s="2248">
        <v>379</v>
      </c>
      <c r="F45" s="2249">
        <v>220</v>
      </c>
      <c r="G45" s="3766">
        <v>2012</v>
      </c>
      <c r="H45" s="2219">
        <v>4</v>
      </c>
      <c r="I45" s="2219">
        <v>0.91</v>
      </c>
      <c r="J45" s="2219">
        <v>0.68</v>
      </c>
      <c r="K45" s="2219">
        <v>0.98</v>
      </c>
      <c r="L45" s="2220">
        <v>0.9</v>
      </c>
      <c r="N45" s="2201">
        <f t="shared" si="248"/>
        <v>9.1000000000000004E-3</v>
      </c>
      <c r="O45" s="2186">
        <f t="shared" si="248"/>
        <v>6.8000000000000005E-3</v>
      </c>
      <c r="P45" s="2186">
        <f t="shared" si="248"/>
        <v>9.7999999999999997E-3</v>
      </c>
      <c r="Q45" s="2186">
        <f t="shared" si="248"/>
        <v>9.0000000000000011E-3</v>
      </c>
      <c r="R45" s="2202"/>
      <c r="S45" s="2215"/>
      <c r="T45" s="2216"/>
      <c r="U45" s="2216"/>
      <c r="V45" s="2216"/>
      <c r="X45" s="2216"/>
      <c r="Y45" s="2216"/>
      <c r="Z45" s="2216"/>
    </row>
    <row r="46" spans="1:34">
      <c r="A46" s="2198" t="s">
        <v>470</v>
      </c>
      <c r="B46" s="2199">
        <f>B45/(1+N45)</f>
        <v>275.49301357645425</v>
      </c>
      <c r="C46" s="2199">
        <f>C45/(1+O45)</f>
        <v>232.41954707985698</v>
      </c>
      <c r="D46" s="2199">
        <f t="shared" si="246"/>
        <v>232.41954707985698</v>
      </c>
      <c r="E46" s="2199">
        <f t="shared" ref="E46:F48" si="257">E45/(1+P45)</f>
        <v>375.32184591008121</v>
      </c>
      <c r="F46" s="2199">
        <f t="shared" si="257"/>
        <v>218.03766105054513</v>
      </c>
      <c r="G46" s="3767"/>
      <c r="H46" s="2224">
        <v>3</v>
      </c>
      <c r="I46" s="2224">
        <v>0.09</v>
      </c>
      <c r="J46" s="2224">
        <v>0.28999999999999998</v>
      </c>
      <c r="K46" s="2224">
        <v>-0.01</v>
      </c>
      <c r="L46" s="2225">
        <v>0.57999999999999996</v>
      </c>
      <c r="N46" s="2201">
        <f t="shared" si="248"/>
        <v>8.9999999999999998E-4</v>
      </c>
      <c r="O46" s="2186">
        <f t="shared" si="248"/>
        <v>2.8999999999999998E-3</v>
      </c>
      <c r="P46" s="2186">
        <f t="shared" si="248"/>
        <v>-1E-4</v>
      </c>
      <c r="Q46" s="2186">
        <f t="shared" si="248"/>
        <v>5.7999999999999996E-3</v>
      </c>
      <c r="R46" s="2202"/>
      <c r="S46" s="2201"/>
      <c r="T46" s="2186"/>
      <c r="U46" s="2186"/>
      <c r="V46" s="2186"/>
    </row>
    <row r="47" spans="1:34">
      <c r="A47" s="2198" t="s">
        <v>471</v>
      </c>
      <c r="B47" s="2199">
        <f>B46/(1+N46)</f>
        <v>275.24529281292263</v>
      </c>
      <c r="C47" s="2199">
        <f>C46/(1+O46)</f>
        <v>231.74747938962707</v>
      </c>
      <c r="D47" s="2199">
        <f t="shared" si="246"/>
        <v>231.74747938962707</v>
      </c>
      <c r="E47" s="2199">
        <f t="shared" si="257"/>
        <v>375.35938184826603</v>
      </c>
      <c r="F47" s="2199">
        <f t="shared" si="257"/>
        <v>216.78033510692495</v>
      </c>
      <c r="G47" s="3767"/>
      <c r="H47" s="2211">
        <v>2</v>
      </c>
      <c r="I47" s="2211">
        <v>0.02</v>
      </c>
      <c r="J47" s="2211">
        <v>0.12</v>
      </c>
      <c r="K47" s="2211">
        <v>-0.08</v>
      </c>
      <c r="L47" s="2212">
        <v>1.24</v>
      </c>
      <c r="N47" s="2201">
        <f t="shared" si="248"/>
        <v>2.0000000000000001E-4</v>
      </c>
      <c r="O47" s="2186">
        <f t="shared" si="248"/>
        <v>1.1999999999999999E-3</v>
      </c>
      <c r="P47" s="2186">
        <f t="shared" si="248"/>
        <v>-8.0000000000000004E-4</v>
      </c>
      <c r="Q47" s="2186">
        <f t="shared" si="248"/>
        <v>1.24E-2</v>
      </c>
      <c r="R47" s="2202"/>
      <c r="S47" s="2201"/>
      <c r="T47" s="2186"/>
      <c r="U47" s="2186"/>
      <c r="V47" s="2186"/>
    </row>
    <row r="48" spans="1:34" ht="13.5" thickBot="1">
      <c r="A48" s="2198" t="s">
        <v>472</v>
      </c>
      <c r="B48" s="2199">
        <f>B47/(1+N47)</f>
        <v>275.19025476197027</v>
      </c>
      <c r="C48" s="2250">
        <v>232</v>
      </c>
      <c r="D48" s="2250">
        <f t="shared" si="246"/>
        <v>232</v>
      </c>
      <c r="E48" s="2199">
        <f t="shared" si="257"/>
        <v>375.65990977608692</v>
      </c>
      <c r="F48" s="2199">
        <f t="shared" si="257"/>
        <v>214.12518283971252</v>
      </c>
      <c r="G48" s="3768"/>
      <c r="H48" s="2200">
        <v>1</v>
      </c>
      <c r="I48" s="2200">
        <v>0.02</v>
      </c>
      <c r="J48" s="2200">
        <v>0.13</v>
      </c>
      <c r="K48" s="2200">
        <v>-0.04</v>
      </c>
      <c r="L48" s="2206">
        <v>0.46</v>
      </c>
      <c r="N48" s="2201">
        <f t="shared" si="248"/>
        <v>2.0000000000000001E-4</v>
      </c>
      <c r="O48" s="2186">
        <f t="shared" si="248"/>
        <v>1.2999999999999999E-3</v>
      </c>
      <c r="P48" s="2186">
        <f t="shared" si="248"/>
        <v>-4.0000000000000002E-4</v>
      </c>
      <c r="Q48" s="2186">
        <f t="shared" si="248"/>
        <v>4.5999999999999999E-3</v>
      </c>
      <c r="R48" s="2202"/>
      <c r="S48" s="2217">
        <f>B48/B49-1</f>
        <v>6.9183549807361189E-4</v>
      </c>
      <c r="T48" s="2218">
        <f>C48/C49-1</f>
        <v>0</v>
      </c>
      <c r="U48" s="2218">
        <f>E48/E49-1</f>
        <v>-9.0449527636460303E-4</v>
      </c>
      <c r="V48" s="2218">
        <f>F48/F49-1</f>
        <v>5.2825485432512753E-3</v>
      </c>
      <c r="X48" s="2186"/>
      <c r="Y48" s="2186"/>
      <c r="Z48" s="2186"/>
    </row>
    <row r="49" spans="1:26" ht="13.5" thickBot="1">
      <c r="A49" s="2198" t="s">
        <v>473</v>
      </c>
      <c r="B49" s="2213">
        <v>275</v>
      </c>
      <c r="C49" s="2213">
        <v>232</v>
      </c>
      <c r="D49" s="2213">
        <f t="shared" si="246"/>
        <v>232</v>
      </c>
      <c r="E49" s="2213">
        <v>376</v>
      </c>
      <c r="F49" s="2214">
        <v>213</v>
      </c>
      <c r="G49" s="3766">
        <v>2011</v>
      </c>
      <c r="H49" s="2219">
        <v>4</v>
      </c>
      <c r="I49" s="2219">
        <v>-0.2</v>
      </c>
      <c r="J49" s="2219">
        <v>0.04</v>
      </c>
      <c r="K49" s="2219">
        <v>-0.34</v>
      </c>
      <c r="L49" s="2220">
        <v>0.46</v>
      </c>
      <c r="N49" s="2221">
        <f t="shared" si="248"/>
        <v>-2E-3</v>
      </c>
      <c r="O49" s="2222">
        <f t="shared" si="248"/>
        <v>4.0000000000000002E-4</v>
      </c>
      <c r="P49" s="2222">
        <f t="shared" si="248"/>
        <v>-3.4000000000000002E-3</v>
      </c>
      <c r="Q49" s="2222">
        <f t="shared" si="248"/>
        <v>4.5999999999999999E-3</v>
      </c>
      <c r="R49" s="2202"/>
      <c r="S49" s="2215"/>
      <c r="T49" s="2216"/>
      <c r="U49" s="2216"/>
      <c r="V49" s="2216"/>
      <c r="X49" s="2216"/>
      <c r="Y49" s="2216"/>
      <c r="Z49" s="2216"/>
    </row>
    <row r="50" spans="1:26">
      <c r="A50" s="2198" t="s">
        <v>474</v>
      </c>
      <c r="B50" s="2199">
        <f t="shared" ref="B50:C52" si="258">B49/(1+N49)</f>
        <v>275.55110220440883</v>
      </c>
      <c r="C50" s="2199">
        <f t="shared" si="258"/>
        <v>231.90723710515795</v>
      </c>
      <c r="D50" s="2199">
        <f t="shared" si="246"/>
        <v>231.90723710515795</v>
      </c>
      <c r="E50" s="2199">
        <f t="shared" ref="E50:F52" si="259">E49/(1+P49)</f>
        <v>377.28276138872161</v>
      </c>
      <c r="F50" s="2199">
        <f t="shared" si="259"/>
        <v>212.02468644236512</v>
      </c>
      <c r="G50" s="3767">
        <v>2011</v>
      </c>
      <c r="H50" s="2224">
        <v>3</v>
      </c>
      <c r="I50" s="2224">
        <v>0.13</v>
      </c>
      <c r="J50" s="2224">
        <v>0.75</v>
      </c>
      <c r="K50" s="2224">
        <v>-0.08</v>
      </c>
      <c r="L50" s="2225">
        <v>0.53</v>
      </c>
      <c r="N50" s="2201">
        <f t="shared" si="248"/>
        <v>1.2999999999999999E-3</v>
      </c>
      <c r="O50" s="2226">
        <f t="shared" si="248"/>
        <v>7.4999999999999997E-3</v>
      </c>
      <c r="P50" s="2226">
        <f t="shared" si="248"/>
        <v>-8.0000000000000004E-4</v>
      </c>
      <c r="Q50" s="2226">
        <f t="shared" si="248"/>
        <v>5.3E-3</v>
      </c>
      <c r="R50" s="2202"/>
      <c r="S50" s="2201"/>
      <c r="T50" s="2186"/>
      <c r="U50" s="2186"/>
      <c r="V50" s="2186"/>
    </row>
    <row r="51" spans="1:26">
      <c r="A51" s="2198" t="s">
        <v>475</v>
      </c>
      <c r="B51" s="2199">
        <f t="shared" si="258"/>
        <v>275.19335084830601</v>
      </c>
      <c r="C51" s="2199">
        <f t="shared" si="258"/>
        <v>230.18088050139744</v>
      </c>
      <c r="D51" s="2199">
        <f t="shared" si="246"/>
        <v>230.18088050139744</v>
      </c>
      <c r="E51" s="2199">
        <f t="shared" si="259"/>
        <v>377.58482925212331</v>
      </c>
      <c r="F51" s="2199">
        <f t="shared" si="259"/>
        <v>210.90687997847917</v>
      </c>
      <c r="G51" s="3767">
        <v>2011</v>
      </c>
      <c r="H51" s="2211">
        <v>2</v>
      </c>
      <c r="I51" s="2211">
        <v>-0.4</v>
      </c>
      <c r="J51" s="2211">
        <v>0.17</v>
      </c>
      <c r="K51" s="2211">
        <v>-0.57999999999999996</v>
      </c>
      <c r="L51" s="2212">
        <v>-0.2</v>
      </c>
      <c r="N51" s="2201">
        <f t="shared" si="248"/>
        <v>-4.0000000000000001E-3</v>
      </c>
      <c r="O51" s="2226">
        <f t="shared" si="248"/>
        <v>1.7000000000000001E-3</v>
      </c>
      <c r="P51" s="2226">
        <f t="shared" si="248"/>
        <v>-5.7999999999999996E-3</v>
      </c>
      <c r="Q51" s="2226">
        <f t="shared" si="248"/>
        <v>-2E-3</v>
      </c>
      <c r="R51" s="2202"/>
      <c r="S51" s="2201"/>
      <c r="T51" s="2186"/>
      <c r="U51" s="2186"/>
      <c r="V51" s="2186"/>
    </row>
    <row r="52" spans="1:26" ht="13.5" thickBot="1">
      <c r="A52" s="2198" t="s">
        <v>476</v>
      </c>
      <c r="B52" s="2199">
        <f t="shared" si="258"/>
        <v>276.29854502841971</v>
      </c>
      <c r="C52" s="2199">
        <f t="shared" si="258"/>
        <v>229.79023709833027</v>
      </c>
      <c r="D52" s="2199">
        <f t="shared" si="246"/>
        <v>229.79023709833027</v>
      </c>
      <c r="E52" s="2199">
        <f t="shared" si="259"/>
        <v>379.78759731655936</v>
      </c>
      <c r="F52" s="2199">
        <f t="shared" si="259"/>
        <v>211.32953905659235</v>
      </c>
      <c r="G52" s="3768">
        <v>2011</v>
      </c>
      <c r="H52" s="2200">
        <v>1</v>
      </c>
      <c r="I52" s="2200">
        <v>2.65</v>
      </c>
      <c r="J52" s="2200">
        <v>3.76</v>
      </c>
      <c r="K52" s="2200">
        <v>1.89</v>
      </c>
      <c r="L52" s="2206">
        <v>7.95</v>
      </c>
      <c r="N52" s="2217">
        <f t="shared" si="248"/>
        <v>2.6499999999999999E-2</v>
      </c>
      <c r="O52" s="2218">
        <f t="shared" si="248"/>
        <v>3.7599999999999995E-2</v>
      </c>
      <c r="P52" s="2218">
        <f t="shared" si="248"/>
        <v>1.89E-2</v>
      </c>
      <c r="Q52" s="2218">
        <f t="shared" si="248"/>
        <v>7.9500000000000001E-2</v>
      </c>
      <c r="R52" s="2202"/>
      <c r="S52" s="2217">
        <f>B52/B53-1</f>
        <v>2.713213765211786E-2</v>
      </c>
      <c r="T52" s="2218">
        <f>C52/C53-1</f>
        <v>3.9774828499231862E-2</v>
      </c>
      <c r="U52" s="2218">
        <f>E52/E53-1</f>
        <v>1.8197311840641772E-2</v>
      </c>
      <c r="V52" s="2218">
        <f>F52/F53-1</f>
        <v>7.8211933962205826E-2</v>
      </c>
      <c r="X52" s="2186"/>
      <c r="Y52" s="2186"/>
      <c r="Z52" s="2186"/>
    </row>
    <row r="53" spans="1:26" ht="13.5" thickBot="1">
      <c r="A53" s="2198" t="s">
        <v>477</v>
      </c>
      <c r="B53" s="2213">
        <v>269</v>
      </c>
      <c r="C53" s="2213">
        <v>221</v>
      </c>
      <c r="D53" s="2213">
        <f t="shared" si="246"/>
        <v>221</v>
      </c>
      <c r="E53" s="2213">
        <v>373</v>
      </c>
      <c r="F53" s="2214">
        <v>196</v>
      </c>
      <c r="G53" s="3766">
        <v>2010</v>
      </c>
      <c r="H53" s="2219">
        <v>4</v>
      </c>
      <c r="I53" s="2219">
        <v>5.72</v>
      </c>
      <c r="J53" s="2219">
        <v>6.57</v>
      </c>
      <c r="K53" s="2219">
        <v>5.72</v>
      </c>
      <c r="L53" s="2220">
        <v>2.72</v>
      </c>
      <c r="N53" s="2201">
        <f t="shared" si="248"/>
        <v>5.7200000000000001E-2</v>
      </c>
      <c r="O53" s="2186">
        <f t="shared" si="248"/>
        <v>6.5700000000000008E-2</v>
      </c>
      <c r="P53" s="2186">
        <f t="shared" si="248"/>
        <v>5.7200000000000001E-2</v>
      </c>
      <c r="Q53" s="2186">
        <f t="shared" si="248"/>
        <v>2.7200000000000002E-2</v>
      </c>
      <c r="R53" s="2202"/>
      <c r="S53" s="2215"/>
      <c r="T53" s="2216"/>
      <c r="U53" s="2216"/>
      <c r="V53" s="2216"/>
      <c r="X53" s="2216"/>
      <c r="Y53" s="2216"/>
      <c r="Z53" s="2216"/>
    </row>
    <row r="54" spans="1:26">
      <c r="A54" s="2198" t="s">
        <v>478</v>
      </c>
      <c r="B54" s="2199">
        <f t="shared" ref="B54:C56" si="260">B53/(1+N53)</f>
        <v>254.44570563753314</v>
      </c>
      <c r="C54" s="2199">
        <f t="shared" si="260"/>
        <v>207.37543398705074</v>
      </c>
      <c r="D54" s="2199">
        <f t="shared" si="246"/>
        <v>207.37543398705074</v>
      </c>
      <c r="E54" s="2199">
        <f t="shared" ref="E54:F56" si="261">E53/(1+P53)</f>
        <v>352.81876655315932</v>
      </c>
      <c r="F54" s="2199">
        <f t="shared" si="261"/>
        <v>190.809968847352</v>
      </c>
      <c r="G54" s="3767">
        <v>2010</v>
      </c>
      <c r="H54" s="2224">
        <v>3</v>
      </c>
      <c r="I54" s="2224">
        <v>4.7300000000000004</v>
      </c>
      <c r="J54" s="2224">
        <v>3.9</v>
      </c>
      <c r="K54" s="2224">
        <v>5.03</v>
      </c>
      <c r="L54" s="2225">
        <v>4.21</v>
      </c>
      <c r="N54" s="2201">
        <f t="shared" si="248"/>
        <v>4.7300000000000002E-2</v>
      </c>
      <c r="O54" s="2186">
        <f t="shared" si="248"/>
        <v>3.9E-2</v>
      </c>
      <c r="P54" s="2186">
        <f t="shared" si="248"/>
        <v>5.0300000000000004E-2</v>
      </c>
      <c r="Q54" s="2186">
        <f t="shared" si="248"/>
        <v>4.2099999999999999E-2</v>
      </c>
      <c r="R54" s="2202"/>
      <c r="S54" s="2201"/>
      <c r="T54" s="2186"/>
      <c r="U54" s="2186"/>
      <c r="V54" s="2186"/>
    </row>
    <row r="55" spans="1:26">
      <c r="A55" s="2198" t="s">
        <v>479</v>
      </c>
      <c r="B55" s="2199">
        <f t="shared" si="260"/>
        <v>242.95398227588385</v>
      </c>
      <c r="C55" s="2199">
        <f t="shared" si="260"/>
        <v>199.59137053614126</v>
      </c>
      <c r="D55" s="2199">
        <f t="shared" si="246"/>
        <v>199.59137053614126</v>
      </c>
      <c r="E55" s="2199">
        <f t="shared" si="261"/>
        <v>335.92189522342125</v>
      </c>
      <c r="F55" s="2199">
        <f t="shared" si="261"/>
        <v>183.10139991109489</v>
      </c>
      <c r="G55" s="3767">
        <v>2010</v>
      </c>
      <c r="H55" s="2211">
        <v>2</v>
      </c>
      <c r="I55" s="2211">
        <v>4.6900000000000004</v>
      </c>
      <c r="J55" s="2211">
        <v>3.55</v>
      </c>
      <c r="K55" s="2211">
        <v>5.07</v>
      </c>
      <c r="L55" s="2212">
        <v>4.2300000000000004</v>
      </c>
      <c r="N55" s="2201">
        <f t="shared" si="248"/>
        <v>4.6900000000000004E-2</v>
      </c>
      <c r="O55" s="2186">
        <f t="shared" si="248"/>
        <v>3.5499999999999997E-2</v>
      </c>
      <c r="P55" s="2186">
        <f t="shared" si="248"/>
        <v>5.0700000000000002E-2</v>
      </c>
      <c r="Q55" s="2186">
        <f t="shared" si="248"/>
        <v>4.2300000000000004E-2</v>
      </c>
      <c r="R55" s="2202"/>
      <c r="S55" s="2201"/>
      <c r="T55" s="2186"/>
      <c r="U55" s="2186"/>
      <c r="V55" s="2186"/>
    </row>
    <row r="56" spans="1:26" ht="13.5" thickBot="1">
      <c r="A56" s="2198" t="s">
        <v>480</v>
      </c>
      <c r="B56" s="2199">
        <f t="shared" si="260"/>
        <v>232.06990378821649</v>
      </c>
      <c r="C56" s="2199">
        <f t="shared" si="260"/>
        <v>192.74878854286936</v>
      </c>
      <c r="D56" s="2199">
        <f t="shared" si="246"/>
        <v>192.74878854286936</v>
      </c>
      <c r="E56" s="2199">
        <f t="shared" si="261"/>
        <v>319.71247284992984</v>
      </c>
      <c r="F56" s="2199">
        <f t="shared" si="261"/>
        <v>175.67053622862409</v>
      </c>
      <c r="G56" s="3768">
        <v>2010</v>
      </c>
      <c r="H56" s="2200">
        <v>1</v>
      </c>
      <c r="I56" s="2200">
        <v>5.4</v>
      </c>
      <c r="J56" s="2200">
        <v>3.2</v>
      </c>
      <c r="K56" s="2200">
        <v>6.16</v>
      </c>
      <c r="L56" s="2206">
        <v>4.51</v>
      </c>
      <c r="N56" s="2201">
        <f t="shared" si="248"/>
        <v>5.4000000000000006E-2</v>
      </c>
      <c r="O56" s="2186">
        <f t="shared" si="248"/>
        <v>3.2000000000000001E-2</v>
      </c>
      <c r="P56" s="2186">
        <f t="shared" si="248"/>
        <v>6.1600000000000002E-2</v>
      </c>
      <c r="Q56" s="2186">
        <f t="shared" si="248"/>
        <v>4.5100000000000001E-2</v>
      </c>
      <c r="R56" s="2202"/>
      <c r="S56" s="2217">
        <f>B56/B57-1</f>
        <v>5.4863199037347599E-2</v>
      </c>
      <c r="T56" s="2218">
        <f>C56/C57-1</f>
        <v>3.0742184721226584E-2</v>
      </c>
      <c r="U56" s="2218">
        <f>E56/E57-1</f>
        <v>6.2167683886810154E-2</v>
      </c>
      <c r="V56" s="2218">
        <f>F56/F57-1</f>
        <v>4.5657953741810031E-2</v>
      </c>
      <c r="X56" s="2186"/>
      <c r="Y56" s="2186"/>
      <c r="Z56" s="2186"/>
    </row>
    <row r="57" spans="1:26" ht="13.5" thickBot="1">
      <c r="A57" s="2198" t="s">
        <v>481</v>
      </c>
      <c r="B57" s="2213">
        <v>220</v>
      </c>
      <c r="C57" s="2213">
        <v>187</v>
      </c>
      <c r="D57" s="2213">
        <f t="shared" si="246"/>
        <v>187</v>
      </c>
      <c r="E57" s="2213">
        <v>301</v>
      </c>
      <c r="F57" s="2214">
        <v>168</v>
      </c>
      <c r="G57" s="3766">
        <v>2009</v>
      </c>
      <c r="H57" s="2219">
        <v>4</v>
      </c>
      <c r="I57" s="2219">
        <v>2.2999999999999998</v>
      </c>
      <c r="J57" s="2219">
        <v>1.04</v>
      </c>
      <c r="K57" s="2219">
        <v>2.84</v>
      </c>
      <c r="L57" s="2220">
        <v>0.67</v>
      </c>
      <c r="N57" s="2221">
        <f t="shared" si="248"/>
        <v>2.3E-2</v>
      </c>
      <c r="O57" s="2222">
        <f t="shared" si="248"/>
        <v>1.04E-2</v>
      </c>
      <c r="P57" s="2222">
        <f t="shared" si="248"/>
        <v>2.8399999999999998E-2</v>
      </c>
      <c r="Q57" s="2222">
        <f t="shared" si="248"/>
        <v>6.7000000000000002E-3</v>
      </c>
      <c r="R57" s="2202"/>
      <c r="S57" s="2215"/>
      <c r="T57" s="2216"/>
      <c r="U57" s="2216"/>
      <c r="V57" s="2216"/>
      <c r="X57" s="2216"/>
      <c r="Y57" s="2216"/>
      <c r="Z57" s="2216"/>
    </row>
    <row r="58" spans="1:26">
      <c r="A58" s="2198" t="s">
        <v>482</v>
      </c>
      <c r="B58" s="2199">
        <f t="shared" ref="B58:C60" si="262">B57/(1+N57)</f>
        <v>215.05376344086022</v>
      </c>
      <c r="C58" s="2199">
        <f t="shared" si="262"/>
        <v>185.0752177355503</v>
      </c>
      <c r="D58" s="2199">
        <f t="shared" si="246"/>
        <v>185.0752177355503</v>
      </c>
      <c r="E58" s="2199">
        <f t="shared" ref="E58:F60" si="263">E57/(1+P57)</f>
        <v>292.68767016725008</v>
      </c>
      <c r="F58" s="2199">
        <f t="shared" si="263"/>
        <v>166.88189132810174</v>
      </c>
      <c r="G58" s="3767">
        <v>2009</v>
      </c>
      <c r="H58" s="2224">
        <v>3</v>
      </c>
      <c r="I58" s="2224">
        <v>2.1</v>
      </c>
      <c r="J58" s="2224">
        <v>1.86</v>
      </c>
      <c r="K58" s="2224">
        <v>2.29</v>
      </c>
      <c r="L58" s="2225">
        <v>0.85</v>
      </c>
      <c r="N58" s="2201">
        <f t="shared" si="248"/>
        <v>2.1000000000000001E-2</v>
      </c>
      <c r="O58" s="2226">
        <f t="shared" si="248"/>
        <v>1.8600000000000002E-2</v>
      </c>
      <c r="P58" s="2226">
        <f t="shared" si="248"/>
        <v>2.29E-2</v>
      </c>
      <c r="Q58" s="2226">
        <f t="shared" si="248"/>
        <v>8.5000000000000006E-3</v>
      </c>
      <c r="R58" s="2202"/>
      <c r="S58" s="2201"/>
      <c r="T58" s="2186"/>
      <c r="U58" s="2186"/>
      <c r="V58" s="2186"/>
    </row>
    <row r="59" spans="1:26">
      <c r="A59" s="2198" t="s">
        <v>483</v>
      </c>
      <c r="B59" s="2199">
        <f t="shared" si="262"/>
        <v>210.630522469011</v>
      </c>
      <c r="C59" s="2199">
        <f t="shared" si="262"/>
        <v>181.69567812247232</v>
      </c>
      <c r="D59" s="2199">
        <f t="shared" si="246"/>
        <v>181.69567812247232</v>
      </c>
      <c r="E59" s="2199">
        <f t="shared" si="263"/>
        <v>286.13517466736738</v>
      </c>
      <c r="F59" s="2199">
        <f t="shared" si="263"/>
        <v>165.47535084591149</v>
      </c>
      <c r="G59" s="3767">
        <v>2009</v>
      </c>
      <c r="H59" s="2211">
        <v>2</v>
      </c>
      <c r="I59" s="2211">
        <v>0.86</v>
      </c>
      <c r="J59" s="2211">
        <v>-1.1299999999999999</v>
      </c>
      <c r="K59" s="2211">
        <v>1.79</v>
      </c>
      <c r="L59" s="2212">
        <v>-2.0699999999999998</v>
      </c>
      <c r="N59" s="2201">
        <f t="shared" si="248"/>
        <v>8.6E-3</v>
      </c>
      <c r="O59" s="2226">
        <f t="shared" si="248"/>
        <v>-1.1299999999999999E-2</v>
      </c>
      <c r="P59" s="2226">
        <f t="shared" si="248"/>
        <v>1.7899999999999999E-2</v>
      </c>
      <c r="Q59" s="2226">
        <f t="shared" si="248"/>
        <v>-2.07E-2</v>
      </c>
      <c r="R59" s="2202"/>
      <c r="S59" s="2201"/>
      <c r="T59" s="2186"/>
      <c r="U59" s="2186"/>
      <c r="V59" s="2186"/>
    </row>
    <row r="60" spans="1:26">
      <c r="A60" s="2198" t="s">
        <v>484</v>
      </c>
      <c r="B60" s="2199">
        <f t="shared" si="262"/>
        <v>208.83454537875372</v>
      </c>
      <c r="C60" s="2199">
        <f t="shared" si="262"/>
        <v>183.77230517090351</v>
      </c>
      <c r="D60" s="2199">
        <f t="shared" si="246"/>
        <v>183.77230517090351</v>
      </c>
      <c r="E60" s="2199">
        <f t="shared" si="263"/>
        <v>281.10342338870947</v>
      </c>
      <c r="F60" s="2199">
        <f t="shared" si="263"/>
        <v>168.97309388942256</v>
      </c>
      <c r="G60" s="3768">
        <v>2009</v>
      </c>
      <c r="H60" s="2200">
        <v>1</v>
      </c>
      <c r="I60" s="2200">
        <v>-2.64</v>
      </c>
      <c r="J60" s="2200">
        <v>-2.5299999999999998</v>
      </c>
      <c r="K60" s="2200">
        <v>-3.02</v>
      </c>
      <c r="L60" s="2206">
        <v>1.52</v>
      </c>
      <c r="N60" s="2217">
        <f t="shared" si="248"/>
        <v>-2.64E-2</v>
      </c>
      <c r="O60" s="2218">
        <f t="shared" si="248"/>
        <v>-2.53E-2</v>
      </c>
      <c r="P60" s="2218">
        <f t="shared" si="248"/>
        <v>-3.0200000000000001E-2</v>
      </c>
      <c r="Q60" s="2218">
        <f t="shared" si="248"/>
        <v>1.52E-2</v>
      </c>
      <c r="R60" s="2202"/>
      <c r="S60" s="2217">
        <f>B60/B61-1</f>
        <v>-2.4137638417038754E-2</v>
      </c>
      <c r="T60" s="2218">
        <f>C60/C61-1</f>
        <v>-2.248773845264096E-2</v>
      </c>
      <c r="U60" s="2218">
        <f>E60/E61-1</f>
        <v>-2.7323794502735366E-2</v>
      </c>
      <c r="V60" s="2218">
        <f>F60/F61-1</f>
        <v>1.7910204153148035E-2</v>
      </c>
      <c r="X60" s="2186"/>
      <c r="Y60" s="2186"/>
      <c r="Z60" s="2186"/>
    </row>
    <row r="61" spans="1:26" ht="13.5" thickBot="1">
      <c r="A61" s="2198" t="s">
        <v>485</v>
      </c>
      <c r="B61" s="2248">
        <v>214</v>
      </c>
      <c r="C61" s="2248">
        <v>188</v>
      </c>
      <c r="D61" s="2248">
        <f t="shared" si="246"/>
        <v>188</v>
      </c>
      <c r="E61" s="2248">
        <v>289</v>
      </c>
      <c r="F61" s="2249">
        <v>166</v>
      </c>
      <c r="G61" s="3766">
        <v>2008</v>
      </c>
      <c r="H61" s="2219">
        <v>4</v>
      </c>
      <c r="I61" s="2219">
        <v>1.73</v>
      </c>
      <c r="J61" s="2219">
        <v>0.03</v>
      </c>
      <c r="K61" s="2219">
        <v>2.59</v>
      </c>
      <c r="L61" s="2220">
        <v>-1.66</v>
      </c>
      <c r="N61" s="2201">
        <f t="shared" si="248"/>
        <v>1.7299999999999999E-2</v>
      </c>
      <c r="O61" s="2186">
        <f t="shared" si="248"/>
        <v>2.9999999999999997E-4</v>
      </c>
      <c r="P61" s="2186">
        <f t="shared" si="248"/>
        <v>2.5899999999999999E-2</v>
      </c>
      <c r="Q61" s="2186">
        <f t="shared" si="248"/>
        <v>-1.66E-2</v>
      </c>
      <c r="R61" s="2202"/>
      <c r="S61" s="2215"/>
      <c r="T61" s="2216"/>
      <c r="U61" s="2216"/>
      <c r="V61" s="2216"/>
      <c r="X61" s="2216"/>
      <c r="Y61" s="2216"/>
      <c r="Z61" s="2216"/>
    </row>
    <row r="62" spans="1:26">
      <c r="A62" s="2198" t="s">
        <v>486</v>
      </c>
      <c r="B62" s="2199">
        <f t="shared" ref="B62:C64" si="264">B61/(1+N61)</f>
        <v>210.36075887152265</v>
      </c>
      <c r="C62" s="2199">
        <f t="shared" si="264"/>
        <v>187.94361691492554</v>
      </c>
      <c r="D62" s="2199">
        <f t="shared" si="246"/>
        <v>187.94361691492554</v>
      </c>
      <c r="E62" s="2199">
        <f t="shared" ref="E62:F64" si="265">E61/(1+P61)</f>
        <v>281.70386977288234</v>
      </c>
      <c r="F62" s="2199">
        <f t="shared" si="265"/>
        <v>168.80211511083994</v>
      </c>
      <c r="G62" s="3767">
        <v>2008</v>
      </c>
      <c r="H62" s="2224">
        <v>3</v>
      </c>
      <c r="I62" s="2224">
        <v>1.96</v>
      </c>
      <c r="J62" s="2224">
        <v>2.36</v>
      </c>
      <c r="K62" s="2224">
        <v>1.82</v>
      </c>
      <c r="L62" s="2225">
        <v>2.2200000000000002</v>
      </c>
      <c r="N62" s="2201">
        <f t="shared" si="248"/>
        <v>1.9599999999999999E-2</v>
      </c>
      <c r="O62" s="2186">
        <f t="shared" si="248"/>
        <v>2.3599999999999999E-2</v>
      </c>
      <c r="P62" s="2186">
        <f t="shared" si="248"/>
        <v>1.8200000000000001E-2</v>
      </c>
      <c r="Q62" s="2186">
        <f t="shared" si="248"/>
        <v>2.2200000000000001E-2</v>
      </c>
      <c r="R62" s="2202"/>
      <c r="S62" s="2201"/>
      <c r="T62" s="2186"/>
      <c r="U62" s="2186"/>
      <c r="V62" s="2186"/>
    </row>
    <row r="63" spans="1:26">
      <c r="A63" s="2198" t="s">
        <v>487</v>
      </c>
      <c r="B63" s="2199">
        <f t="shared" si="264"/>
        <v>206.31694671589116</v>
      </c>
      <c r="C63" s="2199">
        <f t="shared" si="264"/>
        <v>183.61041121036101</v>
      </c>
      <c r="D63" s="2199">
        <f t="shared" si="246"/>
        <v>183.61041121036101</v>
      </c>
      <c r="E63" s="2199">
        <f t="shared" si="265"/>
        <v>276.66850301795557</v>
      </c>
      <c r="F63" s="2199">
        <f t="shared" si="265"/>
        <v>165.1360938278614</v>
      </c>
      <c r="G63" s="3767">
        <v>2008</v>
      </c>
      <c r="H63" s="2211">
        <v>2</v>
      </c>
      <c r="I63" s="2211">
        <v>4.93</v>
      </c>
      <c r="J63" s="2211">
        <v>7.38</v>
      </c>
      <c r="K63" s="2211">
        <v>3.98</v>
      </c>
      <c r="L63" s="2212">
        <v>6.86</v>
      </c>
      <c r="N63" s="2201">
        <f t="shared" si="248"/>
        <v>4.9299999999999997E-2</v>
      </c>
      <c r="O63" s="2186">
        <f t="shared" si="248"/>
        <v>7.3800000000000004E-2</v>
      </c>
      <c r="P63" s="2186">
        <f t="shared" si="248"/>
        <v>3.9800000000000002E-2</v>
      </c>
      <c r="Q63" s="2186">
        <f t="shared" si="248"/>
        <v>6.8600000000000008E-2</v>
      </c>
      <c r="R63" s="2202"/>
      <c r="S63" s="2201"/>
      <c r="T63" s="2186"/>
      <c r="U63" s="2186"/>
      <c r="V63" s="2186"/>
    </row>
    <row r="64" spans="1:26" s="2254" customFormat="1" ht="13.5" thickBot="1">
      <c r="A64" s="2198" t="s">
        <v>488</v>
      </c>
      <c r="B64" s="2251">
        <f t="shared" si="264"/>
        <v>196.62341248059772</v>
      </c>
      <c r="C64" s="2251">
        <f t="shared" si="264"/>
        <v>170.99125648199012</v>
      </c>
      <c r="D64" s="2251">
        <f t="shared" si="246"/>
        <v>170.99125648199012</v>
      </c>
      <c r="E64" s="2251">
        <f t="shared" si="265"/>
        <v>266.07857570490052</v>
      </c>
      <c r="F64" s="2251">
        <f t="shared" si="265"/>
        <v>154.53499328828505</v>
      </c>
      <c r="G64" s="3768">
        <v>2008</v>
      </c>
      <c r="H64" s="2252">
        <v>1</v>
      </c>
      <c r="I64" s="2252">
        <v>4.1399999999999997</v>
      </c>
      <c r="J64" s="2252">
        <v>3.45</v>
      </c>
      <c r="K64" s="2252">
        <v>4.95</v>
      </c>
      <c r="L64" s="2253">
        <v>4.82</v>
      </c>
      <c r="N64" s="2255">
        <f t="shared" si="248"/>
        <v>4.1399999999999999E-2</v>
      </c>
      <c r="O64" s="2256">
        <f t="shared" si="248"/>
        <v>3.4500000000000003E-2</v>
      </c>
      <c r="P64" s="2256">
        <f t="shared" si="248"/>
        <v>4.9500000000000002E-2</v>
      </c>
      <c r="Q64" s="2256">
        <f t="shared" si="248"/>
        <v>4.82E-2</v>
      </c>
      <c r="R64" s="2257"/>
      <c r="S64" s="2255">
        <f>B64/B65-1</f>
        <v>4.5869215322328349E-2</v>
      </c>
      <c r="T64" s="2256">
        <f>C64/C65-1</f>
        <v>3.6310645345394743E-2</v>
      </c>
      <c r="U64" s="2256">
        <f>E64/E65-1</f>
        <v>4.7553447657088688E-2</v>
      </c>
      <c r="V64" s="2256">
        <f>F64/F65-1</f>
        <v>4.4155360055980086E-2</v>
      </c>
      <c r="X64" s="2256"/>
      <c r="Y64" s="2256"/>
      <c r="Z64" s="2256"/>
    </row>
    <row r="65" spans="1:26" ht="13.5" thickBot="1">
      <c r="A65" s="2198" t="s">
        <v>489</v>
      </c>
      <c r="B65" s="2213">
        <v>188</v>
      </c>
      <c r="C65" s="2213">
        <v>165</v>
      </c>
      <c r="D65" s="2213">
        <f t="shared" si="246"/>
        <v>165</v>
      </c>
      <c r="E65" s="2213">
        <v>254</v>
      </c>
      <c r="F65" s="2214">
        <v>148</v>
      </c>
      <c r="G65" s="3766">
        <v>2007</v>
      </c>
      <c r="H65" s="2258">
        <v>4</v>
      </c>
      <c r="I65" s="2258">
        <v>5.51</v>
      </c>
      <c r="J65" s="2258">
        <v>4.8899999999999997</v>
      </c>
      <c r="K65" s="2258">
        <v>6.43</v>
      </c>
      <c r="L65" s="2259">
        <v>5.36</v>
      </c>
      <c r="N65" s="2260">
        <f t="shared" ref="N65:O68" si="266">B65/B66-1</f>
        <v>4.1339718365245526E-2</v>
      </c>
      <c r="O65" s="2261">
        <f t="shared" si="266"/>
        <v>4.0324492593776018E-2</v>
      </c>
      <c r="P65" s="2261">
        <f t="shared" ref="P65:Q68" si="267">E65/E66-1</f>
        <v>6.1625555347990968E-2</v>
      </c>
      <c r="Q65" s="2261">
        <f t="shared" si="267"/>
        <v>4.6757569250590603E-2</v>
      </c>
      <c r="R65" s="2202"/>
      <c r="S65" s="2215"/>
      <c r="T65" s="2216"/>
      <c r="U65" s="2216"/>
      <c r="V65" s="2216"/>
      <c r="X65" s="2216"/>
      <c r="Y65" s="2216"/>
      <c r="Z65" s="2216"/>
    </row>
    <row r="66" spans="1:26">
      <c r="A66" s="2198" t="s">
        <v>490</v>
      </c>
      <c r="B66" s="2199">
        <f t="shared" ref="B66:C68" si="268">B67+(B$65-B$69)*I66/SUM(I$65:I$68)</f>
        <v>180.5366651097618</v>
      </c>
      <c r="C66" s="2199">
        <f t="shared" si="268"/>
        <v>158.60435967302453</v>
      </c>
      <c r="D66" s="2199">
        <f t="shared" si="246"/>
        <v>158.60435967302453</v>
      </c>
      <c r="E66" s="2199">
        <f t="shared" ref="E66:F68" si="269">E67+(E$65-E$69)*K66/SUM(K$65:K$68)</f>
        <v>239.25573260785075</v>
      </c>
      <c r="F66" s="2199">
        <f t="shared" si="269"/>
        <v>141.38899430740037</v>
      </c>
      <c r="G66" s="3767">
        <v>2007</v>
      </c>
      <c r="H66" s="2224">
        <v>3</v>
      </c>
      <c r="I66" s="2224">
        <v>8.65</v>
      </c>
      <c r="J66" s="2224">
        <v>8.06</v>
      </c>
      <c r="K66" s="2224">
        <v>9.94</v>
      </c>
      <c r="L66" s="2225">
        <v>5.8</v>
      </c>
      <c r="N66" s="2260">
        <f t="shared" si="266"/>
        <v>6.940217571740015E-2</v>
      </c>
      <c r="O66" s="2261">
        <f t="shared" si="266"/>
        <v>7.1197482471153428E-2</v>
      </c>
      <c r="P66" s="2261">
        <f t="shared" si="267"/>
        <v>0.10529679922579582</v>
      </c>
      <c r="Q66" s="2261">
        <f t="shared" si="267"/>
        <v>5.3292245059512133E-2</v>
      </c>
      <c r="R66" s="2202"/>
      <c r="S66" s="2201"/>
      <c r="T66" s="2186"/>
      <c r="U66" s="2186"/>
      <c r="V66" s="2186"/>
      <c r="X66" s="2262"/>
      <c r="Y66" s="2262"/>
      <c r="Z66" s="2262"/>
    </row>
    <row r="67" spans="1:26">
      <c r="A67" s="2198" t="s">
        <v>491</v>
      </c>
      <c r="B67" s="2199">
        <f t="shared" si="268"/>
        <v>168.82017748715555</v>
      </c>
      <c r="C67" s="2199">
        <f t="shared" si="268"/>
        <v>148.06267029972753</v>
      </c>
      <c r="D67" s="2199">
        <f t="shared" si="246"/>
        <v>148.06267029972753</v>
      </c>
      <c r="E67" s="2199">
        <f t="shared" si="269"/>
        <v>216.46288379323747</v>
      </c>
      <c r="F67" s="2199">
        <f t="shared" si="269"/>
        <v>134.23529411764704</v>
      </c>
      <c r="G67" s="3767">
        <v>2007</v>
      </c>
      <c r="H67" s="2211">
        <v>2</v>
      </c>
      <c r="I67" s="2211">
        <v>3.67</v>
      </c>
      <c r="J67" s="2211">
        <v>2.3199999999999998</v>
      </c>
      <c r="K67" s="2211">
        <v>5.0199999999999996</v>
      </c>
      <c r="L67" s="2212">
        <v>6.71</v>
      </c>
      <c r="N67" s="2260">
        <f t="shared" si="266"/>
        <v>3.0339138143848032E-2</v>
      </c>
      <c r="O67" s="2261">
        <f t="shared" si="266"/>
        <v>2.0922341588790472E-2</v>
      </c>
      <c r="P67" s="2261">
        <f t="shared" si="267"/>
        <v>5.6164796592717003E-2</v>
      </c>
      <c r="Q67" s="2261">
        <f t="shared" si="267"/>
        <v>6.5704536723887319E-2</v>
      </c>
      <c r="R67" s="2202"/>
      <c r="S67" s="2201"/>
      <c r="T67" s="2186"/>
      <c r="U67" s="2186"/>
      <c r="V67" s="2186"/>
      <c r="X67" s="2262"/>
      <c r="Y67" s="2262"/>
      <c r="Z67" s="2262"/>
    </row>
    <row r="68" spans="1:26">
      <c r="A68" s="2198" t="s">
        <v>492</v>
      </c>
      <c r="B68" s="2199">
        <f t="shared" si="268"/>
        <v>163.84913591779542</v>
      </c>
      <c r="C68" s="2199">
        <f t="shared" si="268"/>
        <v>145.0283378746594</v>
      </c>
      <c r="D68" s="2199">
        <f t="shared" si="246"/>
        <v>145.0283378746594</v>
      </c>
      <c r="E68" s="2199">
        <f t="shared" si="269"/>
        <v>204.95180722891567</v>
      </c>
      <c r="F68" s="2199">
        <f t="shared" si="269"/>
        <v>125.95920303605313</v>
      </c>
      <c r="G68" s="3768">
        <v>2007</v>
      </c>
      <c r="H68" s="2200">
        <v>1</v>
      </c>
      <c r="I68" s="2200">
        <v>3.58</v>
      </c>
      <c r="J68" s="2200">
        <v>3.08</v>
      </c>
      <c r="K68" s="2200">
        <v>4.34</v>
      </c>
      <c r="L68" s="2206">
        <v>3.21</v>
      </c>
      <c r="N68" s="2263">
        <f t="shared" si="266"/>
        <v>3.0497710174814063E-2</v>
      </c>
      <c r="O68" s="2264">
        <f t="shared" si="266"/>
        <v>2.8569772160704998E-2</v>
      </c>
      <c r="P68" s="2264">
        <f t="shared" si="267"/>
        <v>5.1034908866234296E-2</v>
      </c>
      <c r="Q68" s="2264">
        <f t="shared" si="267"/>
        <v>3.245248390207478E-2</v>
      </c>
      <c r="R68" s="2202"/>
      <c r="S68" s="2217">
        <f>B68/B69-1</f>
        <v>3.0497710174814063E-2</v>
      </c>
      <c r="T68" s="2218">
        <f>C68/C69-1</f>
        <v>2.8569772160704998E-2</v>
      </c>
      <c r="U68" s="2218">
        <f>E68/E69-1</f>
        <v>5.1034908866234296E-2</v>
      </c>
      <c r="V68" s="2218">
        <f>F68/F69-1</f>
        <v>3.245248390207478E-2</v>
      </c>
      <c r="X68" s="2262"/>
      <c r="Y68" s="2262"/>
      <c r="Z68" s="2262"/>
    </row>
    <row r="69" spans="1:26" ht="13.5" thickBot="1">
      <c r="A69" s="2198" t="s">
        <v>493</v>
      </c>
      <c r="B69" s="2227">
        <v>159</v>
      </c>
      <c r="C69" s="2227">
        <v>141</v>
      </c>
      <c r="D69" s="2227">
        <f t="shared" si="246"/>
        <v>141</v>
      </c>
      <c r="E69" s="2227">
        <v>195</v>
      </c>
      <c r="F69" s="2228">
        <v>122</v>
      </c>
      <c r="G69" s="3766">
        <v>2006</v>
      </c>
      <c r="H69" s="2219">
        <v>4</v>
      </c>
      <c r="I69" s="2219">
        <v>3.79</v>
      </c>
      <c r="J69" s="2219">
        <v>2.21</v>
      </c>
      <c r="K69" s="2219">
        <v>5.65</v>
      </c>
      <c r="L69" s="2220">
        <v>5.41</v>
      </c>
      <c r="N69" s="2260">
        <f t="shared" ref="N69:O72" si="270">I69/SUM(I$69:I$72)*(B$69/B$73-1)</f>
        <v>7.245466462748526E-2</v>
      </c>
      <c r="O69" s="2261">
        <f t="shared" si="270"/>
        <v>2.3237230038062766E-2</v>
      </c>
      <c r="P69" s="2261">
        <f t="shared" ref="P69:Q72" si="271">K69/SUM(K$69:K$72)*(E$69/E$73-1)</f>
        <v>0.16146893866323722</v>
      </c>
      <c r="Q69" s="2261">
        <f t="shared" si="271"/>
        <v>5.0755230321793784E-2</v>
      </c>
      <c r="R69" s="2202"/>
      <c r="S69" s="2215"/>
      <c r="T69" s="2216"/>
      <c r="U69" s="2216"/>
      <c r="V69" s="2216"/>
      <c r="X69" s="2262"/>
      <c r="Y69" s="2262"/>
      <c r="Z69" s="2262"/>
    </row>
    <row r="70" spans="1:26">
      <c r="A70" s="2198" t="s">
        <v>494</v>
      </c>
      <c r="B70" s="2199">
        <f t="shared" ref="B70:C72" si="272">B71+(B$69-B$73)*I70/SUM(I$69:I$72)</f>
        <v>149.00125628140702</v>
      </c>
      <c r="C70" s="2199">
        <f t="shared" si="272"/>
        <v>137.95592286501378</v>
      </c>
      <c r="D70" s="2199">
        <f t="shared" si="246"/>
        <v>137.95592286501378</v>
      </c>
      <c r="E70" s="2199">
        <f t="shared" ref="E70:F72" si="273">E71+(E$69-E$73)*K70/SUM(K$69:K$72)</f>
        <v>169.97231450719823</v>
      </c>
      <c r="F70" s="2199">
        <f t="shared" si="273"/>
        <v>116.21390374331551</v>
      </c>
      <c r="G70" s="3767">
        <v>2006</v>
      </c>
      <c r="H70" s="2224">
        <v>3</v>
      </c>
      <c r="I70" s="2224">
        <v>0.92</v>
      </c>
      <c r="J70" s="2224">
        <v>1.08</v>
      </c>
      <c r="K70" s="2224">
        <v>0.73</v>
      </c>
      <c r="L70" s="2225">
        <v>1.08</v>
      </c>
      <c r="N70" s="2260">
        <f t="shared" si="270"/>
        <v>1.7587939698492462E-2</v>
      </c>
      <c r="O70" s="2261">
        <f t="shared" si="270"/>
        <v>1.1355750425840628E-2</v>
      </c>
      <c r="P70" s="2261">
        <f t="shared" si="271"/>
        <v>2.0862358446754544E-2</v>
      </c>
      <c r="Q70" s="2261">
        <f t="shared" si="271"/>
        <v>1.0132282578103011E-2</v>
      </c>
      <c r="R70" s="2202"/>
      <c r="S70" s="2201"/>
      <c r="T70" s="2186"/>
      <c r="U70" s="2186"/>
      <c r="V70" s="2186"/>
      <c r="X70" s="2262"/>
      <c r="Y70" s="2262"/>
      <c r="Z70" s="2262"/>
    </row>
    <row r="71" spans="1:26">
      <c r="A71" s="2198" t="s">
        <v>495</v>
      </c>
      <c r="B71" s="2199">
        <f t="shared" si="272"/>
        <v>146.57412060301507</v>
      </c>
      <c r="C71" s="2199">
        <f t="shared" si="272"/>
        <v>136.46831955922866</v>
      </c>
      <c r="D71" s="2199">
        <f t="shared" si="246"/>
        <v>136.46831955922866</v>
      </c>
      <c r="E71" s="2199">
        <f t="shared" si="273"/>
        <v>166.73864894795128</v>
      </c>
      <c r="F71" s="2199">
        <f t="shared" si="273"/>
        <v>115.05882352941177</v>
      </c>
      <c r="G71" s="3767">
        <v>2006</v>
      </c>
      <c r="H71" s="2211">
        <v>2</v>
      </c>
      <c r="I71" s="2211">
        <v>0.96</v>
      </c>
      <c r="J71" s="2211">
        <v>0.25</v>
      </c>
      <c r="K71" s="2211">
        <v>1.9</v>
      </c>
      <c r="L71" s="2212">
        <v>0.95</v>
      </c>
      <c r="N71" s="2260">
        <f t="shared" si="270"/>
        <v>1.8352632728861701E-2</v>
      </c>
      <c r="O71" s="2261">
        <f t="shared" si="270"/>
        <v>2.6286459319075526E-3</v>
      </c>
      <c r="P71" s="2261">
        <f t="shared" si="271"/>
        <v>5.4299289107991269E-2</v>
      </c>
      <c r="Q71" s="2261">
        <f t="shared" si="271"/>
        <v>8.9126559714794995E-3</v>
      </c>
      <c r="R71" s="2202"/>
      <c r="S71" s="2201"/>
      <c r="T71" s="2186"/>
      <c r="U71" s="2186"/>
      <c r="V71" s="2186"/>
      <c r="X71" s="2262"/>
      <c r="Y71" s="2262"/>
      <c r="Z71" s="2262"/>
    </row>
    <row r="72" spans="1:26">
      <c r="A72" s="2198" t="s">
        <v>496</v>
      </c>
      <c r="B72" s="2199">
        <f t="shared" si="272"/>
        <v>144.04145728643215</v>
      </c>
      <c r="C72" s="2199">
        <f t="shared" si="272"/>
        <v>136.12396694214877</v>
      </c>
      <c r="D72" s="2199">
        <f t="shared" si="246"/>
        <v>136.12396694214877</v>
      </c>
      <c r="E72" s="2199">
        <f t="shared" si="273"/>
        <v>158.32225913621264</v>
      </c>
      <c r="F72" s="2199">
        <f t="shared" si="273"/>
        <v>114.04278074866311</v>
      </c>
      <c r="G72" s="3768">
        <v>2006</v>
      </c>
      <c r="H72" s="2200">
        <v>1</v>
      </c>
      <c r="I72" s="2200">
        <v>2.29</v>
      </c>
      <c r="J72" s="2200">
        <v>3.72</v>
      </c>
      <c r="K72" s="2200">
        <v>0.75</v>
      </c>
      <c r="L72" s="2206">
        <v>0.04</v>
      </c>
      <c r="N72" s="2263">
        <f t="shared" si="270"/>
        <v>4.3778675988638847E-2</v>
      </c>
      <c r="O72" s="2264">
        <f t="shared" si="270"/>
        <v>3.9114251466784385E-2</v>
      </c>
      <c r="P72" s="2264">
        <f t="shared" si="271"/>
        <v>2.1433929911049188E-2</v>
      </c>
      <c r="Q72" s="2264">
        <f t="shared" si="271"/>
        <v>3.7526972511492629E-4</v>
      </c>
      <c r="R72" s="2202"/>
      <c r="S72" s="2217">
        <f>B72/B73-1</f>
        <v>4.3778675988638716E-2</v>
      </c>
      <c r="T72" s="2218">
        <f>C72/C73-1</f>
        <v>3.91142514667846E-2</v>
      </c>
      <c r="U72" s="2218">
        <f>E72/E73-1</f>
        <v>2.143392991104931E-2</v>
      </c>
      <c r="V72" s="2218">
        <f>F72/F73-1</f>
        <v>3.7526972511492396E-4</v>
      </c>
      <c r="X72" s="2262"/>
      <c r="Y72" s="2262"/>
      <c r="Z72" s="2262"/>
    </row>
    <row r="73" spans="1:26" ht="13.5" thickBot="1">
      <c r="A73" s="2198" t="s">
        <v>497</v>
      </c>
      <c r="B73" s="2227">
        <v>138</v>
      </c>
      <c r="C73" s="2227">
        <v>131</v>
      </c>
      <c r="D73" s="2227">
        <f t="shared" si="246"/>
        <v>131</v>
      </c>
      <c r="E73" s="2227">
        <v>155</v>
      </c>
      <c r="F73" s="2228">
        <v>114</v>
      </c>
      <c r="G73" s="3766">
        <v>2005</v>
      </c>
      <c r="H73" s="2219">
        <v>4</v>
      </c>
      <c r="I73" s="2219">
        <v>3.29</v>
      </c>
      <c r="J73" s="2219">
        <v>1.44</v>
      </c>
      <c r="K73" s="2219">
        <v>0.66</v>
      </c>
      <c r="L73" s="2220">
        <v>7.78</v>
      </c>
      <c r="N73" s="2260">
        <f t="shared" ref="N73:O76" si="274">I73/SUM(I$73:I$76)*(B$73/B$77-1)</f>
        <v>9.9404603216919935E-2</v>
      </c>
      <c r="O73" s="2261">
        <f t="shared" si="274"/>
        <v>4.7636550760861554E-2</v>
      </c>
      <c r="P73" s="2261">
        <f t="shared" ref="P73:Q76" si="275">K73/SUM(K$73:K$76)*(E$73/E$77-1)</f>
        <v>8.3756345177664976E-2</v>
      </c>
      <c r="Q73" s="2261">
        <f t="shared" si="275"/>
        <v>5.2148766661559584E-2</v>
      </c>
      <c r="R73" s="2202"/>
      <c r="S73" s="2215"/>
      <c r="T73" s="2216"/>
      <c r="U73" s="2216"/>
      <c r="V73" s="2216"/>
      <c r="X73" s="2262"/>
      <c r="Y73" s="2262"/>
      <c r="Z73" s="2262"/>
    </row>
    <row r="74" spans="1:26">
      <c r="A74" s="2198" t="s">
        <v>498</v>
      </c>
      <c r="B74" s="2199">
        <f t="shared" ref="B74:C76" si="276">B75+(B$73-B$77)*I74/SUM(I$73:I$76)</f>
        <v>125.9720430107527</v>
      </c>
      <c r="C74" s="2199">
        <f t="shared" si="276"/>
        <v>125.1883408071749</v>
      </c>
      <c r="D74" s="2199">
        <f t="shared" si="246"/>
        <v>125.1883408071749</v>
      </c>
      <c r="E74" s="2199">
        <f t="shared" ref="E74:F76" si="277">E75+(E$73-E$77)*K74/SUM(K$73:K$76)</f>
        <v>144.61421319796952</v>
      </c>
      <c r="F74" s="2199">
        <f t="shared" si="277"/>
        <v>108.42008196721311</v>
      </c>
      <c r="G74" s="3767">
        <v>2005</v>
      </c>
      <c r="H74" s="2224">
        <v>3</v>
      </c>
      <c r="I74" s="2224">
        <v>0.46</v>
      </c>
      <c r="J74" s="2224">
        <v>0.32</v>
      </c>
      <c r="K74" s="2224">
        <v>0.42</v>
      </c>
      <c r="L74" s="2225">
        <v>0.64</v>
      </c>
      <c r="N74" s="2260">
        <f t="shared" si="274"/>
        <v>1.3898515951301874E-2</v>
      </c>
      <c r="O74" s="2261">
        <f t="shared" si="274"/>
        <v>1.0585900169080346E-2</v>
      </c>
      <c r="P74" s="2261">
        <f t="shared" si="275"/>
        <v>5.3299492385786795E-2</v>
      </c>
      <c r="Q74" s="2261">
        <f t="shared" si="275"/>
        <v>4.2898728359123568E-3</v>
      </c>
      <c r="R74" s="2202"/>
      <c r="S74" s="2201"/>
      <c r="T74" s="2186"/>
      <c r="U74" s="2186"/>
      <c r="V74" s="2186"/>
      <c r="X74" s="2262"/>
      <c r="Y74" s="2262"/>
      <c r="Z74" s="2262"/>
    </row>
    <row r="75" spans="1:26">
      <c r="A75" s="2198" t="s">
        <v>499</v>
      </c>
      <c r="B75" s="2199">
        <f t="shared" si="276"/>
        <v>124.29032258064517</v>
      </c>
      <c r="C75" s="2199">
        <f t="shared" si="276"/>
        <v>123.8968609865471</v>
      </c>
      <c r="D75" s="2199">
        <f t="shared" si="246"/>
        <v>123.8968609865471</v>
      </c>
      <c r="E75" s="2199">
        <f t="shared" si="277"/>
        <v>138.00507614213197</v>
      </c>
      <c r="F75" s="2199">
        <f t="shared" si="277"/>
        <v>107.96106557377048</v>
      </c>
      <c r="G75" s="3767">
        <v>2005</v>
      </c>
      <c r="H75" s="2211">
        <v>2</v>
      </c>
      <c r="I75" s="2211">
        <v>0.47</v>
      </c>
      <c r="J75" s="2211">
        <v>0.1</v>
      </c>
      <c r="K75" s="2211">
        <v>0.52</v>
      </c>
      <c r="L75" s="2212">
        <v>0.79</v>
      </c>
      <c r="N75" s="2260">
        <f t="shared" si="274"/>
        <v>1.420065760241713E-2</v>
      </c>
      <c r="O75" s="2261">
        <f t="shared" si="274"/>
        <v>3.3080938028376083E-3</v>
      </c>
      <c r="P75" s="2261">
        <f t="shared" si="275"/>
        <v>6.598984771573603E-2</v>
      </c>
      <c r="Q75" s="2261">
        <f t="shared" si="275"/>
        <v>5.2953117818293153E-3</v>
      </c>
      <c r="R75" s="2202"/>
      <c r="S75" s="2201"/>
      <c r="T75" s="2186"/>
      <c r="U75" s="2186"/>
      <c r="V75" s="2186"/>
      <c r="X75" s="2262"/>
      <c r="Y75" s="2262"/>
      <c r="Z75" s="2262"/>
    </row>
    <row r="76" spans="1:26">
      <c r="A76" s="2198" t="s">
        <v>500</v>
      </c>
      <c r="B76" s="2199">
        <f t="shared" si="276"/>
        <v>122.57204301075269</v>
      </c>
      <c r="C76" s="2199">
        <f t="shared" si="276"/>
        <v>123.4932735426009</v>
      </c>
      <c r="D76" s="2199">
        <f t="shared" si="246"/>
        <v>123.4932735426009</v>
      </c>
      <c r="E76" s="2199">
        <f t="shared" si="277"/>
        <v>129.82233502538071</v>
      </c>
      <c r="F76" s="2199">
        <f t="shared" si="277"/>
        <v>107.39446721311475</v>
      </c>
      <c r="G76" s="3768">
        <v>2005</v>
      </c>
      <c r="H76" s="2200">
        <v>1</v>
      </c>
      <c r="I76" s="2200">
        <v>0.43</v>
      </c>
      <c r="J76" s="2200">
        <v>0.37</v>
      </c>
      <c r="K76" s="2200">
        <v>0.37</v>
      </c>
      <c r="L76" s="2206">
        <v>0.55000000000000004</v>
      </c>
      <c r="N76" s="2263">
        <f t="shared" si="274"/>
        <v>1.2992090997956099E-2</v>
      </c>
      <c r="O76" s="2264">
        <f t="shared" si="274"/>
        <v>1.2239947070499151E-2</v>
      </c>
      <c r="P76" s="2264">
        <f t="shared" si="275"/>
        <v>4.6954314720812178E-2</v>
      </c>
      <c r="Q76" s="2264">
        <f t="shared" si="275"/>
        <v>3.6866094683621815E-3</v>
      </c>
      <c r="R76" s="2202"/>
      <c r="S76" s="2217">
        <f>B76/B77-1</f>
        <v>1.2992090997956174E-2</v>
      </c>
      <c r="T76" s="2218">
        <f>C76/C77-1</f>
        <v>1.2239947070499246E-2</v>
      </c>
      <c r="U76" s="2218">
        <f>E76/E77-1</f>
        <v>4.695431472081224E-2</v>
      </c>
      <c r="V76" s="2218">
        <f>F76/F77-1</f>
        <v>3.6866094683620787E-3</v>
      </c>
      <c r="X76" s="2262"/>
      <c r="Y76" s="2262"/>
      <c r="Z76" s="2262"/>
    </row>
    <row r="77" spans="1:26" ht="13.5" thickBot="1">
      <c r="A77" s="2198" t="s">
        <v>501</v>
      </c>
      <c r="B77" s="2248">
        <v>121</v>
      </c>
      <c r="C77" s="2248">
        <v>122</v>
      </c>
      <c r="D77" s="2248">
        <f t="shared" si="246"/>
        <v>122</v>
      </c>
      <c r="E77" s="2248">
        <v>124</v>
      </c>
      <c r="F77" s="2249">
        <v>107</v>
      </c>
      <c r="G77" s="3766">
        <v>2004</v>
      </c>
      <c r="H77" s="2219">
        <v>4</v>
      </c>
      <c r="I77" s="2219">
        <v>0.33</v>
      </c>
      <c r="J77" s="2219">
        <v>0.5</v>
      </c>
      <c r="K77" s="2219">
        <v>0.5</v>
      </c>
      <c r="L77" s="2220">
        <v>0</v>
      </c>
      <c r="N77" s="2260">
        <f t="shared" ref="N77:O80" si="278">I77/SUM(I$77:I$80)*(B$77/B$81-1)</f>
        <v>1.3391770148526898E-2</v>
      </c>
      <c r="O77" s="2261">
        <f t="shared" si="278"/>
        <v>1.063264221158958E-2</v>
      </c>
      <c r="P77" s="2261">
        <f t="shared" ref="P77:Q80" si="279">K77/SUM(K$77:K$80)*(E$77/E$81-1)</f>
        <v>2.2244466688911134E-2</v>
      </c>
      <c r="Q77" s="2261">
        <f t="shared" si="279"/>
        <v>0</v>
      </c>
      <c r="R77" s="2202"/>
      <c r="S77" s="2215"/>
      <c r="T77" s="2216"/>
      <c r="U77" s="2216"/>
      <c r="V77" s="2216"/>
      <c r="X77" s="2262"/>
      <c r="Y77" s="2262"/>
      <c r="Z77" s="2262"/>
    </row>
    <row r="78" spans="1:26">
      <c r="A78" s="2198" t="s">
        <v>502</v>
      </c>
      <c r="B78" s="2199">
        <f t="shared" ref="B78:C80" si="280">B79+(B$77-B$81)*I78/SUM(I$77:I$80)</f>
        <v>119.51351351351352</v>
      </c>
      <c r="C78" s="2199">
        <f t="shared" si="280"/>
        <v>120.7878787878788</v>
      </c>
      <c r="D78" s="2199">
        <f t="shared" si="246"/>
        <v>120.7878787878788</v>
      </c>
      <c r="E78" s="2199">
        <f t="shared" ref="E78:F80" si="281">E79+(E$77-E$81)*K78/SUM(K$77:K$80)</f>
        <v>121.5975975975976</v>
      </c>
      <c r="F78" s="2199">
        <f t="shared" si="281"/>
        <v>107</v>
      </c>
      <c r="G78" s="3767">
        <v>2004</v>
      </c>
      <c r="H78" s="2224">
        <v>3</v>
      </c>
      <c r="I78" s="2224">
        <v>0.56000000000000005</v>
      </c>
      <c r="J78" s="2224">
        <v>0.8</v>
      </c>
      <c r="K78" s="2224">
        <v>0.83</v>
      </c>
      <c r="L78" s="2225">
        <v>0.06</v>
      </c>
      <c r="N78" s="2260">
        <f t="shared" si="278"/>
        <v>2.2725428130833527E-2</v>
      </c>
      <c r="O78" s="2261">
        <f t="shared" si="278"/>
        <v>1.7012227538543329E-2</v>
      </c>
      <c r="P78" s="2261">
        <f t="shared" si="279"/>
        <v>3.6925814703592477E-2</v>
      </c>
      <c r="Q78" s="2261">
        <f t="shared" si="279"/>
        <v>2.8846153846153744E-2</v>
      </c>
      <c r="R78" s="2202"/>
      <c r="S78" s="2201"/>
      <c r="T78" s="2186"/>
      <c r="U78" s="2186"/>
      <c r="V78" s="2186"/>
      <c r="X78" s="2262"/>
      <c r="Y78" s="2262"/>
      <c r="Z78" s="2262"/>
    </row>
    <row r="79" spans="1:26">
      <c r="A79" s="2198" t="s">
        <v>503</v>
      </c>
      <c r="B79" s="2199">
        <f t="shared" si="280"/>
        <v>116.99099099099099</v>
      </c>
      <c r="C79" s="2199">
        <f t="shared" si="280"/>
        <v>118.84848484848486</v>
      </c>
      <c r="D79" s="2199">
        <f t="shared" si="246"/>
        <v>118.84848484848486</v>
      </c>
      <c r="E79" s="2199">
        <f t="shared" si="281"/>
        <v>117.60960960960961</v>
      </c>
      <c r="F79" s="2199">
        <f t="shared" si="281"/>
        <v>104</v>
      </c>
      <c r="G79" s="3767">
        <v>2004</v>
      </c>
      <c r="H79" s="2211">
        <v>2</v>
      </c>
      <c r="I79" s="2211">
        <v>1</v>
      </c>
      <c r="J79" s="2211">
        <v>1.5</v>
      </c>
      <c r="K79" s="2211">
        <v>1.5</v>
      </c>
      <c r="L79" s="2212">
        <v>0</v>
      </c>
      <c r="N79" s="2260">
        <f t="shared" si="278"/>
        <v>4.0581121662202721E-2</v>
      </c>
      <c r="O79" s="2261">
        <f t="shared" si="278"/>
        <v>3.1897926634768738E-2</v>
      </c>
      <c r="P79" s="2261">
        <f t="shared" si="279"/>
        <v>6.6733400066733395E-2</v>
      </c>
      <c r="Q79" s="2261">
        <f t="shared" si="279"/>
        <v>0</v>
      </c>
      <c r="R79" s="2202"/>
      <c r="S79" s="2201"/>
      <c r="T79" s="2186"/>
      <c r="U79" s="2186"/>
      <c r="V79" s="2186"/>
      <c r="X79" s="2262"/>
      <c r="Y79" s="2262"/>
      <c r="Z79" s="2262"/>
    </row>
    <row r="80" spans="1:26" s="2254" customFormat="1" ht="13.5" thickBot="1">
      <c r="A80" s="2198" t="s">
        <v>504</v>
      </c>
      <c r="B80" s="2251">
        <f t="shared" si="280"/>
        <v>112.48648648648648</v>
      </c>
      <c r="C80" s="2251">
        <f t="shared" si="280"/>
        <v>115.21212121212122</v>
      </c>
      <c r="D80" s="2251">
        <f t="shared" si="246"/>
        <v>115.21212121212122</v>
      </c>
      <c r="E80" s="2251">
        <f t="shared" si="281"/>
        <v>110.4024024024024</v>
      </c>
      <c r="F80" s="2251">
        <f t="shared" si="281"/>
        <v>104</v>
      </c>
      <c r="G80" s="3768">
        <v>2004</v>
      </c>
      <c r="H80" s="2252">
        <v>1</v>
      </c>
      <c r="I80" s="2252">
        <v>0.33</v>
      </c>
      <c r="J80" s="2252">
        <v>0.5</v>
      </c>
      <c r="K80" s="2252">
        <v>0.5</v>
      </c>
      <c r="L80" s="2253">
        <v>0</v>
      </c>
      <c r="N80" s="2265">
        <f t="shared" si="278"/>
        <v>1.3391770148526898E-2</v>
      </c>
      <c r="O80" s="2266">
        <f t="shared" si="278"/>
        <v>1.063264221158958E-2</v>
      </c>
      <c r="P80" s="2266">
        <f t="shared" si="279"/>
        <v>2.2244466688911134E-2</v>
      </c>
      <c r="Q80" s="2266">
        <f t="shared" si="279"/>
        <v>0</v>
      </c>
      <c r="R80" s="2257"/>
      <c r="S80" s="2255">
        <f>B80/B81-1</f>
        <v>1.3391770148526883E-2</v>
      </c>
      <c r="T80" s="2256">
        <f>C80/C81-1</f>
        <v>1.063264221158966E-2</v>
      </c>
      <c r="U80" s="2256">
        <f>E80/E81-1</f>
        <v>2.2244466688911224E-2</v>
      </c>
      <c r="V80" s="2256">
        <f>F80/F81-1</f>
        <v>0</v>
      </c>
      <c r="X80" s="2267"/>
      <c r="Y80" s="2267"/>
      <c r="Z80" s="2267"/>
    </row>
    <row r="81" spans="1:26" ht="13.5" thickBot="1">
      <c r="A81" s="2198" t="s">
        <v>505</v>
      </c>
      <c r="B81" s="2268">
        <v>111</v>
      </c>
      <c r="C81" s="2268">
        <v>114</v>
      </c>
      <c r="D81" s="2268">
        <f t="shared" si="246"/>
        <v>114</v>
      </c>
      <c r="E81" s="2268">
        <v>108</v>
      </c>
      <c r="F81" s="2269">
        <v>104</v>
      </c>
      <c r="G81" s="3766">
        <v>2003</v>
      </c>
      <c r="H81" s="2258">
        <v>4</v>
      </c>
      <c r="I81" s="2270"/>
      <c r="J81" s="2270"/>
      <c r="K81" s="2270"/>
      <c r="L81" s="2270"/>
      <c r="N81" s="2271"/>
      <c r="O81" s="2270"/>
      <c r="P81" s="2270"/>
      <c r="Q81" s="2270"/>
      <c r="S81" s="2271"/>
      <c r="T81" s="2270"/>
      <c r="U81" s="2270"/>
      <c r="V81" s="2270"/>
      <c r="X81" s="2262"/>
      <c r="Y81" s="2262"/>
      <c r="Z81" s="2262"/>
    </row>
    <row r="82" spans="1:26">
      <c r="A82" s="2198" t="s">
        <v>506</v>
      </c>
      <c r="B82" s="2272">
        <f t="shared" ref="B82:C84" si="282">B83+(B$81-B$85)/4</f>
        <v>109.75</v>
      </c>
      <c r="C82" s="2272">
        <f t="shared" si="282"/>
        <v>112.25</v>
      </c>
      <c r="D82" s="2272">
        <f t="shared" si="246"/>
        <v>112.25</v>
      </c>
      <c r="E82" s="2272">
        <f t="shared" ref="E82:F84" si="283">E83+(E$81-E$85)/4</f>
        <v>107.25</v>
      </c>
      <c r="F82" s="2272">
        <f t="shared" si="283"/>
        <v>103.5</v>
      </c>
      <c r="G82" s="3767">
        <v>2003</v>
      </c>
      <c r="H82" s="2224">
        <v>3</v>
      </c>
      <c r="I82" s="2270"/>
      <c r="J82" s="2270"/>
      <c r="K82" s="2270"/>
      <c r="L82" s="2270"/>
      <c r="X82" s="2262"/>
      <c r="Y82" s="2262"/>
      <c r="Z82" s="2262"/>
    </row>
    <row r="83" spans="1:26">
      <c r="A83" s="2198" t="s">
        <v>507</v>
      </c>
      <c r="B83" s="2272">
        <f t="shared" si="282"/>
        <v>108.5</v>
      </c>
      <c r="C83" s="2272">
        <f t="shared" si="282"/>
        <v>110.5</v>
      </c>
      <c r="D83" s="2272">
        <f t="shared" si="246"/>
        <v>110.5</v>
      </c>
      <c r="E83" s="2272">
        <f t="shared" si="283"/>
        <v>106.5</v>
      </c>
      <c r="F83" s="2272">
        <f t="shared" si="283"/>
        <v>103</v>
      </c>
      <c r="G83" s="3767">
        <v>2003</v>
      </c>
      <c r="H83" s="2211">
        <v>2</v>
      </c>
      <c r="I83" s="2270"/>
      <c r="J83" s="2270"/>
      <c r="K83" s="2270"/>
      <c r="L83" s="2270"/>
      <c r="X83" s="2262"/>
      <c r="Y83" s="2262"/>
      <c r="Z83" s="2262"/>
    </row>
    <row r="84" spans="1:26" ht="13.5" thickBot="1">
      <c r="A84" s="2198" t="s">
        <v>508</v>
      </c>
      <c r="B84" s="2272">
        <f t="shared" si="282"/>
        <v>107.25</v>
      </c>
      <c r="C84" s="2272">
        <f t="shared" si="282"/>
        <v>108.75</v>
      </c>
      <c r="D84" s="2272">
        <f t="shared" si="246"/>
        <v>108.75</v>
      </c>
      <c r="E84" s="2272">
        <f t="shared" si="283"/>
        <v>105.75</v>
      </c>
      <c r="F84" s="2272">
        <f t="shared" si="283"/>
        <v>102.5</v>
      </c>
      <c r="G84" s="3768">
        <v>2003</v>
      </c>
      <c r="H84" s="2273">
        <v>1</v>
      </c>
      <c r="I84" s="2270"/>
      <c r="J84" s="2270"/>
      <c r="K84" s="2270"/>
      <c r="L84" s="2270"/>
      <c r="S84" s="2201"/>
      <c r="T84" s="2186"/>
      <c r="U84" s="2186"/>
      <c r="X84" s="2262"/>
      <c r="Y84" s="2262"/>
      <c r="Z84" s="2262"/>
    </row>
    <row r="85" spans="1:26" ht="13.5" thickBot="1">
      <c r="A85" s="2198" t="s">
        <v>509</v>
      </c>
      <c r="B85" s="2274">
        <v>106</v>
      </c>
      <c r="C85" s="2274">
        <v>107</v>
      </c>
      <c r="D85" s="2274">
        <f t="shared" si="246"/>
        <v>107</v>
      </c>
      <c r="E85" s="2274">
        <v>105</v>
      </c>
      <c r="F85" s="2275">
        <v>102</v>
      </c>
      <c r="G85" s="3766">
        <v>2002</v>
      </c>
      <c r="H85" s="2219">
        <v>4</v>
      </c>
      <c r="I85" s="2270"/>
      <c r="J85" s="2270"/>
      <c r="K85" s="2270"/>
      <c r="L85" s="2270"/>
      <c r="N85" s="2271"/>
      <c r="O85" s="2270"/>
      <c r="P85" s="2270"/>
      <c r="Q85" s="2270"/>
      <c r="S85" s="2271"/>
      <c r="T85" s="2270"/>
      <c r="U85" s="2270"/>
      <c r="V85" s="2270"/>
      <c r="X85" s="2262"/>
      <c r="Y85" s="2262"/>
      <c r="Z85" s="2262"/>
    </row>
    <row r="86" spans="1:26">
      <c r="A86" s="2198" t="s">
        <v>510</v>
      </c>
      <c r="B86" s="2272">
        <f t="shared" ref="B86:C88" si="284">B87+(B$85-B$89)/4</f>
        <v>105</v>
      </c>
      <c r="C86" s="2272">
        <f t="shared" si="284"/>
        <v>106</v>
      </c>
      <c r="D86" s="2272">
        <f t="shared" si="246"/>
        <v>106</v>
      </c>
      <c r="E86" s="2272">
        <f t="shared" ref="E86:F88" si="285">E87+(E$85-E$89)/4</f>
        <v>104.5</v>
      </c>
      <c r="F86" s="2272">
        <f t="shared" si="285"/>
        <v>101.5</v>
      </c>
      <c r="G86" s="3767">
        <v>2002</v>
      </c>
      <c r="H86" s="2224">
        <v>3</v>
      </c>
      <c r="I86" s="2270"/>
      <c r="J86" s="2270"/>
      <c r="K86" s="2270"/>
      <c r="L86" s="2270"/>
      <c r="X86" s="2262"/>
      <c r="Y86" s="2262"/>
      <c r="Z86" s="2262"/>
    </row>
    <row r="87" spans="1:26">
      <c r="A87" s="2198" t="s">
        <v>511</v>
      </c>
      <c r="B87" s="2272">
        <f t="shared" si="284"/>
        <v>104</v>
      </c>
      <c r="C87" s="2272">
        <f t="shared" si="284"/>
        <v>105</v>
      </c>
      <c r="D87" s="2272">
        <f t="shared" si="246"/>
        <v>105</v>
      </c>
      <c r="E87" s="2272">
        <f t="shared" si="285"/>
        <v>104</v>
      </c>
      <c r="F87" s="2272">
        <f t="shared" si="285"/>
        <v>101</v>
      </c>
      <c r="G87" s="3767">
        <v>2002</v>
      </c>
      <c r="H87" s="2211">
        <v>2</v>
      </c>
      <c r="I87" s="2270"/>
      <c r="J87" s="2270"/>
      <c r="K87" s="2270"/>
      <c r="L87" s="2270"/>
      <c r="X87" s="2262"/>
      <c r="Y87" s="2262"/>
      <c r="Z87" s="2262"/>
    </row>
    <row r="88" spans="1:26" s="2235" customFormat="1" ht="13.5" thickBot="1">
      <c r="A88" s="2231" t="s">
        <v>512</v>
      </c>
      <c r="B88" s="2238">
        <f t="shared" si="284"/>
        <v>103</v>
      </c>
      <c r="C88" s="2238">
        <f t="shared" si="284"/>
        <v>104</v>
      </c>
      <c r="D88" s="2238">
        <f t="shared" si="246"/>
        <v>104</v>
      </c>
      <c r="E88" s="2238">
        <f t="shared" si="285"/>
        <v>103.5</v>
      </c>
      <c r="F88" s="2238">
        <f t="shared" si="285"/>
        <v>100.5</v>
      </c>
      <c r="G88" s="3768">
        <v>2002</v>
      </c>
      <c r="H88" s="2276">
        <v>1</v>
      </c>
      <c r="I88" s="2277"/>
      <c r="J88" s="2277"/>
      <c r="K88" s="2277"/>
      <c r="L88" s="2277"/>
      <c r="N88" s="2278"/>
      <c r="S88" s="2278"/>
      <c r="X88" s="2279"/>
      <c r="Y88" s="2279"/>
      <c r="Z88" s="2279"/>
    </row>
    <row r="89" spans="1:26" ht="13.5" thickBot="1">
      <c r="B89" s="2280">
        <v>102</v>
      </c>
      <c r="C89" s="2281">
        <v>103</v>
      </c>
      <c r="D89" s="2281">
        <f t="shared" si="246"/>
        <v>103</v>
      </c>
      <c r="E89" s="2281">
        <v>103</v>
      </c>
      <c r="F89" s="2282">
        <v>100</v>
      </c>
      <c r="I89" s="2270"/>
      <c r="J89" s="2270"/>
      <c r="K89" s="2270"/>
      <c r="L89" s="2270"/>
      <c r="N89" s="2271"/>
      <c r="O89" s="2270"/>
      <c r="P89" s="2270"/>
      <c r="Q89" s="2270"/>
      <c r="S89" s="2271"/>
      <c r="T89" s="2270"/>
      <c r="U89" s="2270"/>
      <c r="V89" s="2270"/>
      <c r="X89" s="2216"/>
      <c r="Y89" s="2216"/>
      <c r="Z89" s="2216"/>
    </row>
    <row r="91" spans="1:26" s="2284" customFormat="1">
      <c r="A91" s="2283" t="s">
        <v>513</v>
      </c>
      <c r="G91" s="2285"/>
      <c r="N91" s="2285"/>
      <c r="S91" s="2285"/>
    </row>
    <row r="92" spans="1:26" s="2284" customFormat="1">
      <c r="A92" s="2284" t="s">
        <v>514</v>
      </c>
      <c r="G92" s="2285"/>
      <c r="N92" s="2285"/>
      <c r="S92" s="2285"/>
    </row>
    <row r="93" spans="1:26" s="2284" customFormat="1">
      <c r="A93" s="2284" t="s">
        <v>515</v>
      </c>
      <c r="G93" s="2285"/>
      <c r="I93" s="2286"/>
      <c r="J93" s="2286"/>
      <c r="K93" s="2286"/>
      <c r="L93" s="2286"/>
      <c r="N93" s="2287"/>
      <c r="O93" s="2286"/>
      <c r="P93" s="2286"/>
      <c r="Q93" s="2286"/>
      <c r="S93" s="2287"/>
      <c r="T93" s="2286"/>
      <c r="U93" s="2286"/>
      <c r="V93" s="2286"/>
    </row>
    <row r="94" spans="1:26" s="2284" customFormat="1">
      <c r="A94" s="2284" t="s">
        <v>516</v>
      </c>
      <c r="G94" s="2285"/>
      <c r="N94" s="2285"/>
      <c r="S94" s="2285"/>
    </row>
    <row r="101" spans="7:22" ht="13.5" thickBot="1"/>
    <row r="102" spans="7:22">
      <c r="G102" s="2185"/>
      <c r="S102" s="2288" t="s">
        <v>517</v>
      </c>
      <c r="T102" s="2289" t="s">
        <v>518</v>
      </c>
      <c r="U102" s="2289" t="s">
        <v>519</v>
      </c>
      <c r="V102" s="2289" t="s">
        <v>520</v>
      </c>
    </row>
    <row r="103" spans="7:22">
      <c r="G103" s="2185"/>
      <c r="N103" s="2215"/>
      <c r="O103" s="2216"/>
      <c r="P103" s="2216"/>
      <c r="Q103" s="2216"/>
      <c r="S103" s="2290">
        <v>2006</v>
      </c>
      <c r="T103" s="2291">
        <v>15.1</v>
      </c>
      <c r="U103" s="2291">
        <v>7.43</v>
      </c>
      <c r="V103" s="2291">
        <v>26.26</v>
      </c>
    </row>
    <row r="104" spans="7:22">
      <c r="G104" s="2185"/>
      <c r="N104" s="2215"/>
      <c r="O104" s="2216"/>
      <c r="P104" s="2216"/>
      <c r="Q104" s="2216"/>
      <c r="S104" s="2292">
        <v>2005</v>
      </c>
      <c r="T104" s="2293">
        <v>13.9</v>
      </c>
      <c r="U104" s="2293">
        <v>7.49</v>
      </c>
      <c r="V104" s="2293">
        <v>24.92</v>
      </c>
    </row>
    <row r="105" spans="7:22">
      <c r="G105" s="2185"/>
      <c r="N105" s="2215"/>
      <c r="O105" s="2216"/>
      <c r="P105" s="2216"/>
      <c r="Q105" s="2216"/>
      <c r="S105" s="2290">
        <v>2004</v>
      </c>
      <c r="T105" s="2291">
        <v>9.48</v>
      </c>
      <c r="U105" s="2291">
        <v>7.2</v>
      </c>
      <c r="V105" s="2291">
        <v>14.68</v>
      </c>
    </row>
    <row r="106" spans="7:22">
      <c r="G106" s="2185"/>
      <c r="N106" s="2215"/>
      <c r="O106" s="2216"/>
      <c r="P106" s="2216"/>
      <c r="Q106" s="2216"/>
      <c r="S106" s="2292">
        <v>2003</v>
      </c>
      <c r="T106" s="2293">
        <v>4.5</v>
      </c>
      <c r="U106" s="2293">
        <v>6.12</v>
      </c>
      <c r="V106" s="2293">
        <v>2.34</v>
      </c>
    </row>
    <row r="107" spans="7:22" ht="13.5" thickBot="1">
      <c r="G107" s="2185"/>
      <c r="N107" s="2215"/>
      <c r="O107" s="2216"/>
      <c r="P107" s="2216"/>
      <c r="Q107" s="2216"/>
      <c r="S107" s="2294">
        <v>2002</v>
      </c>
      <c r="T107" s="2295">
        <v>3.59</v>
      </c>
      <c r="U107" s="2295">
        <v>4.54</v>
      </c>
      <c r="V107" s="2295">
        <v>2.5499999999999998</v>
      </c>
    </row>
    <row r="108" spans="7:22">
      <c r="G108" s="2185"/>
      <c r="N108" s="2215"/>
      <c r="O108" s="2216"/>
      <c r="P108" s="2216"/>
      <c r="Q108" s="2216"/>
    </row>
    <row r="109" spans="7:22">
      <c r="G109" s="2185"/>
      <c r="N109" s="2215"/>
      <c r="O109" s="2216"/>
      <c r="P109" s="2216"/>
      <c r="Q109" s="2216"/>
    </row>
    <row r="110" spans="7:22">
      <c r="G110" s="2185"/>
      <c r="N110" s="2215"/>
      <c r="O110" s="2216"/>
      <c r="P110" s="2216"/>
      <c r="Q110" s="2216"/>
    </row>
    <row r="111" spans="7:22">
      <c r="G111" s="2185"/>
      <c r="N111" s="2215"/>
      <c r="O111" s="2216"/>
      <c r="P111" s="2216"/>
      <c r="Q111" s="2216"/>
    </row>
    <row r="112" spans="7:22">
      <c r="G112" s="2185"/>
      <c r="N112" s="2215"/>
      <c r="O112" s="2216"/>
      <c r="P112" s="2216"/>
      <c r="Q112" s="2216"/>
    </row>
    <row r="113" spans="7:19">
      <c r="G113" s="2185"/>
      <c r="N113" s="2215"/>
      <c r="O113" s="2216"/>
      <c r="P113" s="2216"/>
      <c r="Q113" s="2216"/>
    </row>
    <row r="114" spans="7:19">
      <c r="G114" s="2185"/>
      <c r="N114" s="2215"/>
      <c r="O114" s="2216"/>
      <c r="P114" s="2216"/>
      <c r="Q114" s="2216"/>
    </row>
    <row r="115" spans="7:19">
      <c r="G115" s="2185"/>
      <c r="N115" s="2215"/>
      <c r="O115" s="2216"/>
      <c r="P115" s="2216"/>
      <c r="Q115" s="2216"/>
    </row>
    <row r="116" spans="7:19">
      <c r="G116" s="2185"/>
      <c r="N116" s="2215"/>
      <c r="O116" s="2216"/>
      <c r="P116" s="2216"/>
      <c r="Q116" s="2216"/>
    </row>
    <row r="117" spans="7:19">
      <c r="G117" s="2185"/>
      <c r="N117" s="2215"/>
      <c r="O117" s="2216"/>
      <c r="P117" s="2216"/>
      <c r="Q117" s="2216"/>
    </row>
    <row r="118" spans="7:19">
      <c r="G118" s="2185"/>
      <c r="N118" s="2215"/>
      <c r="O118" s="2216"/>
      <c r="P118" s="2216"/>
      <c r="Q118" s="2216"/>
      <c r="S118" s="2185"/>
    </row>
    <row r="119" spans="7:19">
      <c r="G119" s="2185"/>
      <c r="N119" s="2215"/>
      <c r="O119" s="2216"/>
      <c r="P119" s="2216"/>
      <c r="Q119" s="2216"/>
      <c r="S119" s="2185"/>
    </row>
    <row r="120" spans="7:19">
      <c r="G120" s="2185"/>
      <c r="N120" s="2215"/>
      <c r="O120" s="2216"/>
      <c r="P120" s="2216"/>
      <c r="Q120" s="2216"/>
      <c r="S120" s="2185"/>
    </row>
    <row r="121" spans="7:19">
      <c r="G121" s="2185"/>
      <c r="N121" s="2215"/>
      <c r="O121" s="2216"/>
      <c r="P121" s="2216"/>
      <c r="Q121" s="2216"/>
      <c r="S121" s="2185"/>
    </row>
    <row r="122" spans="7:19">
      <c r="G122" s="2185"/>
      <c r="N122" s="2215"/>
      <c r="O122" s="2216"/>
      <c r="P122" s="2216"/>
      <c r="Q122" s="2216"/>
      <c r="S122" s="2185"/>
    </row>
    <row r="123" spans="7:19">
      <c r="G123" s="2185"/>
      <c r="N123" s="2215"/>
      <c r="O123" s="2216"/>
      <c r="P123" s="2216"/>
      <c r="Q123" s="2216"/>
      <c r="S123" s="2185"/>
    </row>
  </sheetData>
  <sheetProtection password="CEE9" sheet="1" objects="1" scenarios="1" formatCells="0"/>
  <mergeCells count="23">
    <mergeCell ref="G73:G76"/>
    <mergeCell ref="G77:G80"/>
    <mergeCell ref="G81:G84"/>
    <mergeCell ref="G85:G88"/>
    <mergeCell ref="G49:G52"/>
    <mergeCell ref="G53:G56"/>
    <mergeCell ref="G57:G60"/>
    <mergeCell ref="G61:G64"/>
    <mergeCell ref="G65:G68"/>
    <mergeCell ref="G69:G72"/>
    <mergeCell ref="X1:AB1"/>
    <mergeCell ref="AD1:AH1"/>
    <mergeCell ref="G45:G48"/>
    <mergeCell ref="B1:F1"/>
    <mergeCell ref="G1:L1"/>
    <mergeCell ref="N1:Q1"/>
    <mergeCell ref="S1:V1"/>
    <mergeCell ref="G29:G32"/>
    <mergeCell ref="G33:G36"/>
    <mergeCell ref="G37:G40"/>
    <mergeCell ref="G41:G44"/>
    <mergeCell ref="G21:G24"/>
    <mergeCell ref="G25:G28"/>
  </mergeCells>
  <phoneticPr fontId="134"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T12"/>
  <sheetViews>
    <sheetView topLeftCell="F1" workbookViewId="0">
      <selection activeCell="N30" sqref="N30"/>
    </sheetView>
  </sheetViews>
  <sheetFormatPr defaultColWidth="8.875" defaultRowHeight="14.25"/>
  <cols>
    <col min="1" max="1" width="52" customWidth="1"/>
    <col min="3" max="3" width="24.875" customWidth="1"/>
    <col min="6" max="6" width="14.125" customWidth="1"/>
    <col min="12" max="12" width="12.875" customWidth="1"/>
    <col min="18" max="18" width="20.625" customWidth="1"/>
    <col min="19" max="19" width="11.375" customWidth="1"/>
  </cols>
  <sheetData>
    <row r="1" spans="1:20" ht="15.75">
      <c r="A1" s="3775" t="s">
        <v>3401</v>
      </c>
      <c r="B1" s="3775" t="s">
        <v>4236</v>
      </c>
      <c r="C1" s="3775" t="s">
        <v>3383</v>
      </c>
      <c r="D1" s="3775" t="s">
        <v>3402</v>
      </c>
      <c r="E1" s="3775" t="s">
        <v>3403</v>
      </c>
      <c r="F1" s="3775" t="s">
        <v>3404</v>
      </c>
      <c r="G1" s="3775" t="s">
        <v>3405</v>
      </c>
      <c r="H1" s="3775" t="s">
        <v>3406</v>
      </c>
      <c r="I1" s="3775" t="s">
        <v>3407</v>
      </c>
      <c r="J1" s="3775" t="s">
        <v>3408</v>
      </c>
      <c r="K1" s="3775" t="s">
        <v>4303</v>
      </c>
      <c r="L1" s="3775" t="s">
        <v>4304</v>
      </c>
      <c r="M1" s="3775" t="s">
        <v>3411</v>
      </c>
      <c r="N1" s="3775" t="s">
        <v>3412</v>
      </c>
      <c r="O1" s="3775" t="s">
        <v>3413</v>
      </c>
      <c r="P1" s="3775" t="s">
        <v>3414</v>
      </c>
      <c r="Q1" s="3775" t="s">
        <v>3415</v>
      </c>
      <c r="R1" s="3775" t="s">
        <v>3416</v>
      </c>
      <c r="S1" s="3775" t="s">
        <v>3417</v>
      </c>
      <c r="T1" s="3775" t="s">
        <v>3418</v>
      </c>
    </row>
    <row r="2" spans="1:20" ht="15.75">
      <c r="A2" s="3775" t="s">
        <v>4321</v>
      </c>
      <c r="B2" s="3775" t="s">
        <v>3378</v>
      </c>
      <c r="C2" s="3775" t="s">
        <v>4306</v>
      </c>
      <c r="D2" s="3775" t="s">
        <v>3422</v>
      </c>
      <c r="E2" s="3775">
        <v>59523.360000000001</v>
      </c>
      <c r="F2" s="3775">
        <v>130951.38</v>
      </c>
      <c r="G2" s="3775">
        <v>2.2000000000000002</v>
      </c>
      <c r="H2" s="3775" t="s">
        <v>3423</v>
      </c>
      <c r="I2" s="3775" t="s">
        <v>4307</v>
      </c>
      <c r="J2" s="3775" t="s">
        <v>3425</v>
      </c>
      <c r="K2" s="3776">
        <v>45039.000497685185</v>
      </c>
      <c r="L2" s="3776">
        <v>45039.000497685185</v>
      </c>
      <c r="M2" s="3775" t="s">
        <v>3426</v>
      </c>
      <c r="N2" s="3775" t="s">
        <v>4308</v>
      </c>
      <c r="O2" s="3775">
        <v>188205.82</v>
      </c>
      <c r="P2" s="3775">
        <v>57000</v>
      </c>
      <c r="Q2" s="3775" t="s">
        <v>633</v>
      </c>
      <c r="R2" s="3775">
        <v>188205.82</v>
      </c>
      <c r="S2" s="3775">
        <v>14372</v>
      </c>
      <c r="T2" s="3775">
        <v>0</v>
      </c>
    </row>
    <row r="3" spans="1:20" ht="15.75">
      <c r="A3" s="3775" t="s">
        <v>4322</v>
      </c>
      <c r="B3" s="3775" t="s">
        <v>3378</v>
      </c>
      <c r="C3" s="3775" t="s">
        <v>4310</v>
      </c>
      <c r="D3" s="3775" t="s">
        <v>3422</v>
      </c>
      <c r="E3" s="3775">
        <v>87287.8</v>
      </c>
      <c r="F3" s="3775">
        <v>192033.17</v>
      </c>
      <c r="G3" s="3775">
        <v>2.2000000000000002</v>
      </c>
      <c r="H3" s="3775" t="s">
        <v>3423</v>
      </c>
      <c r="I3" s="3775" t="s">
        <v>4307</v>
      </c>
      <c r="J3" s="3775" t="s">
        <v>3425</v>
      </c>
      <c r="K3" s="3776">
        <v>45040.000497685185</v>
      </c>
      <c r="L3" s="3776">
        <v>45040.000497685185</v>
      </c>
      <c r="M3" s="3775" t="s">
        <v>3426</v>
      </c>
      <c r="N3" s="3775" t="s">
        <v>4311</v>
      </c>
      <c r="O3" s="3775">
        <v>275143.78999999998</v>
      </c>
      <c r="P3" s="3775">
        <v>83000</v>
      </c>
      <c r="Q3" s="3775" t="s">
        <v>633</v>
      </c>
      <c r="R3" s="3775">
        <v>275143.78999999998</v>
      </c>
      <c r="S3" s="3775">
        <v>14328</v>
      </c>
      <c r="T3" s="3775">
        <v>0</v>
      </c>
    </row>
    <row r="4" spans="1:20" ht="15.75">
      <c r="A4" s="3775" t="s">
        <v>4312</v>
      </c>
      <c r="B4" s="3775" t="s">
        <v>3378</v>
      </c>
      <c r="C4" s="3775" t="s">
        <v>4313</v>
      </c>
      <c r="D4" s="3775" t="s">
        <v>4314</v>
      </c>
      <c r="E4" s="3775">
        <v>82500</v>
      </c>
      <c r="F4" s="3775">
        <v>165000</v>
      </c>
      <c r="G4" s="3775">
        <v>2</v>
      </c>
      <c r="H4" s="3775" t="s">
        <v>3423</v>
      </c>
      <c r="I4" s="3775" t="s">
        <v>4315</v>
      </c>
      <c r="J4" s="3775" t="s">
        <v>3425</v>
      </c>
      <c r="K4" s="3776">
        <v>45012.000497685185</v>
      </c>
      <c r="L4" s="3776">
        <v>45012.000497685185</v>
      </c>
      <c r="M4" s="3775" t="s">
        <v>3426</v>
      </c>
      <c r="N4" s="3775" t="s">
        <v>4316</v>
      </c>
      <c r="O4" s="3775">
        <v>260700</v>
      </c>
      <c r="P4" s="3775">
        <v>78000</v>
      </c>
      <c r="Q4" s="3775" t="s">
        <v>633</v>
      </c>
      <c r="R4" s="3775">
        <v>260700</v>
      </c>
      <c r="S4" s="3775">
        <v>15800</v>
      </c>
      <c r="T4" s="3775">
        <v>0</v>
      </c>
    </row>
    <row r="5" spans="1:20" ht="15.75">
      <c r="A5" s="3775" t="s">
        <v>4032</v>
      </c>
      <c r="B5" s="3775" t="s">
        <v>3378</v>
      </c>
      <c r="C5" s="3775" t="s">
        <v>4320</v>
      </c>
      <c r="D5" s="3775" t="s">
        <v>3422</v>
      </c>
      <c r="E5" s="3775">
        <v>40082.199999999997</v>
      </c>
      <c r="F5" s="3775">
        <v>60123.3</v>
      </c>
      <c r="G5" s="3775">
        <v>1.5</v>
      </c>
      <c r="H5" s="3775" t="s">
        <v>3423</v>
      </c>
      <c r="I5" s="3775" t="s">
        <v>4030</v>
      </c>
      <c r="J5" s="3775" t="s">
        <v>3425</v>
      </c>
      <c r="K5" s="3776">
        <v>44550.000497685185</v>
      </c>
      <c r="L5" s="3776">
        <v>44550.000497685185</v>
      </c>
      <c r="M5" s="3775" t="s">
        <v>3426</v>
      </c>
      <c r="N5" s="3775" t="s">
        <v>3427</v>
      </c>
      <c r="O5" s="3775">
        <v>81924.009999999995</v>
      </c>
      <c r="P5" s="3775">
        <v>16400</v>
      </c>
      <c r="Q5" s="3775" t="s">
        <v>633</v>
      </c>
      <c r="R5" s="3775">
        <v>81924.009999999995</v>
      </c>
      <c r="S5" s="3775">
        <v>13626</v>
      </c>
      <c r="T5" s="3775">
        <v>0</v>
      </c>
    </row>
    <row r="6" spans="1:20" ht="15.75">
      <c r="A6" s="3775" t="s">
        <v>4317</v>
      </c>
      <c r="B6" s="3775" t="s">
        <v>3378</v>
      </c>
      <c r="C6" s="3775" t="s">
        <v>3430</v>
      </c>
      <c r="D6" s="3775" t="s">
        <v>3431</v>
      </c>
      <c r="E6" s="3775">
        <v>47891.57</v>
      </c>
      <c r="F6" s="3775">
        <v>105361.45</v>
      </c>
      <c r="G6" s="3775" t="s">
        <v>3432</v>
      </c>
      <c r="H6" s="3775" t="s">
        <v>3423</v>
      </c>
      <c r="I6" s="3775" t="s">
        <v>3433</v>
      </c>
      <c r="J6" s="3775" t="s">
        <v>3425</v>
      </c>
      <c r="K6" s="3776">
        <v>44406.000497685185</v>
      </c>
      <c r="L6" s="3776">
        <v>44410.000497685185</v>
      </c>
      <c r="M6" s="3775" t="s">
        <v>3426</v>
      </c>
      <c r="N6" s="3775" t="s">
        <v>3434</v>
      </c>
      <c r="O6" s="3775">
        <v>91664.46</v>
      </c>
      <c r="P6" s="3775">
        <v>27500</v>
      </c>
      <c r="Q6" s="3775" t="s">
        <v>3435</v>
      </c>
      <c r="R6" s="3775">
        <v>91664.46</v>
      </c>
      <c r="S6" s="3775">
        <v>8700</v>
      </c>
      <c r="T6" s="3775">
        <v>0</v>
      </c>
    </row>
    <row r="7" spans="1:20" ht="15.75">
      <c r="A7" s="3775" t="s">
        <v>4318</v>
      </c>
      <c r="B7" s="3775" t="s">
        <v>3378</v>
      </c>
      <c r="C7" s="3775" t="s">
        <v>3449</v>
      </c>
      <c r="D7" s="3775" t="s">
        <v>3431</v>
      </c>
      <c r="E7" s="3775">
        <v>72673.490000000005</v>
      </c>
      <c r="F7" s="3775">
        <v>159882</v>
      </c>
      <c r="G7" s="3775" t="s">
        <v>3432</v>
      </c>
      <c r="H7" s="3775" t="s">
        <v>3423</v>
      </c>
      <c r="I7" s="3775" t="s">
        <v>3433</v>
      </c>
      <c r="J7" s="3775" t="s">
        <v>3425</v>
      </c>
      <c r="K7" s="3776">
        <v>44189.000497685185</v>
      </c>
      <c r="L7" s="3776">
        <v>44189.000497685185</v>
      </c>
      <c r="M7" s="3775" t="s">
        <v>3426</v>
      </c>
      <c r="N7" s="3775" t="s">
        <v>3450</v>
      </c>
      <c r="O7" s="3775">
        <v>252613.56</v>
      </c>
      <c r="P7" s="3775">
        <v>80000</v>
      </c>
      <c r="Q7" s="3775" t="s">
        <v>3451</v>
      </c>
      <c r="R7" s="3775">
        <v>252613.56</v>
      </c>
      <c r="S7" s="3775">
        <v>15800</v>
      </c>
      <c r="T7" s="3775">
        <v>0</v>
      </c>
    </row>
    <row r="8" spans="1:20" ht="15.75">
      <c r="A8" s="3775" t="s">
        <v>3880</v>
      </c>
      <c r="B8" s="3775" t="s">
        <v>3378</v>
      </c>
      <c r="C8" s="3775" t="s">
        <v>3454</v>
      </c>
      <c r="D8" s="3775" t="s">
        <v>3439</v>
      </c>
      <c r="E8" s="3775">
        <v>43870.1</v>
      </c>
      <c r="F8" s="3775">
        <v>109675.25</v>
      </c>
      <c r="G8" s="3775" t="s">
        <v>3455</v>
      </c>
      <c r="H8" s="3775" t="s">
        <v>3423</v>
      </c>
      <c r="I8" s="3775" t="s">
        <v>3433</v>
      </c>
      <c r="J8" s="3775" t="s">
        <v>3425</v>
      </c>
      <c r="K8" s="3776">
        <v>44187.000497685185</v>
      </c>
      <c r="L8" s="3776">
        <v>44187.000497685185</v>
      </c>
      <c r="M8" s="3775" t="s">
        <v>3426</v>
      </c>
      <c r="N8" s="3775" t="s">
        <v>3457</v>
      </c>
      <c r="O8" s="3775">
        <v>148061.57999999999</v>
      </c>
      <c r="P8" s="3775">
        <v>45000</v>
      </c>
      <c r="Q8" s="3775" t="s">
        <v>3458</v>
      </c>
      <c r="R8" s="3775">
        <v>148061.57999999999</v>
      </c>
      <c r="S8" s="3775">
        <v>13500</v>
      </c>
      <c r="T8" s="3775">
        <v>0</v>
      </c>
    </row>
    <row r="9" spans="1:20" ht="15.75">
      <c r="A9" s="3775" t="s">
        <v>3477</v>
      </c>
      <c r="B9" s="3775" t="s">
        <v>3378</v>
      </c>
      <c r="C9" s="3775" t="s">
        <v>3466</v>
      </c>
      <c r="D9" s="3775" t="s">
        <v>3439</v>
      </c>
      <c r="E9" s="3775">
        <v>47891.78</v>
      </c>
      <c r="F9" s="3775">
        <v>108059</v>
      </c>
      <c r="G9" s="3775" t="s">
        <v>3440</v>
      </c>
      <c r="H9" s="3775" t="s">
        <v>3423</v>
      </c>
      <c r="I9" s="3775" t="s">
        <v>3639</v>
      </c>
      <c r="J9" s="3775" t="s">
        <v>3425</v>
      </c>
      <c r="K9" s="3776">
        <v>43720.000497685185</v>
      </c>
      <c r="L9" s="3776">
        <v>43720.000497685185</v>
      </c>
      <c r="M9" s="3775" t="s">
        <v>3426</v>
      </c>
      <c r="N9" s="3775" t="s">
        <v>3645</v>
      </c>
      <c r="O9" s="3775">
        <v>151283</v>
      </c>
      <c r="P9" s="3775">
        <v>50000</v>
      </c>
      <c r="Q9" s="3775" t="s">
        <v>633</v>
      </c>
      <c r="R9" s="3775">
        <v>151283</v>
      </c>
      <c r="S9" s="3775">
        <v>14000</v>
      </c>
      <c r="T9" s="3775">
        <v>0</v>
      </c>
    </row>
    <row r="10" spans="1:20" ht="15.75">
      <c r="A10" s="3775" t="s">
        <v>3473</v>
      </c>
      <c r="B10" s="3775" t="s">
        <v>3378</v>
      </c>
      <c r="C10" s="3775" t="s">
        <v>3438</v>
      </c>
      <c r="D10" s="3775" t="s">
        <v>3439</v>
      </c>
      <c r="E10" s="3775">
        <v>41000.75</v>
      </c>
      <c r="F10" s="3775">
        <v>102502</v>
      </c>
      <c r="G10" s="3775" t="s">
        <v>3440</v>
      </c>
      <c r="H10" s="3775" t="s">
        <v>3423</v>
      </c>
      <c r="I10" s="3775" t="s">
        <v>3433</v>
      </c>
      <c r="J10" s="3775" t="s">
        <v>3425</v>
      </c>
      <c r="K10" s="3776">
        <v>44236.000497685185</v>
      </c>
      <c r="L10" s="3776">
        <v>44237.000497685185</v>
      </c>
      <c r="M10" s="3775" t="s">
        <v>3426</v>
      </c>
      <c r="N10" s="3775" t="s">
        <v>3641</v>
      </c>
      <c r="O10" s="3775">
        <v>146578</v>
      </c>
      <c r="P10" s="3775">
        <v>45000</v>
      </c>
      <c r="Q10" s="3775" t="s">
        <v>633</v>
      </c>
      <c r="R10" s="3775">
        <v>146578</v>
      </c>
      <c r="S10" s="3775">
        <v>14300</v>
      </c>
      <c r="T10" s="3775">
        <v>0</v>
      </c>
    </row>
    <row r="11" spans="1:20" ht="15.75">
      <c r="A11" s="3775" t="s">
        <v>3479</v>
      </c>
      <c r="B11" s="3775" t="s">
        <v>3378</v>
      </c>
      <c r="C11" s="3775" t="s">
        <v>3443</v>
      </c>
      <c r="D11" s="3775" t="s">
        <v>3439</v>
      </c>
      <c r="E11" s="3775">
        <v>62136.68</v>
      </c>
      <c r="F11" s="3775">
        <v>147241</v>
      </c>
      <c r="G11" s="3775" t="s">
        <v>3440</v>
      </c>
      <c r="H11" s="3775" t="s">
        <v>3423</v>
      </c>
      <c r="I11" s="3775" t="s">
        <v>3639</v>
      </c>
      <c r="J11" s="3775" t="s">
        <v>3425</v>
      </c>
      <c r="K11" s="3776">
        <v>44190.000497685185</v>
      </c>
      <c r="L11" s="3776">
        <v>44190.000497685185</v>
      </c>
      <c r="M11" s="3775" t="s">
        <v>3426</v>
      </c>
      <c r="N11" s="3775" t="s">
        <v>3635</v>
      </c>
      <c r="O11" s="3775">
        <v>206138</v>
      </c>
      <c r="P11" s="3775">
        <v>62000</v>
      </c>
      <c r="Q11" s="3775" t="s">
        <v>3446</v>
      </c>
      <c r="R11" s="3775">
        <v>206138</v>
      </c>
      <c r="S11" s="3775">
        <v>14000</v>
      </c>
      <c r="T11" s="3775">
        <v>0</v>
      </c>
    </row>
    <row r="12" spans="1:20" ht="15.75">
      <c r="A12" s="3775" t="s">
        <v>4319</v>
      </c>
      <c r="B12" s="3775" t="s">
        <v>3378</v>
      </c>
      <c r="C12" s="3775" t="s">
        <v>3470</v>
      </c>
      <c r="D12" s="3775" t="s">
        <v>3431</v>
      </c>
      <c r="E12" s="3775">
        <v>40285.32</v>
      </c>
      <c r="F12" s="3775">
        <v>80571</v>
      </c>
      <c r="G12" s="3775" t="s">
        <v>3471</v>
      </c>
      <c r="H12" s="3775" t="s">
        <v>3423</v>
      </c>
      <c r="I12" s="3775" t="s">
        <v>3433</v>
      </c>
      <c r="J12" s="3775" t="s">
        <v>3425</v>
      </c>
      <c r="K12" s="3776">
        <v>43532.000497685185</v>
      </c>
      <c r="L12" s="3776">
        <v>43532.000497685185</v>
      </c>
      <c r="M12" s="3775" t="s">
        <v>3426</v>
      </c>
      <c r="N12" s="3775" t="s">
        <v>3472</v>
      </c>
      <c r="O12" s="3775">
        <v>127302.2</v>
      </c>
      <c r="P12" s="3775">
        <v>40000</v>
      </c>
      <c r="Q12" s="3775" t="s">
        <v>633</v>
      </c>
      <c r="R12" s="3775">
        <v>127302.2</v>
      </c>
      <c r="S12" s="3775">
        <v>15800</v>
      </c>
      <c r="T12" s="3775">
        <v>0</v>
      </c>
    </row>
  </sheetData>
  <mergeCells count="240">
    <mergeCell ref="L1"/>
    <mergeCell ref="M1"/>
    <mergeCell ref="N1"/>
    <mergeCell ref="O1"/>
    <mergeCell ref="P1"/>
    <mergeCell ref="Q1"/>
    <mergeCell ref="R1"/>
    <mergeCell ref="A1"/>
    <mergeCell ref="B1"/>
    <mergeCell ref="C1"/>
    <mergeCell ref="D1"/>
    <mergeCell ref="E1"/>
    <mergeCell ref="F1"/>
    <mergeCell ref="G1"/>
    <mergeCell ref="H1"/>
    <mergeCell ref="I1"/>
    <mergeCell ref="S1"/>
    <mergeCell ref="T1"/>
    <mergeCell ref="A2"/>
    <mergeCell ref="B2"/>
    <mergeCell ref="C2"/>
    <mergeCell ref="D2"/>
    <mergeCell ref="E2"/>
    <mergeCell ref="F2"/>
    <mergeCell ref="G2"/>
    <mergeCell ref="H2"/>
    <mergeCell ref="I2"/>
    <mergeCell ref="J2"/>
    <mergeCell ref="K2"/>
    <mergeCell ref="L2"/>
    <mergeCell ref="M2"/>
    <mergeCell ref="N2"/>
    <mergeCell ref="O2"/>
    <mergeCell ref="P2"/>
    <mergeCell ref="Q2"/>
    <mergeCell ref="R2"/>
    <mergeCell ref="S2"/>
    <mergeCell ref="T2"/>
    <mergeCell ref="J1"/>
    <mergeCell ref="K1"/>
    <mergeCell ref="L3"/>
    <mergeCell ref="M3"/>
    <mergeCell ref="N3"/>
    <mergeCell ref="O3"/>
    <mergeCell ref="P3"/>
    <mergeCell ref="Q3"/>
    <mergeCell ref="R3"/>
    <mergeCell ref="A3"/>
    <mergeCell ref="B3"/>
    <mergeCell ref="C3"/>
    <mergeCell ref="D3"/>
    <mergeCell ref="E3"/>
    <mergeCell ref="F3"/>
    <mergeCell ref="G3"/>
    <mergeCell ref="H3"/>
    <mergeCell ref="I3"/>
    <mergeCell ref="S3"/>
    <mergeCell ref="T3"/>
    <mergeCell ref="A4"/>
    <mergeCell ref="B4"/>
    <mergeCell ref="C4"/>
    <mergeCell ref="D4"/>
    <mergeCell ref="E4"/>
    <mergeCell ref="F4"/>
    <mergeCell ref="G4"/>
    <mergeCell ref="H4"/>
    <mergeCell ref="I4"/>
    <mergeCell ref="J4"/>
    <mergeCell ref="K4"/>
    <mergeCell ref="L4"/>
    <mergeCell ref="M4"/>
    <mergeCell ref="N4"/>
    <mergeCell ref="O4"/>
    <mergeCell ref="P4"/>
    <mergeCell ref="Q4"/>
    <mergeCell ref="R4"/>
    <mergeCell ref="S4"/>
    <mergeCell ref="T4"/>
    <mergeCell ref="J3"/>
    <mergeCell ref="K3"/>
    <mergeCell ref="L5"/>
    <mergeCell ref="M5"/>
    <mergeCell ref="N5"/>
    <mergeCell ref="O5"/>
    <mergeCell ref="P5"/>
    <mergeCell ref="Q5"/>
    <mergeCell ref="R5"/>
    <mergeCell ref="A5"/>
    <mergeCell ref="B5"/>
    <mergeCell ref="C5"/>
    <mergeCell ref="D5"/>
    <mergeCell ref="E5"/>
    <mergeCell ref="F5"/>
    <mergeCell ref="G5"/>
    <mergeCell ref="H5"/>
    <mergeCell ref="I5"/>
    <mergeCell ref="S5"/>
    <mergeCell ref="T5"/>
    <mergeCell ref="A6"/>
    <mergeCell ref="B6"/>
    <mergeCell ref="C6"/>
    <mergeCell ref="D6"/>
    <mergeCell ref="E6"/>
    <mergeCell ref="F6"/>
    <mergeCell ref="G6"/>
    <mergeCell ref="H6"/>
    <mergeCell ref="I6"/>
    <mergeCell ref="J6"/>
    <mergeCell ref="K6"/>
    <mergeCell ref="L6"/>
    <mergeCell ref="M6"/>
    <mergeCell ref="N6"/>
    <mergeCell ref="O6"/>
    <mergeCell ref="P6"/>
    <mergeCell ref="Q6"/>
    <mergeCell ref="R6"/>
    <mergeCell ref="S6"/>
    <mergeCell ref="T6"/>
    <mergeCell ref="J5"/>
    <mergeCell ref="K5"/>
    <mergeCell ref="L7"/>
    <mergeCell ref="M7"/>
    <mergeCell ref="N7"/>
    <mergeCell ref="O7"/>
    <mergeCell ref="P7"/>
    <mergeCell ref="Q7"/>
    <mergeCell ref="R7"/>
    <mergeCell ref="A7"/>
    <mergeCell ref="B7"/>
    <mergeCell ref="C7"/>
    <mergeCell ref="D7"/>
    <mergeCell ref="E7"/>
    <mergeCell ref="F7"/>
    <mergeCell ref="G7"/>
    <mergeCell ref="H7"/>
    <mergeCell ref="I7"/>
    <mergeCell ref="S7"/>
    <mergeCell ref="T7"/>
    <mergeCell ref="A8"/>
    <mergeCell ref="B8"/>
    <mergeCell ref="C8"/>
    <mergeCell ref="D8"/>
    <mergeCell ref="E8"/>
    <mergeCell ref="F8"/>
    <mergeCell ref="G8"/>
    <mergeCell ref="H8"/>
    <mergeCell ref="I8"/>
    <mergeCell ref="J8"/>
    <mergeCell ref="K8"/>
    <mergeCell ref="L8"/>
    <mergeCell ref="M8"/>
    <mergeCell ref="N8"/>
    <mergeCell ref="O8"/>
    <mergeCell ref="P8"/>
    <mergeCell ref="Q8"/>
    <mergeCell ref="R8"/>
    <mergeCell ref="S8"/>
    <mergeCell ref="T8"/>
    <mergeCell ref="J7"/>
    <mergeCell ref="K7"/>
    <mergeCell ref="L9"/>
    <mergeCell ref="M9"/>
    <mergeCell ref="N9"/>
    <mergeCell ref="O9"/>
    <mergeCell ref="P9"/>
    <mergeCell ref="Q9"/>
    <mergeCell ref="R9"/>
    <mergeCell ref="A9"/>
    <mergeCell ref="B9"/>
    <mergeCell ref="C9"/>
    <mergeCell ref="D9"/>
    <mergeCell ref="E9"/>
    <mergeCell ref="F9"/>
    <mergeCell ref="G9"/>
    <mergeCell ref="H9"/>
    <mergeCell ref="I9"/>
    <mergeCell ref="S9"/>
    <mergeCell ref="T9"/>
    <mergeCell ref="A10"/>
    <mergeCell ref="B10"/>
    <mergeCell ref="C10"/>
    <mergeCell ref="D10"/>
    <mergeCell ref="E10"/>
    <mergeCell ref="F10"/>
    <mergeCell ref="G10"/>
    <mergeCell ref="H10"/>
    <mergeCell ref="I10"/>
    <mergeCell ref="J10"/>
    <mergeCell ref="K10"/>
    <mergeCell ref="L10"/>
    <mergeCell ref="M10"/>
    <mergeCell ref="N10"/>
    <mergeCell ref="O10"/>
    <mergeCell ref="P10"/>
    <mergeCell ref="Q10"/>
    <mergeCell ref="R10"/>
    <mergeCell ref="S10"/>
    <mergeCell ref="T10"/>
    <mergeCell ref="J9"/>
    <mergeCell ref="K9"/>
    <mergeCell ref="L11"/>
    <mergeCell ref="M11"/>
    <mergeCell ref="N11"/>
    <mergeCell ref="O11"/>
    <mergeCell ref="P11"/>
    <mergeCell ref="Q11"/>
    <mergeCell ref="R11"/>
    <mergeCell ref="A11"/>
    <mergeCell ref="B11"/>
    <mergeCell ref="C11"/>
    <mergeCell ref="D11"/>
    <mergeCell ref="E11"/>
    <mergeCell ref="F11"/>
    <mergeCell ref="G11"/>
    <mergeCell ref="H11"/>
    <mergeCell ref="I11"/>
    <mergeCell ref="S11"/>
    <mergeCell ref="T11"/>
    <mergeCell ref="A12"/>
    <mergeCell ref="B12"/>
    <mergeCell ref="C12"/>
    <mergeCell ref="D12"/>
    <mergeCell ref="E12"/>
    <mergeCell ref="F12"/>
    <mergeCell ref="G12"/>
    <mergeCell ref="H12"/>
    <mergeCell ref="I12"/>
    <mergeCell ref="J12"/>
    <mergeCell ref="K12"/>
    <mergeCell ref="L12"/>
    <mergeCell ref="M12"/>
    <mergeCell ref="N12"/>
    <mergeCell ref="O12"/>
    <mergeCell ref="P12"/>
    <mergeCell ref="Q12"/>
    <mergeCell ref="R12"/>
    <mergeCell ref="S12"/>
    <mergeCell ref="T12"/>
    <mergeCell ref="J11"/>
    <mergeCell ref="K11"/>
  </mergeCells>
  <phoneticPr fontId="273" type="noConversion"/>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9"/>
  <sheetViews>
    <sheetView workbookViewId="0">
      <selection activeCell="A32" sqref="A32"/>
    </sheetView>
  </sheetViews>
  <sheetFormatPr defaultColWidth="11" defaultRowHeight="14.25"/>
  <cols>
    <col min="1" max="1" width="48.625" customWidth="1"/>
    <col min="2" max="2" width="16.375" customWidth="1"/>
    <col min="3" max="3" width="85.875" customWidth="1"/>
    <col min="5" max="5" width="15.375" customWidth="1"/>
    <col min="6" max="6" width="13.125" customWidth="1"/>
    <col min="7" max="7" width="12.5" customWidth="1"/>
    <col min="8" max="8" width="8" customWidth="1"/>
    <col min="9" max="10" width="6.625" customWidth="1"/>
    <col min="11" max="11" width="18.625" customWidth="1"/>
    <col min="12" max="12" width="8.375" hidden="1" customWidth="1"/>
    <col min="13" max="13" width="0" hidden="1" customWidth="1"/>
    <col min="18" max="20" width="0" hidden="1" customWidth="1"/>
  </cols>
  <sheetData>
    <row r="1" spans="1:22" s="3450" customFormat="1" ht="12.75">
      <c r="A1" s="3450" t="s">
        <v>3380</v>
      </c>
      <c r="C1" s="3450" t="s">
        <v>3401</v>
      </c>
      <c r="D1" s="3450" t="s">
        <v>3383</v>
      </c>
      <c r="E1" s="3450" t="s">
        <v>3402</v>
      </c>
      <c r="F1" s="3450" t="s">
        <v>3403</v>
      </c>
      <c r="G1" s="3450" t="s">
        <v>3404</v>
      </c>
      <c r="I1" s="3450" t="s">
        <v>3405</v>
      </c>
      <c r="J1" s="3450" t="s">
        <v>3406</v>
      </c>
      <c r="K1" s="3450" t="s">
        <v>3407</v>
      </c>
      <c r="L1" s="3450" t="s">
        <v>3408</v>
      </c>
      <c r="M1" s="3450" t="s">
        <v>3409</v>
      </c>
      <c r="N1" s="3450" t="s">
        <v>3410</v>
      </c>
      <c r="O1" s="3450" t="s">
        <v>3411</v>
      </c>
      <c r="P1" s="3450" t="s">
        <v>3412</v>
      </c>
      <c r="Q1" s="3450" t="s">
        <v>3413</v>
      </c>
      <c r="R1" s="3450" t="s">
        <v>3414</v>
      </c>
      <c r="S1" s="3450" t="s">
        <v>3415</v>
      </c>
      <c r="T1" s="3450" t="s">
        <v>3416</v>
      </c>
      <c r="U1" s="3450" t="s">
        <v>3417</v>
      </c>
      <c r="V1" s="3450" t="s">
        <v>3418</v>
      </c>
    </row>
    <row r="2" spans="1:22" s="3514" customFormat="1" ht="12.75">
      <c r="B2" s="3514" t="s">
        <v>4276</v>
      </c>
      <c r="C2" s="3514" t="s">
        <v>4324</v>
      </c>
      <c r="D2" s="3514" t="s">
        <v>4265</v>
      </c>
      <c r="E2" s="3514" t="s">
        <v>4268</v>
      </c>
      <c r="F2" s="3514">
        <v>59523.360000000001</v>
      </c>
      <c r="G2" s="3514">
        <v>130951.38</v>
      </c>
      <c r="I2" s="3514">
        <v>2.2000000000000002</v>
      </c>
      <c r="J2" s="3514" t="s">
        <v>4269</v>
      </c>
      <c r="K2" s="3514" t="s">
        <v>4270</v>
      </c>
      <c r="N2" s="3516">
        <v>45039</v>
      </c>
      <c r="O2" s="3514" t="s">
        <v>4271</v>
      </c>
      <c r="P2" s="3514" t="s">
        <v>4326</v>
      </c>
      <c r="U2" s="3514">
        <v>14372</v>
      </c>
      <c r="V2" s="3514">
        <v>0</v>
      </c>
    </row>
    <row r="3" spans="1:22" s="3514" customFormat="1" ht="12.75">
      <c r="C3" s="3514" t="s">
        <v>4323</v>
      </c>
      <c r="D3" s="3514" t="s">
        <v>4266</v>
      </c>
      <c r="E3" s="3514" t="s">
        <v>4268</v>
      </c>
      <c r="F3" s="3514">
        <v>87287.8</v>
      </c>
      <c r="G3" s="3514">
        <v>192033.17</v>
      </c>
      <c r="I3" s="3514">
        <v>2.2000000000000002</v>
      </c>
      <c r="J3" s="3514" t="s">
        <v>4269</v>
      </c>
      <c r="K3" s="3514" t="s">
        <v>4270</v>
      </c>
      <c r="N3" s="3516">
        <v>45040</v>
      </c>
      <c r="O3" s="3514" t="s">
        <v>4271</v>
      </c>
      <c r="P3" s="3514" t="s">
        <v>4327</v>
      </c>
      <c r="U3" s="3514">
        <v>14328</v>
      </c>
      <c r="V3" s="3514">
        <v>0</v>
      </c>
    </row>
    <row r="4" spans="1:22" s="3450" customFormat="1" ht="12.75">
      <c r="C4" s="3450" t="s">
        <v>4264</v>
      </c>
      <c r="D4" s="3450" t="s">
        <v>4267</v>
      </c>
      <c r="E4" s="3450" t="s">
        <v>4272</v>
      </c>
      <c r="F4" s="3450">
        <v>82500</v>
      </c>
      <c r="G4" s="3450">
        <v>165000</v>
      </c>
      <c r="I4" s="3450">
        <v>2</v>
      </c>
      <c r="J4" s="3450" t="s">
        <v>4269</v>
      </c>
      <c r="K4" s="3450" t="s">
        <v>4273</v>
      </c>
      <c r="N4" s="3456">
        <v>45012</v>
      </c>
      <c r="O4" s="3450" t="s">
        <v>4271</v>
      </c>
      <c r="P4" s="3450" t="s">
        <v>4274</v>
      </c>
      <c r="U4" s="3450">
        <v>15800</v>
      </c>
      <c r="V4" s="3450">
        <v>0</v>
      </c>
    </row>
    <row r="5" spans="1:22" s="3450" customFormat="1" ht="11.25" customHeight="1">
      <c r="A5" s="3450">
        <v>1</v>
      </c>
      <c r="B5" s="3450" t="s">
        <v>3419</v>
      </c>
      <c r="C5" s="3450" t="s">
        <v>3420</v>
      </c>
      <c r="D5" s="3450" t="s">
        <v>3421</v>
      </c>
      <c r="E5" s="3450" t="s">
        <v>3422</v>
      </c>
      <c r="F5" s="3450">
        <v>40082.199999999997</v>
      </c>
      <c r="G5" s="3450">
        <v>60123.3</v>
      </c>
      <c r="H5" s="3450">
        <f>ROUND(G5/F5,2)</f>
        <v>1.5</v>
      </c>
      <c r="I5" s="3450">
        <v>1.5</v>
      </c>
      <c r="J5" s="3450" t="s">
        <v>3423</v>
      </c>
      <c r="K5" s="3450" t="s">
        <v>3424</v>
      </c>
      <c r="L5" s="3450" t="s">
        <v>3425</v>
      </c>
      <c r="M5" s="3450">
        <v>44550.000497685185</v>
      </c>
      <c r="N5" s="3451">
        <v>44550.000497685185</v>
      </c>
      <c r="O5" s="3450" t="s">
        <v>3426</v>
      </c>
      <c r="P5" s="3450" t="s">
        <v>3427</v>
      </c>
      <c r="Q5" s="3450">
        <v>81924.009999999995</v>
      </c>
      <c r="R5" s="3450">
        <v>16400</v>
      </c>
      <c r="S5" s="3450" t="s">
        <v>633</v>
      </c>
      <c r="T5" s="3450">
        <v>81924.009999999995</v>
      </c>
      <c r="U5" s="3450">
        <v>13626</v>
      </c>
      <c r="V5" s="3450">
        <v>0</v>
      </c>
    </row>
    <row r="6" spans="1:22" s="3450" customFormat="1" ht="12.75">
      <c r="A6" s="3450">
        <v>2</v>
      </c>
      <c r="B6" s="3450" t="s">
        <v>3428</v>
      </c>
      <c r="C6" s="3450" t="s">
        <v>3429</v>
      </c>
      <c r="D6" s="3450" t="s">
        <v>3430</v>
      </c>
      <c r="E6" s="3450" t="s">
        <v>3431</v>
      </c>
      <c r="F6" s="3450">
        <v>47891.57</v>
      </c>
      <c r="G6" s="3450">
        <v>105361.45</v>
      </c>
      <c r="H6" s="3450">
        <f t="shared" ref="H6:H16" si="0">ROUND(G6/F6,2)</f>
        <v>2.2000000000000002</v>
      </c>
      <c r="I6" s="3450" t="s">
        <v>3432</v>
      </c>
      <c r="J6" s="3450" t="s">
        <v>3423</v>
      </c>
      <c r="K6" s="3450" t="s">
        <v>3433</v>
      </c>
      <c r="L6" s="3450" t="s">
        <v>3425</v>
      </c>
      <c r="M6" s="3450">
        <v>44406.000497685185</v>
      </c>
      <c r="N6" s="3453">
        <v>44410.000497685185</v>
      </c>
      <c r="O6" s="3450" t="s">
        <v>3426</v>
      </c>
      <c r="P6" s="3450" t="s">
        <v>3434</v>
      </c>
      <c r="Q6" s="3450">
        <v>91664.46</v>
      </c>
      <c r="R6" s="3450">
        <v>27500</v>
      </c>
      <c r="S6" s="3450" t="s">
        <v>3435</v>
      </c>
      <c r="T6" s="3450">
        <v>91664.46</v>
      </c>
      <c r="U6" s="3450">
        <v>8700</v>
      </c>
      <c r="V6" s="3450">
        <v>0</v>
      </c>
    </row>
    <row r="7" spans="1:22" s="3514" customFormat="1" ht="12.75">
      <c r="A7" s="3514">
        <v>3</v>
      </c>
      <c r="B7" s="3514" t="s">
        <v>3436</v>
      </c>
      <c r="C7" s="3514" t="s">
        <v>3437</v>
      </c>
      <c r="D7" s="3514" t="s">
        <v>3438</v>
      </c>
      <c r="E7" s="3514" t="s">
        <v>3439</v>
      </c>
      <c r="F7" s="3514">
        <v>41000.75</v>
      </c>
      <c r="G7" s="3514">
        <v>102502</v>
      </c>
      <c r="H7" s="3514">
        <f t="shared" si="0"/>
        <v>2.5</v>
      </c>
      <c r="I7" s="3514" t="s">
        <v>3440</v>
      </c>
      <c r="J7" s="3514" t="s">
        <v>3423</v>
      </c>
      <c r="K7" s="3514" t="s">
        <v>3433</v>
      </c>
      <c r="L7" s="3514" t="s">
        <v>3425</v>
      </c>
      <c r="M7" s="3514">
        <v>44236.000497685185</v>
      </c>
      <c r="N7" s="3515">
        <v>44237.000497685185</v>
      </c>
      <c r="O7" s="3514" t="s">
        <v>3426</v>
      </c>
      <c r="P7" s="3514" t="s">
        <v>4325</v>
      </c>
      <c r="Q7" s="3514">
        <v>146578</v>
      </c>
      <c r="R7" s="3514">
        <v>45000</v>
      </c>
      <c r="S7" s="3514" t="s">
        <v>633</v>
      </c>
      <c r="T7" s="3514">
        <v>146578</v>
      </c>
      <c r="U7" s="3514">
        <v>14300</v>
      </c>
      <c r="V7" s="3514">
        <v>0</v>
      </c>
    </row>
    <row r="8" spans="1:22" s="3457" customFormat="1" ht="12.75">
      <c r="A8" s="3457">
        <v>4</v>
      </c>
      <c r="B8" s="3457" t="s">
        <v>3441</v>
      </c>
      <c r="C8" s="3457" t="s">
        <v>3442</v>
      </c>
      <c r="D8" s="3457" t="s">
        <v>3443</v>
      </c>
      <c r="E8" s="3457" t="s">
        <v>3439</v>
      </c>
      <c r="F8" s="3457">
        <v>62136.68</v>
      </c>
      <c r="G8" s="3457">
        <v>147241</v>
      </c>
      <c r="H8" s="3457">
        <f t="shared" si="0"/>
        <v>2.37</v>
      </c>
      <c r="I8" s="3457" t="s">
        <v>3440</v>
      </c>
      <c r="J8" s="3457" t="s">
        <v>3423</v>
      </c>
      <c r="K8" s="3457" t="s">
        <v>3444</v>
      </c>
      <c r="L8" s="3457" t="s">
        <v>3425</v>
      </c>
      <c r="M8" s="3457">
        <v>44190.000497685185</v>
      </c>
      <c r="N8" s="3454">
        <v>44190.000497685185</v>
      </c>
      <c r="O8" s="3457" t="s">
        <v>3426</v>
      </c>
      <c r="P8" s="3457" t="s">
        <v>3445</v>
      </c>
      <c r="Q8" s="3457">
        <v>206138</v>
      </c>
      <c r="R8" s="3457">
        <v>62000</v>
      </c>
      <c r="S8" s="3457" t="s">
        <v>3446</v>
      </c>
      <c r="T8" s="3457">
        <v>206138</v>
      </c>
      <c r="U8" s="3457">
        <v>14000</v>
      </c>
      <c r="V8" s="3457">
        <v>0</v>
      </c>
    </row>
    <row r="9" spans="1:22" s="3450" customFormat="1" ht="12.75">
      <c r="A9" s="3450">
        <v>5</v>
      </c>
      <c r="B9" s="3450" t="s">
        <v>3447</v>
      </c>
      <c r="C9" s="3450" t="s">
        <v>3448</v>
      </c>
      <c r="D9" s="3450" t="s">
        <v>3449</v>
      </c>
      <c r="E9" s="3450" t="s">
        <v>3431</v>
      </c>
      <c r="F9" s="3450">
        <v>72673.490000000005</v>
      </c>
      <c r="G9" s="3450">
        <v>159882</v>
      </c>
      <c r="H9" s="3450">
        <f t="shared" si="0"/>
        <v>2.2000000000000002</v>
      </c>
      <c r="I9" s="3450" t="s">
        <v>3432</v>
      </c>
      <c r="J9" s="3450" t="s">
        <v>3423</v>
      </c>
      <c r="K9" s="3450" t="s">
        <v>3433</v>
      </c>
      <c r="L9" s="3450" t="s">
        <v>3425</v>
      </c>
      <c r="M9" s="3450">
        <v>44189.000497685185</v>
      </c>
      <c r="N9" s="3455">
        <v>44189.000497685185</v>
      </c>
      <c r="O9" s="3450" t="s">
        <v>3426</v>
      </c>
      <c r="P9" s="3450" t="s">
        <v>3450</v>
      </c>
      <c r="Q9" s="3450">
        <v>252613.56</v>
      </c>
      <c r="R9" s="3450">
        <v>80000</v>
      </c>
      <c r="S9" s="3450" t="s">
        <v>3451</v>
      </c>
      <c r="T9" s="3450">
        <v>252613.56</v>
      </c>
      <c r="U9" s="3450">
        <v>15800</v>
      </c>
      <c r="V9" s="3450">
        <v>0</v>
      </c>
    </row>
    <row r="10" spans="1:22" s="3450" customFormat="1" ht="12.75">
      <c r="A10" s="3450">
        <v>6</v>
      </c>
      <c r="B10" s="3450" t="s">
        <v>3452</v>
      </c>
      <c r="C10" s="3450" t="s">
        <v>3453</v>
      </c>
      <c r="D10" s="3450" t="s">
        <v>3454</v>
      </c>
      <c r="E10" s="3450" t="s">
        <v>3439</v>
      </c>
      <c r="F10" s="3450">
        <v>43870.1</v>
      </c>
      <c r="G10" s="3450">
        <v>109675.25</v>
      </c>
      <c r="H10" s="3450">
        <f t="shared" si="0"/>
        <v>2.5</v>
      </c>
      <c r="I10" s="3450" t="s">
        <v>3455</v>
      </c>
      <c r="J10" s="3450" t="s">
        <v>3423</v>
      </c>
      <c r="K10" s="3450" t="s">
        <v>3456</v>
      </c>
      <c r="L10" s="3450" t="s">
        <v>3425</v>
      </c>
      <c r="M10" s="3450">
        <v>44187.000497685185</v>
      </c>
      <c r="N10" s="3451">
        <v>44187.000497685185</v>
      </c>
      <c r="O10" s="3450" t="s">
        <v>3426</v>
      </c>
      <c r="P10" s="3450" t="s">
        <v>3457</v>
      </c>
      <c r="Q10" s="3450">
        <v>148061.57999999999</v>
      </c>
      <c r="R10" s="3450">
        <v>45000</v>
      </c>
      <c r="S10" s="3450" t="s">
        <v>3458</v>
      </c>
      <c r="T10" s="3450">
        <v>148061.57999999999</v>
      </c>
      <c r="U10" s="3450">
        <v>13500</v>
      </c>
      <c r="V10" s="3450">
        <v>0</v>
      </c>
    </row>
    <row r="11" spans="1:22" s="3450" customFormat="1" ht="12.75" hidden="1">
      <c r="A11" s="3450">
        <v>7</v>
      </c>
      <c r="C11" s="3450" t="s">
        <v>3459</v>
      </c>
      <c r="D11" s="3450" t="s">
        <v>3460</v>
      </c>
      <c r="E11" s="3450" t="s">
        <v>3439</v>
      </c>
      <c r="F11" s="3450">
        <v>33783.57</v>
      </c>
      <c r="G11" s="3450">
        <v>84458.9</v>
      </c>
      <c r="H11" s="3450">
        <f t="shared" si="0"/>
        <v>2.5</v>
      </c>
      <c r="I11" s="3450" t="s">
        <v>3455</v>
      </c>
      <c r="J11" s="3450" t="s">
        <v>3423</v>
      </c>
      <c r="K11" s="3450" t="s">
        <v>3433</v>
      </c>
      <c r="L11" s="3450" t="s">
        <v>3425</v>
      </c>
      <c r="M11" s="3450">
        <v>44186.000497685185</v>
      </c>
      <c r="N11" s="3452" t="s">
        <v>3461</v>
      </c>
      <c r="O11" s="3450" t="s">
        <v>3462</v>
      </c>
      <c r="P11" s="3450" t="s">
        <v>3463</v>
      </c>
      <c r="Q11" s="3450">
        <v>110641.16</v>
      </c>
      <c r="R11" s="3450">
        <v>40000</v>
      </c>
      <c r="S11" s="3450" t="s">
        <v>633</v>
      </c>
      <c r="T11" s="3450" t="s">
        <v>3461</v>
      </c>
      <c r="U11" s="3450" t="s">
        <v>3461</v>
      </c>
      <c r="V11" s="3450">
        <v>0</v>
      </c>
    </row>
    <row r="12" spans="1:22" s="3457" customFormat="1" ht="12.75">
      <c r="A12" s="3457">
        <v>8</v>
      </c>
      <c r="B12" s="3457" t="s">
        <v>3464</v>
      </c>
      <c r="C12" s="3457" t="s">
        <v>3465</v>
      </c>
      <c r="D12" s="3457" t="s">
        <v>3466</v>
      </c>
      <c r="E12" s="3457" t="s">
        <v>3439</v>
      </c>
      <c r="F12" s="3457">
        <v>47891.78</v>
      </c>
      <c r="G12" s="3457">
        <v>108059</v>
      </c>
      <c r="H12" s="3457">
        <f t="shared" si="0"/>
        <v>2.2599999999999998</v>
      </c>
      <c r="I12" s="3457" t="s">
        <v>3440</v>
      </c>
      <c r="J12" s="3457" t="s">
        <v>3423</v>
      </c>
      <c r="K12" s="3457" t="s">
        <v>3444</v>
      </c>
      <c r="L12" s="3457" t="s">
        <v>3425</v>
      </c>
      <c r="M12" s="3457">
        <v>43720.000497685185</v>
      </c>
      <c r="N12" s="3454">
        <v>43720.000497685185</v>
      </c>
      <c r="O12" s="3457" t="s">
        <v>3426</v>
      </c>
      <c r="P12" s="3457" t="s">
        <v>3467</v>
      </c>
      <c r="Q12" s="3457">
        <v>151283</v>
      </c>
      <c r="R12" s="3457">
        <v>50000</v>
      </c>
      <c r="S12" s="3457" t="s">
        <v>633</v>
      </c>
      <c r="T12" s="3457">
        <v>151283</v>
      </c>
      <c r="U12" s="3457">
        <v>14000</v>
      </c>
      <c r="V12" s="3457">
        <v>0</v>
      </c>
    </row>
    <row r="13" spans="1:22" s="3450" customFormat="1" ht="12.75">
      <c r="A13" s="3450">
        <v>9</v>
      </c>
      <c r="B13" s="3450" t="s">
        <v>3468</v>
      </c>
      <c r="C13" s="3450" t="s">
        <v>3469</v>
      </c>
      <c r="D13" s="3450" t="s">
        <v>3470</v>
      </c>
      <c r="E13" s="3450" t="s">
        <v>3431</v>
      </c>
      <c r="F13" s="3450">
        <v>40285.32</v>
      </c>
      <c r="G13" s="3450">
        <v>80571</v>
      </c>
      <c r="H13" s="3450">
        <f t="shared" si="0"/>
        <v>2</v>
      </c>
      <c r="I13" s="3450" t="s">
        <v>3471</v>
      </c>
      <c r="J13" s="3450" t="s">
        <v>3423</v>
      </c>
      <c r="K13" s="3450" t="s">
        <v>3433</v>
      </c>
      <c r="L13" s="3450" t="s">
        <v>3425</v>
      </c>
      <c r="M13" s="3450">
        <v>43532.000497685185</v>
      </c>
      <c r="N13" s="3456">
        <v>43532.000497685185</v>
      </c>
      <c r="O13" s="3450" t="s">
        <v>3426</v>
      </c>
      <c r="P13" s="3450" t="s">
        <v>3472</v>
      </c>
      <c r="Q13" s="3450">
        <v>127302.2</v>
      </c>
      <c r="R13" s="3450">
        <v>40000</v>
      </c>
      <c r="S13" s="3450" t="s">
        <v>633</v>
      </c>
      <c r="T13" s="3450">
        <v>127302.2</v>
      </c>
      <c r="U13" s="3450">
        <v>15800</v>
      </c>
      <c r="V13" s="3450">
        <v>0</v>
      </c>
    </row>
    <row r="14" spans="1:22" s="3450" customFormat="1" ht="12.75" hidden="1">
      <c r="A14" s="3450">
        <v>10</v>
      </c>
      <c r="C14" s="3450" t="s">
        <v>3473</v>
      </c>
      <c r="D14" s="3450" t="s">
        <v>3474</v>
      </c>
      <c r="E14" s="3450" t="s">
        <v>3422</v>
      </c>
      <c r="F14" s="3450">
        <v>41000.75</v>
      </c>
      <c r="G14" s="3450">
        <v>102502</v>
      </c>
      <c r="H14" s="3450">
        <f t="shared" si="0"/>
        <v>2.5</v>
      </c>
      <c r="I14" s="3450">
        <v>2.5</v>
      </c>
      <c r="J14" s="3450" t="s">
        <v>3423</v>
      </c>
      <c r="K14" s="3450" t="s">
        <v>3475</v>
      </c>
      <c r="L14" s="3450" t="s">
        <v>3425</v>
      </c>
      <c r="M14" s="3450">
        <v>43492.000497685185</v>
      </c>
      <c r="N14" s="3450" t="s">
        <v>3461</v>
      </c>
      <c r="O14" s="3450" t="s">
        <v>3476</v>
      </c>
      <c r="P14" s="3450" t="s">
        <v>3463</v>
      </c>
      <c r="Q14" s="3450">
        <v>158879</v>
      </c>
      <c r="R14" s="3450">
        <v>48000</v>
      </c>
      <c r="S14" s="3450" t="s">
        <v>633</v>
      </c>
      <c r="T14" s="3450" t="s">
        <v>3461</v>
      </c>
      <c r="U14" s="3450" t="s">
        <v>3461</v>
      </c>
      <c r="V14" s="3450">
        <v>0</v>
      </c>
    </row>
    <row r="15" spans="1:22" s="3450" customFormat="1" ht="12.75" hidden="1">
      <c r="A15" s="3450">
        <v>11</v>
      </c>
      <c r="C15" s="3450" t="s">
        <v>3477</v>
      </c>
      <c r="D15" s="3450" t="s">
        <v>3478</v>
      </c>
      <c r="E15" s="3450" t="s">
        <v>3422</v>
      </c>
      <c r="F15" s="3450">
        <v>47891.78</v>
      </c>
      <c r="G15" s="3450">
        <v>108059</v>
      </c>
      <c r="H15" s="3450">
        <f t="shared" si="0"/>
        <v>2.2599999999999998</v>
      </c>
      <c r="I15" s="3450">
        <v>2.2599999999999998</v>
      </c>
      <c r="J15" s="3450" t="s">
        <v>3423</v>
      </c>
      <c r="K15" s="3450" t="s">
        <v>3475</v>
      </c>
      <c r="L15" s="3450" t="s">
        <v>3425</v>
      </c>
      <c r="M15" s="3450">
        <v>43492.000497685185</v>
      </c>
      <c r="N15" s="3450" t="s">
        <v>3461</v>
      </c>
      <c r="O15" s="3450" t="s">
        <v>3476</v>
      </c>
      <c r="P15" s="3450" t="s">
        <v>3463</v>
      </c>
      <c r="Q15" s="3450">
        <v>162089</v>
      </c>
      <c r="R15" s="3450">
        <v>50000</v>
      </c>
      <c r="S15" s="3450" t="s">
        <v>633</v>
      </c>
      <c r="T15" s="3450" t="s">
        <v>3461</v>
      </c>
      <c r="U15" s="3450" t="s">
        <v>3461</v>
      </c>
      <c r="V15" s="3450">
        <v>0</v>
      </c>
    </row>
    <row r="16" spans="1:22" s="3450" customFormat="1" ht="12.75" hidden="1">
      <c r="A16" s="3450">
        <v>12</v>
      </c>
      <c r="C16" s="3450" t="s">
        <v>3479</v>
      </c>
      <c r="D16" s="3450" t="s">
        <v>3480</v>
      </c>
      <c r="E16" s="3450" t="s">
        <v>3422</v>
      </c>
      <c r="F16" s="3450">
        <v>62136.68</v>
      </c>
      <c r="G16" s="3450">
        <v>147241</v>
      </c>
      <c r="H16" s="3450">
        <f t="shared" si="0"/>
        <v>2.37</v>
      </c>
      <c r="I16" s="3450">
        <v>2.37</v>
      </c>
      <c r="J16" s="3450" t="s">
        <v>3423</v>
      </c>
      <c r="K16" s="3450" t="s">
        <v>3475</v>
      </c>
      <c r="L16" s="3450" t="s">
        <v>3425</v>
      </c>
      <c r="M16" s="3450">
        <v>43492.000497685185</v>
      </c>
      <c r="N16" s="3450" t="s">
        <v>3461</v>
      </c>
      <c r="O16" s="3450" t="s">
        <v>3476</v>
      </c>
      <c r="P16" s="3450" t="s">
        <v>3463</v>
      </c>
      <c r="Q16" s="3450">
        <v>220862</v>
      </c>
      <c r="R16" s="3450">
        <v>67000</v>
      </c>
      <c r="S16" s="3450" t="s">
        <v>633</v>
      </c>
      <c r="T16" s="3450" t="s">
        <v>3461</v>
      </c>
      <c r="U16" s="3450" t="s">
        <v>3461</v>
      </c>
      <c r="V16" s="3450">
        <v>0</v>
      </c>
    </row>
    <row r="17" spans="1:20" s="3450" customFormat="1" ht="12.75"/>
    <row r="20" spans="1:20">
      <c r="P20" s="3500" t="s">
        <v>4254</v>
      </c>
    </row>
    <row r="21" spans="1:20">
      <c r="P21" s="3505">
        <f>项目基本情况!B3</f>
        <v>45114</v>
      </c>
      <c r="Q21" s="3505">
        <v>43720</v>
      </c>
      <c r="R21" s="3506">
        <f>(P21-Q21)/365</f>
        <v>3.8191780821917809</v>
      </c>
      <c r="S21" s="3506">
        <f>0.42*365</f>
        <v>153.29999999999998</v>
      </c>
      <c r="T21" s="3504"/>
    </row>
    <row r="22" spans="1:20">
      <c r="P22" s="3506"/>
      <c r="Q22" s="3506"/>
      <c r="R22" s="3506"/>
      <c r="S22" s="3506"/>
    </row>
    <row r="28" spans="1:20" ht="15.75">
      <c r="A28" s="3775" t="s">
        <v>3401</v>
      </c>
      <c r="B28" s="3775" t="s">
        <v>4236</v>
      </c>
      <c r="C28" s="3775" t="s">
        <v>3383</v>
      </c>
      <c r="D28" s="3775" t="s">
        <v>3402</v>
      </c>
      <c r="E28" s="3775" t="s">
        <v>3403</v>
      </c>
      <c r="F28" s="3775" t="s">
        <v>3404</v>
      </c>
      <c r="G28" s="3775" t="s">
        <v>3405</v>
      </c>
      <c r="H28" s="3775" t="s">
        <v>3406</v>
      </c>
      <c r="I28" s="3775" t="s">
        <v>3407</v>
      </c>
      <c r="J28" s="3775" t="s">
        <v>3408</v>
      </c>
      <c r="K28" s="3775" t="s">
        <v>4303</v>
      </c>
      <c r="L28" s="3775" t="s">
        <v>4304</v>
      </c>
      <c r="M28" s="3775" t="s">
        <v>3411</v>
      </c>
      <c r="N28" s="3775" t="s">
        <v>3412</v>
      </c>
      <c r="O28" s="3775" t="s">
        <v>3413</v>
      </c>
      <c r="P28" s="3775" t="s">
        <v>3414</v>
      </c>
      <c r="Q28" s="3775" t="s">
        <v>3415</v>
      </c>
      <c r="R28" s="3775" t="s">
        <v>3416</v>
      </c>
      <c r="S28" s="3775" t="s">
        <v>3417</v>
      </c>
      <c r="T28" s="3775" t="s">
        <v>3418</v>
      </c>
    </row>
    <row r="29" spans="1:20" ht="15.75">
      <c r="A29" s="3775" t="s">
        <v>4305</v>
      </c>
      <c r="B29" s="3775" t="s">
        <v>3378</v>
      </c>
      <c r="C29" s="3775" t="s">
        <v>4306</v>
      </c>
      <c r="D29" s="3775" t="s">
        <v>3422</v>
      </c>
      <c r="E29" s="3775">
        <v>59523.360000000001</v>
      </c>
      <c r="F29" s="3775">
        <v>130951.38</v>
      </c>
      <c r="G29" s="3775">
        <v>2.2000000000000002</v>
      </c>
      <c r="H29" s="3775" t="s">
        <v>3423</v>
      </c>
      <c r="I29" s="3775" t="s">
        <v>4307</v>
      </c>
      <c r="J29" s="3775" t="s">
        <v>3425</v>
      </c>
      <c r="K29" s="3776">
        <v>45039.000497685185</v>
      </c>
      <c r="L29" s="3776">
        <v>45039.000497685185</v>
      </c>
      <c r="M29" s="3775" t="s">
        <v>3426</v>
      </c>
      <c r="N29" s="3775" t="s">
        <v>4308</v>
      </c>
      <c r="O29" s="3775">
        <v>188205.82</v>
      </c>
      <c r="P29" s="3775">
        <v>57000</v>
      </c>
      <c r="Q29" s="3775" t="s">
        <v>633</v>
      </c>
      <c r="R29" s="3775">
        <v>188205.82</v>
      </c>
      <c r="S29" s="3775">
        <v>14372</v>
      </c>
      <c r="T29" s="3775">
        <v>0</v>
      </c>
    </row>
    <row r="30" spans="1:20" ht="15.75">
      <c r="A30" s="3775" t="s">
        <v>4309</v>
      </c>
      <c r="B30" s="3775" t="s">
        <v>3378</v>
      </c>
      <c r="C30" s="3775" t="s">
        <v>4310</v>
      </c>
      <c r="D30" s="3775" t="s">
        <v>3422</v>
      </c>
      <c r="E30" s="3775">
        <v>87287.8</v>
      </c>
      <c r="F30" s="3775">
        <v>192033.17</v>
      </c>
      <c r="G30" s="3775">
        <v>2.2000000000000002</v>
      </c>
      <c r="H30" s="3775" t="s">
        <v>3423</v>
      </c>
      <c r="I30" s="3775" t="s">
        <v>4307</v>
      </c>
      <c r="J30" s="3775" t="s">
        <v>3425</v>
      </c>
      <c r="K30" s="3776">
        <v>45040.000497685185</v>
      </c>
      <c r="L30" s="3776">
        <v>45040.000497685185</v>
      </c>
      <c r="M30" s="3775" t="s">
        <v>3426</v>
      </c>
      <c r="N30" s="3775" t="s">
        <v>4311</v>
      </c>
      <c r="O30" s="3775">
        <v>275143.78999999998</v>
      </c>
      <c r="P30" s="3775">
        <v>83000</v>
      </c>
      <c r="Q30" s="3775" t="s">
        <v>633</v>
      </c>
      <c r="R30" s="3775">
        <v>275143.78999999998</v>
      </c>
      <c r="S30" s="3775">
        <v>14328</v>
      </c>
      <c r="T30" s="3775">
        <v>0</v>
      </c>
    </row>
    <row r="31" spans="1:20" ht="15.75">
      <c r="A31" s="3775" t="s">
        <v>4312</v>
      </c>
      <c r="B31" s="3775" t="s">
        <v>3378</v>
      </c>
      <c r="C31" s="3775" t="s">
        <v>4313</v>
      </c>
      <c r="D31" s="3775" t="s">
        <v>4314</v>
      </c>
      <c r="E31" s="3775">
        <v>82500</v>
      </c>
      <c r="F31" s="3775">
        <v>165000</v>
      </c>
      <c r="G31" s="3775">
        <v>2</v>
      </c>
      <c r="H31" s="3775" t="s">
        <v>3423</v>
      </c>
      <c r="I31" s="3775" t="s">
        <v>4315</v>
      </c>
      <c r="J31" s="3775" t="s">
        <v>3425</v>
      </c>
      <c r="K31" s="3776">
        <v>45012.000497685185</v>
      </c>
      <c r="L31" s="3776">
        <v>45012.000497685185</v>
      </c>
      <c r="M31" s="3775" t="s">
        <v>3426</v>
      </c>
      <c r="N31" s="3775" t="s">
        <v>4316</v>
      </c>
      <c r="O31" s="3775">
        <v>260700</v>
      </c>
      <c r="P31" s="3775">
        <v>78000</v>
      </c>
      <c r="Q31" s="3775" t="s">
        <v>633</v>
      </c>
      <c r="R31" s="3775">
        <v>260700</v>
      </c>
      <c r="S31" s="3775">
        <v>15800</v>
      </c>
      <c r="T31" s="3775">
        <v>0</v>
      </c>
    </row>
    <row r="32" spans="1:20" ht="15.75">
      <c r="A32" s="3775" t="s">
        <v>4032</v>
      </c>
      <c r="B32" s="3775" t="s">
        <v>3378</v>
      </c>
      <c r="C32" s="3775" t="s">
        <v>3421</v>
      </c>
      <c r="D32" s="3775" t="s">
        <v>3422</v>
      </c>
      <c r="E32" s="3775">
        <v>40082.199999999997</v>
      </c>
      <c r="F32" s="3775">
        <v>60123.3</v>
      </c>
      <c r="G32" s="3775">
        <v>1.5</v>
      </c>
      <c r="H32" s="3775" t="s">
        <v>3423</v>
      </c>
      <c r="I32" s="3775" t="s">
        <v>4030</v>
      </c>
      <c r="J32" s="3775" t="s">
        <v>3425</v>
      </c>
      <c r="K32" s="3776">
        <v>44550.000497685185</v>
      </c>
      <c r="L32" s="3776">
        <v>44550.000497685185</v>
      </c>
      <c r="M32" s="3775" t="s">
        <v>3426</v>
      </c>
      <c r="N32" s="3775" t="s">
        <v>3427</v>
      </c>
      <c r="O32" s="3775">
        <v>81924.009999999995</v>
      </c>
      <c r="P32" s="3775">
        <v>16400</v>
      </c>
      <c r="Q32" s="3775" t="s">
        <v>633</v>
      </c>
      <c r="R32" s="3775">
        <v>81924.009999999995</v>
      </c>
      <c r="S32" s="3775">
        <v>13626</v>
      </c>
      <c r="T32" s="3775">
        <v>0</v>
      </c>
    </row>
    <row r="33" spans="1:20" ht="15.75">
      <c r="A33" s="3775" t="s">
        <v>4317</v>
      </c>
      <c r="B33" s="3775" t="s">
        <v>3378</v>
      </c>
      <c r="C33" s="3775" t="s">
        <v>3430</v>
      </c>
      <c r="D33" s="3775" t="s">
        <v>3431</v>
      </c>
      <c r="E33" s="3775">
        <v>47891.57</v>
      </c>
      <c r="F33" s="3775">
        <v>105361.45</v>
      </c>
      <c r="G33" s="3775" t="s">
        <v>3432</v>
      </c>
      <c r="H33" s="3775" t="s">
        <v>3423</v>
      </c>
      <c r="I33" s="3775" t="s">
        <v>3433</v>
      </c>
      <c r="J33" s="3775" t="s">
        <v>3425</v>
      </c>
      <c r="K33" s="3776">
        <v>44406.000497685185</v>
      </c>
      <c r="L33" s="3776">
        <v>44410.000497685185</v>
      </c>
      <c r="M33" s="3775" t="s">
        <v>3426</v>
      </c>
      <c r="N33" s="3775" t="s">
        <v>3434</v>
      </c>
      <c r="O33" s="3775">
        <v>91664.46</v>
      </c>
      <c r="P33" s="3775">
        <v>27500</v>
      </c>
      <c r="Q33" s="3775" t="s">
        <v>3435</v>
      </c>
      <c r="R33" s="3775">
        <v>91664.46</v>
      </c>
      <c r="S33" s="3775">
        <v>8700</v>
      </c>
      <c r="T33" s="3775">
        <v>0</v>
      </c>
    </row>
    <row r="34" spans="1:20" ht="15.75">
      <c r="A34" s="3775" t="s">
        <v>4318</v>
      </c>
      <c r="B34" s="3775" t="s">
        <v>3378</v>
      </c>
      <c r="C34" s="3775" t="s">
        <v>3449</v>
      </c>
      <c r="D34" s="3775" t="s">
        <v>3431</v>
      </c>
      <c r="E34" s="3775">
        <v>72673.490000000005</v>
      </c>
      <c r="F34" s="3775">
        <v>159882</v>
      </c>
      <c r="G34" s="3775" t="s">
        <v>3432</v>
      </c>
      <c r="H34" s="3775" t="s">
        <v>3423</v>
      </c>
      <c r="I34" s="3775" t="s">
        <v>3433</v>
      </c>
      <c r="J34" s="3775" t="s">
        <v>3425</v>
      </c>
      <c r="K34" s="3776">
        <v>44189.000497685185</v>
      </c>
      <c r="L34" s="3776">
        <v>44189.000497685185</v>
      </c>
      <c r="M34" s="3775" t="s">
        <v>3426</v>
      </c>
      <c r="N34" s="3775" t="s">
        <v>3450</v>
      </c>
      <c r="O34" s="3775">
        <v>252613.56</v>
      </c>
      <c r="P34" s="3775">
        <v>80000</v>
      </c>
      <c r="Q34" s="3775" t="s">
        <v>3451</v>
      </c>
      <c r="R34" s="3775">
        <v>252613.56</v>
      </c>
      <c r="S34" s="3775">
        <v>15800</v>
      </c>
      <c r="T34" s="3775">
        <v>0</v>
      </c>
    </row>
    <row r="35" spans="1:20" ht="15.75">
      <c r="A35" s="3775" t="s">
        <v>3880</v>
      </c>
      <c r="B35" s="3775" t="s">
        <v>3378</v>
      </c>
      <c r="C35" s="3775" t="s">
        <v>3454</v>
      </c>
      <c r="D35" s="3775" t="s">
        <v>3439</v>
      </c>
      <c r="E35" s="3775">
        <v>43870.1</v>
      </c>
      <c r="F35" s="3775">
        <v>109675.25</v>
      </c>
      <c r="G35" s="3775" t="s">
        <v>3455</v>
      </c>
      <c r="H35" s="3775" t="s">
        <v>3423</v>
      </c>
      <c r="I35" s="3775" t="s">
        <v>3433</v>
      </c>
      <c r="J35" s="3775" t="s">
        <v>3425</v>
      </c>
      <c r="K35" s="3776">
        <v>44187.000497685185</v>
      </c>
      <c r="L35" s="3776">
        <v>44187.000497685185</v>
      </c>
      <c r="M35" s="3775" t="s">
        <v>3426</v>
      </c>
      <c r="N35" s="3775" t="s">
        <v>3457</v>
      </c>
      <c r="O35" s="3775">
        <v>148061.57999999999</v>
      </c>
      <c r="P35" s="3775">
        <v>45000</v>
      </c>
      <c r="Q35" s="3775" t="s">
        <v>3458</v>
      </c>
      <c r="R35" s="3775">
        <v>148061.57999999999</v>
      </c>
      <c r="S35" s="3775">
        <v>13500</v>
      </c>
      <c r="T35" s="3775">
        <v>0</v>
      </c>
    </row>
    <row r="36" spans="1:20" ht="15.75">
      <c r="A36" s="3775" t="s">
        <v>3477</v>
      </c>
      <c r="B36" s="3775" t="s">
        <v>3378</v>
      </c>
      <c r="C36" s="3775" t="s">
        <v>3466</v>
      </c>
      <c r="D36" s="3775" t="s">
        <v>3439</v>
      </c>
      <c r="E36" s="3775">
        <v>47891.78</v>
      </c>
      <c r="F36" s="3775">
        <v>108059</v>
      </c>
      <c r="G36" s="3775" t="s">
        <v>3440</v>
      </c>
      <c r="H36" s="3775" t="s">
        <v>3423</v>
      </c>
      <c r="I36" s="3775" t="s">
        <v>3639</v>
      </c>
      <c r="J36" s="3775" t="s">
        <v>3425</v>
      </c>
      <c r="K36" s="3776">
        <v>43720.000497685185</v>
      </c>
      <c r="L36" s="3776">
        <v>43720.000497685185</v>
      </c>
      <c r="M36" s="3775" t="s">
        <v>3426</v>
      </c>
      <c r="N36" s="3775" t="s">
        <v>3645</v>
      </c>
      <c r="O36" s="3775">
        <v>151283</v>
      </c>
      <c r="P36" s="3775">
        <v>50000</v>
      </c>
      <c r="Q36" s="3775" t="s">
        <v>633</v>
      </c>
      <c r="R36" s="3775">
        <v>151283</v>
      </c>
      <c r="S36" s="3775">
        <v>14000</v>
      </c>
      <c r="T36" s="3775">
        <v>0</v>
      </c>
    </row>
    <row r="37" spans="1:20" ht="15.75">
      <c r="A37" s="3775" t="s">
        <v>3473</v>
      </c>
      <c r="B37" s="3775" t="s">
        <v>3378</v>
      </c>
      <c r="C37" s="3775" t="s">
        <v>3438</v>
      </c>
      <c r="D37" s="3775" t="s">
        <v>3439</v>
      </c>
      <c r="E37" s="3775">
        <v>41000.75</v>
      </c>
      <c r="F37" s="3775">
        <v>102502</v>
      </c>
      <c r="G37" s="3775" t="s">
        <v>3440</v>
      </c>
      <c r="H37" s="3775" t="s">
        <v>3423</v>
      </c>
      <c r="I37" s="3775" t="s">
        <v>3433</v>
      </c>
      <c r="J37" s="3775" t="s">
        <v>3425</v>
      </c>
      <c r="K37" s="3776">
        <v>44236.000497685185</v>
      </c>
      <c r="L37" s="3776">
        <v>44237.000497685185</v>
      </c>
      <c r="M37" s="3775" t="s">
        <v>3426</v>
      </c>
      <c r="N37" s="3775" t="s">
        <v>3641</v>
      </c>
      <c r="O37" s="3775">
        <v>146578</v>
      </c>
      <c r="P37" s="3775">
        <v>45000</v>
      </c>
      <c r="Q37" s="3775" t="s">
        <v>633</v>
      </c>
      <c r="R37" s="3775">
        <v>146578</v>
      </c>
      <c r="S37" s="3775">
        <v>14300</v>
      </c>
      <c r="T37" s="3775">
        <v>0</v>
      </c>
    </row>
    <row r="38" spans="1:20" ht="15.75">
      <c r="A38" s="3775" t="s">
        <v>3479</v>
      </c>
      <c r="B38" s="3775" t="s">
        <v>3378</v>
      </c>
      <c r="C38" s="3775" t="s">
        <v>3443</v>
      </c>
      <c r="D38" s="3775" t="s">
        <v>3439</v>
      </c>
      <c r="E38" s="3775">
        <v>62136.68</v>
      </c>
      <c r="F38" s="3775">
        <v>147241</v>
      </c>
      <c r="G38" s="3775" t="s">
        <v>3440</v>
      </c>
      <c r="H38" s="3775" t="s">
        <v>3423</v>
      </c>
      <c r="I38" s="3775" t="s">
        <v>3639</v>
      </c>
      <c r="J38" s="3775" t="s">
        <v>3425</v>
      </c>
      <c r="K38" s="3776">
        <v>44190.000497685185</v>
      </c>
      <c r="L38" s="3776">
        <v>44190.000497685185</v>
      </c>
      <c r="M38" s="3775" t="s">
        <v>3426</v>
      </c>
      <c r="N38" s="3775" t="s">
        <v>3635</v>
      </c>
      <c r="O38" s="3775">
        <v>206138</v>
      </c>
      <c r="P38" s="3775">
        <v>62000</v>
      </c>
      <c r="Q38" s="3775" t="s">
        <v>3446</v>
      </c>
      <c r="R38" s="3775">
        <v>206138</v>
      </c>
      <c r="S38" s="3775">
        <v>14000</v>
      </c>
      <c r="T38" s="3775">
        <v>0</v>
      </c>
    </row>
    <row r="39" spans="1:20" ht="15.75">
      <c r="A39" s="3775" t="s">
        <v>4319</v>
      </c>
      <c r="B39" s="3775" t="s">
        <v>3378</v>
      </c>
      <c r="C39" s="3775" t="s">
        <v>3470</v>
      </c>
      <c r="D39" s="3775" t="s">
        <v>3431</v>
      </c>
      <c r="E39" s="3775">
        <v>40285.32</v>
      </c>
      <c r="F39" s="3775">
        <v>80571</v>
      </c>
      <c r="G39" s="3775" t="s">
        <v>3471</v>
      </c>
      <c r="H39" s="3775" t="s">
        <v>3423</v>
      </c>
      <c r="I39" s="3775" t="s">
        <v>3433</v>
      </c>
      <c r="J39" s="3775" t="s">
        <v>3425</v>
      </c>
      <c r="K39" s="3776">
        <v>43532.000497685185</v>
      </c>
      <c r="L39" s="3776">
        <v>43532.000497685185</v>
      </c>
      <c r="M39" s="3775" t="s">
        <v>3426</v>
      </c>
      <c r="N39" s="3775" t="s">
        <v>3472</v>
      </c>
      <c r="O39" s="3775">
        <v>127302.2</v>
      </c>
      <c r="P39" s="3775">
        <v>40000</v>
      </c>
      <c r="Q39" s="3775" t="s">
        <v>633</v>
      </c>
      <c r="R39" s="3775">
        <v>127302.2</v>
      </c>
      <c r="S39" s="3775">
        <v>15800</v>
      </c>
      <c r="T39" s="3775">
        <v>0</v>
      </c>
    </row>
  </sheetData>
  <mergeCells count="240">
    <mergeCell ref="L28"/>
    <mergeCell ref="M28"/>
    <mergeCell ref="N28"/>
    <mergeCell ref="O28"/>
    <mergeCell ref="P28"/>
    <mergeCell ref="Q28"/>
    <mergeCell ref="R28"/>
    <mergeCell ref="A28"/>
    <mergeCell ref="B28"/>
    <mergeCell ref="C28"/>
    <mergeCell ref="D28"/>
    <mergeCell ref="E28"/>
    <mergeCell ref="F28"/>
    <mergeCell ref="G28"/>
    <mergeCell ref="H28"/>
    <mergeCell ref="I28"/>
    <mergeCell ref="S28"/>
    <mergeCell ref="T28"/>
    <mergeCell ref="A29"/>
    <mergeCell ref="B29"/>
    <mergeCell ref="C29"/>
    <mergeCell ref="D29"/>
    <mergeCell ref="E29"/>
    <mergeCell ref="F29"/>
    <mergeCell ref="G29"/>
    <mergeCell ref="H29"/>
    <mergeCell ref="I29"/>
    <mergeCell ref="J29"/>
    <mergeCell ref="K29"/>
    <mergeCell ref="L29"/>
    <mergeCell ref="M29"/>
    <mergeCell ref="N29"/>
    <mergeCell ref="O29"/>
    <mergeCell ref="P29"/>
    <mergeCell ref="Q29"/>
    <mergeCell ref="R29"/>
    <mergeCell ref="S29"/>
    <mergeCell ref="T29"/>
    <mergeCell ref="J28"/>
    <mergeCell ref="K28"/>
    <mergeCell ref="L30"/>
    <mergeCell ref="M30"/>
    <mergeCell ref="N30"/>
    <mergeCell ref="O30"/>
    <mergeCell ref="P30"/>
    <mergeCell ref="Q30"/>
    <mergeCell ref="R30"/>
    <mergeCell ref="A30"/>
    <mergeCell ref="B30"/>
    <mergeCell ref="C30"/>
    <mergeCell ref="D30"/>
    <mergeCell ref="E30"/>
    <mergeCell ref="F30"/>
    <mergeCell ref="G30"/>
    <mergeCell ref="H30"/>
    <mergeCell ref="I30"/>
    <mergeCell ref="S30"/>
    <mergeCell ref="T30"/>
    <mergeCell ref="A31"/>
    <mergeCell ref="B31"/>
    <mergeCell ref="C31"/>
    <mergeCell ref="D31"/>
    <mergeCell ref="E31"/>
    <mergeCell ref="F31"/>
    <mergeCell ref="G31"/>
    <mergeCell ref="H31"/>
    <mergeCell ref="I31"/>
    <mergeCell ref="J31"/>
    <mergeCell ref="K31"/>
    <mergeCell ref="L31"/>
    <mergeCell ref="M31"/>
    <mergeCell ref="N31"/>
    <mergeCell ref="O31"/>
    <mergeCell ref="P31"/>
    <mergeCell ref="Q31"/>
    <mergeCell ref="R31"/>
    <mergeCell ref="S31"/>
    <mergeCell ref="T31"/>
    <mergeCell ref="J30"/>
    <mergeCell ref="K30"/>
    <mergeCell ref="L32"/>
    <mergeCell ref="M32"/>
    <mergeCell ref="N32"/>
    <mergeCell ref="O32"/>
    <mergeCell ref="P32"/>
    <mergeCell ref="Q32"/>
    <mergeCell ref="R32"/>
    <mergeCell ref="A32"/>
    <mergeCell ref="B32"/>
    <mergeCell ref="C32"/>
    <mergeCell ref="D32"/>
    <mergeCell ref="E32"/>
    <mergeCell ref="F32"/>
    <mergeCell ref="G32"/>
    <mergeCell ref="H32"/>
    <mergeCell ref="I32"/>
    <mergeCell ref="S32"/>
    <mergeCell ref="T32"/>
    <mergeCell ref="A33"/>
    <mergeCell ref="B33"/>
    <mergeCell ref="C33"/>
    <mergeCell ref="D33"/>
    <mergeCell ref="E33"/>
    <mergeCell ref="F33"/>
    <mergeCell ref="G33"/>
    <mergeCell ref="H33"/>
    <mergeCell ref="I33"/>
    <mergeCell ref="J33"/>
    <mergeCell ref="K33"/>
    <mergeCell ref="L33"/>
    <mergeCell ref="M33"/>
    <mergeCell ref="N33"/>
    <mergeCell ref="O33"/>
    <mergeCell ref="P33"/>
    <mergeCell ref="Q33"/>
    <mergeCell ref="R33"/>
    <mergeCell ref="S33"/>
    <mergeCell ref="T33"/>
    <mergeCell ref="J32"/>
    <mergeCell ref="K32"/>
    <mergeCell ref="L34"/>
    <mergeCell ref="M34"/>
    <mergeCell ref="N34"/>
    <mergeCell ref="O34"/>
    <mergeCell ref="P34"/>
    <mergeCell ref="Q34"/>
    <mergeCell ref="R34"/>
    <mergeCell ref="A34"/>
    <mergeCell ref="B34"/>
    <mergeCell ref="C34"/>
    <mergeCell ref="D34"/>
    <mergeCell ref="E34"/>
    <mergeCell ref="F34"/>
    <mergeCell ref="G34"/>
    <mergeCell ref="H34"/>
    <mergeCell ref="I34"/>
    <mergeCell ref="S34"/>
    <mergeCell ref="T34"/>
    <mergeCell ref="A35"/>
    <mergeCell ref="B35"/>
    <mergeCell ref="C35"/>
    <mergeCell ref="D35"/>
    <mergeCell ref="E35"/>
    <mergeCell ref="F35"/>
    <mergeCell ref="G35"/>
    <mergeCell ref="H35"/>
    <mergeCell ref="I35"/>
    <mergeCell ref="J35"/>
    <mergeCell ref="K35"/>
    <mergeCell ref="L35"/>
    <mergeCell ref="M35"/>
    <mergeCell ref="N35"/>
    <mergeCell ref="O35"/>
    <mergeCell ref="P35"/>
    <mergeCell ref="Q35"/>
    <mergeCell ref="R35"/>
    <mergeCell ref="S35"/>
    <mergeCell ref="T35"/>
    <mergeCell ref="J34"/>
    <mergeCell ref="K34"/>
    <mergeCell ref="L36"/>
    <mergeCell ref="M36"/>
    <mergeCell ref="N36"/>
    <mergeCell ref="O36"/>
    <mergeCell ref="P36"/>
    <mergeCell ref="Q36"/>
    <mergeCell ref="R36"/>
    <mergeCell ref="A36"/>
    <mergeCell ref="B36"/>
    <mergeCell ref="C36"/>
    <mergeCell ref="D36"/>
    <mergeCell ref="E36"/>
    <mergeCell ref="F36"/>
    <mergeCell ref="G36"/>
    <mergeCell ref="H36"/>
    <mergeCell ref="I36"/>
    <mergeCell ref="S36"/>
    <mergeCell ref="T36"/>
    <mergeCell ref="A37"/>
    <mergeCell ref="B37"/>
    <mergeCell ref="C37"/>
    <mergeCell ref="D37"/>
    <mergeCell ref="E37"/>
    <mergeCell ref="F37"/>
    <mergeCell ref="G37"/>
    <mergeCell ref="H37"/>
    <mergeCell ref="I37"/>
    <mergeCell ref="J37"/>
    <mergeCell ref="K37"/>
    <mergeCell ref="L37"/>
    <mergeCell ref="M37"/>
    <mergeCell ref="N37"/>
    <mergeCell ref="O37"/>
    <mergeCell ref="P37"/>
    <mergeCell ref="Q37"/>
    <mergeCell ref="R37"/>
    <mergeCell ref="S37"/>
    <mergeCell ref="T37"/>
    <mergeCell ref="J36"/>
    <mergeCell ref="K36"/>
    <mergeCell ref="L38"/>
    <mergeCell ref="M38"/>
    <mergeCell ref="N38"/>
    <mergeCell ref="O38"/>
    <mergeCell ref="P38"/>
    <mergeCell ref="Q38"/>
    <mergeCell ref="R38"/>
    <mergeCell ref="A38"/>
    <mergeCell ref="B38"/>
    <mergeCell ref="C38"/>
    <mergeCell ref="D38"/>
    <mergeCell ref="E38"/>
    <mergeCell ref="F38"/>
    <mergeCell ref="G38"/>
    <mergeCell ref="H38"/>
    <mergeCell ref="I38"/>
    <mergeCell ref="S38"/>
    <mergeCell ref="T38"/>
    <mergeCell ref="A39"/>
    <mergeCell ref="B39"/>
    <mergeCell ref="C39"/>
    <mergeCell ref="D39"/>
    <mergeCell ref="E39"/>
    <mergeCell ref="F39"/>
    <mergeCell ref="G39"/>
    <mergeCell ref="H39"/>
    <mergeCell ref="I39"/>
    <mergeCell ref="J39"/>
    <mergeCell ref="K39"/>
    <mergeCell ref="L39"/>
    <mergeCell ref="M39"/>
    <mergeCell ref="N39"/>
    <mergeCell ref="O39"/>
    <mergeCell ref="P39"/>
    <mergeCell ref="Q39"/>
    <mergeCell ref="R39"/>
    <mergeCell ref="S39"/>
    <mergeCell ref="T39"/>
    <mergeCell ref="J38"/>
    <mergeCell ref="K38"/>
  </mergeCells>
  <phoneticPr fontId="134" type="noConversion"/>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zoomScaleSheetLayoutView="70" workbookViewId="0">
      <selection activeCell="J47" sqref="J47:J49"/>
    </sheetView>
  </sheetViews>
  <sheetFormatPr defaultColWidth="9" defaultRowHeight="12.75"/>
  <cols>
    <col min="1" max="1" width="9" style="255" customWidth="1"/>
    <col min="2" max="2" width="20.625" style="652" customWidth="1"/>
    <col min="3" max="3" width="11.875" style="652" customWidth="1"/>
    <col min="4" max="4" width="40.5" style="255" customWidth="1"/>
    <col min="5" max="5" width="15.875" style="255" customWidth="1"/>
    <col min="6" max="6" width="10.625" style="255" customWidth="1"/>
    <col min="7" max="7" width="4.875" style="255" customWidth="1"/>
    <col min="8" max="8" width="8.5" style="255" customWidth="1"/>
    <col min="9" max="9" width="21.125" style="255" customWidth="1"/>
    <col min="10" max="10" width="12.125" style="255" customWidth="1"/>
    <col min="11" max="11" width="40.125" style="1464" customWidth="1"/>
    <col min="12" max="12" width="16.375" style="255" customWidth="1"/>
    <col min="13" max="13" width="13" style="255" customWidth="1"/>
    <col min="14" max="14" width="13.875" style="1380" customWidth="1"/>
    <col min="15" max="15" width="5.125" style="1380" customWidth="1"/>
    <col min="16" max="16" width="25.875" style="1380" customWidth="1"/>
    <col min="17" max="17" width="13.875" style="1380" customWidth="1"/>
    <col min="18" max="18" width="20.5" style="1380" customWidth="1"/>
    <col min="19" max="19" width="13.125" style="1380" customWidth="1"/>
    <col min="20" max="37" width="9" style="1380"/>
    <col min="38" max="16384" width="9" style="255"/>
  </cols>
  <sheetData>
    <row r="1" spans="1:37" s="290" customFormat="1" ht="21">
      <c r="A1" s="1371" t="s">
        <v>877</v>
      </c>
      <c r="B1" s="709"/>
      <c r="C1" s="1375"/>
      <c r="D1" s="1358" t="s">
        <v>43</v>
      </c>
      <c r="E1" s="1359" t="s">
        <v>678</v>
      </c>
      <c r="F1" s="1058">
        <f ca="1">J53</f>
        <v>0</v>
      </c>
      <c r="G1" s="1374">
        <f>MATCH(C1,'数据-取费表'!A6:A16,0)+5</f>
        <v>7</v>
      </c>
      <c r="H1" s="2684"/>
      <c r="I1" s="2685"/>
      <c r="J1" s="2685"/>
      <c r="K1" s="2686"/>
      <c r="L1" s="2685"/>
      <c r="M1" s="2685"/>
      <c r="N1" s="720"/>
      <c r="O1" s="720"/>
      <c r="P1" s="720"/>
      <c r="Q1" s="720"/>
      <c r="R1" s="720"/>
      <c r="S1" s="720"/>
      <c r="T1" s="720"/>
      <c r="U1" s="720"/>
      <c r="V1" s="720"/>
      <c r="W1" s="720"/>
      <c r="X1" s="720"/>
      <c r="Y1" s="720"/>
      <c r="Z1" s="720"/>
      <c r="AA1" s="720"/>
      <c r="AB1" s="720"/>
      <c r="AC1" s="720"/>
      <c r="AD1" s="720"/>
      <c r="AE1" s="720"/>
      <c r="AF1" s="720"/>
      <c r="AG1" s="720"/>
      <c r="AH1" s="720"/>
      <c r="AI1" s="720"/>
      <c r="AJ1" s="720"/>
      <c r="AK1" s="720"/>
    </row>
    <row r="2" spans="1:37" ht="18" customHeight="1">
      <c r="A2" s="1381" t="s">
        <v>878</v>
      </c>
      <c r="B2" s="3417" t="e">
        <f ca="1">ROUND(D2/10000,4)</f>
        <v>#DIV/0!</v>
      </c>
      <c r="C2" s="1383" t="s">
        <v>879</v>
      </c>
      <c r="D2" s="1467" t="e">
        <f ca="1">C40+J29+L46</f>
        <v>#DIV/0!</v>
      </c>
      <c r="E2" s="1384" t="s">
        <v>880</v>
      </c>
      <c r="F2" s="1385"/>
      <c r="G2" s="2698"/>
      <c r="H2" s="2687"/>
      <c r="I2" s="2687"/>
      <c r="J2" s="2687"/>
      <c r="K2" s="2688"/>
      <c r="L2" s="2687"/>
      <c r="M2" s="2687"/>
    </row>
    <row r="3" spans="1:37" ht="18" customHeight="1" thickBot="1">
      <c r="A3" s="1386" t="s">
        <v>881</v>
      </c>
      <c r="B3" s="1387">
        <f ca="1">IF(ISERROR(D2/F43),0,ROUND(D2/F43,0))</f>
        <v>0</v>
      </c>
      <c r="C3" s="1383" t="s">
        <v>882</v>
      </c>
      <c r="D3" s="1383"/>
      <c r="E3" s="1384"/>
      <c r="F3" s="1385"/>
      <c r="G3" s="2698"/>
      <c r="H3" s="679" t="s">
        <v>876</v>
      </c>
      <c r="I3" s="1378"/>
      <c r="J3" s="1378"/>
      <c r="K3" s="1379"/>
      <c r="L3" s="1378"/>
      <c r="M3" s="1378"/>
    </row>
    <row r="4" spans="1:37" ht="18" customHeight="1">
      <c r="A4" s="292" t="s">
        <v>883</v>
      </c>
      <c r="B4" s="293" t="s">
        <v>884</v>
      </c>
      <c r="C4" s="293" t="s">
        <v>885</v>
      </c>
      <c r="D4" s="293" t="s">
        <v>886</v>
      </c>
      <c r="E4" s="294" t="s">
        <v>887</v>
      </c>
      <c r="F4" s="295"/>
      <c r="G4" s="1380"/>
      <c r="H4" s="292" t="s">
        <v>883</v>
      </c>
      <c r="I4" s="293" t="s">
        <v>884</v>
      </c>
      <c r="J4" s="293" t="s">
        <v>885</v>
      </c>
      <c r="K4" s="293" t="s">
        <v>886</v>
      </c>
      <c r="L4" s="294" t="s">
        <v>887</v>
      </c>
      <c r="M4" s="295"/>
    </row>
    <row r="5" spans="1:37" ht="18" customHeight="1">
      <c r="A5" s="296">
        <v>1</v>
      </c>
      <c r="B5" s="297" t="s">
        <v>888</v>
      </c>
      <c r="C5" s="1066">
        <f ca="1">C6+C10+C12</f>
        <v>0</v>
      </c>
      <c r="D5" s="1360" t="s">
        <v>889</v>
      </c>
      <c r="E5" s="1067"/>
      <c r="F5" s="1068"/>
      <c r="G5" s="1380"/>
      <c r="H5" s="296">
        <v>1</v>
      </c>
      <c r="I5" s="297" t="s">
        <v>888</v>
      </c>
      <c r="J5" s="1066">
        <f ca="1">J6+J10+J12</f>
        <v>0</v>
      </c>
      <c r="K5" s="1360" t="s">
        <v>889</v>
      </c>
      <c r="L5" s="1067"/>
      <c r="M5" s="1068"/>
    </row>
    <row r="6" spans="1:37" ht="18" customHeight="1">
      <c r="A6" s="1065" t="s">
        <v>398</v>
      </c>
      <c r="B6" s="3714" t="s">
        <v>694</v>
      </c>
      <c r="C6" s="1070">
        <f ca="1">ROUND(F6*F8*F7*(1-F9),0)</f>
        <v>0</v>
      </c>
      <c r="D6" s="152" t="s">
        <v>2106</v>
      </c>
      <c r="E6" s="299" t="s">
        <v>696</v>
      </c>
      <c r="F6" s="300">
        <f ca="1">INDIRECT("'数据-取费表'!u"&amp;$G$1)</f>
        <v>0</v>
      </c>
      <c r="G6" s="1380"/>
      <c r="H6" s="1065" t="s">
        <v>398</v>
      </c>
      <c r="I6" s="3714" t="s">
        <v>694</v>
      </c>
      <c r="J6" s="298">
        <f ca="1">ROUND(M6*M8*M7*(1-M9),0)</f>
        <v>0</v>
      </c>
      <c r="K6" s="1372" t="s">
        <v>2107</v>
      </c>
      <c r="L6" s="299" t="s">
        <v>696</v>
      </c>
      <c r="M6" s="300">
        <f ca="1">INDIRECT("'数据-取费表'!z"&amp;$G$1)</f>
        <v>0</v>
      </c>
    </row>
    <row r="7" spans="1:37" ht="18" customHeight="1">
      <c r="A7" s="1069"/>
      <c r="B7" s="3715"/>
      <c r="C7" s="1071"/>
      <c r="D7" s="304"/>
      <c r="E7" s="1072" t="s">
        <v>697</v>
      </c>
      <c r="F7" s="300">
        <f ca="1">IF(INDIRECT("'数据-取费表'!ah"&amp;$G$1)="",INDIRECT("'数据-取费表'!k"&amp;$G$1),INDIRECT("'数据-取费表'!ah"&amp;$G$1))</f>
        <v>0</v>
      </c>
      <c r="G7" s="1380"/>
      <c r="H7" s="301"/>
      <c r="I7" s="3715"/>
      <c r="J7" s="303"/>
      <c r="K7" s="304"/>
      <c r="L7" s="299" t="s">
        <v>697</v>
      </c>
      <c r="M7" s="300">
        <f ca="1">F7</f>
        <v>0</v>
      </c>
    </row>
    <row r="8" spans="1:37" ht="18" customHeight="1">
      <c r="A8" s="301"/>
      <c r="B8" s="3715"/>
      <c r="C8" s="303"/>
      <c r="D8" s="304"/>
      <c r="E8" s="299" t="s">
        <v>698</v>
      </c>
      <c r="F8" s="300">
        <f ca="1">INDIRECT("'数据-取费表'!ai"&amp;$G$1)</f>
        <v>0</v>
      </c>
      <c r="G8" s="1380"/>
      <c r="H8" s="301"/>
      <c r="I8" s="3715"/>
      <c r="J8" s="303"/>
      <c r="K8" s="304"/>
      <c r="L8" s="299" t="s">
        <v>698</v>
      </c>
      <c r="M8" s="300">
        <f ca="1">INDIRECT("'数据-取费表'!ai"&amp;$G$1)</f>
        <v>0</v>
      </c>
    </row>
    <row r="9" spans="1:37" ht="18" customHeight="1">
      <c r="A9" s="301"/>
      <c r="B9" s="3716"/>
      <c r="C9" s="303"/>
      <c r="D9" s="304"/>
      <c r="E9" s="299" t="s">
        <v>699</v>
      </c>
      <c r="F9" s="309">
        <f ca="1">INDIRECT("'数据-取费表'!w"&amp;$G$1)</f>
        <v>0</v>
      </c>
      <c r="G9" s="1380"/>
      <c r="H9" s="301"/>
      <c r="I9" s="3716"/>
      <c r="J9" s="303"/>
      <c r="K9" s="304"/>
      <c r="L9" s="310" t="s">
        <v>699</v>
      </c>
      <c r="M9" s="311">
        <f ca="1">INDIRECT("'数据-取费表'!ab"&amp;$G$1)</f>
        <v>0</v>
      </c>
    </row>
    <row r="10" spans="1:37" ht="18" customHeight="1">
      <c r="A10" s="1065" t="s">
        <v>402</v>
      </c>
      <c r="B10" s="1361" t="s">
        <v>700</v>
      </c>
      <c r="C10" s="313">
        <f ca="1">ROUND(IF(F10="押一",C6/12*F11,IF(F10="押二",C6/12*2*F11,IF(F10="押三",C6/12*3*F11,C11*F11))),0)</f>
        <v>0</v>
      </c>
      <c r="D10" s="1362" t="s">
        <v>2116</v>
      </c>
      <c r="E10" s="310" t="s">
        <v>701</v>
      </c>
      <c r="F10" s="1112"/>
      <c r="G10" s="1380"/>
      <c r="H10" s="1065" t="s">
        <v>402</v>
      </c>
      <c r="I10" s="1361" t="s">
        <v>700</v>
      </c>
      <c r="J10" s="298">
        <f ca="1">ROUND(IF(M10="押一",J6/12*M11,IF(M10="押二",J6/12*2*M11,IF(M10="押三",J6/12*3*M11,J11*M11))),0)</f>
        <v>0</v>
      </c>
      <c r="K10" s="1373" t="s">
        <v>2118</v>
      </c>
      <c r="L10" s="310" t="s">
        <v>701</v>
      </c>
      <c r="M10" s="1112"/>
    </row>
    <row r="11" spans="1:37" ht="18" customHeight="1">
      <c r="A11" s="305"/>
      <c r="B11" s="1363" t="s">
        <v>890</v>
      </c>
      <c r="C11" s="955"/>
      <c r="D11" s="304"/>
      <c r="E11" s="310" t="s">
        <v>702</v>
      </c>
      <c r="F11" s="311">
        <f ca="1">'数据-取费表'!B39</f>
        <v>1.4999999999999999E-2</v>
      </c>
      <c r="G11" s="1380"/>
      <c r="H11" s="1073"/>
      <c r="I11" s="1363" t="s">
        <v>891</v>
      </c>
      <c r="J11" s="955"/>
      <c r="K11" s="680"/>
      <c r="L11" s="310" t="s">
        <v>702</v>
      </c>
      <c r="M11" s="858">
        <f ca="1">'数据-取费表'!B39</f>
        <v>1.4999999999999999E-2</v>
      </c>
    </row>
    <row r="12" spans="1:37" ht="18" customHeight="1" thickBot="1">
      <c r="A12" s="1079" t="s">
        <v>437</v>
      </c>
      <c r="B12" s="1365" t="s">
        <v>703</v>
      </c>
      <c r="C12" s="1080"/>
      <c r="D12" s="1081"/>
      <c r="E12" s="1086"/>
      <c r="F12" s="1082"/>
      <c r="G12" s="1380"/>
      <c r="H12" s="1079" t="s">
        <v>437</v>
      </c>
      <c r="I12" s="1365" t="s">
        <v>703</v>
      </c>
      <c r="J12" s="1080"/>
      <c r="K12" s="1094"/>
      <c r="L12" s="1086"/>
      <c r="M12" s="1095"/>
    </row>
    <row r="13" spans="1:37" ht="18" customHeight="1" thickTop="1">
      <c r="A13" s="1075">
        <v>2</v>
      </c>
      <c r="B13" s="1076" t="s">
        <v>704</v>
      </c>
      <c r="C13" s="307">
        <f ca="1">ROUND(C29*F13,0)</f>
        <v>0</v>
      </c>
      <c r="D13" s="1077" t="s">
        <v>705</v>
      </c>
      <c r="E13" s="1077" t="s">
        <v>706</v>
      </c>
      <c r="F13" s="1078">
        <f ca="1">INDIRECT("'数据-取费表'!y"&amp;$G$1)</f>
        <v>0</v>
      </c>
      <c r="G13" s="1380"/>
      <c r="H13" s="1075">
        <v>2</v>
      </c>
      <c r="I13" s="1076" t="s">
        <v>704</v>
      </c>
      <c r="J13" s="1064">
        <f ca="1">ROUND(J14*J15,0)</f>
        <v>0</v>
      </c>
      <c r="K13" s="1083" t="s">
        <v>705</v>
      </c>
      <c r="L13" s="1388"/>
      <c r="M13" s="1389"/>
    </row>
    <row r="14" spans="1:37" ht="18" customHeight="1">
      <c r="A14" s="978" t="s">
        <v>397</v>
      </c>
      <c r="B14" s="299" t="s">
        <v>707</v>
      </c>
      <c r="C14" s="315">
        <f ca="1">ROUND(INDIRECT("'数据-取费表'!l"&amp;$G$1)*F43+'数据-取费表'!L14*INDIRECT("'数据-取费表'!S"&amp;$G$1),0)</f>
        <v>0</v>
      </c>
      <c r="D14" s="1341" t="s">
        <v>708</v>
      </c>
      <c r="E14" s="1338"/>
      <c r="F14" s="316"/>
      <c r="G14" s="1380"/>
      <c r="H14" s="978" t="s">
        <v>398</v>
      </c>
      <c r="I14" s="299" t="s">
        <v>709</v>
      </c>
      <c r="J14" s="21">
        <f ca="1">C29</f>
        <v>0</v>
      </c>
      <c r="K14" s="12"/>
      <c r="L14" s="803"/>
      <c r="M14" s="804"/>
    </row>
    <row r="15" spans="1:37" s="1393" customFormat="1" ht="18" customHeight="1" thickBot="1">
      <c r="A15" s="978" t="s">
        <v>399</v>
      </c>
      <c r="B15" s="299" t="s">
        <v>710</v>
      </c>
      <c r="C15" s="21">
        <f ca="1">ROUND(C14*F15,0)</f>
        <v>0</v>
      </c>
      <c r="D15" s="317" t="s">
        <v>711</v>
      </c>
      <c r="E15" s="317" t="s">
        <v>712</v>
      </c>
      <c r="F15" s="318">
        <f>'数据-取费表'!B33</f>
        <v>0.06</v>
      </c>
      <c r="G15" s="1392"/>
      <c r="H15" s="1085" t="s">
        <v>402</v>
      </c>
      <c r="I15" s="1086" t="s">
        <v>706</v>
      </c>
      <c r="J15" s="1095">
        <f ca="1">INDIRECT("'数据-取费表'!ad"&amp;$G$1)</f>
        <v>0</v>
      </c>
      <c r="K15" s="1096"/>
      <c r="L15" s="1390"/>
      <c r="M15" s="1391"/>
      <c r="N15" s="1392"/>
      <c r="O15" s="1392"/>
      <c r="P15" s="1392"/>
      <c r="Q15" s="1392"/>
      <c r="R15" s="1392"/>
      <c r="S15" s="1392"/>
      <c r="T15" s="1392"/>
      <c r="U15" s="1392"/>
      <c r="V15" s="1392"/>
      <c r="W15" s="1392"/>
      <c r="X15" s="1392"/>
      <c r="Y15" s="1392"/>
      <c r="Z15" s="1392"/>
      <c r="AA15" s="1392"/>
      <c r="AB15" s="1392"/>
      <c r="AC15" s="1392"/>
      <c r="AD15" s="1392"/>
      <c r="AE15" s="1392"/>
      <c r="AF15" s="1392"/>
      <c r="AG15" s="1392"/>
      <c r="AH15" s="1392"/>
      <c r="AI15" s="1392"/>
      <c r="AJ15" s="1392"/>
      <c r="AK15" s="1392"/>
    </row>
    <row r="16" spans="1:37" ht="18" customHeight="1" thickTop="1">
      <c r="A16" s="978" t="s">
        <v>680</v>
      </c>
      <c r="B16" s="299" t="s">
        <v>713</v>
      </c>
      <c r="C16" s="21">
        <f ca="1">ROUND(INDIRECT("'数据-取费表'!l"&amp;$G$1)*F43*F16,0)</f>
        <v>0</v>
      </c>
      <c r="D16" s="299" t="s">
        <v>711</v>
      </c>
      <c r="E16" s="299" t="s">
        <v>712</v>
      </c>
      <c r="F16" s="319">
        <f ca="1">IF(INDIRECT("'数据-取费表'!c"&amp;$G$1)="住宅",'数据-取费表'!B34,0)</f>
        <v>0</v>
      </c>
      <c r="G16" s="1380"/>
      <c r="H16" s="1075" t="s">
        <v>393</v>
      </c>
      <c r="I16" s="1076" t="s">
        <v>714</v>
      </c>
      <c r="J16" s="307">
        <f ca="1">ROUND(J17+J22+J23+J24,0)</f>
        <v>0</v>
      </c>
      <c r="K16" s="1083" t="s">
        <v>715</v>
      </c>
      <c r="L16" s="1084"/>
      <c r="M16" s="1068"/>
    </row>
    <row r="17" spans="1:37" s="1393" customFormat="1" ht="18" customHeight="1">
      <c r="A17" s="978" t="s">
        <v>681</v>
      </c>
      <c r="B17" s="299" t="s">
        <v>716</v>
      </c>
      <c r="C17" s="21">
        <f ca="1">ROUND(F17*(F43+INDIRECT("'数据-取费表'!S"&amp;$G$1)),0)</f>
        <v>0</v>
      </c>
      <c r="D17" s="299" t="s">
        <v>717</v>
      </c>
      <c r="E17" s="299" t="s">
        <v>718</v>
      </c>
      <c r="F17" s="23">
        <f>'数据-取费表'!B35</f>
        <v>456</v>
      </c>
      <c r="G17" s="1392"/>
      <c r="H17" s="978" t="s">
        <v>398</v>
      </c>
      <c r="I17" s="299" t="s">
        <v>719</v>
      </c>
      <c r="J17" s="2309">
        <f ca="1">ROUND(IF(AND(项目基本情况!B11="自然人",项目基本情况!B10="北京市"),J6*M17/(1+'数据-取费表'!C42),J18+J19+J20),0)</f>
        <v>0</v>
      </c>
      <c r="K17" s="1341" t="s">
        <v>720</v>
      </c>
      <c r="L17" s="1340" t="s">
        <v>721</v>
      </c>
      <c r="M17" s="2308" t="str">
        <f>IF(项目基本情况!B11="企业","",IF('数据-取费表'!B10="住宅",IF(M6*M7*M8/12/(1+'数据-取费表'!F30)&gt;100000,4%,2.5%),IF(M6*M7*M8/12/(1+'数据-取费表'!F30)&gt;100000,12%,7%)))</f>
        <v/>
      </c>
      <c r="N17" s="1392"/>
      <c r="O17" s="1392"/>
      <c r="P17" s="1392"/>
      <c r="Q17" s="1392"/>
      <c r="R17" s="1392"/>
      <c r="S17" s="1392"/>
      <c r="T17" s="1392"/>
      <c r="U17" s="1392"/>
      <c r="V17" s="1392"/>
      <c r="W17" s="1392"/>
      <c r="X17" s="1392"/>
      <c r="Y17" s="1392"/>
      <c r="Z17" s="1392"/>
      <c r="AA17" s="1392"/>
      <c r="AB17" s="1392"/>
      <c r="AC17" s="1392"/>
      <c r="AD17" s="1392"/>
      <c r="AE17" s="1392"/>
      <c r="AF17" s="1392"/>
      <c r="AG17" s="1392"/>
      <c r="AH17" s="1392"/>
      <c r="AI17" s="1392"/>
      <c r="AJ17" s="1392"/>
      <c r="AK17" s="1392"/>
    </row>
    <row r="18" spans="1:37" s="1393" customFormat="1" ht="18" customHeight="1">
      <c r="A18" s="978" t="s">
        <v>682</v>
      </c>
      <c r="B18" s="299" t="s">
        <v>722</v>
      </c>
      <c r="C18" s="21">
        <f ca="1">ROUND(C14*F18,0)</f>
        <v>0</v>
      </c>
      <c r="D18" s="299" t="s">
        <v>711</v>
      </c>
      <c r="E18" s="299" t="s">
        <v>712</v>
      </c>
      <c r="F18" s="319">
        <f>'数据-取费表'!B36</f>
        <v>0.03</v>
      </c>
      <c r="G18" s="1392"/>
      <c r="H18" s="978" t="s">
        <v>397</v>
      </c>
      <c r="I18" s="299" t="s">
        <v>723</v>
      </c>
      <c r="J18" s="21">
        <f ca="1">ROUND(J6*M18/(1+'数据-取费表'!C42),0)</f>
        <v>0</v>
      </c>
      <c r="K18" s="1340" t="s">
        <v>724</v>
      </c>
      <c r="L18" s="299" t="s">
        <v>712</v>
      </c>
      <c r="M18" s="319">
        <f>'数据-取费表'!B41</f>
        <v>5.5000000000000007E-2</v>
      </c>
      <c r="N18" s="1392"/>
      <c r="O18" s="1392"/>
      <c r="P18" s="1392"/>
      <c r="Q18" s="1392"/>
      <c r="R18" s="1392"/>
      <c r="S18" s="1392"/>
      <c r="T18" s="1392"/>
      <c r="U18" s="1392"/>
      <c r="V18" s="1392"/>
      <c r="W18" s="1392"/>
      <c r="X18" s="1392"/>
      <c r="Y18" s="1392"/>
      <c r="Z18" s="1392"/>
      <c r="AA18" s="1392"/>
      <c r="AB18" s="1392"/>
      <c r="AC18" s="1392"/>
      <c r="AD18" s="1392"/>
      <c r="AE18" s="1392"/>
      <c r="AF18" s="1392"/>
      <c r="AG18" s="1392"/>
      <c r="AH18" s="1392"/>
      <c r="AI18" s="1392"/>
      <c r="AJ18" s="1392"/>
      <c r="AK18" s="1392"/>
    </row>
    <row r="19" spans="1:37" ht="18" customHeight="1">
      <c r="A19" s="978" t="s">
        <v>398</v>
      </c>
      <c r="B19" s="299" t="s">
        <v>725</v>
      </c>
      <c r="C19" s="21">
        <f ca="1">SUM(C14:C18)</f>
        <v>0</v>
      </c>
      <c r="D19" s="129" t="s">
        <v>726</v>
      </c>
      <c r="E19" s="1356"/>
      <c r="F19" s="23"/>
      <c r="G19" s="1380"/>
      <c r="H19" s="978" t="s">
        <v>399</v>
      </c>
      <c r="I19" s="299" t="s">
        <v>727</v>
      </c>
      <c r="J19" s="21">
        <f ca="1">IF(K19="按租金收入计税",ROUND(J6*M19/(1+'数据-取费表'!C42),0),ROUND(C29*M19*0.7,0))</f>
        <v>0</v>
      </c>
      <c r="K19" s="1366" t="s">
        <v>3340</v>
      </c>
      <c r="L19" s="299" t="s">
        <v>712</v>
      </c>
      <c r="M19" s="319">
        <f>IF(K19="按租金收入计税",'数据-取费表'!B51,'数据-取费表'!B50)</f>
        <v>0.12</v>
      </c>
    </row>
    <row r="20" spans="1:37" s="1393" customFormat="1" ht="18" customHeight="1">
      <c r="A20" s="978" t="s">
        <v>402</v>
      </c>
      <c r="B20" s="299" t="s">
        <v>728</v>
      </c>
      <c r="C20" s="21">
        <f ca="1">ROUND(C19*F20,0)</f>
        <v>0</v>
      </c>
      <c r="D20" s="320" t="s">
        <v>729</v>
      </c>
      <c r="E20" s="299" t="s">
        <v>712</v>
      </c>
      <c r="F20" s="319">
        <f>'数据-取费表'!B37</f>
        <v>0.03</v>
      </c>
      <c r="G20" s="1392"/>
      <c r="H20" s="978" t="s">
        <v>680</v>
      </c>
      <c r="I20" s="152" t="s">
        <v>730</v>
      </c>
      <c r="J20" s="22">
        <f ca="1">ROUND(M20*M21,0)</f>
        <v>0</v>
      </c>
      <c r="K20" s="321" t="s">
        <v>731</v>
      </c>
      <c r="L20" s="299" t="s">
        <v>732</v>
      </c>
      <c r="M20" s="322">
        <f>'数据-取费表'!B52</f>
        <v>1.5</v>
      </c>
      <c r="N20" s="1392"/>
      <c r="O20" s="1392"/>
      <c r="P20" s="1392"/>
      <c r="Q20" s="1392"/>
      <c r="R20" s="1392"/>
      <c r="S20" s="1392"/>
      <c r="T20" s="1392"/>
      <c r="U20" s="1392"/>
      <c r="V20" s="1392"/>
      <c r="W20" s="1392"/>
      <c r="X20" s="1392"/>
      <c r="Y20" s="1392"/>
      <c r="Z20" s="1392"/>
      <c r="AA20" s="1392"/>
      <c r="AB20" s="1392"/>
      <c r="AC20" s="1392"/>
      <c r="AD20" s="1392"/>
      <c r="AE20" s="1392"/>
      <c r="AF20" s="1392"/>
      <c r="AG20" s="1392"/>
      <c r="AH20" s="1392"/>
      <c r="AI20" s="1392"/>
      <c r="AJ20" s="1392"/>
      <c r="AK20" s="1392"/>
    </row>
    <row r="21" spans="1:37" s="1393" customFormat="1" ht="18" customHeight="1">
      <c r="A21" s="978" t="s">
        <v>437</v>
      </c>
      <c r="B21" s="299" t="s">
        <v>733</v>
      </c>
      <c r="C21" s="21" t="s">
        <v>0</v>
      </c>
      <c r="D21" s="320" t="s">
        <v>734</v>
      </c>
      <c r="E21" s="299" t="s">
        <v>735</v>
      </c>
      <c r="F21" s="319">
        <f>'数据-取费表'!B38</f>
        <v>0.02</v>
      </c>
      <c r="G21" s="1392"/>
      <c r="H21" s="323"/>
      <c r="I21" s="308"/>
      <c r="J21" s="26"/>
      <c r="K21" s="324"/>
      <c r="L21" s="299" t="s">
        <v>736</v>
      </c>
      <c r="M21" s="300">
        <f ca="1">INDIRECT("'数据-取费表'!r"&amp;$G$1)</f>
        <v>0</v>
      </c>
      <c r="N21" s="1392"/>
      <c r="O21" s="1392"/>
      <c r="P21" s="1392"/>
      <c r="Q21" s="1392"/>
      <c r="R21" s="1392"/>
      <c r="S21" s="1392"/>
      <c r="T21" s="1392"/>
      <c r="U21" s="1392"/>
      <c r="V21" s="1392"/>
      <c r="W21" s="1392"/>
      <c r="X21" s="1392"/>
      <c r="Y21" s="1392"/>
      <c r="Z21" s="1392"/>
      <c r="AA21" s="1392"/>
      <c r="AB21" s="1392"/>
      <c r="AC21" s="1392"/>
      <c r="AD21" s="1392"/>
      <c r="AE21" s="1392"/>
      <c r="AF21" s="1392"/>
      <c r="AG21" s="1392"/>
      <c r="AH21" s="1392"/>
      <c r="AI21" s="1392"/>
      <c r="AJ21" s="1392"/>
      <c r="AK21" s="1392"/>
    </row>
    <row r="22" spans="1:37" ht="18" customHeight="1">
      <c r="A22" s="978" t="s">
        <v>683</v>
      </c>
      <c r="B22" s="299" t="s">
        <v>737</v>
      </c>
      <c r="C22" s="21"/>
      <c r="D22" s="129" t="str">
        <f>IF(F23&lt;=1,"单利计息。","复利计息。")&amp;"建造成本、管理费用、销售费用产生的利息。"</f>
        <v>复利计息。建造成本、管理费用、销售费用产生的利息。</v>
      </c>
      <c r="E22" s="1356"/>
      <c r="F22" s="23"/>
      <c r="G22" s="1380"/>
      <c r="H22" s="978" t="s">
        <v>402</v>
      </c>
      <c r="I22" s="299" t="s">
        <v>738</v>
      </c>
      <c r="J22" s="21">
        <f ca="1">ROUND(J14*M22,0)</f>
        <v>0</v>
      </c>
      <c r="K22" s="1340" t="s">
        <v>739</v>
      </c>
      <c r="L22" s="299" t="s">
        <v>712</v>
      </c>
      <c r="M22" s="325">
        <f ca="1">INDIRECT("'数据-取费表'!Ak"&amp;$G$1)</f>
        <v>0</v>
      </c>
    </row>
    <row r="23" spans="1:37" s="1393" customFormat="1" ht="18" customHeight="1">
      <c r="A23" s="978" t="s">
        <v>397</v>
      </c>
      <c r="B23" s="299" t="s">
        <v>740</v>
      </c>
      <c r="C23" s="21">
        <f ca="1">IF('数据-取费表'!B22&lt;=1,ROUND(C19*F24*F23/2,0)+ROUND(C20*F24*F23/2,0),ROUND(C19*(POWER((1+F24),F23/2)-1),0)+ROUND(C20*(POWER((1+F24),F23/2)-1),0))</f>
        <v>0</v>
      </c>
      <c r="D23" s="326" t="str">
        <f>IF(F23&lt;=1,"(建造成本+管理费用)×利率×(建设周期÷2)","(建造成本+管理费用)×((1+利率)^(建设周期÷2)-1)")</f>
        <v>(建造成本+管理费用)×((1+利率)^(建设周期÷2)-1)</v>
      </c>
      <c r="E23" s="299" t="s">
        <v>741</v>
      </c>
      <c r="F23" s="322">
        <f>'数据-取费表'!B20</f>
        <v>3</v>
      </c>
      <c r="G23" s="1392"/>
      <c r="H23" s="978" t="s">
        <v>437</v>
      </c>
      <c r="I23" s="299" t="s">
        <v>742</v>
      </c>
      <c r="J23" s="21">
        <f ca="1">ROUND(J13*M23,0)</f>
        <v>0</v>
      </c>
      <c r="K23" s="1340" t="s">
        <v>743</v>
      </c>
      <c r="L23" s="299" t="s">
        <v>744</v>
      </c>
      <c r="M23" s="327">
        <f ca="1">INDIRECT("'数据-取费表'!Al"&amp;$G$1)</f>
        <v>0</v>
      </c>
      <c r="N23" s="1392"/>
      <c r="O23" s="1392"/>
      <c r="P23" s="1392"/>
      <c r="Q23" s="1392"/>
      <c r="R23" s="1392"/>
      <c r="S23" s="1392"/>
      <c r="T23" s="1392"/>
      <c r="U23" s="1392"/>
      <c r="V23" s="1392"/>
      <c r="W23" s="1392"/>
      <c r="X23" s="1392"/>
      <c r="Y23" s="1392"/>
      <c r="Z23" s="1392"/>
      <c r="AA23" s="1392"/>
      <c r="AB23" s="1392"/>
      <c r="AC23" s="1392"/>
      <c r="AD23" s="1392"/>
      <c r="AE23" s="1392"/>
      <c r="AF23" s="1392"/>
      <c r="AG23" s="1392"/>
      <c r="AH23" s="1392"/>
      <c r="AI23" s="1392"/>
      <c r="AJ23" s="1392"/>
      <c r="AK23" s="1392"/>
    </row>
    <row r="24" spans="1:37" s="1393" customFormat="1" ht="18" customHeight="1" thickBot="1">
      <c r="A24" s="978" t="s">
        <v>745</v>
      </c>
      <c r="B24" s="299" t="s">
        <v>746</v>
      </c>
      <c r="C24" s="21">
        <f ca="1">ROUND(IF('数据-取费表'!B22&lt;=1,F21*F24*F23/2,F21*(POWER((1+F24),F23/2)-1)),4)</f>
        <v>1.4E-3</v>
      </c>
      <c r="D24" s="326" t="str">
        <f>IF(F23&lt;=1,"销售费用×利率×(建设周期÷2)","销售费用×((1+利率)^(建设周期÷2)-1)")</f>
        <v>销售费用×((1+利率)^(建设周期÷2)-1)</v>
      </c>
      <c r="E24" s="299" t="s">
        <v>747</v>
      </c>
      <c r="F24" s="328">
        <f ca="1">'数据-取费表'!B40</f>
        <v>4.7500000000000001E-2</v>
      </c>
      <c r="G24" s="1392"/>
      <c r="H24" s="1085" t="s">
        <v>684</v>
      </c>
      <c r="I24" s="1086" t="s">
        <v>728</v>
      </c>
      <c r="J24" s="1087">
        <f ca="1">ROUND(J5*M24,0)</f>
        <v>0</v>
      </c>
      <c r="K24" s="1088" t="s">
        <v>748</v>
      </c>
      <c r="L24" s="1086" t="s">
        <v>744</v>
      </c>
      <c r="M24" s="1082">
        <f ca="1">INDIRECT("'数据-取费表'!Am"&amp;$G$1)</f>
        <v>0</v>
      </c>
      <c r="N24" s="1392"/>
      <c r="O24" s="1392"/>
      <c r="P24" s="1392"/>
      <c r="Q24" s="1392"/>
      <c r="R24" s="1392"/>
      <c r="S24" s="1392"/>
      <c r="T24" s="1392"/>
      <c r="U24" s="1392"/>
      <c r="V24" s="1392"/>
      <c r="W24" s="1392"/>
      <c r="X24" s="1392"/>
      <c r="Y24" s="1392"/>
      <c r="Z24" s="1392"/>
      <c r="AA24" s="1392"/>
      <c r="AB24" s="1392"/>
      <c r="AC24" s="1392"/>
      <c r="AD24" s="1392"/>
      <c r="AE24" s="1392"/>
      <c r="AF24" s="1392"/>
      <c r="AG24" s="1392"/>
      <c r="AH24" s="1392"/>
      <c r="AI24" s="1392"/>
      <c r="AJ24" s="1392"/>
      <c r="AK24" s="1392"/>
    </row>
    <row r="25" spans="1:37" ht="18" customHeight="1" thickTop="1">
      <c r="A25" s="978" t="s">
        <v>749</v>
      </c>
      <c r="B25" s="299" t="s">
        <v>750</v>
      </c>
      <c r="C25" s="21"/>
      <c r="D25" s="129" t="s">
        <v>751</v>
      </c>
      <c r="E25" s="1356"/>
      <c r="F25" s="23"/>
      <c r="G25" s="1380"/>
      <c r="H25" s="1075" t="s">
        <v>394</v>
      </c>
      <c r="I25" s="1090" t="s">
        <v>752</v>
      </c>
      <c r="J25" s="307">
        <f ca="1">J5-J16</f>
        <v>0</v>
      </c>
      <c r="K25" s="1091" t="s">
        <v>753</v>
      </c>
      <c r="L25" s="1092"/>
      <c r="M25" s="1093"/>
    </row>
    <row r="26" spans="1:37" ht="18" customHeight="1">
      <c r="A26" s="978" t="s">
        <v>397</v>
      </c>
      <c r="B26" s="299" t="s">
        <v>754</v>
      </c>
      <c r="C26" s="21">
        <f ca="1">ROUND((C19+C20)*F26,0)</f>
        <v>0</v>
      </c>
      <c r="D26" s="320" t="s">
        <v>755</v>
      </c>
      <c r="E26" s="310" t="s">
        <v>756</v>
      </c>
      <c r="F26" s="309">
        <f ca="1">INDIRECT("'数据-取费表'!q"&amp;$G$1)</f>
        <v>0</v>
      </c>
      <c r="G26" s="1380"/>
      <c r="H26" s="296" t="s">
        <v>395</v>
      </c>
      <c r="I26" s="297" t="s">
        <v>757</v>
      </c>
      <c r="J26" s="298">
        <f ca="1">IF(J5&lt;&gt;0,ROUND(J25*(1-((1+M28)/(1+M26))^M27)/(M26-M28),0),0)</f>
        <v>0</v>
      </c>
      <c r="K26" s="321" t="s">
        <v>758</v>
      </c>
      <c r="L26" s="299" t="s">
        <v>759</v>
      </c>
      <c r="M26" s="309">
        <f ca="1">INDIRECT("'数据-取费表'!I"&amp;$G$1)</f>
        <v>0</v>
      </c>
    </row>
    <row r="27" spans="1:37" ht="18" customHeight="1">
      <c r="A27" s="978" t="s">
        <v>399</v>
      </c>
      <c r="B27" s="299" t="s">
        <v>760</v>
      </c>
      <c r="C27" s="21">
        <f ca="1">ROUND(F21*F26,4)</f>
        <v>0</v>
      </c>
      <c r="D27" s="320" t="s">
        <v>761</v>
      </c>
      <c r="E27" s="317"/>
      <c r="F27" s="318"/>
      <c r="G27" s="1380"/>
      <c r="H27" s="301"/>
      <c r="I27" s="302"/>
      <c r="J27" s="303"/>
      <c r="K27" s="329" t="s">
        <v>762</v>
      </c>
      <c r="L27" s="299" t="s">
        <v>763</v>
      </c>
      <c r="M27" s="330">
        <f ca="1">INDIRECT("'数据-取费表'!ag"&amp;$G$1)</f>
        <v>0</v>
      </c>
    </row>
    <row r="28" spans="1:37" s="1393" customFormat="1" ht="18" customHeight="1">
      <c r="A28" s="978" t="s">
        <v>400</v>
      </c>
      <c r="B28" s="299" t="s">
        <v>764</v>
      </c>
      <c r="C28" s="21">
        <f>ROUND(F28/(1+'数据-取费表'!C42),4)</f>
        <v>5.2400000000000002E-2</v>
      </c>
      <c r="D28" s="320" t="s">
        <v>765</v>
      </c>
      <c r="E28" s="299" t="s">
        <v>712</v>
      </c>
      <c r="F28" s="319">
        <f>'数据-取费表'!B41</f>
        <v>5.5000000000000007E-2</v>
      </c>
      <c r="G28" s="1392"/>
      <c r="H28" s="305"/>
      <c r="I28" s="306"/>
      <c r="J28" s="307"/>
      <c r="K28" s="324"/>
      <c r="L28" s="299" t="s">
        <v>766</v>
      </c>
      <c r="M28" s="309">
        <f ca="1">INDIRECT("'数据-取费表'!aa"&amp;$G$1)</f>
        <v>0</v>
      </c>
      <c r="N28" s="1392"/>
      <c r="O28" s="1392"/>
      <c r="P28" s="1392"/>
      <c r="Q28" s="1392"/>
      <c r="R28" s="1392"/>
      <c r="S28" s="1392"/>
      <c r="T28" s="1392"/>
      <c r="U28" s="1392"/>
      <c r="V28" s="1392"/>
      <c r="W28" s="1392"/>
      <c r="X28" s="1392"/>
      <c r="Y28" s="1392"/>
      <c r="Z28" s="1392"/>
      <c r="AA28" s="1392"/>
      <c r="AB28" s="1392"/>
      <c r="AC28" s="1392"/>
      <c r="AD28" s="1392"/>
      <c r="AE28" s="1392"/>
      <c r="AF28" s="1392"/>
      <c r="AG28" s="1392"/>
      <c r="AH28" s="1392"/>
      <c r="AI28" s="1392"/>
      <c r="AJ28" s="1392"/>
      <c r="AK28" s="1392"/>
    </row>
    <row r="29" spans="1:37" s="1393" customFormat="1" ht="18" customHeight="1" thickBot="1">
      <c r="A29" s="1085" t="s">
        <v>401</v>
      </c>
      <c r="B29" s="1086" t="s">
        <v>767</v>
      </c>
      <c r="C29" s="1087">
        <f ca="1">ROUND((C19+C20+C23+C26)/(1-F21-C24-C27-C28),0)</f>
        <v>0</v>
      </c>
      <c r="D29" s="1088"/>
      <c r="E29" s="1086"/>
      <c r="F29" s="1089"/>
      <c r="G29" s="1392"/>
      <c r="H29" s="331" t="s">
        <v>396</v>
      </c>
      <c r="I29" s="332" t="s">
        <v>768</v>
      </c>
      <c r="J29" s="333">
        <f ca="1">ROUND(J26/(1+F40)^F41,0)</f>
        <v>0</v>
      </c>
      <c r="K29" s="334" t="s">
        <v>769</v>
      </c>
      <c r="L29" s="335"/>
      <c r="M29" s="336">
        <f ca="1">INDIRECT("'数据-取费表'!k"&amp;$G$1)</f>
        <v>0</v>
      </c>
      <c r="N29" s="1392"/>
      <c r="O29" s="1392"/>
      <c r="P29" s="1392"/>
      <c r="Q29" s="1392"/>
      <c r="R29" s="1392"/>
      <c r="S29" s="1392"/>
      <c r="T29" s="1392"/>
      <c r="U29" s="1392"/>
      <c r="V29" s="1392"/>
      <c r="W29" s="1392"/>
      <c r="X29" s="1392"/>
      <c r="Y29" s="1392"/>
      <c r="Z29" s="1392"/>
      <c r="AA29" s="1392"/>
      <c r="AB29" s="1392"/>
      <c r="AC29" s="1392"/>
      <c r="AD29" s="1392"/>
      <c r="AE29" s="1392"/>
      <c r="AF29" s="1392"/>
      <c r="AG29" s="1392"/>
      <c r="AH29" s="1392"/>
      <c r="AI29" s="1392"/>
      <c r="AJ29" s="1392"/>
      <c r="AK29" s="1392"/>
    </row>
    <row r="30" spans="1:37" ht="18" customHeight="1" thickTop="1">
      <c r="A30" s="1075" t="s">
        <v>393</v>
      </c>
      <c r="B30" s="1076" t="s">
        <v>714</v>
      </c>
      <c r="C30" s="307">
        <f ca="1">ROUND(C31+C36+C37+C38,0)</f>
        <v>0</v>
      </c>
      <c r="D30" s="1083" t="s">
        <v>715</v>
      </c>
      <c r="E30" s="1084"/>
      <c r="F30" s="1068"/>
      <c r="G30" s="1380"/>
      <c r="H30" s="2689"/>
      <c r="I30" s="1394"/>
      <c r="J30" s="1395"/>
      <c r="K30" s="2467"/>
      <c r="L30" s="2690"/>
      <c r="M30" s="2691"/>
    </row>
    <row r="31" spans="1:37" ht="18" customHeight="1">
      <c r="A31" s="978" t="s">
        <v>398</v>
      </c>
      <c r="B31" s="299" t="s">
        <v>719</v>
      </c>
      <c r="C31" s="2309">
        <f ca="1">ROUND(IF(AND(项目基本情况!B11="自然人",项目基本情况!B10="北京市"),C6*F31/(1+'数据-取费表'!C42),C32+C33+C34),0)</f>
        <v>0</v>
      </c>
      <c r="D31" s="1341" t="s">
        <v>720</v>
      </c>
      <c r="E31" s="1340" t="s">
        <v>770</v>
      </c>
      <c r="F31" s="2308" t="str">
        <f>IF(项目基本情况!B11="企业","——",IF(M47="住宅",IF(F6*F7*F8/12/(1+'数据-取费表'!F30)&gt;100000,4%,2.5%),IF(F6*F7*F8/12/(1+'数据-取费表'!F30)&gt;100000,12%,7%)))</f>
        <v>——</v>
      </c>
      <c r="G31" s="1380"/>
      <c r="H31" s="2800" t="s">
        <v>2307</v>
      </c>
      <c r="I31" s="1394"/>
      <c r="J31" s="1395"/>
      <c r="K31" s="2467"/>
      <c r="L31" s="2690"/>
      <c r="M31" s="2691"/>
    </row>
    <row r="32" spans="1:37" ht="18" customHeight="1">
      <c r="A32" s="978" t="s">
        <v>397</v>
      </c>
      <c r="B32" s="299" t="s">
        <v>723</v>
      </c>
      <c r="C32" s="21">
        <f ca="1">IF(项目基本情况!B11="自然人","——",ROUND(C6*F32/(1+'数据-取费表'!C42),0))</f>
        <v>0</v>
      </c>
      <c r="D32" s="1340" t="s">
        <v>724</v>
      </c>
      <c r="E32" s="299" t="s">
        <v>712</v>
      </c>
      <c r="F32" s="328">
        <f>'数据-取费表'!B41</f>
        <v>5.5000000000000007E-2</v>
      </c>
      <c r="G32" s="1380"/>
      <c r="H32" s="2689"/>
      <c r="I32" s="1394"/>
      <c r="J32" s="1395"/>
      <c r="K32" s="2467"/>
      <c r="L32" s="2690"/>
      <c r="M32" s="2691"/>
    </row>
    <row r="33" spans="1:18" ht="18" customHeight="1">
      <c r="A33" s="978" t="s">
        <v>399</v>
      </c>
      <c r="B33" s="299" t="s">
        <v>727</v>
      </c>
      <c r="C33" s="21">
        <f ca="1">IF(项目基本情况!B11="自然人","——",IF(D33="按租金收入计税",ROUND(C6*F33/(1+'数据-取费表'!C42),0),IF(D33="按房产原值计税",ROUND(C29*F33*0.7,0),INDIRECT("'数据-取费表'!Aj"&amp;$G$1))))</f>
        <v>0</v>
      </c>
      <c r="D33" s="1366" t="s">
        <v>3340</v>
      </c>
      <c r="E33" s="299" t="s">
        <v>712</v>
      </c>
      <c r="F33" s="319">
        <f>IF(D33="按票据","——",IF(D33="按租金收入计税",'数据-取费表'!B51,'数据-取费表'!B50))</f>
        <v>0.12</v>
      </c>
      <c r="G33" s="1380"/>
      <c r="H33" s="2692"/>
      <c r="I33" s="1394"/>
      <c r="J33" s="1395"/>
      <c r="K33" s="2693"/>
      <c r="L33" s="2692"/>
      <c r="M33" s="2692"/>
    </row>
    <row r="34" spans="1:18" ht="18" customHeight="1">
      <c r="A34" s="1065" t="s">
        <v>680</v>
      </c>
      <c r="B34" s="152" t="s">
        <v>730</v>
      </c>
      <c r="C34" s="22">
        <f ca="1">IF(项目基本情况!B11="自然人","——",ROUND(F34*F35,0))</f>
        <v>0</v>
      </c>
      <c r="D34" s="321" t="s">
        <v>731</v>
      </c>
      <c r="E34" s="299" t="s">
        <v>732</v>
      </c>
      <c r="F34" s="322">
        <f>'数据-取费表'!B52</f>
        <v>1.5</v>
      </c>
      <c r="G34" s="1380"/>
      <c r="H34" s="2689"/>
      <c r="I34" s="1394"/>
      <c r="J34" s="1395"/>
      <c r="K34" s="2694"/>
      <c r="L34" s="2695"/>
      <c r="M34" s="2695"/>
    </row>
    <row r="35" spans="1:18" ht="18" customHeight="1">
      <c r="A35" s="1099"/>
      <c r="B35" s="1097"/>
      <c r="C35" s="26"/>
      <c r="D35" s="324"/>
      <c r="E35" s="299" t="s">
        <v>736</v>
      </c>
      <c r="F35" s="300">
        <f ca="1">INDIRECT("'数据-取费表'!r"&amp;$G$1)</f>
        <v>0</v>
      </c>
      <c r="G35" s="1380"/>
      <c r="H35" s="2689"/>
      <c r="I35" s="1394"/>
      <c r="J35" s="1395"/>
      <c r="K35" s="2693"/>
      <c r="L35" s="2692"/>
      <c r="M35" s="2692"/>
    </row>
    <row r="36" spans="1:18" ht="18" customHeight="1">
      <c r="A36" s="1098" t="s">
        <v>402</v>
      </c>
      <c r="B36" s="299" t="s">
        <v>738</v>
      </c>
      <c r="C36" s="21">
        <f ca="1">ROUND(C29*F36,0)</f>
        <v>0</v>
      </c>
      <c r="D36" s="1340" t="s">
        <v>771</v>
      </c>
      <c r="E36" s="299" t="s">
        <v>712</v>
      </c>
      <c r="F36" s="325">
        <f ca="1">INDIRECT("'数据-取费表'!Ak"&amp;$G$1)</f>
        <v>0</v>
      </c>
      <c r="G36" s="1380"/>
      <c r="H36" s="2692"/>
      <c r="I36" s="1394"/>
      <c r="J36" s="1395"/>
      <c r="K36" s="2536"/>
      <c r="L36" s="2692"/>
      <c r="M36" s="2692"/>
    </row>
    <row r="37" spans="1:18" ht="18" customHeight="1">
      <c r="A37" s="978" t="s">
        <v>437</v>
      </c>
      <c r="B37" s="299" t="s">
        <v>742</v>
      </c>
      <c r="C37" s="21">
        <f ca="1">ROUND(C13*F37,0)</f>
        <v>0</v>
      </c>
      <c r="D37" s="1340" t="s">
        <v>743</v>
      </c>
      <c r="E37" s="299" t="s">
        <v>744</v>
      </c>
      <c r="F37" s="327">
        <f ca="1">INDIRECT("'数据-取费表'!Al"&amp;$G$1)</f>
        <v>0</v>
      </c>
      <c r="G37" s="1380"/>
      <c r="H37" s="2692"/>
      <c r="I37" s="1394"/>
      <c r="J37" s="1395"/>
      <c r="K37" s="2536"/>
      <c r="L37" s="2692"/>
      <c r="M37" s="2692"/>
    </row>
    <row r="38" spans="1:18" ht="18" customHeight="1" thickBot="1">
      <c r="A38" s="1085" t="s">
        <v>684</v>
      </c>
      <c r="B38" s="1086" t="s">
        <v>728</v>
      </c>
      <c r="C38" s="1087">
        <f ca="1">ROUND(C5*F38,0)</f>
        <v>0</v>
      </c>
      <c r="D38" s="1088" t="s">
        <v>748</v>
      </c>
      <c r="E38" s="1086" t="s">
        <v>744</v>
      </c>
      <c r="F38" s="1082">
        <f ca="1">INDIRECT("'数据-取费表'!Am"&amp;$G$1)</f>
        <v>0</v>
      </c>
      <c r="G38" s="1380"/>
      <c r="H38" s="2692"/>
      <c r="I38" s="1394"/>
      <c r="J38" s="1395"/>
      <c r="K38" s="2696"/>
      <c r="L38" s="2692"/>
      <c r="M38" s="2692"/>
    </row>
    <row r="39" spans="1:18" ht="24.6" customHeight="1" thickTop="1">
      <c r="A39" s="1075" t="s">
        <v>394</v>
      </c>
      <c r="B39" s="1090" t="s">
        <v>772</v>
      </c>
      <c r="C39" s="307">
        <f ca="1">C5-C30</f>
        <v>0</v>
      </c>
      <c r="D39" s="1091" t="s">
        <v>773</v>
      </c>
      <c r="E39" s="1092"/>
      <c r="F39" s="1093"/>
      <c r="G39" s="1380"/>
      <c r="H39" s="2692"/>
      <c r="I39" s="1394"/>
      <c r="J39" s="1395"/>
      <c r="K39" s="2696"/>
      <c r="L39" s="2692"/>
      <c r="M39" s="2692"/>
    </row>
    <row r="40" spans="1:18" ht="18" customHeight="1">
      <c r="A40" s="296" t="s">
        <v>395</v>
      </c>
      <c r="B40" s="297" t="s">
        <v>774</v>
      </c>
      <c r="C40" s="298" t="e">
        <f ca="1">ROUND(C39*(1-((1+F42)/(1+F40))^F41)/(F40-F42),0)</f>
        <v>#DIV/0!</v>
      </c>
      <c r="D40" s="321" t="s">
        <v>758</v>
      </c>
      <c r="E40" s="299" t="s">
        <v>759</v>
      </c>
      <c r="F40" s="309">
        <f ca="1">INDIRECT("'数据-取费表'!I"&amp;$G$1)</f>
        <v>0</v>
      </c>
      <c r="G40" s="1380"/>
      <c r="H40" s="1457"/>
      <c r="I40" s="1394"/>
      <c r="J40" s="1395"/>
      <c r="K40" s="2696"/>
      <c r="L40" s="1457"/>
      <c r="M40" s="1457"/>
    </row>
    <row r="41" spans="1:18" ht="18" customHeight="1">
      <c r="A41" s="301"/>
      <c r="B41" s="302"/>
      <c r="C41" s="303"/>
      <c r="D41" s="329" t="s">
        <v>775</v>
      </c>
      <c r="E41" s="299" t="s">
        <v>763</v>
      </c>
      <c r="F41" s="330">
        <f ca="1">IF(INDIRECT("'数据-取费表'!af"&amp;$G$1)=0,INDIRECT("'数据-取费表'!ae"&amp;$G$1),INDIRECT("'数据-取费表'!af"&amp;$G$1))</f>
        <v>0</v>
      </c>
      <c r="G41" s="1380"/>
      <c r="H41" s="1187"/>
      <c r="I41" s="1394"/>
      <c r="J41" s="1395"/>
      <c r="K41" s="2536"/>
      <c r="L41" s="1187"/>
      <c r="M41" s="1187"/>
    </row>
    <row r="42" spans="1:18" ht="18" customHeight="1">
      <c r="A42" s="305"/>
      <c r="B42" s="306"/>
      <c r="C42" s="307"/>
      <c r="D42" s="324"/>
      <c r="E42" s="299" t="s">
        <v>766</v>
      </c>
      <c r="F42" s="309">
        <f ca="1">INDIRECT("'数据-取费表'!v"&amp;$G$1)</f>
        <v>0</v>
      </c>
      <c r="G42" s="1380"/>
      <c r="H42" s="1187"/>
      <c r="I42" s="1394"/>
      <c r="J42" s="1395"/>
      <c r="K42" s="2536"/>
      <c r="L42" s="1187"/>
      <c r="M42" s="1187"/>
    </row>
    <row r="43" spans="1:18" ht="18" customHeight="1" thickBot="1">
      <c r="A43" s="331" t="s">
        <v>396</v>
      </c>
      <c r="B43" s="332" t="s">
        <v>776</v>
      </c>
      <c r="C43" s="333" t="e">
        <f ca="1">ROUND(C40/F43,0)</f>
        <v>#DIV/0!</v>
      </c>
      <c r="D43" s="334" t="s">
        <v>777</v>
      </c>
      <c r="E43" s="335" t="s">
        <v>778</v>
      </c>
      <c r="F43" s="336">
        <f ca="1">INDIRECT("'数据-取费表'!k"&amp;$G$1)</f>
        <v>0</v>
      </c>
      <c r="G43" s="1380"/>
      <c r="H43" s="1187"/>
      <c r="I43" s="1187"/>
      <c r="J43" s="1187"/>
      <c r="K43" s="2536"/>
      <c r="L43" s="1187"/>
      <c r="M43" s="1187"/>
    </row>
    <row r="44" spans="1:18" s="1380" customFormat="1" ht="18" customHeight="1">
      <c r="A44" s="1396"/>
      <c r="B44" s="1396"/>
      <c r="C44" s="1397"/>
      <c r="D44" s="1396"/>
      <c r="E44" s="1396"/>
      <c r="F44" s="1396"/>
      <c r="K44" s="1398"/>
    </row>
    <row r="45" spans="1:18" s="1380" customFormat="1" ht="18" customHeight="1" thickBot="1">
      <c r="A45" s="3423" t="s">
        <v>3356</v>
      </c>
      <c r="B45" s="1396"/>
      <c r="C45" s="1468" t="e">
        <f ca="1">ROUND((C68-C40)/10000,4)</f>
        <v>#DIV/0!</v>
      </c>
      <c r="D45" s="3424" t="s">
        <v>3357</v>
      </c>
      <c r="E45" s="1396"/>
      <c r="F45" s="1396"/>
      <c r="O45" s="1399" t="s">
        <v>808</v>
      </c>
      <c r="P45" s="1457"/>
      <c r="Q45" s="1457"/>
      <c r="R45" s="1457"/>
    </row>
    <row r="46" spans="1:18" s="1380" customFormat="1" ht="13.5" thickBot="1">
      <c r="A46" s="1400" t="s">
        <v>809</v>
      </c>
      <c r="C46" s="1401" t="e">
        <f ca="1">ROUND(C45,0)</f>
        <v>#DIV/0!</v>
      </c>
      <c r="D46" s="1402" t="str">
        <f>C2</f>
        <v>万元</v>
      </c>
      <c r="I46" s="1403" t="s">
        <v>810</v>
      </c>
      <c r="J46" s="1404"/>
      <c r="K46" s="1405"/>
      <c r="L46" s="1406" t="e">
        <f ca="1">IF(M47="住宅",0,IF(L48&gt;J51,L60,J60))</f>
        <v>#DIV/0!</v>
      </c>
      <c r="O46" s="1407" t="s">
        <v>811</v>
      </c>
      <c r="P46" s="1408" t="s">
        <v>812</v>
      </c>
      <c r="Q46" s="1409" t="s">
        <v>813</v>
      </c>
      <c r="R46" s="1409" t="s">
        <v>814</v>
      </c>
    </row>
    <row r="47" spans="1:18" s="1380" customFormat="1" ht="13.5" thickBot="1">
      <c r="A47" s="942" t="s">
        <v>687</v>
      </c>
      <c r="B47" s="974" t="s">
        <v>688</v>
      </c>
      <c r="C47" s="974" t="s">
        <v>689</v>
      </c>
      <c r="D47" s="974" t="s">
        <v>690</v>
      </c>
      <c r="E47" s="1054" t="s">
        <v>691</v>
      </c>
      <c r="F47" s="1055"/>
      <c r="G47" s="718"/>
      <c r="I47" s="1410" t="s">
        <v>815</v>
      </c>
      <c r="J47" s="1411"/>
      <c r="K47" s="1412" t="s">
        <v>816</v>
      </c>
      <c r="L47" s="1413">
        <f ca="1">INDIRECT("'数据-取费表'!d"&amp;$G$1)</f>
        <v>0</v>
      </c>
      <c r="M47" s="1376" t="str">
        <f>IF(ISNUMBER(FIND("住宅",C1)),"住宅","非住宅")</f>
        <v>非住宅</v>
      </c>
      <c r="O47" s="1414" t="s">
        <v>403</v>
      </c>
      <c r="P47" s="1415" t="s">
        <v>817</v>
      </c>
      <c r="Q47" s="1416" t="e">
        <f ca="1">C40+J29</f>
        <v>#DIV/0!</v>
      </c>
      <c r="R47" s="1416" t="s">
        <v>818</v>
      </c>
    </row>
    <row r="48" spans="1:18" s="1380" customFormat="1" ht="28.5" thickBot="1">
      <c r="A48" s="1106" t="s">
        <v>438</v>
      </c>
      <c r="B48" s="297" t="s">
        <v>692</v>
      </c>
      <c r="C48" s="1355">
        <f ca="1">C49+C53+C55</f>
        <v>0</v>
      </c>
      <c r="D48" s="1108"/>
      <c r="E48" s="1109"/>
      <c r="F48" s="958"/>
      <c r="G48" s="718"/>
      <c r="H48" s="719"/>
      <c r="I48" s="1417" t="s">
        <v>819</v>
      </c>
      <c r="J48" s="1418"/>
      <c r="K48" s="1419" t="s">
        <v>820</v>
      </c>
      <c r="L48" s="1420">
        <f ca="1">INDIRECT("'数据-取费表'!f"&amp;$G$1)</f>
        <v>0</v>
      </c>
      <c r="O48" s="1414" t="s">
        <v>404</v>
      </c>
      <c r="P48" s="1415" t="s">
        <v>821</v>
      </c>
      <c r="Q48" s="1416" t="e">
        <f ca="1">J60</f>
        <v>#DIV/0!</v>
      </c>
      <c r="R48" s="1416" t="s">
        <v>822</v>
      </c>
    </row>
    <row r="49" spans="1:18" s="1380" customFormat="1" ht="13.5" thickBot="1">
      <c r="A49" s="971" t="s">
        <v>439</v>
      </c>
      <c r="B49" s="1367" t="s">
        <v>779</v>
      </c>
      <c r="C49" s="1110">
        <f ca="1">ROUND(F49*F51*F50*(1-F52),0)</f>
        <v>0</v>
      </c>
      <c r="D49" s="1051" t="s">
        <v>695</v>
      </c>
      <c r="E49" s="1368" t="s">
        <v>780</v>
      </c>
      <c r="F49" s="1056"/>
      <c r="G49" s="1421"/>
      <c r="H49" s="719"/>
      <c r="I49" s="1417" t="s">
        <v>823</v>
      </c>
      <c r="J49" s="1422"/>
      <c r="K49" s="1419" t="s">
        <v>824</v>
      </c>
      <c r="L49" s="1423"/>
      <c r="O49" s="1424" t="s">
        <v>405</v>
      </c>
      <c r="P49" s="1415" t="s">
        <v>825</v>
      </c>
      <c r="Q49" s="1416">
        <f ca="1">C29</f>
        <v>0</v>
      </c>
      <c r="R49" s="1416" t="s">
        <v>818</v>
      </c>
    </row>
    <row r="50" spans="1:18" s="1380" customFormat="1" ht="13.5" thickBot="1">
      <c r="A50" s="972"/>
      <c r="B50" s="975"/>
      <c r="C50" s="976"/>
      <c r="D50" s="949"/>
      <c r="E50" s="1052" t="s">
        <v>697</v>
      </c>
      <c r="F50" s="1053">
        <f ca="1">F7</f>
        <v>0</v>
      </c>
      <c r="H50" s="719"/>
      <c r="I50" s="1417" t="s">
        <v>826</v>
      </c>
      <c r="J50" s="1425">
        <f>SUMPRODUCT((I63:I65=J47)*(J62:L62=J48)*(J63:L65))</f>
        <v>0</v>
      </c>
      <c r="K50" s="1419" t="s">
        <v>827</v>
      </c>
      <c r="L50" s="1423"/>
      <c r="M50" s="1426"/>
      <c r="O50" s="1424" t="s">
        <v>406</v>
      </c>
      <c r="P50" s="1415" t="s">
        <v>828</v>
      </c>
      <c r="Q50" s="1427" t="e">
        <f ca="1">J58</f>
        <v>#DIV/0!</v>
      </c>
      <c r="R50" s="1416"/>
    </row>
    <row r="51" spans="1:18" s="1380" customFormat="1" ht="13.5" thickBot="1">
      <c r="A51" s="973"/>
      <c r="B51" s="975"/>
      <c r="C51" s="976"/>
      <c r="D51" s="949"/>
      <c r="E51" s="977" t="s">
        <v>698</v>
      </c>
      <c r="F51" s="300">
        <f ca="1">F8</f>
        <v>0</v>
      </c>
      <c r="I51" s="1428" t="s">
        <v>829</v>
      </c>
      <c r="J51" s="1429">
        <f>IF(J49="",J50,J49+J50-YEAR('数据-取费表'!B2))</f>
        <v>0</v>
      </c>
      <c r="K51" s="1430" t="s">
        <v>830</v>
      </c>
      <c r="L51" s="1431">
        <f ca="1">ROUND(-PV(INDIRECT("'数据-取费表'!h"&amp;$G$1),J51,(C39-C13*C76),0),0)</f>
        <v>0</v>
      </c>
      <c r="M51" s="1432"/>
      <c r="O51" s="1424" t="s">
        <v>407</v>
      </c>
      <c r="P51" s="1415" t="s">
        <v>831</v>
      </c>
      <c r="Q51" s="1427">
        <f>J52</f>
        <v>0</v>
      </c>
      <c r="R51" s="1416"/>
    </row>
    <row r="52" spans="1:18" s="1380" customFormat="1" ht="13.5" thickBot="1">
      <c r="A52" s="973"/>
      <c r="B52" s="975"/>
      <c r="C52" s="976"/>
      <c r="D52" s="949"/>
      <c r="E52" s="977" t="s">
        <v>699</v>
      </c>
      <c r="F52" s="1050"/>
      <c r="I52" s="1433" t="s">
        <v>832</v>
      </c>
      <c r="J52" s="1434"/>
      <c r="K52" s="1433" t="s">
        <v>833</v>
      </c>
      <c r="L52" s="1434"/>
      <c r="O52" s="1424" t="s">
        <v>408</v>
      </c>
      <c r="P52" s="1415" t="s">
        <v>834</v>
      </c>
      <c r="Q52" s="1416">
        <f ca="1">J53</f>
        <v>0</v>
      </c>
      <c r="R52" s="1416" t="s">
        <v>835</v>
      </c>
    </row>
    <row r="53" spans="1:18" s="1380" customFormat="1" ht="30.75" customHeight="1" thickBot="1">
      <c r="A53" s="1107" t="s">
        <v>440</v>
      </c>
      <c r="B53" s="320" t="s">
        <v>700</v>
      </c>
      <c r="C53" s="313">
        <f ca="1">ROUND(IF(F53="押一",C49/12*F11,IF(F53="押二",C49/12*2*F11,IF(F53="押三",C49/12*3*F11,C54*F11))),0)</f>
        <v>0</v>
      </c>
      <c r="D53" s="1362" t="s">
        <v>2119</v>
      </c>
      <c r="E53" s="310" t="s">
        <v>701</v>
      </c>
      <c r="F53" s="1112"/>
      <c r="I53" s="1435" t="s">
        <v>836</v>
      </c>
      <c r="J53" s="2161">
        <f ca="1">IF(M47="住宅",IF(D1="——",MAX(J51,L48),MAX(J51,L48-'数据-取费表'!B24)),IF(D1="——",MIN(J51,L48),MIN(J51,L48-'数据-取费表'!B24)))</f>
        <v>0</v>
      </c>
      <c r="K53" s="3712" t="s">
        <v>837</v>
      </c>
      <c r="L53" s="3713"/>
      <c r="O53" s="1414" t="s">
        <v>409</v>
      </c>
      <c r="P53" s="1415" t="s">
        <v>838</v>
      </c>
      <c r="Q53" s="1416" t="e">
        <f ca="1">Q47+Q48</f>
        <v>#DIV/0!</v>
      </c>
      <c r="R53" s="1416" t="s">
        <v>410</v>
      </c>
    </row>
    <row r="54" spans="1:18" s="1380" customFormat="1" ht="13.5" thickBot="1">
      <c r="A54" s="971"/>
      <c r="B54" s="1469" t="s">
        <v>891</v>
      </c>
      <c r="C54" s="955"/>
      <c r="D54" s="1362"/>
      <c r="E54" s="1370"/>
      <c r="F54" s="1436"/>
      <c r="I54" s="143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438"/>
      <c r="K54" s="1438"/>
      <c r="L54" s="1438"/>
      <c r="M54" s="1421"/>
      <c r="O54" s="1399" t="s">
        <v>839</v>
      </c>
      <c r="P54" s="1377"/>
      <c r="Q54" s="1377"/>
      <c r="R54" s="1377"/>
    </row>
    <row r="55" spans="1:18" s="1380" customFormat="1" ht="13.5" thickBot="1">
      <c r="A55" s="1079" t="s">
        <v>437</v>
      </c>
      <c r="B55" s="1365" t="s">
        <v>703</v>
      </c>
      <c r="C55" s="1080"/>
      <c r="D55" s="1362"/>
      <c r="E55" s="1370"/>
      <c r="F55" s="1436"/>
      <c r="I55" s="1439" t="s">
        <v>840</v>
      </c>
      <c r="J55" s="1440" t="e">
        <f ca="1">ROUND(IF(J47="钢混",J57/J50,1-(1-2%)*(J50-J57)/J50),3)</f>
        <v>#DIV/0!</v>
      </c>
      <c r="K55" s="1441" t="s">
        <v>841</v>
      </c>
      <c r="L55" s="1442"/>
      <c r="O55" s="1407" t="s">
        <v>811</v>
      </c>
      <c r="P55" s="1408" t="s">
        <v>812</v>
      </c>
      <c r="Q55" s="1409" t="s">
        <v>813</v>
      </c>
      <c r="R55" s="1409" t="s">
        <v>814</v>
      </c>
    </row>
    <row r="56" spans="1:18" s="1380" customFormat="1" ht="36" customHeight="1" thickTop="1" thickBot="1">
      <c r="A56" s="953">
        <v>2</v>
      </c>
      <c r="B56" s="954" t="s">
        <v>704</v>
      </c>
      <c r="C56" s="229">
        <f ca="1">C13</f>
        <v>0</v>
      </c>
      <c r="D56" s="1443"/>
      <c r="E56" s="1444"/>
      <c r="F56" s="1436"/>
      <c r="I56" s="1445" t="s">
        <v>842</v>
      </c>
      <c r="J56" s="1446"/>
      <c r="K56" s="1417" t="s">
        <v>843</v>
      </c>
      <c r="L56" s="1420">
        <f ca="1">IF(L48&lt;J51,"——",L48-J51)</f>
        <v>0</v>
      </c>
      <c r="O56" s="1414" t="s">
        <v>403</v>
      </c>
      <c r="P56" s="1415" t="s">
        <v>817</v>
      </c>
      <c r="Q56" s="1416" t="e">
        <f ca="1">C40+J29</f>
        <v>#DIV/0!</v>
      </c>
      <c r="R56" s="1416" t="s">
        <v>818</v>
      </c>
    </row>
    <row r="57" spans="1:18" s="1380" customFormat="1" ht="24.75" thickBot="1">
      <c r="A57" s="1447"/>
      <c r="B57" s="946" t="s">
        <v>767</v>
      </c>
      <c r="C57" s="235">
        <f ca="1">C29</f>
        <v>0</v>
      </c>
      <c r="D57" s="1448"/>
      <c r="E57" s="1449"/>
      <c r="F57" s="1450"/>
      <c r="I57" s="1451" t="s">
        <v>844</v>
      </c>
      <c r="J57" s="1452">
        <f ca="1">IF(OR(M47="住宅",J51&lt;L48,J56="是"),"——",J51-L48)</f>
        <v>0</v>
      </c>
      <c r="K57" s="1417" t="s">
        <v>892</v>
      </c>
      <c r="L57" s="1420">
        <f ca="1">IF(L48&lt;J51,"——",IF(L55="比较法",L49,IF(L55="基准地价",L50,L51)))</f>
        <v>0</v>
      </c>
      <c r="O57" s="1414" t="s">
        <v>404</v>
      </c>
      <c r="P57" s="1415" t="s">
        <v>893</v>
      </c>
      <c r="Q57" s="1416" t="e">
        <f ca="1">L60</f>
        <v>#DIV/0!</v>
      </c>
      <c r="R57" s="1416" t="s">
        <v>894</v>
      </c>
    </row>
    <row r="58" spans="1:18" s="1380" customFormat="1" ht="24.75" thickBot="1">
      <c r="A58" s="312" t="s">
        <v>393</v>
      </c>
      <c r="B58" s="954" t="s">
        <v>714</v>
      </c>
      <c r="C58" s="313">
        <f ca="1">ROUND(C59+C64+C65+C66,0)</f>
        <v>0</v>
      </c>
      <c r="D58" s="956" t="s">
        <v>715</v>
      </c>
      <c r="E58" s="957"/>
      <c r="F58" s="958"/>
      <c r="I58" s="1451" t="s">
        <v>848</v>
      </c>
      <c r="J58" s="1453" t="e">
        <f ca="1">IF(J55&lt;0.4,0.4,J55)</f>
        <v>#DIV/0!</v>
      </c>
      <c r="K58" s="1430" t="s">
        <v>895</v>
      </c>
      <c r="L58" s="1420" t="e">
        <f ca="1">ROUND(POWER(1+L52,L47-L48)*(POWER(1+L52,L48)-1)/(POWER(1+L52,L47)-1),4)</f>
        <v>#DIV/0!</v>
      </c>
      <c r="O58" s="1424" t="s">
        <v>405</v>
      </c>
      <c r="P58" s="1415" t="s">
        <v>850</v>
      </c>
      <c r="Q58" s="1416">
        <f>IF(L55="比较法",L49,IF(L55="基准地价",L50,0))</f>
        <v>0</v>
      </c>
      <c r="R58" s="1416" t="s">
        <v>818</v>
      </c>
    </row>
    <row r="59" spans="1:18" s="1380" customFormat="1" ht="24.75" thickBot="1">
      <c r="A59" s="978" t="s">
        <v>398</v>
      </c>
      <c r="B59" s="946" t="s">
        <v>719</v>
      </c>
      <c r="C59" s="2309">
        <f ca="1">ROUND(IF(AND(项目基本情况!B11="自然人",项目基本情况!B10="北京市"),C49*F59/(1+'数据-取费表'!C42),C60+C61+C62),0)</f>
        <v>0</v>
      </c>
      <c r="D59" s="959" t="s">
        <v>720</v>
      </c>
      <c r="E59" s="960" t="s">
        <v>721</v>
      </c>
      <c r="F59" s="2308" t="str">
        <f>IF(项目基本情况!B11="企业","——",IF('数据-取费表'!B10="住宅",IF(F49*F50*F51/12/(1+'数据-取费表'!F30)&gt;100000,4%,2.5%),IF(F49*F50*F51/12/(1+'数据-取费表'!F30)&gt;100000,12%,7%)))</f>
        <v>——</v>
      </c>
      <c r="I59" s="1451" t="s">
        <v>851</v>
      </c>
      <c r="J59" s="1452" t="e">
        <f ca="1">IF(OR(M47="住宅",J51&lt;L48,J56="是"),"——",ROUND(C29*J58,0))</f>
        <v>#DIV/0!</v>
      </c>
      <c r="K59" s="141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0" t="e">
        <f ca="1">ROUND(IF(D1="在建（套用方法）",M59,IF(D1="土地（套用方法）",N59,POWER(1+L52,L47-J51)*(POWER(1+L52,J51)-1)/(POWER(1+L52,L47)-1))),4)</f>
        <v>#DIV/0!</v>
      </c>
      <c r="M59" s="1377" t="e">
        <f ca="1">ROUND(POWER(1+L52,L47-(J51+'数据-取费表'!B24))*(POWER(1+L52,(J51+'数据-取费表'!B24))-1)/(POWER(1+L52,L47)-1),4)</f>
        <v>#DIV/0!</v>
      </c>
      <c r="N59" s="1377" t="e">
        <f ca="1">ROUND(POWER(1+L52,L47-(J51+'数据-取费表'!B20))*(POWER(1+L52,(J51+'数据-取费表'!B20))-1)/(POWER(1+L52,L47)-1),4)</f>
        <v>#DIV/0!</v>
      </c>
      <c r="O59" s="1424" t="s">
        <v>406</v>
      </c>
      <c r="P59" s="1415" t="s">
        <v>852</v>
      </c>
      <c r="Q59" s="1427">
        <f>L52</f>
        <v>0</v>
      </c>
      <c r="R59" s="1416"/>
    </row>
    <row r="60" spans="1:18" s="1380" customFormat="1" ht="16.5" thickBot="1">
      <c r="A60" s="978" t="s">
        <v>397</v>
      </c>
      <c r="B60" s="946" t="s">
        <v>723</v>
      </c>
      <c r="C60" s="21">
        <f ca="1">IF(项目基本情况!B11="自然人","——",ROUND(C48*F60/(1+'数据-取费表'!C42),0))</f>
        <v>0</v>
      </c>
      <c r="D60" s="960" t="s">
        <v>724</v>
      </c>
      <c r="E60" s="946" t="s">
        <v>712</v>
      </c>
      <c r="F60" s="328">
        <f t="shared" ref="F60:F66" si="0">F32</f>
        <v>5.5000000000000007E-2</v>
      </c>
      <c r="I60" s="1454" t="s">
        <v>853</v>
      </c>
      <c r="J60" s="1455" t="e">
        <f ca="1">IF(OR(M47="住宅",J51&lt;L48,J56="是"),"0",ROUND(J59/(1+J52)^J53,0))</f>
        <v>#DIV/0!</v>
      </c>
      <c r="K60" s="1456" t="s">
        <v>854</v>
      </c>
      <c r="L60" s="1455" t="e">
        <f ca="1">IF(OR(M47="住宅",L48&lt;J51),0,ROUND(L57*(L58/L59-1),0))</f>
        <v>#DIV/0!</v>
      </c>
      <c r="O60" s="1424" t="s">
        <v>407</v>
      </c>
      <c r="P60" s="1415" t="s">
        <v>855</v>
      </c>
      <c r="Q60" s="1416" t="e">
        <f ca="1">L58</f>
        <v>#DIV/0!</v>
      </c>
      <c r="R60" s="1416" t="s">
        <v>856</v>
      </c>
    </row>
    <row r="61" spans="1:18" s="1380" customFormat="1" ht="13.5" thickBot="1">
      <c r="A61" s="978" t="s">
        <v>781</v>
      </c>
      <c r="B61" s="946" t="s">
        <v>782</v>
      </c>
      <c r="C61" s="21">
        <f ca="1">IF(项目基本情况!B11="自然人","——",IF(D61="按租金收入计税",ROUND(C49*F61/(1+'数据-取费表'!C42),0),IF(D61="按房产原值计税",ROUND(C57*F61*0.7,0),INDIRECT("'数据-取费表'!Aj"&amp;$G$1))))</f>
        <v>0</v>
      </c>
      <c r="D61" s="1366" t="s">
        <v>3340</v>
      </c>
      <c r="E61" s="946" t="s">
        <v>783</v>
      </c>
      <c r="F61" s="319">
        <f t="shared" si="0"/>
        <v>0.12</v>
      </c>
      <c r="I61" s="1457"/>
      <c r="J61" s="1457"/>
      <c r="K61" s="1457"/>
      <c r="L61" s="1457"/>
      <c r="O61" s="1424" t="s">
        <v>408</v>
      </c>
      <c r="P61" s="1415" t="str">
        <f>K59</f>
        <v>建筑物剩余耐用年限下的土地年期修正系数Kn</v>
      </c>
      <c r="Q61" s="1416" t="e">
        <f ca="1">L59</f>
        <v>#DIV/0!</v>
      </c>
      <c r="R61" s="1416" t="s">
        <v>857</v>
      </c>
    </row>
    <row r="62" spans="1:18" s="1380" customFormat="1" ht="13.5" thickBot="1">
      <c r="A62" s="978" t="s">
        <v>784</v>
      </c>
      <c r="B62" s="945" t="s">
        <v>785</v>
      </c>
      <c r="C62" s="22">
        <f ca="1">IF(项目基本情况!B11="自然人","——",ROUND(F62*F63,0))</f>
        <v>0</v>
      </c>
      <c r="D62" s="961" t="s">
        <v>786</v>
      </c>
      <c r="E62" s="946" t="s">
        <v>787</v>
      </c>
      <c r="F62" s="322">
        <f t="shared" si="0"/>
        <v>1.5</v>
      </c>
      <c r="I62" s="1458" t="s">
        <v>858</v>
      </c>
      <c r="J62" s="1459" t="s">
        <v>859</v>
      </c>
      <c r="K62" s="1459" t="s">
        <v>860</v>
      </c>
      <c r="L62" s="1459" t="s">
        <v>861</v>
      </c>
      <c r="M62" s="1460" t="s">
        <v>862</v>
      </c>
      <c r="O62" s="1414" t="s">
        <v>409</v>
      </c>
      <c r="P62" s="1415" t="s">
        <v>863</v>
      </c>
      <c r="Q62" s="1416" t="e">
        <f ca="1">Q56+Q57</f>
        <v>#DIV/0!</v>
      </c>
      <c r="R62" s="1416" t="s">
        <v>410</v>
      </c>
    </row>
    <row r="63" spans="1:18" s="1380" customFormat="1" ht="13.5" thickBot="1">
      <c r="A63" s="323"/>
      <c r="B63" s="952"/>
      <c r="C63" s="26"/>
      <c r="D63" s="962"/>
      <c r="E63" s="946" t="s">
        <v>788</v>
      </c>
      <c r="F63" s="300">
        <f t="shared" ca="1" si="0"/>
        <v>0</v>
      </c>
      <c r="I63" s="1458" t="s">
        <v>864</v>
      </c>
      <c r="J63" s="1459">
        <v>70</v>
      </c>
      <c r="K63" s="1459">
        <v>50</v>
      </c>
      <c r="L63" s="1459">
        <v>80</v>
      </c>
      <c r="M63" s="1461">
        <v>0.02</v>
      </c>
      <c r="O63" s="1399" t="s">
        <v>865</v>
      </c>
      <c r="P63" s="1377"/>
      <c r="Q63" s="1377"/>
      <c r="R63" s="1377"/>
    </row>
    <row r="64" spans="1:18" s="1380" customFormat="1" ht="13.5" thickBot="1">
      <c r="A64" s="978" t="s">
        <v>789</v>
      </c>
      <c r="B64" s="946" t="s">
        <v>790</v>
      </c>
      <c r="C64" s="21">
        <f ca="1">ROUND(C57*F64,0)</f>
        <v>0</v>
      </c>
      <c r="D64" s="960" t="s">
        <v>791</v>
      </c>
      <c r="E64" s="946" t="s">
        <v>783</v>
      </c>
      <c r="F64" s="325">
        <f t="shared" ca="1" si="0"/>
        <v>0</v>
      </c>
      <c r="I64" s="1458" t="s">
        <v>866</v>
      </c>
      <c r="J64" s="1459">
        <v>50</v>
      </c>
      <c r="K64" s="1459">
        <v>35</v>
      </c>
      <c r="L64" s="1459">
        <v>60</v>
      </c>
      <c r="M64" s="1460">
        <v>0</v>
      </c>
      <c r="O64" s="1407" t="s">
        <v>811</v>
      </c>
      <c r="P64" s="1408" t="s">
        <v>812</v>
      </c>
      <c r="Q64" s="1409" t="s">
        <v>813</v>
      </c>
      <c r="R64" s="1409" t="s">
        <v>814</v>
      </c>
    </row>
    <row r="65" spans="1:18" s="1380" customFormat="1" ht="13.5" thickBot="1">
      <c r="A65" s="978" t="s">
        <v>792</v>
      </c>
      <c r="B65" s="946" t="s">
        <v>742</v>
      </c>
      <c r="C65" s="21">
        <f ca="1">ROUND(C56*F65,0)</f>
        <v>0</v>
      </c>
      <c r="D65" s="960" t="s">
        <v>743</v>
      </c>
      <c r="E65" s="946" t="s">
        <v>744</v>
      </c>
      <c r="F65" s="327">
        <f t="shared" ca="1" si="0"/>
        <v>0</v>
      </c>
      <c r="I65" s="1458" t="s">
        <v>867</v>
      </c>
      <c r="J65" s="1459">
        <v>40</v>
      </c>
      <c r="K65" s="1459">
        <v>30</v>
      </c>
      <c r="L65" s="1459">
        <v>50</v>
      </c>
      <c r="M65" s="1461">
        <v>0.02</v>
      </c>
      <c r="O65" s="1414" t="s">
        <v>403</v>
      </c>
      <c r="P65" s="1415" t="s">
        <v>868</v>
      </c>
      <c r="Q65" s="1416" t="e">
        <f ca="1">C40+J29</f>
        <v>#DIV/0!</v>
      </c>
      <c r="R65" s="1416" t="s">
        <v>818</v>
      </c>
    </row>
    <row r="66" spans="1:18" s="1380" customFormat="1" ht="16.5" thickBot="1">
      <c r="A66" s="978" t="s">
        <v>793</v>
      </c>
      <c r="B66" s="946" t="s">
        <v>728</v>
      </c>
      <c r="C66" s="21">
        <f ca="1">ROUND(C48*F66,0)</f>
        <v>0</v>
      </c>
      <c r="D66" s="960" t="s">
        <v>794</v>
      </c>
      <c r="E66" s="946" t="s">
        <v>712</v>
      </c>
      <c r="F66" s="309">
        <f t="shared" ca="1" si="0"/>
        <v>0</v>
      </c>
      <c r="O66" s="1414" t="s">
        <v>404</v>
      </c>
      <c r="P66" s="1415" t="s">
        <v>846</v>
      </c>
      <c r="Q66" s="1416" t="e">
        <f ca="1">L60</f>
        <v>#DIV/0!</v>
      </c>
      <c r="R66" s="1416" t="s">
        <v>869</v>
      </c>
    </row>
    <row r="67" spans="1:18" s="1380" customFormat="1" ht="16.5" thickBot="1">
      <c r="A67" s="953" t="s">
        <v>394</v>
      </c>
      <c r="B67" s="963" t="s">
        <v>752</v>
      </c>
      <c r="C67" s="313">
        <f ca="1">C48-C58</f>
        <v>0</v>
      </c>
      <c r="D67" s="959" t="s">
        <v>753</v>
      </c>
      <c r="E67" s="964"/>
      <c r="F67" s="965"/>
      <c r="O67" s="1424" t="s">
        <v>405</v>
      </c>
      <c r="P67" s="1415" t="s">
        <v>850</v>
      </c>
      <c r="Q67" s="1462">
        <f ca="1">L51</f>
        <v>0</v>
      </c>
      <c r="R67" s="1416" t="s">
        <v>870</v>
      </c>
    </row>
    <row r="68" spans="1:18" s="1380" customFormat="1" ht="16.5" thickBot="1">
      <c r="A68" s="943" t="s">
        <v>395</v>
      </c>
      <c r="B68" s="944" t="s">
        <v>774</v>
      </c>
      <c r="C68" s="298" t="e">
        <f ca="1">ROUND(C67*(1-((1+F70)/(1+F68))^F69)/(F68-F70),0)</f>
        <v>#DIV/0!</v>
      </c>
      <c r="D68" s="961" t="s">
        <v>758</v>
      </c>
      <c r="E68" s="946" t="s">
        <v>759</v>
      </c>
      <c r="F68" s="309">
        <f ca="1">F40</f>
        <v>0</v>
      </c>
      <c r="O68" s="1424" t="s">
        <v>406</v>
      </c>
      <c r="P68" s="1463" t="s">
        <v>871</v>
      </c>
      <c r="Q68" s="1416">
        <f ca="1">ROUND(Q69-Q70*Q71,0)</f>
        <v>0</v>
      </c>
      <c r="R68" s="1416" t="s">
        <v>414</v>
      </c>
    </row>
    <row r="69" spans="1:18" s="1380" customFormat="1" ht="13.5" thickBot="1">
      <c r="A69" s="947"/>
      <c r="B69" s="948"/>
      <c r="C69" s="303"/>
      <c r="D69" s="966" t="s">
        <v>762</v>
      </c>
      <c r="E69" s="946" t="s">
        <v>763</v>
      </c>
      <c r="F69" s="330">
        <f ca="1">F41</f>
        <v>0</v>
      </c>
      <c r="O69" s="1424" t="s">
        <v>411</v>
      </c>
      <c r="P69" s="1463" t="s">
        <v>872</v>
      </c>
      <c r="Q69" s="1416">
        <f ca="1">C39</f>
        <v>0</v>
      </c>
      <c r="R69" s="1416" t="s">
        <v>818</v>
      </c>
    </row>
    <row r="70" spans="1:18" s="1380" customFormat="1" ht="13.5" thickBot="1">
      <c r="A70" s="950"/>
      <c r="B70" s="951"/>
      <c r="C70" s="307"/>
      <c r="D70" s="962"/>
      <c r="E70" s="946" t="s">
        <v>766</v>
      </c>
      <c r="F70" s="1050"/>
      <c r="O70" s="1424" t="s">
        <v>412</v>
      </c>
      <c r="P70" s="1463" t="s">
        <v>873</v>
      </c>
      <c r="Q70" s="1416">
        <f ca="1">C13</f>
        <v>0</v>
      </c>
      <c r="R70" s="1416" t="s">
        <v>818</v>
      </c>
    </row>
    <row r="71" spans="1:18" s="1380" customFormat="1" ht="13.5" thickBot="1">
      <c r="A71" s="967" t="s">
        <v>396</v>
      </c>
      <c r="B71" s="968" t="s">
        <v>776</v>
      </c>
      <c r="C71" s="333" t="e">
        <f ca="1">ROUND(C68/F71,0)</f>
        <v>#DIV/0!</v>
      </c>
      <c r="D71" s="969" t="s">
        <v>777</v>
      </c>
      <c r="E71" s="970" t="s">
        <v>778</v>
      </c>
      <c r="F71" s="336">
        <f ca="1">F43</f>
        <v>0</v>
      </c>
      <c r="O71" s="1424" t="s">
        <v>413</v>
      </c>
      <c r="P71" s="1463" t="s">
        <v>874</v>
      </c>
      <c r="Q71" s="1427">
        <f ca="1">C76</f>
        <v>0</v>
      </c>
      <c r="R71" s="1416"/>
    </row>
    <row r="72" spans="1:18" s="1380" customFormat="1" ht="13.5" thickBot="1">
      <c r="B72" s="722"/>
      <c r="C72" s="722"/>
      <c r="O72" s="1424" t="s">
        <v>407</v>
      </c>
      <c r="P72" s="1415" t="s">
        <v>852</v>
      </c>
      <c r="Q72" s="1427">
        <f>L52</f>
        <v>0</v>
      </c>
      <c r="R72" s="1416"/>
    </row>
    <row r="73" spans="1:18" ht="16.5" thickBot="1">
      <c r="A73" s="1380"/>
      <c r="B73" s="722"/>
      <c r="C73" s="722"/>
      <c r="D73" s="1380"/>
      <c r="E73" s="1380"/>
      <c r="F73" s="1380"/>
      <c r="O73" s="1424" t="s">
        <v>408</v>
      </c>
      <c r="P73" s="1415" t="s">
        <v>855</v>
      </c>
      <c r="Q73" s="1416" t="e">
        <f ca="1">L58</f>
        <v>#DIV/0!</v>
      </c>
      <c r="R73" s="1416" t="s">
        <v>856</v>
      </c>
    </row>
    <row r="74" spans="1:18" ht="13.5" thickBot="1">
      <c r="A74" s="1380"/>
      <c r="B74" s="270" t="s">
        <v>875</v>
      </c>
      <c r="C74" s="1465"/>
      <c r="D74" s="1380"/>
      <c r="E74" s="1380"/>
      <c r="F74" s="1380"/>
      <c r="O74" s="1424" t="s">
        <v>415</v>
      </c>
      <c r="P74" s="1415" t="str">
        <f>K59</f>
        <v>建筑物剩余耐用年限下的土地年期修正系数Kn</v>
      </c>
      <c r="Q74" s="1416" t="e">
        <f ca="1">L59</f>
        <v>#DIV/0!</v>
      </c>
      <c r="R74" s="1416" t="s">
        <v>857</v>
      </c>
    </row>
    <row r="75" spans="1:18" ht="13.5" thickBot="1">
      <c r="A75" s="1380"/>
      <c r="B75" s="337" t="s">
        <v>795</v>
      </c>
      <c r="C75" s="338">
        <f ca="1">ROUND(C13*C76,0)</f>
        <v>0</v>
      </c>
      <c r="D75" s="1380"/>
      <c r="E75" s="1380"/>
      <c r="F75" s="1380"/>
      <c r="K75" s="1398"/>
      <c r="L75" s="1380"/>
      <c r="O75" s="1414" t="s">
        <v>409</v>
      </c>
      <c r="P75" s="1415" t="s">
        <v>838</v>
      </c>
      <c r="Q75" s="1416" t="e">
        <f ca="1">Q65+Q66</f>
        <v>#DIV/0!</v>
      </c>
      <c r="R75" s="1416" t="s">
        <v>410</v>
      </c>
    </row>
    <row r="76" spans="1:18">
      <c r="B76" s="339" t="s">
        <v>796</v>
      </c>
      <c r="C76" s="340">
        <f ca="1">INDIRECT("'数据-取费表'!j"&amp;$G$1)</f>
        <v>0</v>
      </c>
      <c r="I76" s="1380"/>
      <c r="J76" s="1380"/>
      <c r="K76" s="1398"/>
      <c r="L76" s="1380"/>
    </row>
    <row r="77" spans="1:18">
      <c r="B77" s="341" t="s">
        <v>797</v>
      </c>
      <c r="C77" s="342"/>
      <c r="I77" s="1380"/>
      <c r="J77" s="1380"/>
      <c r="K77" s="1398"/>
      <c r="L77" s="1380"/>
    </row>
    <row r="78" spans="1:18">
      <c r="B78" s="267" t="s">
        <v>798</v>
      </c>
      <c r="C78" s="343"/>
    </row>
    <row r="79" spans="1:18">
      <c r="B79" s="337" t="s">
        <v>799</v>
      </c>
      <c r="C79" s="271" t="e">
        <f ca="1">1-C80</f>
        <v>#DIV/0!</v>
      </c>
    </row>
    <row r="80" spans="1:18">
      <c r="B80" s="337" t="s">
        <v>800</v>
      </c>
      <c r="C80" s="271" t="e">
        <f ca="1">ROUND(C75/C39,3)</f>
        <v>#DIV/0!</v>
      </c>
    </row>
    <row r="81" spans="2:3">
      <c r="B81" s="267" t="s">
        <v>801</v>
      </c>
      <c r="C81" s="235"/>
    </row>
    <row r="82" spans="2:3">
      <c r="B82" s="270" t="s">
        <v>802</v>
      </c>
      <c r="C82" s="272" t="e">
        <f ca="1">1-C83</f>
        <v>#DIV/0!</v>
      </c>
    </row>
    <row r="83" spans="2:3">
      <c r="B83" s="270" t="s">
        <v>803</v>
      </c>
      <c r="C83" s="271" t="e">
        <f ca="1">ROUND(C13/C40,3)</f>
        <v>#DIV/0!</v>
      </c>
    </row>
  </sheetData>
  <sheetProtection password="CEE9" sheet="1" objects="1" scenarios="1" formatCells="0" formatColumns="0" formatRows="0"/>
  <mergeCells count="3">
    <mergeCell ref="B6:B9"/>
    <mergeCell ref="I6:I9"/>
    <mergeCell ref="K53:L53"/>
  </mergeCells>
  <phoneticPr fontId="137" type="noConversion"/>
  <conditionalFormatting sqref="K55 K60">
    <cfRule type="expression" dxfId="143" priority="4">
      <formula>$L$48&gt;$J$51</formula>
    </cfRule>
  </conditionalFormatting>
  <conditionalFormatting sqref="I55 I60">
    <cfRule type="expression" dxfId="142" priority="5">
      <formula>$J$51&gt;$L$48</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4">
    <cfRule type="expression" dxfId="139"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E2" sqref="E2"/>
    </sheetView>
  </sheetViews>
  <sheetFormatPr defaultColWidth="8.875" defaultRowHeight="13.35" customHeight="1"/>
  <cols>
    <col min="1" max="1" width="9.5" style="2834" customWidth="1"/>
    <col min="2" max="2" width="8.875" style="2834"/>
    <col min="3" max="5" width="12.875" style="2834" customWidth="1"/>
    <col min="6" max="6" width="47.5" style="2834" customWidth="1"/>
    <col min="7" max="7" width="13" style="2993" customWidth="1"/>
    <col min="8" max="8" width="8.875" style="2828"/>
    <col min="9" max="9" width="8.875" style="2829"/>
    <col min="10" max="10" width="5.875" style="2994" customWidth="1"/>
    <col min="11" max="11" width="11.875" style="2994" customWidth="1"/>
    <col min="12" max="13" width="10.875" style="2994" customWidth="1"/>
    <col min="14" max="14" width="10" style="2994" customWidth="1"/>
    <col min="15" max="16" width="10.5" style="2994" bestFit="1" customWidth="1"/>
    <col min="17" max="17" width="10" style="2994" customWidth="1"/>
    <col min="18" max="18" width="10.125" style="2994" customWidth="1"/>
    <col min="19" max="19" width="10" style="2994" customWidth="1"/>
    <col min="20" max="20" width="26.125" style="2994" customWidth="1"/>
    <col min="21" max="21" width="8.875" style="2994"/>
    <col min="22" max="22" width="8.875" style="2829"/>
    <col min="23" max="256" width="8.875" style="2834"/>
    <col min="257" max="257" width="9.5" style="2834" customWidth="1"/>
    <col min="258" max="258" width="8.875" style="2834"/>
    <col min="259" max="261" width="12.875" style="2834" customWidth="1"/>
    <col min="262" max="262" width="47.5" style="2834" customWidth="1"/>
    <col min="263" max="263" width="13" style="2834" customWidth="1"/>
    <col min="264" max="265" width="8.875" style="2834"/>
    <col min="266" max="266" width="5.875" style="2834" customWidth="1"/>
    <col min="267" max="267" width="11.875" style="2834" customWidth="1"/>
    <col min="268" max="269" width="10.875" style="2834" customWidth="1"/>
    <col min="270" max="270" width="10" style="2834" customWidth="1"/>
    <col min="271" max="272" width="10.5" style="2834" bestFit="1" customWidth="1"/>
    <col min="273" max="273" width="10" style="2834" customWidth="1"/>
    <col min="274" max="274" width="10.125" style="2834" customWidth="1"/>
    <col min="275" max="275" width="10" style="2834" customWidth="1"/>
    <col min="276" max="276" width="26.125" style="2834" customWidth="1"/>
    <col min="277" max="512" width="8.875" style="2834"/>
    <col min="513" max="513" width="9.5" style="2834" customWidth="1"/>
    <col min="514" max="514" width="8.875" style="2834"/>
    <col min="515" max="517" width="12.875" style="2834" customWidth="1"/>
    <col min="518" max="518" width="47.5" style="2834" customWidth="1"/>
    <col min="519" max="519" width="13" style="2834" customWidth="1"/>
    <col min="520" max="521" width="8.875" style="2834"/>
    <col min="522" max="522" width="5.875" style="2834" customWidth="1"/>
    <col min="523" max="523" width="11.875" style="2834" customWidth="1"/>
    <col min="524" max="525" width="10.875" style="2834" customWidth="1"/>
    <col min="526" max="526" width="10" style="2834" customWidth="1"/>
    <col min="527" max="528" width="10.5" style="2834" bestFit="1" customWidth="1"/>
    <col min="529" max="529" width="10" style="2834" customWidth="1"/>
    <col min="530" max="530" width="10.125" style="2834" customWidth="1"/>
    <col min="531" max="531" width="10" style="2834" customWidth="1"/>
    <col min="532" max="532" width="26.125" style="2834" customWidth="1"/>
    <col min="533" max="768" width="8.875" style="2834"/>
    <col min="769" max="769" width="9.5" style="2834" customWidth="1"/>
    <col min="770" max="770" width="8.875" style="2834"/>
    <col min="771" max="773" width="12.875" style="2834" customWidth="1"/>
    <col min="774" max="774" width="47.5" style="2834" customWidth="1"/>
    <col min="775" max="775" width="13" style="2834" customWidth="1"/>
    <col min="776" max="777" width="8.875" style="2834"/>
    <col min="778" max="778" width="5.875" style="2834" customWidth="1"/>
    <col min="779" max="779" width="11.875" style="2834" customWidth="1"/>
    <col min="780" max="781" width="10.875" style="2834" customWidth="1"/>
    <col min="782" max="782" width="10" style="2834" customWidth="1"/>
    <col min="783" max="784" width="10.5" style="2834" bestFit="1" customWidth="1"/>
    <col min="785" max="785" width="10" style="2834" customWidth="1"/>
    <col min="786" max="786" width="10.125" style="2834" customWidth="1"/>
    <col min="787" max="787" width="10" style="2834" customWidth="1"/>
    <col min="788" max="788" width="26.125" style="2834" customWidth="1"/>
    <col min="789" max="1024" width="8.875" style="2834"/>
    <col min="1025" max="1025" width="9.5" style="2834" customWidth="1"/>
    <col min="1026" max="1026" width="8.875" style="2834"/>
    <col min="1027" max="1029" width="12.875" style="2834" customWidth="1"/>
    <col min="1030" max="1030" width="47.5" style="2834" customWidth="1"/>
    <col min="1031" max="1031" width="13" style="2834" customWidth="1"/>
    <col min="1032" max="1033" width="8.875" style="2834"/>
    <col min="1034" max="1034" width="5.875" style="2834" customWidth="1"/>
    <col min="1035" max="1035" width="11.875" style="2834" customWidth="1"/>
    <col min="1036" max="1037" width="10.875" style="2834" customWidth="1"/>
    <col min="1038" max="1038" width="10" style="2834" customWidth="1"/>
    <col min="1039" max="1040" width="10.5" style="2834" bestFit="1" customWidth="1"/>
    <col min="1041" max="1041" width="10" style="2834" customWidth="1"/>
    <col min="1042" max="1042" width="10.125" style="2834" customWidth="1"/>
    <col min="1043" max="1043" width="10" style="2834" customWidth="1"/>
    <col min="1044" max="1044" width="26.125" style="2834" customWidth="1"/>
    <col min="1045" max="1280" width="8.875" style="2834"/>
    <col min="1281" max="1281" width="9.5" style="2834" customWidth="1"/>
    <col min="1282" max="1282" width="8.875" style="2834"/>
    <col min="1283" max="1285" width="12.875" style="2834" customWidth="1"/>
    <col min="1286" max="1286" width="47.5" style="2834" customWidth="1"/>
    <col min="1287" max="1287" width="13" style="2834" customWidth="1"/>
    <col min="1288" max="1289" width="8.875" style="2834"/>
    <col min="1290" max="1290" width="5.875" style="2834" customWidth="1"/>
    <col min="1291" max="1291" width="11.875" style="2834" customWidth="1"/>
    <col min="1292" max="1293" width="10.875" style="2834" customWidth="1"/>
    <col min="1294" max="1294" width="10" style="2834" customWidth="1"/>
    <col min="1295" max="1296" width="10.5" style="2834" bestFit="1" customWidth="1"/>
    <col min="1297" max="1297" width="10" style="2834" customWidth="1"/>
    <col min="1298" max="1298" width="10.125" style="2834" customWidth="1"/>
    <col min="1299" max="1299" width="10" style="2834" customWidth="1"/>
    <col min="1300" max="1300" width="26.125" style="2834" customWidth="1"/>
    <col min="1301" max="1536" width="8.875" style="2834"/>
    <col min="1537" max="1537" width="9.5" style="2834" customWidth="1"/>
    <col min="1538" max="1538" width="8.875" style="2834"/>
    <col min="1539" max="1541" width="12.875" style="2834" customWidth="1"/>
    <col min="1542" max="1542" width="47.5" style="2834" customWidth="1"/>
    <col min="1543" max="1543" width="13" style="2834" customWidth="1"/>
    <col min="1544" max="1545" width="8.875" style="2834"/>
    <col min="1546" max="1546" width="5.875" style="2834" customWidth="1"/>
    <col min="1547" max="1547" width="11.875" style="2834" customWidth="1"/>
    <col min="1548" max="1549" width="10.875" style="2834" customWidth="1"/>
    <col min="1550" max="1550" width="10" style="2834" customWidth="1"/>
    <col min="1551" max="1552" width="10.5" style="2834" bestFit="1" customWidth="1"/>
    <col min="1553" max="1553" width="10" style="2834" customWidth="1"/>
    <col min="1554" max="1554" width="10.125" style="2834" customWidth="1"/>
    <col min="1555" max="1555" width="10" style="2834" customWidth="1"/>
    <col min="1556" max="1556" width="26.125" style="2834" customWidth="1"/>
    <col min="1557" max="1792" width="8.875" style="2834"/>
    <col min="1793" max="1793" width="9.5" style="2834" customWidth="1"/>
    <col min="1794" max="1794" width="8.875" style="2834"/>
    <col min="1795" max="1797" width="12.875" style="2834" customWidth="1"/>
    <col min="1798" max="1798" width="47.5" style="2834" customWidth="1"/>
    <col min="1799" max="1799" width="13" style="2834" customWidth="1"/>
    <col min="1800" max="1801" width="8.875" style="2834"/>
    <col min="1802" max="1802" width="5.875" style="2834" customWidth="1"/>
    <col min="1803" max="1803" width="11.875" style="2834" customWidth="1"/>
    <col min="1804" max="1805" width="10.875" style="2834" customWidth="1"/>
    <col min="1806" max="1806" width="10" style="2834" customWidth="1"/>
    <col min="1807" max="1808" width="10.5" style="2834" bestFit="1" customWidth="1"/>
    <col min="1809" max="1809" width="10" style="2834" customWidth="1"/>
    <col min="1810" max="1810" width="10.125" style="2834" customWidth="1"/>
    <col min="1811" max="1811" width="10" style="2834" customWidth="1"/>
    <col min="1812" max="1812" width="26.125" style="2834" customWidth="1"/>
    <col min="1813" max="2048" width="8.875" style="2834"/>
    <col min="2049" max="2049" width="9.5" style="2834" customWidth="1"/>
    <col min="2050" max="2050" width="8.875" style="2834"/>
    <col min="2051" max="2053" width="12.875" style="2834" customWidth="1"/>
    <col min="2054" max="2054" width="47.5" style="2834" customWidth="1"/>
    <col min="2055" max="2055" width="13" style="2834" customWidth="1"/>
    <col min="2056" max="2057" width="8.875" style="2834"/>
    <col min="2058" max="2058" width="5.875" style="2834" customWidth="1"/>
    <col min="2059" max="2059" width="11.875" style="2834" customWidth="1"/>
    <col min="2060" max="2061" width="10.875" style="2834" customWidth="1"/>
    <col min="2062" max="2062" width="10" style="2834" customWidth="1"/>
    <col min="2063" max="2064" width="10.5" style="2834" bestFit="1" customWidth="1"/>
    <col min="2065" max="2065" width="10" style="2834" customWidth="1"/>
    <col min="2066" max="2066" width="10.125" style="2834" customWidth="1"/>
    <col min="2067" max="2067" width="10" style="2834" customWidth="1"/>
    <col min="2068" max="2068" width="26.125" style="2834" customWidth="1"/>
    <col min="2069" max="2304" width="8.875" style="2834"/>
    <col min="2305" max="2305" width="9.5" style="2834" customWidth="1"/>
    <col min="2306" max="2306" width="8.875" style="2834"/>
    <col min="2307" max="2309" width="12.875" style="2834" customWidth="1"/>
    <col min="2310" max="2310" width="47.5" style="2834" customWidth="1"/>
    <col min="2311" max="2311" width="13" style="2834" customWidth="1"/>
    <col min="2312" max="2313" width="8.875" style="2834"/>
    <col min="2314" max="2314" width="5.875" style="2834" customWidth="1"/>
    <col min="2315" max="2315" width="11.875" style="2834" customWidth="1"/>
    <col min="2316" max="2317" width="10.875" style="2834" customWidth="1"/>
    <col min="2318" max="2318" width="10" style="2834" customWidth="1"/>
    <col min="2319" max="2320" width="10.5" style="2834" bestFit="1" customWidth="1"/>
    <col min="2321" max="2321" width="10" style="2834" customWidth="1"/>
    <col min="2322" max="2322" width="10.125" style="2834" customWidth="1"/>
    <col min="2323" max="2323" width="10" style="2834" customWidth="1"/>
    <col min="2324" max="2324" width="26.125" style="2834" customWidth="1"/>
    <col min="2325" max="2560" width="8.875" style="2834"/>
    <col min="2561" max="2561" width="9.5" style="2834" customWidth="1"/>
    <col min="2562" max="2562" width="8.875" style="2834"/>
    <col min="2563" max="2565" width="12.875" style="2834" customWidth="1"/>
    <col min="2566" max="2566" width="47.5" style="2834" customWidth="1"/>
    <col min="2567" max="2567" width="13" style="2834" customWidth="1"/>
    <col min="2568" max="2569" width="8.875" style="2834"/>
    <col min="2570" max="2570" width="5.875" style="2834" customWidth="1"/>
    <col min="2571" max="2571" width="11.875" style="2834" customWidth="1"/>
    <col min="2572" max="2573" width="10.875" style="2834" customWidth="1"/>
    <col min="2574" max="2574" width="10" style="2834" customWidth="1"/>
    <col min="2575" max="2576" width="10.5" style="2834" bestFit="1" customWidth="1"/>
    <col min="2577" max="2577" width="10" style="2834" customWidth="1"/>
    <col min="2578" max="2578" width="10.125" style="2834" customWidth="1"/>
    <col min="2579" max="2579" width="10" style="2834" customWidth="1"/>
    <col min="2580" max="2580" width="26.125" style="2834" customWidth="1"/>
    <col min="2581" max="2816" width="8.875" style="2834"/>
    <col min="2817" max="2817" width="9.5" style="2834" customWidth="1"/>
    <col min="2818" max="2818" width="8.875" style="2834"/>
    <col min="2819" max="2821" width="12.875" style="2834" customWidth="1"/>
    <col min="2822" max="2822" width="47.5" style="2834" customWidth="1"/>
    <col min="2823" max="2823" width="13" style="2834" customWidth="1"/>
    <col min="2824" max="2825" width="8.875" style="2834"/>
    <col min="2826" max="2826" width="5.875" style="2834" customWidth="1"/>
    <col min="2827" max="2827" width="11.875" style="2834" customWidth="1"/>
    <col min="2828" max="2829" width="10.875" style="2834" customWidth="1"/>
    <col min="2830" max="2830" width="10" style="2834" customWidth="1"/>
    <col min="2831" max="2832" width="10.5" style="2834" bestFit="1" customWidth="1"/>
    <col min="2833" max="2833" width="10" style="2834" customWidth="1"/>
    <col min="2834" max="2834" width="10.125" style="2834" customWidth="1"/>
    <col min="2835" max="2835" width="10" style="2834" customWidth="1"/>
    <col min="2836" max="2836" width="26.125" style="2834" customWidth="1"/>
    <col min="2837" max="3072" width="8.875" style="2834"/>
    <col min="3073" max="3073" width="9.5" style="2834" customWidth="1"/>
    <col min="3074" max="3074" width="8.875" style="2834"/>
    <col min="3075" max="3077" width="12.875" style="2834" customWidth="1"/>
    <col min="3078" max="3078" width="47.5" style="2834" customWidth="1"/>
    <col min="3079" max="3079" width="13" style="2834" customWidth="1"/>
    <col min="3080" max="3081" width="8.875" style="2834"/>
    <col min="3082" max="3082" width="5.875" style="2834" customWidth="1"/>
    <col min="3083" max="3083" width="11.875" style="2834" customWidth="1"/>
    <col min="3084" max="3085" width="10.875" style="2834" customWidth="1"/>
    <col min="3086" max="3086" width="10" style="2834" customWidth="1"/>
    <col min="3087" max="3088" width="10.5" style="2834" bestFit="1" customWidth="1"/>
    <col min="3089" max="3089" width="10" style="2834" customWidth="1"/>
    <col min="3090" max="3090" width="10.125" style="2834" customWidth="1"/>
    <col min="3091" max="3091" width="10" style="2834" customWidth="1"/>
    <col min="3092" max="3092" width="26.125" style="2834" customWidth="1"/>
    <col min="3093" max="3328" width="8.875" style="2834"/>
    <col min="3329" max="3329" width="9.5" style="2834" customWidth="1"/>
    <col min="3330" max="3330" width="8.875" style="2834"/>
    <col min="3331" max="3333" width="12.875" style="2834" customWidth="1"/>
    <col min="3334" max="3334" width="47.5" style="2834" customWidth="1"/>
    <col min="3335" max="3335" width="13" style="2834" customWidth="1"/>
    <col min="3336" max="3337" width="8.875" style="2834"/>
    <col min="3338" max="3338" width="5.875" style="2834" customWidth="1"/>
    <col min="3339" max="3339" width="11.875" style="2834" customWidth="1"/>
    <col min="3340" max="3341" width="10.875" style="2834" customWidth="1"/>
    <col min="3342" max="3342" width="10" style="2834" customWidth="1"/>
    <col min="3343" max="3344" width="10.5" style="2834" bestFit="1" customWidth="1"/>
    <col min="3345" max="3345" width="10" style="2834" customWidth="1"/>
    <col min="3346" max="3346" width="10.125" style="2834" customWidth="1"/>
    <col min="3347" max="3347" width="10" style="2834" customWidth="1"/>
    <col min="3348" max="3348" width="26.125" style="2834" customWidth="1"/>
    <col min="3349" max="3584" width="8.875" style="2834"/>
    <col min="3585" max="3585" width="9.5" style="2834" customWidth="1"/>
    <col min="3586" max="3586" width="8.875" style="2834"/>
    <col min="3587" max="3589" width="12.875" style="2834" customWidth="1"/>
    <col min="3590" max="3590" width="47.5" style="2834" customWidth="1"/>
    <col min="3591" max="3591" width="13" style="2834" customWidth="1"/>
    <col min="3592" max="3593" width="8.875" style="2834"/>
    <col min="3594" max="3594" width="5.875" style="2834" customWidth="1"/>
    <col min="3595" max="3595" width="11.875" style="2834" customWidth="1"/>
    <col min="3596" max="3597" width="10.875" style="2834" customWidth="1"/>
    <col min="3598" max="3598" width="10" style="2834" customWidth="1"/>
    <col min="3599" max="3600" width="10.5" style="2834" bestFit="1" customWidth="1"/>
    <col min="3601" max="3601" width="10" style="2834" customWidth="1"/>
    <col min="3602" max="3602" width="10.125" style="2834" customWidth="1"/>
    <col min="3603" max="3603" width="10" style="2834" customWidth="1"/>
    <col min="3604" max="3604" width="26.125" style="2834" customWidth="1"/>
    <col min="3605" max="3840" width="8.875" style="2834"/>
    <col min="3841" max="3841" width="9.5" style="2834" customWidth="1"/>
    <col min="3842" max="3842" width="8.875" style="2834"/>
    <col min="3843" max="3845" width="12.875" style="2834" customWidth="1"/>
    <col min="3846" max="3846" width="47.5" style="2834" customWidth="1"/>
    <col min="3847" max="3847" width="13" style="2834" customWidth="1"/>
    <col min="3848" max="3849" width="8.875" style="2834"/>
    <col min="3850" max="3850" width="5.875" style="2834" customWidth="1"/>
    <col min="3851" max="3851" width="11.875" style="2834" customWidth="1"/>
    <col min="3852" max="3853" width="10.875" style="2834" customWidth="1"/>
    <col min="3854" max="3854" width="10" style="2834" customWidth="1"/>
    <col min="3855" max="3856" width="10.5" style="2834" bestFit="1" customWidth="1"/>
    <col min="3857" max="3857" width="10" style="2834" customWidth="1"/>
    <col min="3858" max="3858" width="10.125" style="2834" customWidth="1"/>
    <col min="3859" max="3859" width="10" style="2834" customWidth="1"/>
    <col min="3860" max="3860" width="26.125" style="2834" customWidth="1"/>
    <col min="3861" max="4096" width="8.875" style="2834"/>
    <col min="4097" max="4097" width="9.5" style="2834" customWidth="1"/>
    <col min="4098" max="4098" width="8.875" style="2834"/>
    <col min="4099" max="4101" width="12.875" style="2834" customWidth="1"/>
    <col min="4102" max="4102" width="47.5" style="2834" customWidth="1"/>
    <col min="4103" max="4103" width="13" style="2834" customWidth="1"/>
    <col min="4104" max="4105" width="8.875" style="2834"/>
    <col min="4106" max="4106" width="5.875" style="2834" customWidth="1"/>
    <col min="4107" max="4107" width="11.875" style="2834" customWidth="1"/>
    <col min="4108" max="4109" width="10.875" style="2834" customWidth="1"/>
    <col min="4110" max="4110" width="10" style="2834" customWidth="1"/>
    <col min="4111" max="4112" width="10.5" style="2834" bestFit="1" customWidth="1"/>
    <col min="4113" max="4113" width="10" style="2834" customWidth="1"/>
    <col min="4114" max="4114" width="10.125" style="2834" customWidth="1"/>
    <col min="4115" max="4115" width="10" style="2834" customWidth="1"/>
    <col min="4116" max="4116" width="26.125" style="2834" customWidth="1"/>
    <col min="4117" max="4352" width="8.875" style="2834"/>
    <col min="4353" max="4353" width="9.5" style="2834" customWidth="1"/>
    <col min="4354" max="4354" width="8.875" style="2834"/>
    <col min="4355" max="4357" width="12.875" style="2834" customWidth="1"/>
    <col min="4358" max="4358" width="47.5" style="2834" customWidth="1"/>
    <col min="4359" max="4359" width="13" style="2834" customWidth="1"/>
    <col min="4360" max="4361" width="8.875" style="2834"/>
    <col min="4362" max="4362" width="5.875" style="2834" customWidth="1"/>
    <col min="4363" max="4363" width="11.875" style="2834" customWidth="1"/>
    <col min="4364" max="4365" width="10.875" style="2834" customWidth="1"/>
    <col min="4366" max="4366" width="10" style="2834" customWidth="1"/>
    <col min="4367" max="4368" width="10.5" style="2834" bestFit="1" customWidth="1"/>
    <col min="4369" max="4369" width="10" style="2834" customWidth="1"/>
    <col min="4370" max="4370" width="10.125" style="2834" customWidth="1"/>
    <col min="4371" max="4371" width="10" style="2834" customWidth="1"/>
    <col min="4372" max="4372" width="26.125" style="2834" customWidth="1"/>
    <col min="4373" max="4608" width="8.875" style="2834"/>
    <col min="4609" max="4609" width="9.5" style="2834" customWidth="1"/>
    <col min="4610" max="4610" width="8.875" style="2834"/>
    <col min="4611" max="4613" width="12.875" style="2834" customWidth="1"/>
    <col min="4614" max="4614" width="47.5" style="2834" customWidth="1"/>
    <col min="4615" max="4615" width="13" style="2834" customWidth="1"/>
    <col min="4616" max="4617" width="8.875" style="2834"/>
    <col min="4618" max="4618" width="5.875" style="2834" customWidth="1"/>
    <col min="4619" max="4619" width="11.875" style="2834" customWidth="1"/>
    <col min="4620" max="4621" width="10.875" style="2834" customWidth="1"/>
    <col min="4622" max="4622" width="10" style="2834" customWidth="1"/>
    <col min="4623" max="4624" width="10.5" style="2834" bestFit="1" customWidth="1"/>
    <col min="4625" max="4625" width="10" style="2834" customWidth="1"/>
    <col min="4626" max="4626" width="10.125" style="2834" customWidth="1"/>
    <col min="4627" max="4627" width="10" style="2834" customWidth="1"/>
    <col min="4628" max="4628" width="26.125" style="2834" customWidth="1"/>
    <col min="4629" max="4864" width="8.875" style="2834"/>
    <col min="4865" max="4865" width="9.5" style="2834" customWidth="1"/>
    <col min="4866" max="4866" width="8.875" style="2834"/>
    <col min="4867" max="4869" width="12.875" style="2834" customWidth="1"/>
    <col min="4870" max="4870" width="47.5" style="2834" customWidth="1"/>
    <col min="4871" max="4871" width="13" style="2834" customWidth="1"/>
    <col min="4872" max="4873" width="8.875" style="2834"/>
    <col min="4874" max="4874" width="5.875" style="2834" customWidth="1"/>
    <col min="4875" max="4875" width="11.875" style="2834" customWidth="1"/>
    <col min="4876" max="4877" width="10.875" style="2834" customWidth="1"/>
    <col min="4878" max="4878" width="10" style="2834" customWidth="1"/>
    <col min="4879" max="4880" width="10.5" style="2834" bestFit="1" customWidth="1"/>
    <col min="4881" max="4881" width="10" style="2834" customWidth="1"/>
    <col min="4882" max="4882" width="10.125" style="2834" customWidth="1"/>
    <col min="4883" max="4883" width="10" style="2834" customWidth="1"/>
    <col min="4884" max="4884" width="26.125" style="2834" customWidth="1"/>
    <col min="4885" max="5120" width="8.875" style="2834"/>
    <col min="5121" max="5121" width="9.5" style="2834" customWidth="1"/>
    <col min="5122" max="5122" width="8.875" style="2834"/>
    <col min="5123" max="5125" width="12.875" style="2834" customWidth="1"/>
    <col min="5126" max="5126" width="47.5" style="2834" customWidth="1"/>
    <col min="5127" max="5127" width="13" style="2834" customWidth="1"/>
    <col min="5128" max="5129" width="8.875" style="2834"/>
    <col min="5130" max="5130" width="5.875" style="2834" customWidth="1"/>
    <col min="5131" max="5131" width="11.875" style="2834" customWidth="1"/>
    <col min="5132" max="5133" width="10.875" style="2834" customWidth="1"/>
    <col min="5134" max="5134" width="10" style="2834" customWidth="1"/>
    <col min="5135" max="5136" width="10.5" style="2834" bestFit="1" customWidth="1"/>
    <col min="5137" max="5137" width="10" style="2834" customWidth="1"/>
    <col min="5138" max="5138" width="10.125" style="2834" customWidth="1"/>
    <col min="5139" max="5139" width="10" style="2834" customWidth="1"/>
    <col min="5140" max="5140" width="26.125" style="2834" customWidth="1"/>
    <col min="5141" max="5376" width="8.875" style="2834"/>
    <col min="5377" max="5377" width="9.5" style="2834" customWidth="1"/>
    <col min="5378" max="5378" width="8.875" style="2834"/>
    <col min="5379" max="5381" width="12.875" style="2834" customWidth="1"/>
    <col min="5382" max="5382" width="47.5" style="2834" customWidth="1"/>
    <col min="5383" max="5383" width="13" style="2834" customWidth="1"/>
    <col min="5384" max="5385" width="8.875" style="2834"/>
    <col min="5386" max="5386" width="5.875" style="2834" customWidth="1"/>
    <col min="5387" max="5387" width="11.875" style="2834" customWidth="1"/>
    <col min="5388" max="5389" width="10.875" style="2834" customWidth="1"/>
    <col min="5390" max="5390" width="10" style="2834" customWidth="1"/>
    <col min="5391" max="5392" width="10.5" style="2834" bestFit="1" customWidth="1"/>
    <col min="5393" max="5393" width="10" style="2834" customWidth="1"/>
    <col min="5394" max="5394" width="10.125" style="2834" customWidth="1"/>
    <col min="5395" max="5395" width="10" style="2834" customWidth="1"/>
    <col min="5396" max="5396" width="26.125" style="2834" customWidth="1"/>
    <col min="5397" max="5632" width="8.875" style="2834"/>
    <col min="5633" max="5633" width="9.5" style="2834" customWidth="1"/>
    <col min="5634" max="5634" width="8.875" style="2834"/>
    <col min="5635" max="5637" width="12.875" style="2834" customWidth="1"/>
    <col min="5638" max="5638" width="47.5" style="2834" customWidth="1"/>
    <col min="5639" max="5639" width="13" style="2834" customWidth="1"/>
    <col min="5640" max="5641" width="8.875" style="2834"/>
    <col min="5642" max="5642" width="5.875" style="2834" customWidth="1"/>
    <col min="5643" max="5643" width="11.875" style="2834" customWidth="1"/>
    <col min="5644" max="5645" width="10.875" style="2834" customWidth="1"/>
    <col min="5646" max="5646" width="10" style="2834" customWidth="1"/>
    <col min="5647" max="5648" width="10.5" style="2834" bestFit="1" customWidth="1"/>
    <col min="5649" max="5649" width="10" style="2834" customWidth="1"/>
    <col min="5650" max="5650" width="10.125" style="2834" customWidth="1"/>
    <col min="5651" max="5651" width="10" style="2834" customWidth="1"/>
    <col min="5652" max="5652" width="26.125" style="2834" customWidth="1"/>
    <col min="5653" max="5888" width="8.875" style="2834"/>
    <col min="5889" max="5889" width="9.5" style="2834" customWidth="1"/>
    <col min="5890" max="5890" width="8.875" style="2834"/>
    <col min="5891" max="5893" width="12.875" style="2834" customWidth="1"/>
    <col min="5894" max="5894" width="47.5" style="2834" customWidth="1"/>
    <col min="5895" max="5895" width="13" style="2834" customWidth="1"/>
    <col min="5896" max="5897" width="8.875" style="2834"/>
    <col min="5898" max="5898" width="5.875" style="2834" customWidth="1"/>
    <col min="5899" max="5899" width="11.875" style="2834" customWidth="1"/>
    <col min="5900" max="5901" width="10.875" style="2834" customWidth="1"/>
    <col min="5902" max="5902" width="10" style="2834" customWidth="1"/>
    <col min="5903" max="5904" width="10.5" style="2834" bestFit="1" customWidth="1"/>
    <col min="5905" max="5905" width="10" style="2834" customWidth="1"/>
    <col min="5906" max="5906" width="10.125" style="2834" customWidth="1"/>
    <col min="5907" max="5907" width="10" style="2834" customWidth="1"/>
    <col min="5908" max="5908" width="26.125" style="2834" customWidth="1"/>
    <col min="5909" max="6144" width="8.875" style="2834"/>
    <col min="6145" max="6145" width="9.5" style="2834" customWidth="1"/>
    <col min="6146" max="6146" width="8.875" style="2834"/>
    <col min="6147" max="6149" width="12.875" style="2834" customWidth="1"/>
    <col min="6150" max="6150" width="47.5" style="2834" customWidth="1"/>
    <col min="6151" max="6151" width="13" style="2834" customWidth="1"/>
    <col min="6152" max="6153" width="8.875" style="2834"/>
    <col min="6154" max="6154" width="5.875" style="2834" customWidth="1"/>
    <col min="6155" max="6155" width="11.875" style="2834" customWidth="1"/>
    <col min="6156" max="6157" width="10.875" style="2834" customWidth="1"/>
    <col min="6158" max="6158" width="10" style="2834" customWidth="1"/>
    <col min="6159" max="6160" width="10.5" style="2834" bestFit="1" customWidth="1"/>
    <col min="6161" max="6161" width="10" style="2834" customWidth="1"/>
    <col min="6162" max="6162" width="10.125" style="2834" customWidth="1"/>
    <col min="6163" max="6163" width="10" style="2834" customWidth="1"/>
    <col min="6164" max="6164" width="26.125" style="2834" customWidth="1"/>
    <col min="6165" max="6400" width="8.875" style="2834"/>
    <col min="6401" max="6401" width="9.5" style="2834" customWidth="1"/>
    <col min="6402" max="6402" width="8.875" style="2834"/>
    <col min="6403" max="6405" width="12.875" style="2834" customWidth="1"/>
    <col min="6406" max="6406" width="47.5" style="2834" customWidth="1"/>
    <col min="6407" max="6407" width="13" style="2834" customWidth="1"/>
    <col min="6408" max="6409" width="8.875" style="2834"/>
    <col min="6410" max="6410" width="5.875" style="2834" customWidth="1"/>
    <col min="6411" max="6411" width="11.875" style="2834" customWidth="1"/>
    <col min="6412" max="6413" width="10.875" style="2834" customWidth="1"/>
    <col min="6414" max="6414" width="10" style="2834" customWidth="1"/>
    <col min="6415" max="6416" width="10.5" style="2834" bestFit="1" customWidth="1"/>
    <col min="6417" max="6417" width="10" style="2834" customWidth="1"/>
    <col min="6418" max="6418" width="10.125" style="2834" customWidth="1"/>
    <col min="6419" max="6419" width="10" style="2834" customWidth="1"/>
    <col min="6420" max="6420" width="26.125" style="2834" customWidth="1"/>
    <col min="6421" max="6656" width="8.875" style="2834"/>
    <col min="6657" max="6657" width="9.5" style="2834" customWidth="1"/>
    <col min="6658" max="6658" width="8.875" style="2834"/>
    <col min="6659" max="6661" width="12.875" style="2834" customWidth="1"/>
    <col min="6662" max="6662" width="47.5" style="2834" customWidth="1"/>
    <col min="6663" max="6663" width="13" style="2834" customWidth="1"/>
    <col min="6664" max="6665" width="8.875" style="2834"/>
    <col min="6666" max="6666" width="5.875" style="2834" customWidth="1"/>
    <col min="6667" max="6667" width="11.875" style="2834" customWidth="1"/>
    <col min="6668" max="6669" width="10.875" style="2834" customWidth="1"/>
    <col min="6670" max="6670" width="10" style="2834" customWidth="1"/>
    <col min="6671" max="6672" width="10.5" style="2834" bestFit="1" customWidth="1"/>
    <col min="6673" max="6673" width="10" style="2834" customWidth="1"/>
    <col min="6674" max="6674" width="10.125" style="2834" customWidth="1"/>
    <col min="6675" max="6675" width="10" style="2834" customWidth="1"/>
    <col min="6676" max="6676" width="26.125" style="2834" customWidth="1"/>
    <col min="6677" max="6912" width="8.875" style="2834"/>
    <col min="6913" max="6913" width="9.5" style="2834" customWidth="1"/>
    <col min="6914" max="6914" width="8.875" style="2834"/>
    <col min="6915" max="6917" width="12.875" style="2834" customWidth="1"/>
    <col min="6918" max="6918" width="47.5" style="2834" customWidth="1"/>
    <col min="6919" max="6919" width="13" style="2834" customWidth="1"/>
    <col min="6920" max="6921" width="8.875" style="2834"/>
    <col min="6922" max="6922" width="5.875" style="2834" customWidth="1"/>
    <col min="6923" max="6923" width="11.875" style="2834" customWidth="1"/>
    <col min="6924" max="6925" width="10.875" style="2834" customWidth="1"/>
    <col min="6926" max="6926" width="10" style="2834" customWidth="1"/>
    <col min="6927" max="6928" width="10.5" style="2834" bestFit="1" customWidth="1"/>
    <col min="6929" max="6929" width="10" style="2834" customWidth="1"/>
    <col min="6930" max="6930" width="10.125" style="2834" customWidth="1"/>
    <col min="6931" max="6931" width="10" style="2834" customWidth="1"/>
    <col min="6932" max="6932" width="26.125" style="2834" customWidth="1"/>
    <col min="6933" max="7168" width="8.875" style="2834"/>
    <col min="7169" max="7169" width="9.5" style="2834" customWidth="1"/>
    <col min="7170" max="7170" width="8.875" style="2834"/>
    <col min="7171" max="7173" width="12.875" style="2834" customWidth="1"/>
    <col min="7174" max="7174" width="47.5" style="2834" customWidth="1"/>
    <col min="7175" max="7175" width="13" style="2834" customWidth="1"/>
    <col min="7176" max="7177" width="8.875" style="2834"/>
    <col min="7178" max="7178" width="5.875" style="2834" customWidth="1"/>
    <col min="7179" max="7179" width="11.875" style="2834" customWidth="1"/>
    <col min="7180" max="7181" width="10.875" style="2834" customWidth="1"/>
    <col min="7182" max="7182" width="10" style="2834" customWidth="1"/>
    <col min="7183" max="7184" width="10.5" style="2834" bestFit="1" customWidth="1"/>
    <col min="7185" max="7185" width="10" style="2834" customWidth="1"/>
    <col min="7186" max="7186" width="10.125" style="2834" customWidth="1"/>
    <col min="7187" max="7187" width="10" style="2834" customWidth="1"/>
    <col min="7188" max="7188" width="26.125" style="2834" customWidth="1"/>
    <col min="7189" max="7424" width="8.875" style="2834"/>
    <col min="7425" max="7425" width="9.5" style="2834" customWidth="1"/>
    <col min="7426" max="7426" width="8.875" style="2834"/>
    <col min="7427" max="7429" width="12.875" style="2834" customWidth="1"/>
    <col min="7430" max="7430" width="47.5" style="2834" customWidth="1"/>
    <col min="7431" max="7431" width="13" style="2834" customWidth="1"/>
    <col min="7432" max="7433" width="8.875" style="2834"/>
    <col min="7434" max="7434" width="5.875" style="2834" customWidth="1"/>
    <col min="7435" max="7435" width="11.875" style="2834" customWidth="1"/>
    <col min="7436" max="7437" width="10.875" style="2834" customWidth="1"/>
    <col min="7438" max="7438" width="10" style="2834" customWidth="1"/>
    <col min="7439" max="7440" width="10.5" style="2834" bestFit="1" customWidth="1"/>
    <col min="7441" max="7441" width="10" style="2834" customWidth="1"/>
    <col min="7442" max="7442" width="10.125" style="2834" customWidth="1"/>
    <col min="7443" max="7443" width="10" style="2834" customWidth="1"/>
    <col min="7444" max="7444" width="26.125" style="2834" customWidth="1"/>
    <col min="7445" max="7680" width="8.875" style="2834"/>
    <col min="7681" max="7681" width="9.5" style="2834" customWidth="1"/>
    <col min="7682" max="7682" width="8.875" style="2834"/>
    <col min="7683" max="7685" width="12.875" style="2834" customWidth="1"/>
    <col min="7686" max="7686" width="47.5" style="2834" customWidth="1"/>
    <col min="7687" max="7687" width="13" style="2834" customWidth="1"/>
    <col min="7688" max="7689" width="8.875" style="2834"/>
    <col min="7690" max="7690" width="5.875" style="2834" customWidth="1"/>
    <col min="7691" max="7691" width="11.875" style="2834" customWidth="1"/>
    <col min="7692" max="7693" width="10.875" style="2834" customWidth="1"/>
    <col min="7694" max="7694" width="10" style="2834" customWidth="1"/>
    <col min="7695" max="7696" width="10.5" style="2834" bestFit="1" customWidth="1"/>
    <col min="7697" max="7697" width="10" style="2834" customWidth="1"/>
    <col min="7698" max="7698" width="10.125" style="2834" customWidth="1"/>
    <col min="7699" max="7699" width="10" style="2834" customWidth="1"/>
    <col min="7700" max="7700" width="26.125" style="2834" customWidth="1"/>
    <col min="7701" max="7936" width="8.875" style="2834"/>
    <col min="7937" max="7937" width="9.5" style="2834" customWidth="1"/>
    <col min="7938" max="7938" width="8.875" style="2834"/>
    <col min="7939" max="7941" width="12.875" style="2834" customWidth="1"/>
    <col min="7942" max="7942" width="47.5" style="2834" customWidth="1"/>
    <col min="7943" max="7943" width="13" style="2834" customWidth="1"/>
    <col min="7944" max="7945" width="8.875" style="2834"/>
    <col min="7946" max="7946" width="5.875" style="2834" customWidth="1"/>
    <col min="7947" max="7947" width="11.875" style="2834" customWidth="1"/>
    <col min="7948" max="7949" width="10.875" style="2834" customWidth="1"/>
    <col min="7950" max="7950" width="10" style="2834" customWidth="1"/>
    <col min="7951" max="7952" width="10.5" style="2834" bestFit="1" customWidth="1"/>
    <col min="7953" max="7953" width="10" style="2834" customWidth="1"/>
    <col min="7954" max="7954" width="10.125" style="2834" customWidth="1"/>
    <col min="7955" max="7955" width="10" style="2834" customWidth="1"/>
    <col min="7956" max="7956" width="26.125" style="2834" customWidth="1"/>
    <col min="7957" max="8192" width="8.875" style="2834"/>
    <col min="8193" max="8193" width="9.5" style="2834" customWidth="1"/>
    <col min="8194" max="8194" width="8.875" style="2834"/>
    <col min="8195" max="8197" width="12.875" style="2834" customWidth="1"/>
    <col min="8198" max="8198" width="47.5" style="2834" customWidth="1"/>
    <col min="8199" max="8199" width="13" style="2834" customWidth="1"/>
    <col min="8200" max="8201" width="8.875" style="2834"/>
    <col min="8202" max="8202" width="5.875" style="2834" customWidth="1"/>
    <col min="8203" max="8203" width="11.875" style="2834" customWidth="1"/>
    <col min="8204" max="8205" width="10.875" style="2834" customWidth="1"/>
    <col min="8206" max="8206" width="10" style="2834" customWidth="1"/>
    <col min="8207" max="8208" width="10.5" style="2834" bestFit="1" customWidth="1"/>
    <col min="8209" max="8209" width="10" style="2834" customWidth="1"/>
    <col min="8210" max="8210" width="10.125" style="2834" customWidth="1"/>
    <col min="8211" max="8211" width="10" style="2834" customWidth="1"/>
    <col min="8212" max="8212" width="26.125" style="2834" customWidth="1"/>
    <col min="8213" max="8448" width="8.875" style="2834"/>
    <col min="8449" max="8449" width="9.5" style="2834" customWidth="1"/>
    <col min="8450" max="8450" width="8.875" style="2834"/>
    <col min="8451" max="8453" width="12.875" style="2834" customWidth="1"/>
    <col min="8454" max="8454" width="47.5" style="2834" customWidth="1"/>
    <col min="8455" max="8455" width="13" style="2834" customWidth="1"/>
    <col min="8456" max="8457" width="8.875" style="2834"/>
    <col min="8458" max="8458" width="5.875" style="2834" customWidth="1"/>
    <col min="8459" max="8459" width="11.875" style="2834" customWidth="1"/>
    <col min="8460" max="8461" width="10.875" style="2834" customWidth="1"/>
    <col min="8462" max="8462" width="10" style="2834" customWidth="1"/>
    <col min="8463" max="8464" width="10.5" style="2834" bestFit="1" customWidth="1"/>
    <col min="8465" max="8465" width="10" style="2834" customWidth="1"/>
    <col min="8466" max="8466" width="10.125" style="2834" customWidth="1"/>
    <col min="8467" max="8467" width="10" style="2834" customWidth="1"/>
    <col min="8468" max="8468" width="26.125" style="2834" customWidth="1"/>
    <col min="8469" max="8704" width="8.875" style="2834"/>
    <col min="8705" max="8705" width="9.5" style="2834" customWidth="1"/>
    <col min="8706" max="8706" width="8.875" style="2834"/>
    <col min="8707" max="8709" width="12.875" style="2834" customWidth="1"/>
    <col min="8710" max="8710" width="47.5" style="2834" customWidth="1"/>
    <col min="8711" max="8711" width="13" style="2834" customWidth="1"/>
    <col min="8712" max="8713" width="8.875" style="2834"/>
    <col min="8714" max="8714" width="5.875" style="2834" customWidth="1"/>
    <col min="8715" max="8715" width="11.875" style="2834" customWidth="1"/>
    <col min="8716" max="8717" width="10.875" style="2834" customWidth="1"/>
    <col min="8718" max="8718" width="10" style="2834" customWidth="1"/>
    <col min="8719" max="8720" width="10.5" style="2834" bestFit="1" customWidth="1"/>
    <col min="8721" max="8721" width="10" style="2834" customWidth="1"/>
    <col min="8722" max="8722" width="10.125" style="2834" customWidth="1"/>
    <col min="8723" max="8723" width="10" style="2834" customWidth="1"/>
    <col min="8724" max="8724" width="26.125" style="2834" customWidth="1"/>
    <col min="8725" max="8960" width="8.875" style="2834"/>
    <col min="8961" max="8961" width="9.5" style="2834" customWidth="1"/>
    <col min="8962" max="8962" width="8.875" style="2834"/>
    <col min="8963" max="8965" width="12.875" style="2834" customWidth="1"/>
    <col min="8966" max="8966" width="47.5" style="2834" customWidth="1"/>
    <col min="8967" max="8967" width="13" style="2834" customWidth="1"/>
    <col min="8968" max="8969" width="8.875" style="2834"/>
    <col min="8970" max="8970" width="5.875" style="2834" customWidth="1"/>
    <col min="8971" max="8971" width="11.875" style="2834" customWidth="1"/>
    <col min="8972" max="8973" width="10.875" style="2834" customWidth="1"/>
    <col min="8974" max="8974" width="10" style="2834" customWidth="1"/>
    <col min="8975" max="8976" width="10.5" style="2834" bestFit="1" customWidth="1"/>
    <col min="8977" max="8977" width="10" style="2834" customWidth="1"/>
    <col min="8978" max="8978" width="10.125" style="2834" customWidth="1"/>
    <col min="8979" max="8979" width="10" style="2834" customWidth="1"/>
    <col min="8980" max="8980" width="26.125" style="2834" customWidth="1"/>
    <col min="8981" max="9216" width="8.875" style="2834"/>
    <col min="9217" max="9217" width="9.5" style="2834" customWidth="1"/>
    <col min="9218" max="9218" width="8.875" style="2834"/>
    <col min="9219" max="9221" width="12.875" style="2834" customWidth="1"/>
    <col min="9222" max="9222" width="47.5" style="2834" customWidth="1"/>
    <col min="9223" max="9223" width="13" style="2834" customWidth="1"/>
    <col min="9224" max="9225" width="8.875" style="2834"/>
    <col min="9226" max="9226" width="5.875" style="2834" customWidth="1"/>
    <col min="9227" max="9227" width="11.875" style="2834" customWidth="1"/>
    <col min="9228" max="9229" width="10.875" style="2834" customWidth="1"/>
    <col min="9230" max="9230" width="10" style="2834" customWidth="1"/>
    <col min="9231" max="9232" width="10.5" style="2834" bestFit="1" customWidth="1"/>
    <col min="9233" max="9233" width="10" style="2834" customWidth="1"/>
    <col min="9234" max="9234" width="10.125" style="2834" customWidth="1"/>
    <col min="9235" max="9235" width="10" style="2834" customWidth="1"/>
    <col min="9236" max="9236" width="26.125" style="2834" customWidth="1"/>
    <col min="9237" max="9472" width="8.875" style="2834"/>
    <col min="9473" max="9473" width="9.5" style="2834" customWidth="1"/>
    <col min="9474" max="9474" width="8.875" style="2834"/>
    <col min="9475" max="9477" width="12.875" style="2834" customWidth="1"/>
    <col min="9478" max="9478" width="47.5" style="2834" customWidth="1"/>
    <col min="9479" max="9479" width="13" style="2834" customWidth="1"/>
    <col min="9480" max="9481" width="8.875" style="2834"/>
    <col min="9482" max="9482" width="5.875" style="2834" customWidth="1"/>
    <col min="9483" max="9483" width="11.875" style="2834" customWidth="1"/>
    <col min="9484" max="9485" width="10.875" style="2834" customWidth="1"/>
    <col min="9486" max="9486" width="10" style="2834" customWidth="1"/>
    <col min="9487" max="9488" width="10.5" style="2834" bestFit="1" customWidth="1"/>
    <col min="9489" max="9489" width="10" style="2834" customWidth="1"/>
    <col min="9490" max="9490" width="10.125" style="2834" customWidth="1"/>
    <col min="9491" max="9491" width="10" style="2834" customWidth="1"/>
    <col min="9492" max="9492" width="26.125" style="2834" customWidth="1"/>
    <col min="9493" max="9728" width="8.875" style="2834"/>
    <col min="9729" max="9729" width="9.5" style="2834" customWidth="1"/>
    <col min="9730" max="9730" width="8.875" style="2834"/>
    <col min="9731" max="9733" width="12.875" style="2834" customWidth="1"/>
    <col min="9734" max="9734" width="47.5" style="2834" customWidth="1"/>
    <col min="9735" max="9735" width="13" style="2834" customWidth="1"/>
    <col min="9736" max="9737" width="8.875" style="2834"/>
    <col min="9738" max="9738" width="5.875" style="2834" customWidth="1"/>
    <col min="9739" max="9739" width="11.875" style="2834" customWidth="1"/>
    <col min="9740" max="9741" width="10.875" style="2834" customWidth="1"/>
    <col min="9742" max="9742" width="10" style="2834" customWidth="1"/>
    <col min="9743" max="9744" width="10.5" style="2834" bestFit="1" customWidth="1"/>
    <col min="9745" max="9745" width="10" style="2834" customWidth="1"/>
    <col min="9746" max="9746" width="10.125" style="2834" customWidth="1"/>
    <col min="9747" max="9747" width="10" style="2834" customWidth="1"/>
    <col min="9748" max="9748" width="26.125" style="2834" customWidth="1"/>
    <col min="9749" max="9984" width="8.875" style="2834"/>
    <col min="9985" max="9985" width="9.5" style="2834" customWidth="1"/>
    <col min="9986" max="9986" width="8.875" style="2834"/>
    <col min="9987" max="9989" width="12.875" style="2834" customWidth="1"/>
    <col min="9990" max="9990" width="47.5" style="2834" customWidth="1"/>
    <col min="9991" max="9991" width="13" style="2834" customWidth="1"/>
    <col min="9992" max="9993" width="8.875" style="2834"/>
    <col min="9994" max="9994" width="5.875" style="2834" customWidth="1"/>
    <col min="9995" max="9995" width="11.875" style="2834" customWidth="1"/>
    <col min="9996" max="9997" width="10.875" style="2834" customWidth="1"/>
    <col min="9998" max="9998" width="10" style="2834" customWidth="1"/>
    <col min="9999" max="10000" width="10.5" style="2834" bestFit="1" customWidth="1"/>
    <col min="10001" max="10001" width="10" style="2834" customWidth="1"/>
    <col min="10002" max="10002" width="10.125" style="2834" customWidth="1"/>
    <col min="10003" max="10003" width="10" style="2834" customWidth="1"/>
    <col min="10004" max="10004" width="26.125" style="2834" customWidth="1"/>
    <col min="10005" max="10240" width="8.875" style="2834"/>
    <col min="10241" max="10241" width="9.5" style="2834" customWidth="1"/>
    <col min="10242" max="10242" width="8.875" style="2834"/>
    <col min="10243" max="10245" width="12.875" style="2834" customWidth="1"/>
    <col min="10246" max="10246" width="47.5" style="2834" customWidth="1"/>
    <col min="10247" max="10247" width="13" style="2834" customWidth="1"/>
    <col min="10248" max="10249" width="8.875" style="2834"/>
    <col min="10250" max="10250" width="5.875" style="2834" customWidth="1"/>
    <col min="10251" max="10251" width="11.875" style="2834" customWidth="1"/>
    <col min="10252" max="10253" width="10.875" style="2834" customWidth="1"/>
    <col min="10254" max="10254" width="10" style="2834" customWidth="1"/>
    <col min="10255" max="10256" width="10.5" style="2834" bestFit="1" customWidth="1"/>
    <col min="10257" max="10257" width="10" style="2834" customWidth="1"/>
    <col min="10258" max="10258" width="10.125" style="2834" customWidth="1"/>
    <col min="10259" max="10259" width="10" style="2834" customWidth="1"/>
    <col min="10260" max="10260" width="26.125" style="2834" customWidth="1"/>
    <col min="10261" max="10496" width="8.875" style="2834"/>
    <col min="10497" max="10497" width="9.5" style="2834" customWidth="1"/>
    <col min="10498" max="10498" width="8.875" style="2834"/>
    <col min="10499" max="10501" width="12.875" style="2834" customWidth="1"/>
    <col min="10502" max="10502" width="47.5" style="2834" customWidth="1"/>
    <col min="10503" max="10503" width="13" style="2834" customWidth="1"/>
    <col min="10504" max="10505" width="8.875" style="2834"/>
    <col min="10506" max="10506" width="5.875" style="2834" customWidth="1"/>
    <col min="10507" max="10507" width="11.875" style="2834" customWidth="1"/>
    <col min="10508" max="10509" width="10.875" style="2834" customWidth="1"/>
    <col min="10510" max="10510" width="10" style="2834" customWidth="1"/>
    <col min="10511" max="10512" width="10.5" style="2834" bestFit="1" customWidth="1"/>
    <col min="10513" max="10513" width="10" style="2834" customWidth="1"/>
    <col min="10514" max="10514" width="10.125" style="2834" customWidth="1"/>
    <col min="10515" max="10515" width="10" style="2834" customWidth="1"/>
    <col min="10516" max="10516" width="26.125" style="2834" customWidth="1"/>
    <col min="10517" max="10752" width="8.875" style="2834"/>
    <col min="10753" max="10753" width="9.5" style="2834" customWidth="1"/>
    <col min="10754" max="10754" width="8.875" style="2834"/>
    <col min="10755" max="10757" width="12.875" style="2834" customWidth="1"/>
    <col min="10758" max="10758" width="47.5" style="2834" customWidth="1"/>
    <col min="10759" max="10759" width="13" style="2834" customWidth="1"/>
    <col min="10760" max="10761" width="8.875" style="2834"/>
    <col min="10762" max="10762" width="5.875" style="2834" customWidth="1"/>
    <col min="10763" max="10763" width="11.875" style="2834" customWidth="1"/>
    <col min="10764" max="10765" width="10.875" style="2834" customWidth="1"/>
    <col min="10766" max="10766" width="10" style="2834" customWidth="1"/>
    <col min="10767" max="10768" width="10.5" style="2834" bestFit="1" customWidth="1"/>
    <col min="10769" max="10769" width="10" style="2834" customWidth="1"/>
    <col min="10770" max="10770" width="10.125" style="2834" customWidth="1"/>
    <col min="10771" max="10771" width="10" style="2834" customWidth="1"/>
    <col min="10772" max="10772" width="26.125" style="2834" customWidth="1"/>
    <col min="10773" max="11008" width="8.875" style="2834"/>
    <col min="11009" max="11009" width="9.5" style="2834" customWidth="1"/>
    <col min="11010" max="11010" width="8.875" style="2834"/>
    <col min="11011" max="11013" width="12.875" style="2834" customWidth="1"/>
    <col min="11014" max="11014" width="47.5" style="2834" customWidth="1"/>
    <col min="11015" max="11015" width="13" style="2834" customWidth="1"/>
    <col min="11016" max="11017" width="8.875" style="2834"/>
    <col min="11018" max="11018" width="5.875" style="2834" customWidth="1"/>
    <col min="11019" max="11019" width="11.875" style="2834" customWidth="1"/>
    <col min="11020" max="11021" width="10.875" style="2834" customWidth="1"/>
    <col min="11022" max="11022" width="10" style="2834" customWidth="1"/>
    <col min="11023" max="11024" width="10.5" style="2834" bestFit="1" customWidth="1"/>
    <col min="11025" max="11025" width="10" style="2834" customWidth="1"/>
    <col min="11026" max="11026" width="10.125" style="2834" customWidth="1"/>
    <col min="11027" max="11027" width="10" style="2834" customWidth="1"/>
    <col min="11028" max="11028" width="26.125" style="2834" customWidth="1"/>
    <col min="11029" max="11264" width="8.875" style="2834"/>
    <col min="11265" max="11265" width="9.5" style="2834" customWidth="1"/>
    <col min="11266" max="11266" width="8.875" style="2834"/>
    <col min="11267" max="11269" width="12.875" style="2834" customWidth="1"/>
    <col min="11270" max="11270" width="47.5" style="2834" customWidth="1"/>
    <col min="11271" max="11271" width="13" style="2834" customWidth="1"/>
    <col min="11272" max="11273" width="8.875" style="2834"/>
    <col min="11274" max="11274" width="5.875" style="2834" customWidth="1"/>
    <col min="11275" max="11275" width="11.875" style="2834" customWidth="1"/>
    <col min="11276" max="11277" width="10.875" style="2834" customWidth="1"/>
    <col min="11278" max="11278" width="10" style="2834" customWidth="1"/>
    <col min="11279" max="11280" width="10.5" style="2834" bestFit="1" customWidth="1"/>
    <col min="11281" max="11281" width="10" style="2834" customWidth="1"/>
    <col min="11282" max="11282" width="10.125" style="2834" customWidth="1"/>
    <col min="11283" max="11283" width="10" style="2834" customWidth="1"/>
    <col min="11284" max="11284" width="26.125" style="2834" customWidth="1"/>
    <col min="11285" max="11520" width="8.875" style="2834"/>
    <col min="11521" max="11521" width="9.5" style="2834" customWidth="1"/>
    <col min="11522" max="11522" width="8.875" style="2834"/>
    <col min="11523" max="11525" width="12.875" style="2834" customWidth="1"/>
    <col min="11526" max="11526" width="47.5" style="2834" customWidth="1"/>
    <col min="11527" max="11527" width="13" style="2834" customWidth="1"/>
    <col min="11528" max="11529" width="8.875" style="2834"/>
    <col min="11530" max="11530" width="5.875" style="2834" customWidth="1"/>
    <col min="11531" max="11531" width="11.875" style="2834" customWidth="1"/>
    <col min="11532" max="11533" width="10.875" style="2834" customWidth="1"/>
    <col min="11534" max="11534" width="10" style="2834" customWidth="1"/>
    <col min="11535" max="11536" width="10.5" style="2834" bestFit="1" customWidth="1"/>
    <col min="11537" max="11537" width="10" style="2834" customWidth="1"/>
    <col min="11538" max="11538" width="10.125" style="2834" customWidth="1"/>
    <col min="11539" max="11539" width="10" style="2834" customWidth="1"/>
    <col min="11540" max="11540" width="26.125" style="2834" customWidth="1"/>
    <col min="11541" max="11776" width="8.875" style="2834"/>
    <col min="11777" max="11777" width="9.5" style="2834" customWidth="1"/>
    <col min="11778" max="11778" width="8.875" style="2834"/>
    <col min="11779" max="11781" width="12.875" style="2834" customWidth="1"/>
    <col min="11782" max="11782" width="47.5" style="2834" customWidth="1"/>
    <col min="11783" max="11783" width="13" style="2834" customWidth="1"/>
    <col min="11784" max="11785" width="8.875" style="2834"/>
    <col min="11786" max="11786" width="5.875" style="2834" customWidth="1"/>
    <col min="11787" max="11787" width="11.875" style="2834" customWidth="1"/>
    <col min="11788" max="11789" width="10.875" style="2834" customWidth="1"/>
    <col min="11790" max="11790" width="10" style="2834" customWidth="1"/>
    <col min="11791" max="11792" width="10.5" style="2834" bestFit="1" customWidth="1"/>
    <col min="11793" max="11793" width="10" style="2834" customWidth="1"/>
    <col min="11794" max="11794" width="10.125" style="2834" customWidth="1"/>
    <col min="11795" max="11795" width="10" style="2834" customWidth="1"/>
    <col min="11796" max="11796" width="26.125" style="2834" customWidth="1"/>
    <col min="11797" max="12032" width="8.875" style="2834"/>
    <col min="12033" max="12033" width="9.5" style="2834" customWidth="1"/>
    <col min="12034" max="12034" width="8.875" style="2834"/>
    <col min="12035" max="12037" width="12.875" style="2834" customWidth="1"/>
    <col min="12038" max="12038" width="47.5" style="2834" customWidth="1"/>
    <col min="12039" max="12039" width="13" style="2834" customWidth="1"/>
    <col min="12040" max="12041" width="8.875" style="2834"/>
    <col min="12042" max="12042" width="5.875" style="2834" customWidth="1"/>
    <col min="12043" max="12043" width="11.875" style="2834" customWidth="1"/>
    <col min="12044" max="12045" width="10.875" style="2834" customWidth="1"/>
    <col min="12046" max="12046" width="10" style="2834" customWidth="1"/>
    <col min="12047" max="12048" width="10.5" style="2834" bestFit="1" customWidth="1"/>
    <col min="12049" max="12049" width="10" style="2834" customWidth="1"/>
    <col min="12050" max="12050" width="10.125" style="2834" customWidth="1"/>
    <col min="12051" max="12051" width="10" style="2834" customWidth="1"/>
    <col min="12052" max="12052" width="26.125" style="2834" customWidth="1"/>
    <col min="12053" max="12288" width="8.875" style="2834"/>
    <col min="12289" max="12289" width="9.5" style="2834" customWidth="1"/>
    <col min="12290" max="12290" width="8.875" style="2834"/>
    <col min="12291" max="12293" width="12.875" style="2834" customWidth="1"/>
    <col min="12294" max="12294" width="47.5" style="2834" customWidth="1"/>
    <col min="12295" max="12295" width="13" style="2834" customWidth="1"/>
    <col min="12296" max="12297" width="8.875" style="2834"/>
    <col min="12298" max="12298" width="5.875" style="2834" customWidth="1"/>
    <col min="12299" max="12299" width="11.875" style="2834" customWidth="1"/>
    <col min="12300" max="12301" width="10.875" style="2834" customWidth="1"/>
    <col min="12302" max="12302" width="10" style="2834" customWidth="1"/>
    <col min="12303" max="12304" width="10.5" style="2834" bestFit="1" customWidth="1"/>
    <col min="12305" max="12305" width="10" style="2834" customWidth="1"/>
    <col min="12306" max="12306" width="10.125" style="2834" customWidth="1"/>
    <col min="12307" max="12307" width="10" style="2834" customWidth="1"/>
    <col min="12308" max="12308" width="26.125" style="2834" customWidth="1"/>
    <col min="12309" max="12544" width="8.875" style="2834"/>
    <col min="12545" max="12545" width="9.5" style="2834" customWidth="1"/>
    <col min="12546" max="12546" width="8.875" style="2834"/>
    <col min="12547" max="12549" width="12.875" style="2834" customWidth="1"/>
    <col min="12550" max="12550" width="47.5" style="2834" customWidth="1"/>
    <col min="12551" max="12551" width="13" style="2834" customWidth="1"/>
    <col min="12552" max="12553" width="8.875" style="2834"/>
    <col min="12554" max="12554" width="5.875" style="2834" customWidth="1"/>
    <col min="12555" max="12555" width="11.875" style="2834" customWidth="1"/>
    <col min="12556" max="12557" width="10.875" style="2834" customWidth="1"/>
    <col min="12558" max="12558" width="10" style="2834" customWidth="1"/>
    <col min="12559" max="12560" width="10.5" style="2834" bestFit="1" customWidth="1"/>
    <col min="12561" max="12561" width="10" style="2834" customWidth="1"/>
    <col min="12562" max="12562" width="10.125" style="2834" customWidth="1"/>
    <col min="12563" max="12563" width="10" style="2834" customWidth="1"/>
    <col min="12564" max="12564" width="26.125" style="2834" customWidth="1"/>
    <col min="12565" max="12800" width="8.875" style="2834"/>
    <col min="12801" max="12801" width="9.5" style="2834" customWidth="1"/>
    <col min="12802" max="12802" width="8.875" style="2834"/>
    <col min="12803" max="12805" width="12.875" style="2834" customWidth="1"/>
    <col min="12806" max="12806" width="47.5" style="2834" customWidth="1"/>
    <col min="12807" max="12807" width="13" style="2834" customWidth="1"/>
    <col min="12808" max="12809" width="8.875" style="2834"/>
    <col min="12810" max="12810" width="5.875" style="2834" customWidth="1"/>
    <col min="12811" max="12811" width="11.875" style="2834" customWidth="1"/>
    <col min="12812" max="12813" width="10.875" style="2834" customWidth="1"/>
    <col min="12814" max="12814" width="10" style="2834" customWidth="1"/>
    <col min="12815" max="12816" width="10.5" style="2834" bestFit="1" customWidth="1"/>
    <col min="12817" max="12817" width="10" style="2834" customWidth="1"/>
    <col min="12818" max="12818" width="10.125" style="2834" customWidth="1"/>
    <col min="12819" max="12819" width="10" style="2834" customWidth="1"/>
    <col min="12820" max="12820" width="26.125" style="2834" customWidth="1"/>
    <col min="12821" max="13056" width="8.875" style="2834"/>
    <col min="13057" max="13057" width="9.5" style="2834" customWidth="1"/>
    <col min="13058" max="13058" width="8.875" style="2834"/>
    <col min="13059" max="13061" width="12.875" style="2834" customWidth="1"/>
    <col min="13062" max="13062" width="47.5" style="2834" customWidth="1"/>
    <col min="13063" max="13063" width="13" style="2834" customWidth="1"/>
    <col min="13064" max="13065" width="8.875" style="2834"/>
    <col min="13066" max="13066" width="5.875" style="2834" customWidth="1"/>
    <col min="13067" max="13067" width="11.875" style="2834" customWidth="1"/>
    <col min="13068" max="13069" width="10.875" style="2834" customWidth="1"/>
    <col min="13070" max="13070" width="10" style="2834" customWidth="1"/>
    <col min="13071" max="13072" width="10.5" style="2834" bestFit="1" customWidth="1"/>
    <col min="13073" max="13073" width="10" style="2834" customWidth="1"/>
    <col min="13074" max="13074" width="10.125" style="2834" customWidth="1"/>
    <col min="13075" max="13075" width="10" style="2834" customWidth="1"/>
    <col min="13076" max="13076" width="26.125" style="2834" customWidth="1"/>
    <col min="13077" max="13312" width="8.875" style="2834"/>
    <col min="13313" max="13313" width="9.5" style="2834" customWidth="1"/>
    <col min="13314" max="13314" width="8.875" style="2834"/>
    <col min="13315" max="13317" width="12.875" style="2834" customWidth="1"/>
    <col min="13318" max="13318" width="47.5" style="2834" customWidth="1"/>
    <col min="13319" max="13319" width="13" style="2834" customWidth="1"/>
    <col min="13320" max="13321" width="8.875" style="2834"/>
    <col min="13322" max="13322" width="5.875" style="2834" customWidth="1"/>
    <col min="13323" max="13323" width="11.875" style="2834" customWidth="1"/>
    <col min="13324" max="13325" width="10.875" style="2834" customWidth="1"/>
    <col min="13326" max="13326" width="10" style="2834" customWidth="1"/>
    <col min="13327" max="13328" width="10.5" style="2834" bestFit="1" customWidth="1"/>
    <col min="13329" max="13329" width="10" style="2834" customWidth="1"/>
    <col min="13330" max="13330" width="10.125" style="2834" customWidth="1"/>
    <col min="13331" max="13331" width="10" style="2834" customWidth="1"/>
    <col min="13332" max="13332" width="26.125" style="2834" customWidth="1"/>
    <col min="13333" max="13568" width="8.875" style="2834"/>
    <col min="13569" max="13569" width="9.5" style="2834" customWidth="1"/>
    <col min="13570" max="13570" width="8.875" style="2834"/>
    <col min="13571" max="13573" width="12.875" style="2834" customWidth="1"/>
    <col min="13574" max="13574" width="47.5" style="2834" customWidth="1"/>
    <col min="13575" max="13575" width="13" style="2834" customWidth="1"/>
    <col min="13576" max="13577" width="8.875" style="2834"/>
    <col min="13578" max="13578" width="5.875" style="2834" customWidth="1"/>
    <col min="13579" max="13579" width="11.875" style="2834" customWidth="1"/>
    <col min="13580" max="13581" width="10.875" style="2834" customWidth="1"/>
    <col min="13582" max="13582" width="10" style="2834" customWidth="1"/>
    <col min="13583" max="13584" width="10.5" style="2834" bestFit="1" customWidth="1"/>
    <col min="13585" max="13585" width="10" style="2834" customWidth="1"/>
    <col min="13586" max="13586" width="10.125" style="2834" customWidth="1"/>
    <col min="13587" max="13587" width="10" style="2834" customWidth="1"/>
    <col min="13588" max="13588" width="26.125" style="2834" customWidth="1"/>
    <col min="13589" max="13824" width="8.875" style="2834"/>
    <col min="13825" max="13825" width="9.5" style="2834" customWidth="1"/>
    <col min="13826" max="13826" width="8.875" style="2834"/>
    <col min="13827" max="13829" width="12.875" style="2834" customWidth="1"/>
    <col min="13830" max="13830" width="47.5" style="2834" customWidth="1"/>
    <col min="13831" max="13831" width="13" style="2834" customWidth="1"/>
    <col min="13832" max="13833" width="8.875" style="2834"/>
    <col min="13834" max="13834" width="5.875" style="2834" customWidth="1"/>
    <col min="13835" max="13835" width="11.875" style="2834" customWidth="1"/>
    <col min="13836" max="13837" width="10.875" style="2834" customWidth="1"/>
    <col min="13838" max="13838" width="10" style="2834" customWidth="1"/>
    <col min="13839" max="13840" width="10.5" style="2834" bestFit="1" customWidth="1"/>
    <col min="13841" max="13841" width="10" style="2834" customWidth="1"/>
    <col min="13842" max="13842" width="10.125" style="2834" customWidth="1"/>
    <col min="13843" max="13843" width="10" style="2834" customWidth="1"/>
    <col min="13844" max="13844" width="26.125" style="2834" customWidth="1"/>
    <col min="13845" max="14080" width="8.875" style="2834"/>
    <col min="14081" max="14081" width="9.5" style="2834" customWidth="1"/>
    <col min="14082" max="14082" width="8.875" style="2834"/>
    <col min="14083" max="14085" width="12.875" style="2834" customWidth="1"/>
    <col min="14086" max="14086" width="47.5" style="2834" customWidth="1"/>
    <col min="14087" max="14087" width="13" style="2834" customWidth="1"/>
    <col min="14088" max="14089" width="8.875" style="2834"/>
    <col min="14090" max="14090" width="5.875" style="2834" customWidth="1"/>
    <col min="14091" max="14091" width="11.875" style="2834" customWidth="1"/>
    <col min="14092" max="14093" width="10.875" style="2834" customWidth="1"/>
    <col min="14094" max="14094" width="10" style="2834" customWidth="1"/>
    <col min="14095" max="14096" width="10.5" style="2834" bestFit="1" customWidth="1"/>
    <col min="14097" max="14097" width="10" style="2834" customWidth="1"/>
    <col min="14098" max="14098" width="10.125" style="2834" customWidth="1"/>
    <col min="14099" max="14099" width="10" style="2834" customWidth="1"/>
    <col min="14100" max="14100" width="26.125" style="2834" customWidth="1"/>
    <col min="14101" max="14336" width="8.875" style="2834"/>
    <col min="14337" max="14337" width="9.5" style="2834" customWidth="1"/>
    <col min="14338" max="14338" width="8.875" style="2834"/>
    <col min="14339" max="14341" width="12.875" style="2834" customWidth="1"/>
    <col min="14342" max="14342" width="47.5" style="2834" customWidth="1"/>
    <col min="14343" max="14343" width="13" style="2834" customWidth="1"/>
    <col min="14344" max="14345" width="8.875" style="2834"/>
    <col min="14346" max="14346" width="5.875" style="2834" customWidth="1"/>
    <col min="14347" max="14347" width="11.875" style="2834" customWidth="1"/>
    <col min="14348" max="14349" width="10.875" style="2834" customWidth="1"/>
    <col min="14350" max="14350" width="10" style="2834" customWidth="1"/>
    <col min="14351" max="14352" width="10.5" style="2834" bestFit="1" customWidth="1"/>
    <col min="14353" max="14353" width="10" style="2834" customWidth="1"/>
    <col min="14354" max="14354" width="10.125" style="2834" customWidth="1"/>
    <col min="14355" max="14355" width="10" style="2834" customWidth="1"/>
    <col min="14356" max="14356" width="26.125" style="2834" customWidth="1"/>
    <col min="14357" max="14592" width="8.875" style="2834"/>
    <col min="14593" max="14593" width="9.5" style="2834" customWidth="1"/>
    <col min="14594" max="14594" width="8.875" style="2834"/>
    <col min="14595" max="14597" width="12.875" style="2834" customWidth="1"/>
    <col min="14598" max="14598" width="47.5" style="2834" customWidth="1"/>
    <col min="14599" max="14599" width="13" style="2834" customWidth="1"/>
    <col min="14600" max="14601" width="8.875" style="2834"/>
    <col min="14602" max="14602" width="5.875" style="2834" customWidth="1"/>
    <col min="14603" max="14603" width="11.875" style="2834" customWidth="1"/>
    <col min="14604" max="14605" width="10.875" style="2834" customWidth="1"/>
    <col min="14606" max="14606" width="10" style="2834" customWidth="1"/>
    <col min="14607" max="14608" width="10.5" style="2834" bestFit="1" customWidth="1"/>
    <col min="14609" max="14609" width="10" style="2834" customWidth="1"/>
    <col min="14610" max="14610" width="10.125" style="2834" customWidth="1"/>
    <col min="14611" max="14611" width="10" style="2834" customWidth="1"/>
    <col min="14612" max="14612" width="26.125" style="2834" customWidth="1"/>
    <col min="14613" max="14848" width="8.875" style="2834"/>
    <col min="14849" max="14849" width="9.5" style="2834" customWidth="1"/>
    <col min="14850" max="14850" width="8.875" style="2834"/>
    <col min="14851" max="14853" width="12.875" style="2834" customWidth="1"/>
    <col min="14854" max="14854" width="47.5" style="2834" customWidth="1"/>
    <col min="14855" max="14855" width="13" style="2834" customWidth="1"/>
    <col min="14856" max="14857" width="8.875" style="2834"/>
    <col min="14858" max="14858" width="5.875" style="2834" customWidth="1"/>
    <col min="14859" max="14859" width="11.875" style="2834" customWidth="1"/>
    <col min="14860" max="14861" width="10.875" style="2834" customWidth="1"/>
    <col min="14862" max="14862" width="10" style="2834" customWidth="1"/>
    <col min="14863" max="14864" width="10.5" style="2834" bestFit="1" customWidth="1"/>
    <col min="14865" max="14865" width="10" style="2834" customWidth="1"/>
    <col min="14866" max="14866" width="10.125" style="2834" customWidth="1"/>
    <col min="14867" max="14867" width="10" style="2834" customWidth="1"/>
    <col min="14868" max="14868" width="26.125" style="2834" customWidth="1"/>
    <col min="14869" max="15104" width="8.875" style="2834"/>
    <col min="15105" max="15105" width="9.5" style="2834" customWidth="1"/>
    <col min="15106" max="15106" width="8.875" style="2834"/>
    <col min="15107" max="15109" width="12.875" style="2834" customWidth="1"/>
    <col min="15110" max="15110" width="47.5" style="2834" customWidth="1"/>
    <col min="15111" max="15111" width="13" style="2834" customWidth="1"/>
    <col min="15112" max="15113" width="8.875" style="2834"/>
    <col min="15114" max="15114" width="5.875" style="2834" customWidth="1"/>
    <col min="15115" max="15115" width="11.875" style="2834" customWidth="1"/>
    <col min="15116" max="15117" width="10.875" style="2834" customWidth="1"/>
    <col min="15118" max="15118" width="10" style="2834" customWidth="1"/>
    <col min="15119" max="15120" width="10.5" style="2834" bestFit="1" customWidth="1"/>
    <col min="15121" max="15121" width="10" style="2834" customWidth="1"/>
    <col min="15122" max="15122" width="10.125" style="2834" customWidth="1"/>
    <col min="15123" max="15123" width="10" style="2834" customWidth="1"/>
    <col min="15124" max="15124" width="26.125" style="2834" customWidth="1"/>
    <col min="15125" max="15360" width="8.875" style="2834"/>
    <col min="15361" max="15361" width="9.5" style="2834" customWidth="1"/>
    <col min="15362" max="15362" width="8.875" style="2834"/>
    <col min="15363" max="15365" width="12.875" style="2834" customWidth="1"/>
    <col min="15366" max="15366" width="47.5" style="2834" customWidth="1"/>
    <col min="15367" max="15367" width="13" style="2834" customWidth="1"/>
    <col min="15368" max="15369" width="8.875" style="2834"/>
    <col min="15370" max="15370" width="5.875" style="2834" customWidth="1"/>
    <col min="15371" max="15371" width="11.875" style="2834" customWidth="1"/>
    <col min="15372" max="15373" width="10.875" style="2834" customWidth="1"/>
    <col min="15374" max="15374" width="10" style="2834" customWidth="1"/>
    <col min="15375" max="15376" width="10.5" style="2834" bestFit="1" customWidth="1"/>
    <col min="15377" max="15377" width="10" style="2834" customWidth="1"/>
    <col min="15378" max="15378" width="10.125" style="2834" customWidth="1"/>
    <col min="15379" max="15379" width="10" style="2834" customWidth="1"/>
    <col min="15380" max="15380" width="26.125" style="2834" customWidth="1"/>
    <col min="15381" max="15616" width="8.875" style="2834"/>
    <col min="15617" max="15617" width="9.5" style="2834" customWidth="1"/>
    <col min="15618" max="15618" width="8.875" style="2834"/>
    <col min="15619" max="15621" width="12.875" style="2834" customWidth="1"/>
    <col min="15622" max="15622" width="47.5" style="2834" customWidth="1"/>
    <col min="15623" max="15623" width="13" style="2834" customWidth="1"/>
    <col min="15624" max="15625" width="8.875" style="2834"/>
    <col min="15626" max="15626" width="5.875" style="2834" customWidth="1"/>
    <col min="15627" max="15627" width="11.875" style="2834" customWidth="1"/>
    <col min="15628" max="15629" width="10.875" style="2834" customWidth="1"/>
    <col min="15630" max="15630" width="10" style="2834" customWidth="1"/>
    <col min="15631" max="15632" width="10.5" style="2834" bestFit="1" customWidth="1"/>
    <col min="15633" max="15633" width="10" style="2834" customWidth="1"/>
    <col min="15634" max="15634" width="10.125" style="2834" customWidth="1"/>
    <col min="15635" max="15635" width="10" style="2834" customWidth="1"/>
    <col min="15636" max="15636" width="26.125" style="2834" customWidth="1"/>
    <col min="15637" max="15872" width="8.875" style="2834"/>
    <col min="15873" max="15873" width="9.5" style="2834" customWidth="1"/>
    <col min="15874" max="15874" width="8.875" style="2834"/>
    <col min="15875" max="15877" width="12.875" style="2834" customWidth="1"/>
    <col min="15878" max="15878" width="47.5" style="2834" customWidth="1"/>
    <col min="15879" max="15879" width="13" style="2834" customWidth="1"/>
    <col min="15880" max="15881" width="8.875" style="2834"/>
    <col min="15882" max="15882" width="5.875" style="2834" customWidth="1"/>
    <col min="15883" max="15883" width="11.875" style="2834" customWidth="1"/>
    <col min="15884" max="15885" width="10.875" style="2834" customWidth="1"/>
    <col min="15886" max="15886" width="10" style="2834" customWidth="1"/>
    <col min="15887" max="15888" width="10.5" style="2834" bestFit="1" customWidth="1"/>
    <col min="15889" max="15889" width="10" style="2834" customWidth="1"/>
    <col min="15890" max="15890" width="10.125" style="2834" customWidth="1"/>
    <col min="15891" max="15891" width="10" style="2834" customWidth="1"/>
    <col min="15892" max="15892" width="26.125" style="2834" customWidth="1"/>
    <col min="15893" max="16128" width="8.875" style="2834"/>
    <col min="16129" max="16129" width="9.5" style="2834" customWidth="1"/>
    <col min="16130" max="16130" width="8.875" style="2834"/>
    <col min="16131" max="16133" width="12.875" style="2834" customWidth="1"/>
    <col min="16134" max="16134" width="47.5" style="2834" customWidth="1"/>
    <col min="16135" max="16135" width="13" style="2834" customWidth="1"/>
    <col min="16136" max="16137" width="8.875" style="2834"/>
    <col min="16138" max="16138" width="5.875" style="2834" customWidth="1"/>
    <col min="16139" max="16139" width="11.875" style="2834" customWidth="1"/>
    <col min="16140" max="16141" width="10.875" style="2834" customWidth="1"/>
    <col min="16142" max="16142" width="10" style="2834" customWidth="1"/>
    <col min="16143" max="16144" width="10.5" style="2834" bestFit="1" customWidth="1"/>
    <col min="16145" max="16145" width="10" style="2834" customWidth="1"/>
    <col min="16146" max="16146" width="10.125" style="2834" customWidth="1"/>
    <col min="16147" max="16147" width="10" style="2834" customWidth="1"/>
    <col min="16148" max="16148" width="26.125" style="2834" customWidth="1"/>
    <col min="16149" max="16384" width="8.875" style="2834"/>
  </cols>
  <sheetData>
    <row r="1" spans="1:22" ht="21" customHeight="1">
      <c r="A1" s="2823" t="s">
        <v>2435</v>
      </c>
      <c r="B1" s="2824"/>
      <c r="C1" s="2836"/>
      <c r="D1" s="2836"/>
      <c r="E1" s="2825"/>
      <c r="F1" s="2826"/>
      <c r="G1" s="2827"/>
      <c r="J1" s="2830" t="s">
        <v>2314</v>
      </c>
      <c r="K1" s="2831"/>
      <c r="L1" s="2831"/>
      <c r="M1" s="2831"/>
      <c r="N1" s="2831"/>
      <c r="O1" s="2831"/>
      <c r="P1" s="2831"/>
      <c r="Q1" s="2831"/>
      <c r="R1" s="2832"/>
      <c r="S1" s="2833"/>
      <c r="T1" s="2833"/>
      <c r="U1" s="2833"/>
    </row>
    <row r="2" spans="1:22" s="2845" customFormat="1" ht="13.35" customHeight="1">
      <c r="A2" s="1381" t="s">
        <v>2315</v>
      </c>
      <c r="B2" s="2835" t="e">
        <f>IF(D2="——",C40,C40+E2)</f>
        <v>#DIV/0!</v>
      </c>
      <c r="C2" s="2836" t="s">
        <v>2316</v>
      </c>
      <c r="D2" s="3435" t="s">
        <v>3363</v>
      </c>
      <c r="E2" s="3436"/>
      <c r="F2" s="2838"/>
      <c r="G2" s="2839"/>
      <c r="H2" s="2840"/>
      <c r="I2" s="2841"/>
      <c r="J2" s="3777" t="s">
        <v>2317</v>
      </c>
      <c r="K2" s="3778"/>
      <c r="L2" s="2842" t="s">
        <v>2318</v>
      </c>
      <c r="M2" s="2842" t="s">
        <v>2319</v>
      </c>
      <c r="N2" s="2842" t="s">
        <v>2320</v>
      </c>
      <c r="O2" s="2842" t="s">
        <v>2321</v>
      </c>
      <c r="P2" s="2842" t="s">
        <v>2322</v>
      </c>
      <c r="Q2" s="2843" t="s">
        <v>2323</v>
      </c>
      <c r="R2" s="2844" t="s">
        <v>2324</v>
      </c>
      <c r="S2" s="2833"/>
      <c r="T2" s="2833"/>
      <c r="U2" s="2833"/>
      <c r="V2" s="2841"/>
    </row>
    <row r="3" spans="1:22" s="2845" customFormat="1" ht="13.35" customHeight="1">
      <c r="A3" s="2846" t="s">
        <v>2325</v>
      </c>
      <c r="B3" s="2847" t="e">
        <f>ROUND(B2*10000/B4,0)</f>
        <v>#DIV/0!</v>
      </c>
      <c r="C3" s="2836" t="s">
        <v>2326</v>
      </c>
      <c r="D3" s="2836"/>
      <c r="E3" s="2837"/>
      <c r="F3" s="2838"/>
      <c r="G3" s="2839"/>
      <c r="H3" s="2840"/>
      <c r="I3" s="2841"/>
      <c r="J3" s="3779" t="s">
        <v>2327</v>
      </c>
      <c r="K3" s="3780"/>
      <c r="L3" s="2848"/>
      <c r="M3" s="2848"/>
      <c r="N3" s="2848"/>
      <c r="O3" s="2848"/>
      <c r="P3" s="2848"/>
      <c r="Q3" s="2849"/>
      <c r="R3" s="2850">
        <f>SUM(L3:Q3)</f>
        <v>0</v>
      </c>
      <c r="S3" s="2833"/>
      <c r="T3" s="2833"/>
      <c r="U3" s="2833"/>
      <c r="V3" s="2841"/>
    </row>
    <row r="4" spans="1:22" s="2845" customFormat="1" ht="13.35" customHeight="1">
      <c r="A4" s="2851" t="s">
        <v>2328</v>
      </c>
      <c r="B4" s="2852"/>
      <c r="C4" s="2836"/>
      <c r="D4" s="2836"/>
      <c r="E4" s="2837"/>
      <c r="F4" s="2838"/>
      <c r="G4" s="2839"/>
      <c r="H4" s="2840"/>
      <c r="I4" s="2841"/>
      <c r="J4" s="3779" t="s">
        <v>2329</v>
      </c>
      <c r="K4" s="3780"/>
      <c r="L4" s="2853"/>
      <c r="M4" s="2853"/>
      <c r="N4" s="2853"/>
      <c r="O4" s="2853"/>
      <c r="P4" s="2853"/>
      <c r="Q4" s="2854"/>
      <c r="R4" s="2855">
        <f>SUM(L4:Q4)</f>
        <v>0</v>
      </c>
      <c r="S4" s="2833"/>
      <c r="T4" s="2833"/>
      <c r="U4" s="2833"/>
      <c r="V4" s="2841"/>
    </row>
    <row r="5" spans="1:22" s="2845" customFormat="1" ht="13.35" customHeight="1" thickBot="1">
      <c r="A5" s="2856" t="s">
        <v>2330</v>
      </c>
      <c r="B5" s="2857"/>
      <c r="C5" s="2836"/>
      <c r="D5" s="2858"/>
      <c r="E5" s="2838"/>
      <c r="F5" s="2838"/>
      <c r="G5" s="2839"/>
      <c r="H5" s="2840"/>
      <c r="I5" s="2841"/>
      <c r="J5" s="2859" t="s">
        <v>2331</v>
      </c>
      <c r="K5" s="2860"/>
      <c r="L5" s="2860"/>
      <c r="M5" s="2861"/>
      <c r="N5" s="2861"/>
      <c r="O5" s="2861"/>
      <c r="P5" s="2861"/>
      <c r="Q5" s="2861"/>
      <c r="R5" s="2844">
        <f>SUM(R14,R19,R24,R25,R27,R28)</f>
        <v>0</v>
      </c>
      <c r="S5" s="2833"/>
      <c r="T5" s="2833" t="s">
        <v>2332</v>
      </c>
      <c r="U5" s="2833" t="e">
        <f>ROUND(R5*10000/365/R3,1)</f>
        <v>#DIV/0!</v>
      </c>
      <c r="V5" s="2841"/>
    </row>
    <row r="6" spans="1:22" s="2845" customFormat="1" ht="13.35" customHeight="1" thickBot="1">
      <c r="A6" s="3781" t="s">
        <v>2333</v>
      </c>
      <c r="B6" s="3782"/>
      <c r="C6" s="3783"/>
      <c r="D6" s="2862"/>
      <c r="E6" s="2863"/>
      <c r="F6" s="2864"/>
      <c r="G6" s="2865"/>
      <c r="H6" s="2840"/>
      <c r="I6" s="2841"/>
      <c r="J6" s="3784">
        <v>1</v>
      </c>
      <c r="K6" s="3785" t="s">
        <v>2334</v>
      </c>
      <c r="L6" s="2866" t="s">
        <v>2335</v>
      </c>
      <c r="M6" s="2867" t="s">
        <v>2336</v>
      </c>
      <c r="N6" s="2867" t="s">
        <v>2337</v>
      </c>
      <c r="O6" s="2867" t="s">
        <v>2338</v>
      </c>
      <c r="P6" s="2867" t="s">
        <v>2339</v>
      </c>
      <c r="Q6" s="2867" t="s">
        <v>2340</v>
      </c>
      <c r="R6" s="2850" t="s">
        <v>2341</v>
      </c>
      <c r="S6" s="2833"/>
      <c r="T6" s="2833" t="s">
        <v>2342</v>
      </c>
      <c r="U6" s="2833"/>
      <c r="V6" s="2841"/>
    </row>
    <row r="7" spans="1:22" s="2845" customFormat="1" ht="13.35" customHeight="1">
      <c r="A7" s="2868" t="s">
        <v>2343</v>
      </c>
      <c r="B7" s="2869"/>
      <c r="C7" s="2870"/>
      <c r="D7" s="2871">
        <f>SUM(D9,D10,D11,D17,0)</f>
        <v>0</v>
      </c>
      <c r="E7" s="2872" t="e">
        <f>E9+E10+E11+E17</f>
        <v>#DIV/0!</v>
      </c>
      <c r="F7" s="2873"/>
      <c r="G7" s="2874"/>
      <c r="H7" s="2840"/>
      <c r="I7" s="2841"/>
      <c r="J7" s="3784"/>
      <c r="K7" s="3786"/>
      <c r="L7" s="2875" t="s">
        <v>2344</v>
      </c>
      <c r="M7" s="2876"/>
      <c r="N7" s="2852"/>
      <c r="O7" s="2877"/>
      <c r="P7" s="2877"/>
      <c r="Q7" s="2878">
        <v>365</v>
      </c>
      <c r="R7" s="2879">
        <f>ROUND(M7*N7*O7*P7*Q7/10000,0)</f>
        <v>0</v>
      </c>
      <c r="S7" s="2833"/>
      <c r="T7" s="2833" t="s">
        <v>2345</v>
      </c>
      <c r="U7" s="2833"/>
      <c r="V7" s="2841"/>
    </row>
    <row r="8" spans="1:22" s="2845" customFormat="1" ht="13.35" customHeight="1">
      <c r="A8" s="2880" t="s">
        <v>2346</v>
      </c>
      <c r="B8" s="3788" t="s">
        <v>2347</v>
      </c>
      <c r="C8" s="3789"/>
      <c r="D8" s="2881" t="s">
        <v>2348</v>
      </c>
      <c r="E8" s="2882" t="s">
        <v>2349</v>
      </c>
      <c r="F8" s="2883" t="s">
        <v>2350</v>
      </c>
      <c r="G8" s="2884"/>
      <c r="H8" s="2840"/>
      <c r="I8" s="2841"/>
      <c r="J8" s="3784"/>
      <c r="K8" s="3786"/>
      <c r="L8" s="2875" t="s">
        <v>2351</v>
      </c>
      <c r="M8" s="2876"/>
      <c r="N8" s="2852"/>
      <c r="O8" s="2877"/>
      <c r="P8" s="2877"/>
      <c r="Q8" s="2878">
        <v>365</v>
      </c>
      <c r="R8" s="2879">
        <f t="shared" ref="R8:R13" si="0">ROUND(M8*N8*O8*P8*Q8/10000,0)</f>
        <v>0</v>
      </c>
      <c r="S8" s="2833"/>
      <c r="T8" s="2833" t="s">
        <v>2352</v>
      </c>
      <c r="U8" s="2833"/>
      <c r="V8" s="2841"/>
    </row>
    <row r="9" spans="1:22" s="2845" customFormat="1" ht="13.35" customHeight="1">
      <c r="A9" s="2880">
        <v>1</v>
      </c>
      <c r="B9" s="3788" t="s">
        <v>2353</v>
      </c>
      <c r="C9" s="3789"/>
      <c r="D9" s="2881">
        <f>ROUND(D6*E9,0)</f>
        <v>0</v>
      </c>
      <c r="E9" s="2885"/>
      <c r="F9" s="2886" t="s">
        <v>2354</v>
      </c>
      <c r="G9" s="2865"/>
      <c r="H9" s="2840"/>
      <c r="I9" s="2841"/>
      <c r="J9" s="3784"/>
      <c r="K9" s="3786"/>
      <c r="L9" s="2875" t="s">
        <v>2355</v>
      </c>
      <c r="M9" s="2876"/>
      <c r="N9" s="2852"/>
      <c r="O9" s="2877"/>
      <c r="P9" s="2877"/>
      <c r="Q9" s="2878">
        <v>365</v>
      </c>
      <c r="R9" s="2879">
        <f t="shared" si="0"/>
        <v>0</v>
      </c>
      <c r="S9" s="2833"/>
      <c r="T9" s="2833"/>
      <c r="U9" s="2833"/>
      <c r="V9" s="2841"/>
    </row>
    <row r="10" spans="1:22" s="2845" customFormat="1" ht="13.35" customHeight="1">
      <c r="A10" s="2880">
        <v>2</v>
      </c>
      <c r="B10" s="3788" t="s">
        <v>2356</v>
      </c>
      <c r="C10" s="3789"/>
      <c r="D10" s="2881">
        <f>ROUND(D6*E10,0)</f>
        <v>0</v>
      </c>
      <c r="E10" s="2885"/>
      <c r="F10" s="2886" t="s">
        <v>2357</v>
      </c>
      <c r="G10" s="2865"/>
      <c r="H10" s="2840"/>
      <c r="I10" s="2841"/>
      <c r="J10" s="3784"/>
      <c r="K10" s="3786"/>
      <c r="L10" s="2875" t="s">
        <v>2358</v>
      </c>
      <c r="M10" s="2876"/>
      <c r="N10" s="2852"/>
      <c r="O10" s="2877"/>
      <c r="P10" s="2877"/>
      <c r="Q10" s="2878">
        <v>365</v>
      </c>
      <c r="R10" s="2879">
        <f t="shared" si="0"/>
        <v>0</v>
      </c>
      <c r="S10" s="2833"/>
      <c r="T10" s="2833"/>
      <c r="U10" s="2833"/>
      <c r="V10" s="2841"/>
    </row>
    <row r="11" spans="1:22" s="2845" customFormat="1" ht="13.35" customHeight="1">
      <c r="A11" s="2880">
        <v>3</v>
      </c>
      <c r="B11" s="3788" t="s">
        <v>2359</v>
      </c>
      <c r="C11" s="3789"/>
      <c r="D11" s="2881">
        <f>D12+D14+D15+D16</f>
        <v>0</v>
      </c>
      <c r="E11" s="2887" t="e">
        <f>D11/D6</f>
        <v>#DIV/0!</v>
      </c>
      <c r="F11" s="2883"/>
      <c r="G11" s="2884"/>
      <c r="H11" s="2840"/>
      <c r="I11" s="2841"/>
      <c r="J11" s="3784"/>
      <c r="K11" s="3786"/>
      <c r="L11" s="2875" t="s">
        <v>2360</v>
      </c>
      <c r="M11" s="2876"/>
      <c r="N11" s="2852"/>
      <c r="O11" s="2877"/>
      <c r="P11" s="2877"/>
      <c r="Q11" s="2878">
        <v>365</v>
      </c>
      <c r="R11" s="2879">
        <f t="shared" si="0"/>
        <v>0</v>
      </c>
      <c r="S11" s="2833"/>
      <c r="T11" s="2833"/>
      <c r="U11" s="2833"/>
      <c r="V11" s="2841"/>
    </row>
    <row r="12" spans="1:22" s="2845" customFormat="1" ht="13.35" customHeight="1">
      <c r="A12" s="2888" t="s">
        <v>2361</v>
      </c>
      <c r="B12" s="3790" t="s">
        <v>2362</v>
      </c>
      <c r="C12" s="3791"/>
      <c r="D12" s="2889">
        <f>ROUND(D13*1.2%*(1-30%),0)</f>
        <v>0</v>
      </c>
      <c r="E12" s="2890">
        <v>1.2E-2</v>
      </c>
      <c r="F12" s="2883" t="s">
        <v>2363</v>
      </c>
      <c r="G12" s="2884"/>
      <c r="H12" s="2840"/>
      <c r="I12" s="2841"/>
      <c r="J12" s="3784"/>
      <c r="K12" s="3786"/>
      <c r="L12" s="2875" t="s">
        <v>2364</v>
      </c>
      <c r="M12" s="2876"/>
      <c r="N12" s="2852"/>
      <c r="O12" s="2877"/>
      <c r="P12" s="2877"/>
      <c r="Q12" s="2878">
        <v>365</v>
      </c>
      <c r="R12" s="2879">
        <f t="shared" si="0"/>
        <v>0</v>
      </c>
      <c r="S12" s="2833"/>
      <c r="T12" s="2833"/>
      <c r="U12" s="2833"/>
      <c r="V12" s="2841"/>
    </row>
    <row r="13" spans="1:22" s="2845" customFormat="1" ht="13.35" customHeight="1">
      <c r="A13" s="2888"/>
      <c r="B13" s="2891"/>
      <c r="C13" s="2892" t="s">
        <v>2365</v>
      </c>
      <c r="D13" s="2893"/>
      <c r="E13" s="2894"/>
      <c r="F13" s="2883"/>
      <c r="G13" s="2884"/>
      <c r="H13" s="2840"/>
      <c r="I13" s="2841"/>
      <c r="J13" s="3784"/>
      <c r="K13" s="3786"/>
      <c r="L13" s="2875" t="s">
        <v>2366</v>
      </c>
      <c r="M13" s="2876"/>
      <c r="N13" s="2852"/>
      <c r="O13" s="2877"/>
      <c r="P13" s="2877"/>
      <c r="Q13" s="2878">
        <v>365</v>
      </c>
      <c r="R13" s="2879">
        <f t="shared" si="0"/>
        <v>0</v>
      </c>
      <c r="S13" s="2833"/>
      <c r="T13" s="2833"/>
      <c r="U13" s="2833"/>
      <c r="V13" s="2841"/>
    </row>
    <row r="14" spans="1:22" s="2845" customFormat="1" ht="13.35" customHeight="1">
      <c r="A14" s="2888" t="s">
        <v>2367</v>
      </c>
      <c r="B14" s="3790" t="s">
        <v>2368</v>
      </c>
      <c r="C14" s="3791"/>
      <c r="D14" s="2889">
        <f>ROUND(E14*B5/10000,0)</f>
        <v>0</v>
      </c>
      <c r="E14" s="2878"/>
      <c r="F14" s="2883" t="s">
        <v>2369</v>
      </c>
      <c r="G14" s="2884"/>
      <c r="H14" s="2840"/>
      <c r="I14" s="2841"/>
      <c r="J14" s="3784"/>
      <c r="K14" s="3787"/>
      <c r="L14" s="2895" t="s">
        <v>2370</v>
      </c>
      <c r="M14" s="2896">
        <f>SUM(M7:M13)</f>
        <v>0</v>
      </c>
      <c r="N14" s="2896" t="e">
        <f>ROUND((N7*M7+N8*M8+N9*M9+N10*M10+N11*M11+N12*M12+N13*M13)/M14,0)</f>
        <v>#DIV/0!</v>
      </c>
      <c r="O14" s="2897"/>
      <c r="P14" s="2897"/>
      <c r="Q14" s="2898"/>
      <c r="R14" s="2844">
        <f>SUM(R7:R13)</f>
        <v>0</v>
      </c>
      <c r="S14" s="2833"/>
      <c r="T14" s="2833"/>
      <c r="U14" s="2833"/>
      <c r="V14" s="2841"/>
    </row>
    <row r="15" spans="1:22" s="2845" customFormat="1" ht="13.35" customHeight="1">
      <c r="A15" s="2888" t="s">
        <v>2371</v>
      </c>
      <c r="B15" s="3790" t="s">
        <v>2372</v>
      </c>
      <c r="C15" s="3791"/>
      <c r="D15" s="2889">
        <f>ROUND(D6*E15,0)</f>
        <v>0</v>
      </c>
      <c r="E15" s="2890">
        <v>5.5E-2</v>
      </c>
      <c r="F15" s="2883" t="s">
        <v>2373</v>
      </c>
      <c r="G15" s="2865"/>
      <c r="H15" s="2840"/>
      <c r="I15" s="2841"/>
      <c r="J15" s="3784">
        <v>2</v>
      </c>
      <c r="K15" s="3785" t="s">
        <v>2374</v>
      </c>
      <c r="L15" s="2875" t="s">
        <v>2375</v>
      </c>
      <c r="M15" s="2876" t="s">
        <v>2376</v>
      </c>
      <c r="N15" s="2876" t="s">
        <v>2377</v>
      </c>
      <c r="O15" s="2877" t="s">
        <v>2378</v>
      </c>
      <c r="P15" s="2877" t="s">
        <v>2340</v>
      </c>
      <c r="Q15" s="2852" t="s">
        <v>2379</v>
      </c>
      <c r="R15" s="2899" t="s">
        <v>2341</v>
      </c>
      <c r="S15" s="2833"/>
      <c r="T15" s="2833"/>
      <c r="U15" s="2833"/>
      <c r="V15" s="2841"/>
    </row>
    <row r="16" spans="1:22" s="2845" customFormat="1" ht="13.35" customHeight="1">
      <c r="A16" s="2888" t="s">
        <v>2380</v>
      </c>
      <c r="B16" s="3790" t="s">
        <v>2381</v>
      </c>
      <c r="C16" s="3791"/>
      <c r="D16" s="2900">
        <f>D6*E16</f>
        <v>0</v>
      </c>
      <c r="E16" s="2901"/>
      <c r="F16" s="2886" t="s">
        <v>2382</v>
      </c>
      <c r="G16" s="2865"/>
      <c r="H16" s="2840"/>
      <c r="I16" s="2841"/>
      <c r="J16" s="3784"/>
      <c r="K16" s="3786"/>
      <c r="L16" s="2875" t="s">
        <v>2383</v>
      </c>
      <c r="M16" s="2876"/>
      <c r="N16" s="2876"/>
      <c r="O16" s="2877"/>
      <c r="P16" s="2878">
        <v>365</v>
      </c>
      <c r="Q16" s="2852"/>
      <c r="R16" s="2899">
        <f>ROUND(M16*N16*O16*P16/10000,0)</f>
        <v>0</v>
      </c>
      <c r="S16" s="2833"/>
      <c r="T16" s="2833"/>
      <c r="U16" s="2833"/>
      <c r="V16" s="2841"/>
    </row>
    <row r="17" spans="1:22" s="2845" customFormat="1" ht="13.35" customHeight="1" thickBot="1">
      <c r="A17" s="2902">
        <v>4</v>
      </c>
      <c r="B17" s="3792" t="s">
        <v>2384</v>
      </c>
      <c r="C17" s="3793"/>
      <c r="D17" s="2903">
        <f>ROUND(D6*E17,0)</f>
        <v>0</v>
      </c>
      <c r="E17" s="2904"/>
      <c r="F17" s="2905" t="s">
        <v>2385</v>
      </c>
      <c r="G17" s="2865"/>
      <c r="H17" s="2840"/>
      <c r="I17" s="2841"/>
      <c r="J17" s="3784"/>
      <c r="K17" s="3786"/>
      <c r="L17" s="2875" t="s">
        <v>2386</v>
      </c>
      <c r="M17" s="2876"/>
      <c r="N17" s="2876"/>
      <c r="O17" s="2877"/>
      <c r="P17" s="2878">
        <v>365</v>
      </c>
      <c r="Q17" s="2852"/>
      <c r="R17" s="2899">
        <f>ROUND(M17*N17*O17*P17/10000,0)</f>
        <v>0</v>
      </c>
      <c r="S17" s="2833"/>
      <c r="T17" s="2833"/>
      <c r="U17" s="2833"/>
      <c r="V17" s="2841"/>
    </row>
    <row r="18" spans="1:22" s="2845" customFormat="1" ht="13.35" customHeight="1" thickBot="1">
      <c r="A18" s="2868" t="s">
        <v>2387</v>
      </c>
      <c r="B18" s="2869"/>
      <c r="C18" s="2869"/>
      <c r="D18" s="2906">
        <f>ROUND(D6*E18,0)</f>
        <v>0</v>
      </c>
      <c r="E18" s="2907"/>
      <c r="F18" s="2908" t="s">
        <v>2388</v>
      </c>
      <c r="G18" s="2865"/>
      <c r="H18" s="2840"/>
      <c r="I18" s="2841"/>
      <c r="J18" s="3784"/>
      <c r="K18" s="3786"/>
      <c r="L18" s="2875" t="s">
        <v>2389</v>
      </c>
      <c r="M18" s="2876"/>
      <c r="N18" s="2876"/>
      <c r="O18" s="2877"/>
      <c r="P18" s="2878">
        <v>365</v>
      </c>
      <c r="Q18" s="2852"/>
      <c r="R18" s="2899">
        <f>ROUND(M18*N18*O18*P18/10000,0)</f>
        <v>0</v>
      </c>
      <c r="S18" s="2833"/>
      <c r="T18" s="2833"/>
      <c r="U18" s="2833"/>
      <c r="V18" s="2841"/>
    </row>
    <row r="19" spans="1:22" s="2845" customFormat="1" ht="13.35" customHeight="1" thickBot="1">
      <c r="A19" s="2909" t="s">
        <v>2390</v>
      </c>
      <c r="B19" s="2863"/>
      <c r="C19" s="2863"/>
      <c r="D19" s="2863"/>
      <c r="E19" s="2863"/>
      <c r="F19" s="2864"/>
      <c r="G19" s="2884"/>
      <c r="H19" s="2840"/>
      <c r="I19" s="2841"/>
      <c r="J19" s="3784"/>
      <c r="K19" s="3787"/>
      <c r="L19" s="2895" t="s">
        <v>2370</v>
      </c>
      <c r="M19" s="2896"/>
      <c r="N19" s="2896">
        <f>SUM(N16:N18)</f>
        <v>0</v>
      </c>
      <c r="O19" s="2897"/>
      <c r="P19" s="2910" t="s">
        <v>2434</v>
      </c>
      <c r="Q19" s="2877">
        <v>0</v>
      </c>
      <c r="R19" s="2911">
        <f>ROUND(IF(P19="按比例",R14*Q19,SUM(R16:R18)),0)</f>
        <v>0</v>
      </c>
      <c r="S19" s="2833"/>
      <c r="T19" s="2833"/>
      <c r="U19" s="2833"/>
      <c r="V19" s="2841"/>
    </row>
    <row r="20" spans="1:22" s="2845" customFormat="1" ht="13.35" customHeight="1">
      <c r="A20" s="2868"/>
      <c r="B20" s="2869"/>
      <c r="C20" s="2869"/>
      <c r="D20" s="2869"/>
      <c r="E20" s="2869"/>
      <c r="F20" s="2912"/>
      <c r="G20" s="2884"/>
      <c r="H20" s="2840"/>
      <c r="I20" s="2841"/>
      <c r="J20" s="3784">
        <v>3</v>
      </c>
      <c r="K20" s="3785" t="s">
        <v>2391</v>
      </c>
      <c r="L20" s="2875" t="s">
        <v>2392</v>
      </c>
      <c r="M20" s="2876" t="s">
        <v>2393</v>
      </c>
      <c r="N20" s="2913" t="s">
        <v>2394</v>
      </c>
      <c r="O20" s="2877" t="s">
        <v>2395</v>
      </c>
      <c r="P20" s="2878" t="s">
        <v>2396</v>
      </c>
      <c r="Q20" s="2852" t="s">
        <v>2397</v>
      </c>
      <c r="R20" s="2899" t="s">
        <v>2398</v>
      </c>
      <c r="S20" s="2914"/>
      <c r="T20" s="2914"/>
      <c r="U20" s="2914"/>
      <c r="V20" s="2841"/>
    </row>
    <row r="21" spans="1:22" s="2845" customFormat="1" ht="13.35" customHeight="1">
      <c r="A21" s="2868"/>
      <c r="B21" s="2869"/>
      <c r="C21" s="2915" t="s">
        <v>2399</v>
      </c>
      <c r="D21" s="2916" t="s">
        <v>2400</v>
      </c>
      <c r="E21" s="2917" t="s">
        <v>2401</v>
      </c>
      <c r="F21" s="2912"/>
      <c r="G21" s="2884"/>
      <c r="H21" s="2840"/>
      <c r="I21" s="2841"/>
      <c r="J21" s="3784"/>
      <c r="K21" s="3786"/>
      <c r="L21" s="2875" t="s">
        <v>2402</v>
      </c>
      <c r="M21" s="2876"/>
      <c r="N21" s="2876"/>
      <c r="O21" s="2877"/>
      <c r="P21" s="2878">
        <v>365</v>
      </c>
      <c r="Q21" s="2852"/>
      <c r="R21" s="2918">
        <f>ROUND(M21*N21*O21*P21/10000,0)</f>
        <v>0</v>
      </c>
      <c r="S21" s="2914"/>
      <c r="T21" s="2914"/>
      <c r="U21" s="2914"/>
      <c r="V21" s="2841"/>
    </row>
    <row r="22" spans="1:22" s="2845" customFormat="1" ht="13.35" customHeight="1">
      <c r="A22" s="2868"/>
      <c r="B22" s="2869"/>
      <c r="C22" s="2919" t="s">
        <v>2403</v>
      </c>
      <c r="D22" s="2920" t="s">
        <v>2404</v>
      </c>
      <c r="E22" s="2921" t="s">
        <v>2405</v>
      </c>
      <c r="F22" s="2912"/>
      <c r="G22" s="2922"/>
      <c r="H22" s="2840"/>
      <c r="I22" s="2841"/>
      <c r="J22" s="3784"/>
      <c r="K22" s="3786"/>
      <c r="L22" s="2875" t="s">
        <v>2406</v>
      </c>
      <c r="M22" s="2876"/>
      <c r="N22" s="2876"/>
      <c r="O22" s="2877"/>
      <c r="P22" s="2878">
        <v>365</v>
      </c>
      <c r="Q22" s="2852"/>
      <c r="R22" s="2918">
        <f>ROUND(M22*N22*O22*P22/10000,0)</f>
        <v>0</v>
      </c>
      <c r="S22" s="2914"/>
      <c r="T22" s="2914"/>
      <c r="U22" s="2914"/>
      <c r="V22" s="2841"/>
    </row>
    <row r="23" spans="1:22" s="2845" customFormat="1" ht="13.35" customHeight="1">
      <c r="A23" s="2923">
        <v>1</v>
      </c>
      <c r="B23" s="2924" t="s">
        <v>2407</v>
      </c>
      <c r="C23" s="2925">
        <f>D6</f>
        <v>0</v>
      </c>
      <c r="D23" s="2926">
        <f>C23*(1+D24)</f>
        <v>0</v>
      </c>
      <c r="E23" s="2927">
        <f>D23*(1+E24)</f>
        <v>0</v>
      </c>
      <c r="F23" s="2928"/>
      <c r="G23" s="2929"/>
      <c r="H23" s="2840"/>
      <c r="I23" s="2841"/>
      <c r="J23" s="3784"/>
      <c r="K23" s="3786"/>
      <c r="L23" s="2875" t="s">
        <v>2408</v>
      </c>
      <c r="M23" s="2876"/>
      <c r="N23" s="2876"/>
      <c r="O23" s="2877"/>
      <c r="P23" s="2878">
        <v>365</v>
      </c>
      <c r="Q23" s="2852"/>
      <c r="R23" s="2918">
        <f>ROUND(M23*N23*O23*P23/10000,0)</f>
        <v>0</v>
      </c>
      <c r="S23" s="2833"/>
      <c r="T23" s="2833"/>
      <c r="U23" s="2833"/>
      <c r="V23" s="2841"/>
    </row>
    <row r="24" spans="1:22" s="2845" customFormat="1" ht="13.35" customHeight="1">
      <c r="A24" s="2930"/>
      <c r="B24" s="2931" t="s">
        <v>2409</v>
      </c>
      <c r="C24" s="2932"/>
      <c r="D24" s="2933"/>
      <c r="E24" s="2934"/>
      <c r="F24" s="2935"/>
      <c r="G24" s="2929"/>
      <c r="H24" s="2840"/>
      <c r="I24" s="2841"/>
      <c r="J24" s="3784"/>
      <c r="K24" s="3787"/>
      <c r="L24" s="2895" t="s">
        <v>2370</v>
      </c>
      <c r="M24" s="2896">
        <f>SUM(M21:M23)</f>
        <v>0</v>
      </c>
      <c r="N24" s="2896"/>
      <c r="O24" s="2897"/>
      <c r="P24" s="2910" t="s">
        <v>2434</v>
      </c>
      <c r="Q24" s="2877">
        <v>0</v>
      </c>
      <c r="R24" s="2911">
        <f>ROUND(IF(P24="按比例",R14*Q24,SUM(R21:R23)),0)</f>
        <v>0</v>
      </c>
      <c r="S24" s="2833"/>
      <c r="T24" s="2833"/>
      <c r="U24" s="2833"/>
      <c r="V24" s="2841"/>
    </row>
    <row r="25" spans="1:22" s="2942" customFormat="1" ht="13.35" customHeight="1">
      <c r="A25" s="2930"/>
      <c r="B25" s="2931"/>
      <c r="C25" s="2932"/>
      <c r="D25" s="2933"/>
      <c r="E25" s="2934"/>
      <c r="F25" s="2935"/>
      <c r="G25" s="2922"/>
      <c r="H25" s="2840"/>
      <c r="I25" s="2841"/>
      <c r="J25" s="2936">
        <v>4</v>
      </c>
      <c r="K25" s="2937" t="s">
        <v>2410</v>
      </c>
      <c r="L25" s="2938"/>
      <c r="M25" s="2938"/>
      <c r="N25" s="2938"/>
      <c r="O25" s="2938"/>
      <c r="P25" s="2939"/>
      <c r="Q25" s="2940">
        <v>0</v>
      </c>
      <c r="R25" s="2911">
        <f>ROUND(R14*Q25,0)</f>
        <v>0</v>
      </c>
      <c r="S25" s="2833"/>
      <c r="T25" s="2833"/>
      <c r="U25" s="2833"/>
      <c r="V25" s="2941"/>
    </row>
    <row r="26" spans="1:22" s="2942" customFormat="1" ht="13.35" customHeight="1">
      <c r="A26" s="2923">
        <v>2</v>
      </c>
      <c r="B26" s="2924" t="s">
        <v>2411</v>
      </c>
      <c r="C26" s="2925">
        <f>D7</f>
        <v>0</v>
      </c>
      <c r="D26" s="2926">
        <f>D23*D27</f>
        <v>0</v>
      </c>
      <c r="E26" s="2927">
        <f>E23*E27</f>
        <v>0</v>
      </c>
      <c r="F26" s="2928"/>
      <c r="G26" s="2929"/>
      <c r="H26" s="2840"/>
      <c r="I26" s="2841"/>
      <c r="J26" s="3794">
        <v>5</v>
      </c>
      <c r="K26" s="2943" t="s">
        <v>2412</v>
      </c>
      <c r="L26" s="2944"/>
      <c r="M26" s="2945"/>
      <c r="N26" s="2946" t="s">
        <v>2413</v>
      </c>
      <c r="O26" s="2946" t="s">
        <v>2414</v>
      </c>
      <c r="P26" s="2947" t="s">
        <v>2415</v>
      </c>
      <c r="Q26" s="2947" t="s">
        <v>2416</v>
      </c>
      <c r="R26" s="2850" t="s">
        <v>2341</v>
      </c>
      <c r="S26" s="2948"/>
      <c r="T26" s="2948"/>
      <c r="U26" s="2948"/>
      <c r="V26" s="2941"/>
    </row>
    <row r="27" spans="1:22" s="2845" customFormat="1" ht="13.35" customHeight="1">
      <c r="A27" s="2930"/>
      <c r="B27" s="2931" t="s">
        <v>2417</v>
      </c>
      <c r="C27" s="2949" t="e">
        <f>E7</f>
        <v>#DIV/0!</v>
      </c>
      <c r="D27" s="2933"/>
      <c r="E27" s="2934"/>
      <c r="F27" s="2935"/>
      <c r="G27" s="2929"/>
      <c r="H27" s="2950"/>
      <c r="I27" s="2941"/>
      <c r="J27" s="3795"/>
      <c r="K27" s="2951"/>
      <c r="L27" s="2952"/>
      <c r="M27" s="2953"/>
      <c r="N27" s="2954"/>
      <c r="O27" s="2954"/>
      <c r="P27" s="2954"/>
      <c r="Q27" s="2955"/>
      <c r="R27" s="2911">
        <f>ROUND(O27*N27*P27*(1-Q27)/10000,0)</f>
        <v>0</v>
      </c>
      <c r="S27" s="2833"/>
      <c r="T27" s="2833"/>
      <c r="U27" s="2833"/>
      <c r="V27" s="2841"/>
    </row>
    <row r="28" spans="1:22" s="2942" customFormat="1" ht="13.35" customHeight="1" thickBot="1">
      <c r="A28" s="2930"/>
      <c r="B28" s="2931"/>
      <c r="C28" s="2949"/>
      <c r="D28" s="2933"/>
      <c r="E28" s="2934" t="s">
        <v>2418</v>
      </c>
      <c r="F28" s="2935"/>
      <c r="G28" s="2922"/>
      <c r="H28" s="2950"/>
      <c r="I28" s="2941"/>
      <c r="J28" s="2956">
        <v>6</v>
      </c>
      <c r="K28" s="2957" t="s">
        <v>2419</v>
      </c>
      <c r="L28" s="2958" t="s">
        <v>2420</v>
      </c>
      <c r="M28" s="2959"/>
      <c r="N28" s="2958" t="s">
        <v>2421</v>
      </c>
      <c r="O28" s="2960"/>
      <c r="P28" s="2958" t="s">
        <v>2422</v>
      </c>
      <c r="Q28" s="2961">
        <v>1.4999999999999999E-2</v>
      </c>
      <c r="R28" s="2962"/>
      <c r="S28" s="2914"/>
      <c r="T28" s="2914"/>
      <c r="U28" s="2914"/>
      <c r="V28" s="2941"/>
    </row>
    <row r="29" spans="1:22" s="2942" customFormat="1" ht="13.35" customHeight="1">
      <c r="A29" s="2923">
        <v>3</v>
      </c>
      <c r="B29" s="2924" t="s">
        <v>2423</v>
      </c>
      <c r="C29" s="2925">
        <f>C23*C30</f>
        <v>0</v>
      </c>
      <c r="D29" s="2926">
        <f>D23*C30</f>
        <v>0</v>
      </c>
      <c r="E29" s="2927">
        <f>E23*C30</f>
        <v>0</v>
      </c>
      <c r="F29" s="2928"/>
      <c r="G29" s="2929"/>
      <c r="H29" s="2840"/>
      <c r="I29" s="2841"/>
      <c r="J29" s="2914"/>
      <c r="K29" s="2914"/>
      <c r="L29" s="2914"/>
      <c r="M29" s="2914"/>
      <c r="N29" s="2914"/>
      <c r="O29" s="2914"/>
      <c r="P29" s="2914"/>
      <c r="Q29" s="2914"/>
      <c r="R29" s="2914"/>
      <c r="S29" s="2914"/>
      <c r="T29" s="2914"/>
      <c r="U29" s="2914"/>
      <c r="V29" s="2941"/>
    </row>
    <row r="30" spans="1:22" s="2845" customFormat="1" ht="13.35" customHeight="1" thickBot="1">
      <c r="A30" s="2930"/>
      <c r="B30" s="2931" t="s">
        <v>2417</v>
      </c>
      <c r="C30" s="2949">
        <f>E18</f>
        <v>0</v>
      </c>
      <c r="D30" s="2963"/>
      <c r="E30" s="2894"/>
      <c r="F30" s="2935"/>
      <c r="G30" s="2929"/>
      <c r="H30" s="2950"/>
      <c r="I30" s="2941"/>
      <c r="J30" s="2914"/>
      <c r="K30" s="2914"/>
      <c r="L30" s="2914"/>
      <c r="M30" s="2914"/>
      <c r="N30" s="2914"/>
      <c r="O30" s="2914"/>
      <c r="P30" s="2914"/>
      <c r="Q30" s="2914"/>
      <c r="R30" s="2914"/>
      <c r="S30" s="2914"/>
      <c r="T30" s="2914"/>
      <c r="U30" s="2833"/>
      <c r="V30" s="2841"/>
    </row>
    <row r="31" spans="1:22" s="2942" customFormat="1" ht="13.35" customHeight="1">
      <c r="A31" s="2930"/>
      <c r="B31" s="2931"/>
      <c r="C31" s="2964"/>
      <c r="D31" s="2963"/>
      <c r="E31" s="2894"/>
      <c r="F31" s="2935"/>
      <c r="G31" s="2922"/>
      <c r="H31" s="2950"/>
      <c r="I31" s="2941"/>
      <c r="J31" s="2830" t="s">
        <v>2424</v>
      </c>
      <c r="K31" s="2831"/>
      <c r="L31" s="2831"/>
      <c r="M31" s="2831"/>
      <c r="N31" s="2831"/>
      <c r="O31" s="2831"/>
      <c r="P31" s="2831"/>
      <c r="Q31" s="2831"/>
      <c r="R31" s="2832"/>
      <c r="S31" s="2914"/>
      <c r="T31" s="2833"/>
      <c r="U31" s="2833"/>
      <c r="V31" s="2941"/>
    </row>
    <row r="32" spans="1:22" s="2942" customFormat="1" ht="13.35" customHeight="1">
      <c r="A32" s="2923">
        <v>4</v>
      </c>
      <c r="B32" s="2924" t="s">
        <v>2425</v>
      </c>
      <c r="C32" s="2925">
        <f>C23-C26-C29</f>
        <v>0</v>
      </c>
      <c r="D32" s="2926">
        <f>D23-D26-D29</f>
        <v>0</v>
      </c>
      <c r="E32" s="2927">
        <f>E23-E26-E29</f>
        <v>0</v>
      </c>
      <c r="F32" s="2928"/>
      <c r="G32" s="2922"/>
      <c r="H32" s="2840"/>
      <c r="I32" s="2841"/>
      <c r="J32" s="3777" t="s">
        <v>2317</v>
      </c>
      <c r="K32" s="3778"/>
      <c r="L32" s="2842" t="s">
        <v>2318</v>
      </c>
      <c r="M32" s="2842" t="s">
        <v>2319</v>
      </c>
      <c r="N32" s="2842" t="s">
        <v>2320</v>
      </c>
      <c r="O32" s="2842" t="s">
        <v>2321</v>
      </c>
      <c r="P32" s="2842" t="s">
        <v>2322</v>
      </c>
      <c r="Q32" s="2843" t="s">
        <v>2323</v>
      </c>
      <c r="R32" s="2965" t="s">
        <v>2324</v>
      </c>
      <c r="S32" s="2914"/>
      <c r="T32" s="2833"/>
      <c r="U32" s="2833"/>
      <c r="V32" s="2941"/>
    </row>
    <row r="33" spans="1:23" s="2845" customFormat="1" ht="13.35" customHeight="1">
      <c r="A33" s="2923"/>
      <c r="B33" s="2924"/>
      <c r="C33" s="2925"/>
      <c r="D33" s="2966"/>
      <c r="E33" s="2967"/>
      <c r="F33" s="2928"/>
      <c r="G33" s="2922"/>
      <c r="H33" s="2950"/>
      <c r="I33" s="2941"/>
      <c r="J33" s="3779" t="s">
        <v>2327</v>
      </c>
      <c r="K33" s="3780"/>
      <c r="L33" s="2848"/>
      <c r="M33" s="2848"/>
      <c r="N33" s="2848"/>
      <c r="O33" s="2848"/>
      <c r="P33" s="2848"/>
      <c r="Q33" s="2849"/>
      <c r="R33" s="2968">
        <f>SUM(L33:Q33)</f>
        <v>0</v>
      </c>
      <c r="S33" s="2914"/>
      <c r="T33" s="2833"/>
      <c r="U33" s="2833"/>
      <c r="V33" s="2841"/>
    </row>
    <row r="34" spans="1:23" s="2845" customFormat="1" ht="13.35" customHeight="1">
      <c r="A34" s="2923">
        <v>5</v>
      </c>
      <c r="B34" s="2924" t="s">
        <v>2426</v>
      </c>
      <c r="C34" s="2969"/>
      <c r="D34" s="2970"/>
      <c r="E34" s="2971"/>
      <c r="F34" s="2928"/>
      <c r="G34" s="2922"/>
      <c r="H34" s="2950"/>
      <c r="I34" s="2941"/>
      <c r="J34" s="3779" t="s">
        <v>2329</v>
      </c>
      <c r="K34" s="3780"/>
      <c r="L34" s="2853"/>
      <c r="M34" s="2853"/>
      <c r="N34" s="2853"/>
      <c r="O34" s="2853"/>
      <c r="P34" s="2853"/>
      <c r="Q34" s="2854"/>
      <c r="R34" s="2972">
        <f>SUM(L34:Q34)</f>
        <v>0</v>
      </c>
      <c r="S34" s="2914"/>
      <c r="T34" s="2833"/>
      <c r="U34" s="2833" t="e">
        <f>ROUND(R35*10000/365/R33,1)</f>
        <v>#DIV/0!</v>
      </c>
      <c r="V34" s="2841"/>
    </row>
    <row r="35" spans="1:23" s="2845" customFormat="1" ht="13.35" customHeight="1">
      <c r="A35" s="2923">
        <v>6</v>
      </c>
      <c r="B35" s="2924" t="s">
        <v>2427</v>
      </c>
      <c r="C35" s="2973"/>
      <c r="D35" s="2974"/>
      <c r="E35" s="2975"/>
      <c r="F35" s="2928"/>
      <c r="G35" s="2976"/>
      <c r="H35" s="2840"/>
      <c r="I35" s="2941"/>
      <c r="J35" s="2859" t="s">
        <v>2331</v>
      </c>
      <c r="K35" s="2860"/>
      <c r="L35" s="2860"/>
      <c r="M35" s="2861"/>
      <c r="N35" s="2861"/>
      <c r="O35" s="2861"/>
      <c r="P35" s="2861"/>
      <c r="Q35" s="2861"/>
      <c r="R35" s="2977">
        <f>R40+R41+R43</f>
        <v>0</v>
      </c>
      <c r="S35" s="2914"/>
      <c r="T35" s="2833" t="s">
        <v>2332</v>
      </c>
      <c r="U35" s="2833"/>
      <c r="V35" s="2841"/>
    </row>
    <row r="36" spans="1:23" s="2845" customFormat="1" ht="13.35" customHeight="1" thickBot="1">
      <c r="A36" s="2923">
        <v>7</v>
      </c>
      <c r="B36" s="2978" t="s">
        <v>2428</v>
      </c>
      <c r="C36" s="2979"/>
      <c r="D36" s="2980"/>
      <c r="E36" s="2981"/>
      <c r="F36" s="2982">
        <f>C36+D36+E36</f>
        <v>0</v>
      </c>
      <c r="G36" s="2922"/>
      <c r="H36" s="2840"/>
      <c r="I36" s="2841"/>
      <c r="J36" s="3784">
        <v>1</v>
      </c>
      <c r="K36" s="3785" t="s">
        <v>2429</v>
      </c>
      <c r="L36" s="2866"/>
      <c r="M36" s="2867"/>
      <c r="N36" s="2867"/>
      <c r="O36" s="2867"/>
      <c r="P36" s="2867"/>
      <c r="Q36" s="2867"/>
      <c r="R36" s="2850" t="s">
        <v>2341</v>
      </c>
      <c r="S36" s="2914"/>
      <c r="T36" s="2833" t="s">
        <v>2342</v>
      </c>
      <c r="U36" s="2833"/>
      <c r="V36" s="2841"/>
    </row>
    <row r="37" spans="1:23" s="2845" customFormat="1" ht="13.35" customHeight="1">
      <c r="A37" s="2923"/>
      <c r="B37" s="2924"/>
      <c r="C37" s="2924"/>
      <c r="D37" s="2924"/>
      <c r="E37" s="2924"/>
      <c r="F37" s="2928"/>
      <c r="G37" s="2922"/>
      <c r="H37" s="2840"/>
      <c r="I37" s="2841"/>
      <c r="J37" s="3784"/>
      <c r="K37" s="3786"/>
      <c r="L37" s="2875"/>
      <c r="M37" s="2876"/>
      <c r="N37" s="2852"/>
      <c r="O37" s="2877"/>
      <c r="P37" s="2877"/>
      <c r="Q37" s="2878"/>
      <c r="R37" s="2879"/>
      <c r="S37" s="2914"/>
      <c r="T37" s="2833" t="s">
        <v>2345</v>
      </c>
      <c r="U37" s="2833"/>
      <c r="V37" s="2841"/>
    </row>
    <row r="38" spans="1:23" s="2845" customFormat="1" ht="13.35" customHeight="1">
      <c r="A38" s="2923">
        <v>8</v>
      </c>
      <c r="B38" s="2924"/>
      <c r="C38" s="2881" t="e">
        <f>ROUND(C32*(1-((1+C35)/(1+C34))^C36)/(C34-C35),0)</f>
        <v>#DIV/0!</v>
      </c>
      <c r="D38" s="2881">
        <f>IF(D23=0,0,ROUND(D32*(1-((1+D35)/(1+D34))^D36)/(D34-D35),0))</f>
        <v>0</v>
      </c>
      <c r="E38" s="2881">
        <f>IF(E23=0,0,ROUND(E32*(1-((1+E35)/(1+E34))^E36)/(E34-E35),0))</f>
        <v>0</v>
      </c>
      <c r="F38" s="2928"/>
      <c r="G38" s="2922"/>
      <c r="H38" s="2840"/>
      <c r="I38" s="2841"/>
      <c r="J38" s="3784"/>
      <c r="K38" s="3786"/>
      <c r="L38" s="2875"/>
      <c r="M38" s="2876"/>
      <c r="N38" s="2852"/>
      <c r="O38" s="2877"/>
      <c r="P38" s="2877"/>
      <c r="Q38" s="2878"/>
      <c r="R38" s="2879"/>
      <c r="S38" s="2914"/>
      <c r="T38" s="2833" t="s">
        <v>2352</v>
      </c>
      <c r="U38" s="2833"/>
      <c r="V38" s="2841"/>
    </row>
    <row r="39" spans="1:23" s="2845" customFormat="1" ht="13.35" customHeight="1">
      <c r="A39" s="2923">
        <v>9</v>
      </c>
      <c r="B39" s="2924" t="s">
        <v>2430</v>
      </c>
      <c r="C39" s="2889" t="e">
        <f>C38</f>
        <v>#DIV/0!</v>
      </c>
      <c r="D39" s="2924">
        <f>D38/(1+D34)^C36</f>
        <v>0</v>
      </c>
      <c r="E39" s="2924">
        <f>E38/(1+E34)^(C36+D36)</f>
        <v>0</v>
      </c>
      <c r="F39" s="2928"/>
      <c r="G39" s="2983"/>
      <c r="H39" s="2840"/>
      <c r="I39" s="2841"/>
      <c r="J39" s="3784"/>
      <c r="K39" s="3786"/>
      <c r="L39" s="2875"/>
      <c r="M39" s="2876"/>
      <c r="N39" s="2852"/>
      <c r="O39" s="2877"/>
      <c r="P39" s="2877"/>
      <c r="Q39" s="2878"/>
      <c r="R39" s="2879"/>
      <c r="S39" s="2914"/>
      <c r="T39" s="2833"/>
      <c r="U39" s="2833"/>
      <c r="V39" s="2841"/>
    </row>
    <row r="40" spans="1:23" s="2845" customFormat="1" ht="13.35" customHeight="1">
      <c r="A40" s="2984">
        <v>10</v>
      </c>
      <c r="B40" s="2924" t="s">
        <v>2431</v>
      </c>
      <c r="C40" s="2985" t="e">
        <f>C39+D39+E39</f>
        <v>#DIV/0!</v>
      </c>
      <c r="D40" s="2986"/>
      <c r="E40" s="2986"/>
      <c r="F40" s="2987"/>
      <c r="G40" s="2922"/>
      <c r="H40" s="2840"/>
      <c r="I40" s="2841"/>
      <c r="J40" s="3784"/>
      <c r="K40" s="3787"/>
      <c r="L40" s="2895" t="s">
        <v>2370</v>
      </c>
      <c r="M40" s="2896"/>
      <c r="N40" s="2896"/>
      <c r="O40" s="2897"/>
      <c r="P40" s="2897"/>
      <c r="Q40" s="2898"/>
      <c r="R40" s="2844">
        <f>SUM(R37:R39)</f>
        <v>0</v>
      </c>
      <c r="S40" s="2914"/>
      <c r="T40" s="2833"/>
      <c r="U40" s="2833"/>
      <c r="V40" s="2841"/>
    </row>
    <row r="41" spans="1:23" s="2845" customFormat="1" ht="13.35" customHeight="1" thickBot="1">
      <c r="A41" s="2988">
        <v>11</v>
      </c>
      <c r="B41" s="2989" t="s">
        <v>2432</v>
      </c>
      <c r="C41" s="2989" t="e">
        <f>ROUND(C40*10000/B4,0)</f>
        <v>#DIV/0!</v>
      </c>
      <c r="D41" s="2990"/>
      <c r="E41" s="2990"/>
      <c r="F41" s="2991"/>
      <c r="G41" s="2992"/>
      <c r="H41" s="2840"/>
      <c r="I41" s="2841"/>
      <c r="J41" s="2936">
        <v>2</v>
      </c>
      <c r="K41" s="2937" t="s">
        <v>2410</v>
      </c>
      <c r="L41" s="2938"/>
      <c r="M41" s="2938"/>
      <c r="N41" s="2938"/>
      <c r="O41" s="2938"/>
      <c r="P41" s="2939"/>
      <c r="Q41" s="2940"/>
      <c r="R41" s="2911">
        <f>ROUND(R40*Q41,0)</f>
        <v>0</v>
      </c>
      <c r="S41" s="2914"/>
      <c r="T41" s="2833"/>
      <c r="U41" s="2948"/>
      <c r="V41" s="2841"/>
    </row>
    <row r="42" spans="1:23" s="2845" customFormat="1" ht="13.35" customHeight="1">
      <c r="G42" s="2992"/>
      <c r="H42" s="2840"/>
      <c r="I42" s="2841"/>
      <c r="J42" s="3794">
        <v>3</v>
      </c>
      <c r="K42" s="2943" t="s">
        <v>2412</v>
      </c>
      <c r="L42" s="2944"/>
      <c r="M42" s="2945"/>
      <c r="N42" s="2946" t="s">
        <v>2413</v>
      </c>
      <c r="O42" s="2946" t="s">
        <v>2414</v>
      </c>
      <c r="P42" s="2947" t="s">
        <v>2415</v>
      </c>
      <c r="Q42" s="2947" t="s">
        <v>2416</v>
      </c>
      <c r="R42" s="2850" t="s">
        <v>2341</v>
      </c>
      <c r="S42" s="2948"/>
      <c r="T42" s="2948"/>
      <c r="U42" s="2833"/>
      <c r="V42" s="2841"/>
    </row>
    <row r="43" spans="1:23" ht="13.35" customHeight="1">
      <c r="A43" s="2845"/>
      <c r="B43" s="2845"/>
      <c r="C43" s="2845"/>
      <c r="D43" s="2845"/>
      <c r="E43" s="2845"/>
      <c r="F43" s="2845"/>
      <c r="I43" s="2828"/>
      <c r="J43" s="3795"/>
      <c r="K43" s="2951"/>
      <c r="L43" s="2952"/>
      <c r="M43" s="2953"/>
      <c r="N43" s="2876"/>
      <c r="O43" s="2876"/>
      <c r="P43" s="2876"/>
      <c r="Q43" s="2940"/>
      <c r="R43" s="2911">
        <f>ROUND(O43*N43*P43*(1-Q43)/10000,0)</f>
        <v>0</v>
      </c>
      <c r="S43" s="2914"/>
      <c r="T43" s="2833"/>
      <c r="V43" s="2994"/>
      <c r="W43" s="2995"/>
    </row>
    <row r="44" spans="1:23" ht="13.35" customHeight="1" thickBot="1">
      <c r="J44" s="2956">
        <v>6</v>
      </c>
      <c r="K44" s="2957" t="s">
        <v>2419</v>
      </c>
      <c r="L44" s="2996" t="s">
        <v>2420</v>
      </c>
      <c r="M44" s="2959"/>
      <c r="N44" s="2996" t="s">
        <v>2421</v>
      </c>
      <c r="O44" s="2959"/>
      <c r="P44" s="2996" t="s">
        <v>2422</v>
      </c>
      <c r="Q44" s="2961">
        <v>1.4999999999999999E-2</v>
      </c>
      <c r="R44" s="2962"/>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34"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 type="list" allowBlank="1" showInputMessage="1" showErrorMessage="1" sqref="D2">
      <formula1>"——,需考虑建筑物残值"</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SheetLayoutView="100" zoomScalePageLayoutView="80" workbookViewId="0">
      <selection activeCell="A14" sqref="A14"/>
    </sheetView>
  </sheetViews>
  <sheetFormatPr defaultColWidth="9" defaultRowHeight="14.25"/>
  <cols>
    <col min="1" max="1" width="84" style="1473" customWidth="1"/>
    <col min="2" max="16384" width="9" style="1473"/>
  </cols>
  <sheetData>
    <row r="1" spans="1:1" ht="23.25">
      <c r="A1" s="1472" t="s">
        <v>898</v>
      </c>
    </row>
    <row r="2" spans="1:1">
      <c r="A2" s="1474"/>
    </row>
    <row r="3" spans="1:1" ht="18">
      <c r="A3" s="1475" t="str">
        <f>项目基本情况!B5&amp;"："</f>
        <v>：</v>
      </c>
    </row>
    <row r="4" spans="1:1" ht="18">
      <c r="A4" s="1476" t="str">
        <f>"受贵公司委托，我公司对"&amp;项目基本情况!S1&amp;"进行了预评估。"</f>
        <v>受贵公司委托，我公司对北京市房地产市场价值进行了预评估。</v>
      </c>
    </row>
    <row r="5" spans="1:1" ht="18.75">
      <c r="A5" s="1477" t="s">
        <v>899</v>
      </c>
    </row>
    <row r="6" spans="1:1" ht="18.75">
      <c r="A6" s="1478" t="s">
        <v>900</v>
      </c>
    </row>
    <row r="7" spans="1:1" ht="36">
      <c r="A7" s="1476"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估价对象为北京市房地产，为所有。根据《国有土地使用证》[]，估价对象（分摊）出让国有建设用地使用权面积为0.45平方米，建筑面积为1平方米。</v>
      </c>
    </row>
    <row r="8" spans="1:1" ht="57.75">
      <c r="A8" s="1479" t="s">
        <v>901</v>
      </c>
    </row>
    <row r="9" spans="1:1" ht="18.75">
      <c r="A9" s="1478" t="s">
        <v>902</v>
      </c>
    </row>
    <row r="10" spans="1:1" ht="54">
      <c r="A10" s="1476"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估价对象为北京市房地产,属开发建设的，该项目尚在开发建设中。根据《国有土地使用证》[]，估价对象（分摊）出让国有建设用地使用权面积为0.45平方米，规划建筑面积为1平方米。</v>
      </c>
    </row>
    <row r="11" spans="1:1" ht="76.5">
      <c r="A11" s="1479" t="s">
        <v>903</v>
      </c>
    </row>
    <row r="12" spans="1:1" ht="18.75">
      <c r="A12" s="1477" t="s">
        <v>904</v>
      </c>
    </row>
    <row r="13" spans="1:1" ht="38.25" customHeight="1">
      <c r="A13" s="1480" t="str">
        <f>IF(项目基本情况!B8="抵押",IF(项目基本情况!B5=项目基本情况!B6,定义!C51,定义!B51),定义!D51)</f>
        <v>为估价委托人了解估价对象房地产市场价值提供参考依据。</v>
      </c>
    </row>
    <row r="14" spans="1:1" ht="18.75">
      <c r="A14" s="1481" t="s">
        <v>905</v>
      </c>
    </row>
    <row r="15" spans="1:1" ht="18">
      <c r="A15" s="1482" t="str">
        <f>TEXT(项目基本情况!D3,"yyyy年m月d日;;")&amp;IF(项目基本情况!D3=项目基本情况!B3,"（评估专业人员实地查勘之日）","")</f>
        <v>2023年7月7日（评估专业人员实地查勘之日）</v>
      </c>
    </row>
    <row r="16" spans="1:1" ht="18.75">
      <c r="A16" s="1481" t="s">
        <v>906</v>
      </c>
    </row>
    <row r="17" spans="1:1" ht="75">
      <c r="A17" s="1476" t="s">
        <v>907</v>
      </c>
    </row>
    <row r="18" spans="1:1" ht="54">
      <c r="A18" s="1476"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2023年7月7日，估价对象规划用途为，土地取得方式为出让，出让国有建设用地使用权剩余土地使用年限为，假定未设立法定优先受偿款下的房地产市场价值。</v>
      </c>
    </row>
    <row r="19" spans="1:1" ht="157.5" customHeight="1">
      <c r="A19" s="1476"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18">
      <c r="A20" s="1476" t="str">
        <f>IF(项目基本情况!B9="房地产市场价值","——",IF(项目基本情况!E8="房地产抵押价值",定义!C54,IF(项目基本情况!E8="已注销",定义!C55,定义!C56)))</f>
        <v>——</v>
      </c>
    </row>
    <row r="21" spans="1:1" ht="18">
      <c r="A21" s="1476"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v>
      </c>
    </row>
    <row r="22" spans="1:1" ht="18">
      <c r="A22" s="1476" t="str">
        <f>IF(项目基本情况!B9="房地产市场价值","——",IF(项目基本情况!E9="——","",定义!C57))</f>
        <v>——</v>
      </c>
    </row>
    <row r="23" spans="1:1" ht="18.75">
      <c r="A23" s="1481" t="s">
        <v>896</v>
      </c>
    </row>
    <row r="24" spans="1:1" ht="18">
      <c r="A24" s="1483" t="str">
        <f>"本次评估采用的主估价方法为"&amp;结果表!K4&amp;"和"&amp;结果表!L4&amp;"。"</f>
        <v>本次评估采用的主估价方法为成本法和比较法。</v>
      </c>
    </row>
    <row r="25" spans="1:1" ht="18">
      <c r="A25" s="1483"/>
    </row>
    <row r="26" spans="1:1" ht="18.75">
      <c r="A26" s="1484" t="s">
        <v>897</v>
      </c>
    </row>
    <row r="27" spans="1:1">
      <c r="A27" s="1485"/>
    </row>
    <row r="28" spans="1:1">
      <c r="A28" s="1485"/>
    </row>
    <row r="29" spans="1:1">
      <c r="A29" s="1485"/>
    </row>
    <row r="30" spans="1:1">
      <c r="A30" s="1485"/>
    </row>
    <row r="31" spans="1:1">
      <c r="A31" s="1485"/>
    </row>
    <row r="32" spans="1:1">
      <c r="A32" s="1485"/>
    </row>
    <row r="33" spans="1:1">
      <c r="A33" s="1485"/>
    </row>
    <row r="34" spans="1:1">
      <c r="A34" s="1485"/>
    </row>
    <row r="35" spans="1:1">
      <c r="A35" s="1485"/>
    </row>
    <row r="36" spans="1:1">
      <c r="A36" s="1485"/>
    </row>
    <row r="37" spans="1:1">
      <c r="A37" s="1485"/>
    </row>
    <row r="38" spans="1:1">
      <c r="A38" s="1485"/>
    </row>
    <row r="39" spans="1:1">
      <c r="A39" s="1485"/>
    </row>
    <row r="40" spans="1:1">
      <c r="A40" s="1485"/>
    </row>
    <row r="41" spans="1:1">
      <c r="A41" s="1485"/>
    </row>
    <row r="42" spans="1:1">
      <c r="A42" s="1485"/>
    </row>
    <row r="43" spans="1:1">
      <c r="A43" s="1485"/>
    </row>
    <row r="44" spans="1:1">
      <c r="A44" s="1485"/>
    </row>
    <row r="45" spans="1:1">
      <c r="A45" s="1485"/>
    </row>
    <row r="46" spans="1:1">
      <c r="A46" s="1485"/>
    </row>
    <row r="47" spans="1:1">
      <c r="A47" s="1485"/>
    </row>
    <row r="48" spans="1:1">
      <c r="A48" s="1485"/>
    </row>
  </sheetData>
  <sheetProtection sheet="1" objects="1" scenarios="1" formatCells="0" formatRows="0"/>
  <phoneticPr fontId="83"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extLst>
    <ext xmlns:mx="http://schemas.microsoft.com/office/mac/excel/2008/main" uri="{64002731-A6B0-56B0-2670-7721B7C09600}">
      <mx:PLV Mode="1" OnePage="0" WScale="100"/>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SheetLayoutView="100" workbookViewId="0">
      <selection activeCell="F20" sqref="F20"/>
    </sheetView>
  </sheetViews>
  <sheetFormatPr defaultColWidth="9" defaultRowHeight="14.25"/>
  <cols>
    <col min="1" max="1" width="23.625" style="1473" customWidth="1"/>
    <col min="2" max="2" width="12" style="1473" customWidth="1"/>
    <col min="3" max="3" width="9" style="1473"/>
    <col min="4" max="4" width="14.125" style="1473" customWidth="1"/>
    <col min="5" max="5" width="9" style="1473"/>
    <col min="6" max="6" width="12.875" style="1473" customWidth="1"/>
    <col min="7" max="16384" width="9" style="1473"/>
  </cols>
  <sheetData>
    <row r="1" spans="1:22" ht="21">
      <c r="A1" s="1863" t="s">
        <v>1658</v>
      </c>
      <c r="B1" s="1864"/>
      <c r="C1" s="1864"/>
      <c r="D1" s="1864"/>
      <c r="E1" s="1865"/>
      <c r="F1" s="2699"/>
      <c r="G1" s="1485"/>
      <c r="H1" s="1485"/>
      <c r="I1" s="1485"/>
      <c r="J1" s="1485"/>
      <c r="K1" s="1485"/>
      <c r="L1" s="1485"/>
      <c r="M1" s="1485"/>
      <c r="N1" s="1485"/>
      <c r="O1" s="1485"/>
      <c r="P1" s="1485"/>
      <c r="Q1" s="1485"/>
      <c r="R1" s="1485"/>
      <c r="S1" s="1485"/>
    </row>
    <row r="2" spans="1:22" ht="15.75">
      <c r="A2" s="1866" t="s">
        <v>1462</v>
      </c>
      <c r="B2" s="1867">
        <f ca="1">SUMIF(B6:B13,"&lt;&gt;#ref!",B6:B13)</f>
        <v>0</v>
      </c>
      <c r="C2" s="1868" t="s">
        <v>1651</v>
      </c>
      <c r="D2" s="1869" t="s">
        <v>1652</v>
      </c>
      <c r="E2" s="2599">
        <f>SUM(E6:E13)</f>
        <v>0</v>
      </c>
      <c r="F2" s="2699"/>
      <c r="G2" s="1485"/>
      <c r="H2" s="1485"/>
      <c r="I2" s="1485"/>
      <c r="J2" s="1485"/>
      <c r="K2" s="1485"/>
      <c r="L2" s="1485"/>
      <c r="M2" s="1485"/>
      <c r="N2" s="1485"/>
      <c r="O2" s="1485"/>
      <c r="P2" s="1485"/>
      <c r="Q2" s="1485"/>
      <c r="R2" s="1485"/>
      <c r="S2" s="1485"/>
    </row>
    <row r="3" spans="1:22" ht="15.75">
      <c r="A3" s="1866" t="s">
        <v>686</v>
      </c>
      <c r="B3" s="2593" t="e">
        <f ca="1">ROUND(B2*10000/E2,0)</f>
        <v>#DIV/0!</v>
      </c>
      <c r="C3" s="1868" t="s">
        <v>1659</v>
      </c>
      <c r="D3" s="2701"/>
      <c r="E3" s="2703"/>
      <c r="F3" s="2699"/>
      <c r="G3" s="1485"/>
      <c r="H3" s="1485"/>
      <c r="I3" s="1485"/>
      <c r="J3" s="1485"/>
      <c r="K3" s="1485"/>
      <c r="L3" s="1485"/>
      <c r="M3" s="1485"/>
      <c r="N3" s="1485"/>
      <c r="O3" s="1485"/>
      <c r="P3" s="1485"/>
      <c r="Q3" s="1485"/>
      <c r="R3" s="1485"/>
      <c r="S3" s="1485"/>
    </row>
    <row r="4" spans="1:22" ht="15.75">
      <c r="A4" s="2704"/>
      <c r="B4" s="2701"/>
      <c r="C4" s="2701"/>
      <c r="D4" s="2701"/>
      <c r="E4" s="2703"/>
      <c r="F4" s="2699"/>
      <c r="G4" s="1485"/>
      <c r="H4" s="1485"/>
      <c r="I4" s="1485"/>
      <c r="J4" s="1485"/>
      <c r="K4" s="1485"/>
      <c r="L4" s="1485"/>
      <c r="M4" s="1485"/>
      <c r="N4" s="1485"/>
      <c r="O4" s="1485"/>
      <c r="P4" s="1485"/>
      <c r="Q4" s="1485"/>
      <c r="R4" s="1485"/>
      <c r="S4" s="1485"/>
    </row>
    <row r="5" spans="1:22" ht="15">
      <c r="A5" s="2595" t="s">
        <v>1653</v>
      </c>
      <c r="B5" s="3796" t="s">
        <v>1654</v>
      </c>
      <c r="C5" s="3797"/>
      <c r="D5" s="2700"/>
      <c r="E5" s="1870" t="s">
        <v>1655</v>
      </c>
      <c r="F5" s="1871" t="s">
        <v>1656</v>
      </c>
      <c r="G5" s="1485"/>
      <c r="H5" s="1485"/>
      <c r="I5" s="1485"/>
      <c r="J5" s="1485"/>
      <c r="K5" s="1485"/>
      <c r="L5" s="1485"/>
      <c r="M5" s="1485"/>
      <c r="N5" s="1485"/>
      <c r="O5" s="1485"/>
      <c r="P5" s="1485"/>
      <c r="Q5" s="1485"/>
      <c r="R5" s="1485"/>
      <c r="S5" s="1485"/>
    </row>
    <row r="6" spans="1:22">
      <c r="A6" s="2596">
        <f>'数据-取费表'!AN6</f>
        <v>0</v>
      </c>
      <c r="B6" s="2594" t="e">
        <f ca="1">IF(F6="是",'数据-取费表'!AO6,0)</f>
        <v>#REF!</v>
      </c>
      <c r="C6" s="1868" t="s">
        <v>1651</v>
      </c>
      <c r="D6" s="2701"/>
      <c r="E6" s="2598">
        <f>IF(OR(A6=0,F6="否"),0,'数据-取费表'!K6+'数据-取费表'!S6)</f>
        <v>0</v>
      </c>
      <c r="F6" s="1872" t="s">
        <v>1657</v>
      </c>
      <c r="G6" s="1485"/>
      <c r="H6" s="1485"/>
      <c r="I6" s="1485"/>
      <c r="J6" s="1485"/>
      <c r="K6" s="1485"/>
      <c r="L6" s="1485"/>
      <c r="M6" s="1485"/>
      <c r="N6" s="1485"/>
      <c r="O6" s="1485"/>
      <c r="P6" s="1485"/>
      <c r="Q6" s="1485"/>
      <c r="R6" s="1485"/>
      <c r="S6" s="1485"/>
    </row>
    <row r="7" spans="1:22">
      <c r="A7" s="2596">
        <f>'数据-取费表'!AN7</f>
        <v>0</v>
      </c>
      <c r="B7" s="2594" t="e">
        <f ca="1">IF(F7="是",'数据-取费表'!AO7,0)</f>
        <v>#REF!</v>
      </c>
      <c r="C7" s="1868" t="s">
        <v>1651</v>
      </c>
      <c r="D7" s="2701"/>
      <c r="E7" s="2598">
        <f>IF(OR(A7=0,F7="否"),0,'数据-取费表'!K7+'数据-取费表'!S7)</f>
        <v>0</v>
      </c>
      <c r="F7" s="1872" t="s">
        <v>1657</v>
      </c>
      <c r="G7" s="1485"/>
      <c r="H7" s="1485"/>
      <c r="I7" s="1485"/>
      <c r="J7" s="1485"/>
      <c r="K7" s="1485"/>
      <c r="L7" s="1485"/>
      <c r="M7" s="1485"/>
      <c r="N7" s="1485"/>
      <c r="O7" s="1485"/>
      <c r="P7" s="1485"/>
      <c r="Q7" s="1485"/>
      <c r="R7" s="1485"/>
      <c r="S7" s="1485"/>
    </row>
    <row r="8" spans="1:22">
      <c r="A8" s="2596">
        <f>'数据-取费表'!AN8</f>
        <v>0</v>
      </c>
      <c r="B8" s="2594" t="e">
        <f ca="1">IF(F8="是",'数据-取费表'!AO8,0)</f>
        <v>#REF!</v>
      </c>
      <c r="C8" s="1868" t="s">
        <v>1651</v>
      </c>
      <c r="D8" s="2701"/>
      <c r="E8" s="2598">
        <f>IF(OR(A8=0,F8="否"),0,'数据-取费表'!K8+'数据-取费表'!S8)</f>
        <v>0</v>
      </c>
      <c r="F8" s="1872" t="s">
        <v>1657</v>
      </c>
      <c r="G8" s="1485"/>
      <c r="H8" s="1485"/>
      <c r="I8" s="1485"/>
      <c r="J8" s="1485"/>
      <c r="K8" s="1485"/>
      <c r="L8" s="1485"/>
      <c r="M8" s="1485"/>
      <c r="N8" s="1485"/>
      <c r="O8" s="1485"/>
      <c r="P8" s="1485"/>
      <c r="Q8" s="1485"/>
      <c r="R8" s="1485"/>
      <c r="S8" s="1485"/>
    </row>
    <row r="9" spans="1:22">
      <c r="A9" s="2596">
        <f>'数据-取费表'!AN9</f>
        <v>0</v>
      </c>
      <c r="B9" s="2594" t="e">
        <f ca="1">IF(F9="是",'数据-取费表'!AO9,0)</f>
        <v>#REF!</v>
      </c>
      <c r="C9" s="1868" t="s">
        <v>1651</v>
      </c>
      <c r="D9" s="2701"/>
      <c r="E9" s="2598">
        <f>IF(OR(A9=0,F9="否"),0,'数据-取费表'!K9+'数据-取费表'!S9)</f>
        <v>0</v>
      </c>
      <c r="F9" s="1872" t="s">
        <v>1657</v>
      </c>
      <c r="G9" s="1485"/>
      <c r="H9" s="1485"/>
      <c r="I9" s="1485"/>
      <c r="J9" s="1485"/>
      <c r="K9" s="1485"/>
      <c r="L9" s="1485"/>
      <c r="M9" s="1485"/>
      <c r="N9" s="1485"/>
      <c r="O9" s="1485"/>
      <c r="P9" s="1485"/>
      <c r="Q9" s="1485"/>
      <c r="R9" s="1485"/>
      <c r="S9" s="1485"/>
    </row>
    <row r="10" spans="1:22">
      <c r="A10" s="2596">
        <f>'数据-取费表'!AN10</f>
        <v>0</v>
      </c>
      <c r="B10" s="2594" t="e">
        <f ca="1">IF(F10="是",'数据-取费表'!AO10,0)</f>
        <v>#REF!</v>
      </c>
      <c r="C10" s="1868" t="s">
        <v>1651</v>
      </c>
      <c r="D10" s="2701"/>
      <c r="E10" s="2598">
        <f>IF(OR(A10=0,F10="否"),0,'数据-取费表'!K10+'数据-取费表'!S10)</f>
        <v>0</v>
      </c>
      <c r="F10" s="1872" t="s">
        <v>1657</v>
      </c>
      <c r="G10" s="1485"/>
      <c r="H10" s="1485"/>
      <c r="I10" s="1485"/>
      <c r="J10" s="1485"/>
      <c r="K10" s="1485"/>
      <c r="L10" s="1485"/>
      <c r="M10" s="1485"/>
      <c r="N10" s="1485"/>
      <c r="O10" s="1485"/>
      <c r="P10" s="1485"/>
      <c r="Q10" s="1485"/>
      <c r="R10" s="1485"/>
      <c r="S10" s="1485"/>
    </row>
    <row r="11" spans="1:22">
      <c r="A11" s="2596">
        <f>'数据-取费表'!AN11</f>
        <v>0</v>
      </c>
      <c r="B11" s="2594" t="e">
        <f ca="1">IF(F11="是",'数据-取费表'!AO11,0)</f>
        <v>#REF!</v>
      </c>
      <c r="C11" s="1868" t="s">
        <v>1651</v>
      </c>
      <c r="D11" s="2701"/>
      <c r="E11" s="2598">
        <f>IF(OR(A11=0,F11="否"),0,'数据-取费表'!K11+'数据-取费表'!S11)</f>
        <v>0</v>
      </c>
      <c r="F11" s="1872" t="s">
        <v>1657</v>
      </c>
      <c r="G11" s="1485"/>
      <c r="H11" s="1485"/>
      <c r="I11" s="1485"/>
      <c r="J11" s="1485"/>
      <c r="K11" s="1485"/>
      <c r="L11" s="1485"/>
      <c r="M11" s="1485"/>
      <c r="N11" s="1485"/>
      <c r="O11" s="1485"/>
      <c r="P11" s="1485"/>
      <c r="Q11" s="1485"/>
      <c r="R11" s="1485"/>
      <c r="S11" s="1485"/>
    </row>
    <row r="12" spans="1:22">
      <c r="A12" s="2596">
        <f>'数据-取费表'!AN12</f>
        <v>0</v>
      </c>
      <c r="B12" s="2594" t="e">
        <f ca="1">IF(F12="是",'数据-取费表'!AO12,0)</f>
        <v>#REF!</v>
      </c>
      <c r="C12" s="1868" t="s">
        <v>1651</v>
      </c>
      <c r="D12" s="2701"/>
      <c r="E12" s="2598">
        <f>IF(OR(A12=0,F12="否"),0,'数据-取费表'!K12+'数据-取费表'!S12)</f>
        <v>0</v>
      </c>
      <c r="F12" s="1872" t="s">
        <v>1657</v>
      </c>
      <c r="G12" s="1485"/>
      <c r="H12" s="1485"/>
      <c r="I12" s="1485"/>
      <c r="J12" s="1485"/>
      <c r="K12" s="1485"/>
      <c r="L12" s="1485"/>
      <c r="M12" s="1485"/>
      <c r="N12" s="1485"/>
      <c r="O12" s="1485"/>
      <c r="P12" s="1485"/>
      <c r="Q12" s="1485"/>
      <c r="R12" s="1485"/>
      <c r="S12" s="1485"/>
    </row>
    <row r="13" spans="1:22" ht="15" thickBot="1">
      <c r="A13" s="2597">
        <f>'数据-取费表'!AN13</f>
        <v>0</v>
      </c>
      <c r="B13" s="2594" t="e">
        <f ca="1">IF(F13="是",'数据-取费表'!AO13,0)</f>
        <v>#REF!</v>
      </c>
      <c r="C13" s="1873" t="s">
        <v>1651</v>
      </c>
      <c r="D13" s="2702"/>
      <c r="E13" s="2598">
        <f>IF(OR(A13=0,F13="否"),0,'数据-取费表'!K13+'数据-取费表'!S13)</f>
        <v>0</v>
      </c>
      <c r="F13" s="1872" t="s">
        <v>1657</v>
      </c>
      <c r="G13" s="1485"/>
      <c r="H13" s="1485"/>
      <c r="I13" s="1485"/>
      <c r="J13" s="1485"/>
      <c r="K13" s="1485"/>
      <c r="L13" s="1485"/>
      <c r="M13" s="1485"/>
      <c r="N13" s="1485"/>
      <c r="O13" s="1485"/>
      <c r="P13" s="1485"/>
      <c r="Q13" s="1485"/>
      <c r="R13" s="1485"/>
      <c r="S13" s="1485"/>
    </row>
    <row r="14" spans="1:22">
      <c r="A14" s="1485"/>
      <c r="B14" s="1485"/>
      <c r="C14" s="1485"/>
      <c r="D14" s="1485"/>
      <c r="E14" s="1485"/>
      <c r="F14" s="1485"/>
      <c r="G14" s="1485"/>
      <c r="H14" s="1485"/>
      <c r="I14" s="1485"/>
      <c r="J14" s="1485"/>
      <c r="K14" s="1485"/>
      <c r="L14" s="1485"/>
      <c r="M14" s="1485"/>
      <c r="N14" s="1485"/>
      <c r="O14" s="1485"/>
      <c r="P14" s="1485"/>
      <c r="Q14" s="1485"/>
      <c r="R14" s="1485"/>
      <c r="S14" s="1485"/>
      <c r="T14" s="1485"/>
      <c r="U14" s="1485"/>
      <c r="V14" s="1485"/>
    </row>
    <row r="15" spans="1:22">
      <c r="A15" s="1485"/>
      <c r="B15" s="1485"/>
      <c r="C15" s="1485"/>
      <c r="D15" s="1485"/>
      <c r="E15" s="1485"/>
      <c r="F15" s="1485"/>
      <c r="G15" s="1485"/>
      <c r="H15" s="1485"/>
      <c r="I15" s="1485"/>
      <c r="J15" s="1485"/>
      <c r="K15" s="1485"/>
      <c r="L15" s="1485"/>
      <c r="M15" s="1485"/>
      <c r="N15" s="1485"/>
      <c r="O15" s="1485"/>
      <c r="P15" s="1485"/>
      <c r="Q15" s="1485"/>
      <c r="R15" s="1485"/>
      <c r="S15" s="1485"/>
      <c r="T15" s="1485"/>
      <c r="U15" s="1485"/>
      <c r="V15" s="1485"/>
    </row>
    <row r="16" spans="1:22">
      <c r="A16" s="1485"/>
      <c r="B16" s="1485"/>
      <c r="C16" s="1485"/>
      <c r="D16" s="1485"/>
      <c r="E16" s="1485"/>
      <c r="F16" s="1485"/>
      <c r="G16" s="1485"/>
      <c r="H16" s="1485"/>
      <c r="I16" s="1485"/>
      <c r="J16" s="1485"/>
      <c r="K16" s="1485"/>
      <c r="L16" s="1485"/>
      <c r="M16" s="1485"/>
      <c r="N16" s="1485"/>
      <c r="O16" s="1485"/>
      <c r="P16" s="1485"/>
      <c r="Q16" s="1485"/>
      <c r="R16" s="1485"/>
      <c r="S16" s="1485"/>
      <c r="T16" s="1485"/>
      <c r="U16" s="1485"/>
      <c r="V16" s="1485"/>
    </row>
    <row r="17" spans="1:22">
      <c r="A17" s="1485"/>
      <c r="B17" s="1485"/>
      <c r="C17" s="1485"/>
      <c r="D17" s="1485"/>
      <c r="E17" s="1485"/>
      <c r="F17" s="1485"/>
      <c r="G17" s="1485"/>
      <c r="H17" s="1485"/>
      <c r="I17" s="1485"/>
      <c r="J17" s="1485"/>
      <c r="K17" s="1485"/>
      <c r="L17" s="1485"/>
      <c r="M17" s="1485"/>
      <c r="N17" s="1485"/>
      <c r="O17" s="1485"/>
      <c r="P17" s="1485"/>
      <c r="Q17" s="1485"/>
      <c r="R17" s="1485"/>
      <c r="S17" s="1485"/>
      <c r="T17" s="1485"/>
      <c r="U17" s="1485"/>
      <c r="V17" s="1485"/>
    </row>
    <row r="18" spans="1:22">
      <c r="A18" s="1485"/>
      <c r="B18" s="1485"/>
      <c r="C18" s="1485"/>
      <c r="D18" s="1485"/>
      <c r="E18" s="1485"/>
      <c r="F18" s="1485"/>
      <c r="G18" s="1485"/>
      <c r="H18" s="1485"/>
      <c r="I18" s="1485"/>
      <c r="J18" s="1485"/>
      <c r="K18" s="1485"/>
      <c r="L18" s="1485"/>
      <c r="M18" s="1485"/>
      <c r="N18" s="1485"/>
      <c r="O18" s="1485"/>
      <c r="P18" s="1485"/>
      <c r="Q18" s="1485"/>
      <c r="R18" s="1485"/>
      <c r="S18" s="1485"/>
      <c r="T18" s="1485"/>
      <c r="U18" s="1485"/>
      <c r="V18" s="1485"/>
    </row>
    <row r="19" spans="1:22">
      <c r="A19" s="1485"/>
      <c r="B19" s="1485"/>
      <c r="C19" s="1485"/>
      <c r="D19" s="1485"/>
      <c r="E19" s="1485"/>
      <c r="F19" s="1485"/>
      <c r="G19" s="1485"/>
      <c r="H19" s="1485"/>
      <c r="I19" s="1485"/>
      <c r="J19" s="1485"/>
      <c r="K19" s="1485"/>
      <c r="L19" s="1485"/>
      <c r="M19" s="1485"/>
      <c r="N19" s="1485"/>
      <c r="O19" s="1485"/>
      <c r="P19" s="1485"/>
      <c r="Q19" s="1485"/>
      <c r="R19" s="1485"/>
      <c r="S19" s="1485"/>
      <c r="T19" s="1485"/>
      <c r="U19" s="1485"/>
      <c r="V19" s="1485"/>
    </row>
    <row r="20" spans="1:22">
      <c r="A20" s="1485"/>
      <c r="B20" s="1485"/>
      <c r="C20" s="1485"/>
      <c r="D20" s="1485"/>
      <c r="E20" s="1485"/>
      <c r="F20" s="1485"/>
      <c r="G20" s="1485"/>
      <c r="H20" s="1485"/>
      <c r="I20" s="1485"/>
      <c r="J20" s="1485"/>
      <c r="K20" s="1485"/>
      <c r="L20" s="1485"/>
      <c r="M20" s="1485"/>
      <c r="N20" s="1485"/>
      <c r="O20" s="1485"/>
      <c r="P20" s="1485"/>
      <c r="Q20" s="1485"/>
      <c r="R20" s="1485"/>
      <c r="S20" s="1485"/>
      <c r="T20" s="1485"/>
      <c r="U20" s="1485"/>
      <c r="V20" s="1485"/>
    </row>
    <row r="21" spans="1:22">
      <c r="A21" s="1485"/>
      <c r="B21" s="1485"/>
      <c r="C21" s="1485"/>
      <c r="D21" s="1485"/>
      <c r="E21" s="1485"/>
      <c r="F21" s="1485"/>
      <c r="G21" s="1485"/>
      <c r="H21" s="1485"/>
      <c r="I21" s="1485"/>
      <c r="J21" s="1485"/>
      <c r="K21" s="1485"/>
      <c r="L21" s="1485"/>
      <c r="M21" s="1485"/>
      <c r="N21" s="1485"/>
      <c r="O21" s="1485"/>
      <c r="P21" s="1485"/>
      <c r="Q21" s="1485"/>
      <c r="R21" s="1485"/>
      <c r="S21" s="1485"/>
      <c r="T21" s="1485"/>
      <c r="U21" s="1485"/>
      <c r="V21" s="1485"/>
    </row>
    <row r="22" spans="1:22">
      <c r="A22" s="1485"/>
      <c r="B22" s="1485"/>
      <c r="C22" s="1485"/>
      <c r="D22" s="1485"/>
      <c r="E22" s="1485"/>
      <c r="F22" s="1485"/>
      <c r="G22" s="1485"/>
      <c r="H22" s="1485"/>
      <c r="I22" s="1485"/>
      <c r="J22" s="1485"/>
      <c r="K22" s="1485"/>
      <c r="L22" s="1485"/>
      <c r="M22" s="1485"/>
      <c r="N22" s="1485"/>
      <c r="O22" s="1485"/>
      <c r="P22" s="1485"/>
      <c r="Q22" s="1485"/>
      <c r="R22" s="1485"/>
      <c r="S22" s="1485"/>
      <c r="T22" s="1485"/>
      <c r="U22" s="1485"/>
      <c r="V22" s="1485"/>
    </row>
    <row r="23" spans="1:22">
      <c r="A23" s="1485"/>
      <c r="B23" s="1485"/>
      <c r="C23" s="1485"/>
      <c r="D23" s="1485"/>
      <c r="E23" s="1485"/>
      <c r="F23" s="1485"/>
      <c r="G23" s="1485"/>
      <c r="H23" s="1485"/>
      <c r="I23" s="1485"/>
      <c r="J23" s="1485"/>
      <c r="K23" s="1485"/>
      <c r="L23" s="1485"/>
      <c r="M23" s="1485"/>
      <c r="N23" s="1485"/>
      <c r="O23" s="1485"/>
      <c r="P23" s="1485"/>
      <c r="Q23" s="1485"/>
      <c r="R23" s="1485"/>
      <c r="S23" s="1485"/>
      <c r="T23" s="1485"/>
      <c r="U23" s="1485"/>
      <c r="V23" s="1485"/>
    </row>
    <row r="24" spans="1:22">
      <c r="A24" s="1485"/>
      <c r="B24" s="1485"/>
      <c r="C24" s="1485"/>
      <c r="D24" s="1485"/>
      <c r="E24" s="1485"/>
      <c r="F24" s="1485"/>
      <c r="G24" s="1485"/>
      <c r="H24" s="1485"/>
      <c r="I24" s="1485"/>
      <c r="J24" s="1485"/>
      <c r="K24" s="1485"/>
      <c r="L24" s="1485"/>
      <c r="M24" s="1485"/>
      <c r="N24" s="1485"/>
      <c r="O24" s="1485"/>
      <c r="P24" s="1485"/>
      <c r="Q24" s="1485"/>
      <c r="R24" s="1485"/>
      <c r="S24" s="1485"/>
      <c r="T24" s="1485"/>
      <c r="U24" s="1485"/>
      <c r="V24" s="1485"/>
    </row>
    <row r="25" spans="1:22">
      <c r="A25" s="1485"/>
      <c r="B25" s="1485"/>
      <c r="C25" s="1485"/>
      <c r="D25" s="1485"/>
      <c r="E25" s="1485"/>
      <c r="F25" s="1485"/>
      <c r="G25" s="1485"/>
      <c r="H25" s="1485"/>
      <c r="I25" s="1485"/>
      <c r="J25" s="1485"/>
      <c r="K25" s="1485"/>
      <c r="L25" s="1485"/>
      <c r="M25" s="1485"/>
      <c r="N25" s="1485"/>
      <c r="O25" s="1485"/>
      <c r="P25" s="1485"/>
      <c r="Q25" s="1485"/>
      <c r="R25" s="1485"/>
      <c r="S25" s="1485"/>
      <c r="T25" s="1485"/>
      <c r="U25" s="1485"/>
      <c r="V25" s="1485"/>
    </row>
    <row r="26" spans="1:22">
      <c r="A26" s="1485"/>
      <c r="B26" s="1485"/>
      <c r="C26" s="1485"/>
      <c r="D26" s="1485"/>
      <c r="E26" s="1485"/>
      <c r="F26" s="1485"/>
      <c r="G26" s="1485"/>
      <c r="H26" s="1485"/>
      <c r="I26" s="1485"/>
      <c r="J26" s="1485"/>
      <c r="K26" s="1485"/>
      <c r="L26" s="1485"/>
      <c r="M26" s="1485"/>
      <c r="N26" s="1485"/>
      <c r="O26" s="1485"/>
      <c r="P26" s="1485"/>
      <c r="Q26" s="1485"/>
      <c r="R26" s="1485"/>
      <c r="S26" s="1485"/>
      <c r="T26" s="1485"/>
      <c r="U26" s="1485"/>
      <c r="V26" s="1485"/>
    </row>
    <row r="27" spans="1:22">
      <c r="A27" s="1485"/>
      <c r="B27" s="1485"/>
      <c r="C27" s="1485"/>
      <c r="D27" s="1485"/>
      <c r="E27" s="1485"/>
      <c r="F27" s="1485"/>
      <c r="G27" s="1485"/>
      <c r="H27" s="1485"/>
      <c r="I27" s="1485"/>
      <c r="J27" s="1485"/>
      <c r="K27" s="1485"/>
      <c r="L27" s="1485"/>
      <c r="M27" s="1485"/>
      <c r="N27" s="1485"/>
      <c r="O27" s="1485"/>
      <c r="P27" s="1485"/>
      <c r="Q27" s="1485"/>
      <c r="R27" s="1485"/>
      <c r="S27" s="1485"/>
      <c r="T27" s="1485"/>
      <c r="U27" s="1485"/>
      <c r="V27" s="1485"/>
    </row>
    <row r="28" spans="1:22">
      <c r="A28" s="1485"/>
      <c r="B28" s="1485"/>
      <c r="C28" s="1485"/>
      <c r="D28" s="1485"/>
      <c r="E28" s="1485"/>
      <c r="F28" s="1485"/>
      <c r="G28" s="1485"/>
      <c r="H28" s="1485"/>
      <c r="I28" s="1485"/>
      <c r="J28" s="1485"/>
      <c r="K28" s="1485"/>
      <c r="L28" s="1485"/>
      <c r="M28" s="1485"/>
      <c r="N28" s="1485"/>
      <c r="O28" s="1485"/>
      <c r="P28" s="1485"/>
      <c r="Q28" s="1485"/>
      <c r="R28" s="1485"/>
      <c r="S28" s="1485"/>
      <c r="T28" s="1485"/>
      <c r="U28" s="1485"/>
      <c r="V28" s="1485"/>
    </row>
    <row r="29" spans="1:22">
      <c r="A29" s="1485"/>
      <c r="B29" s="1485"/>
      <c r="C29" s="1485"/>
      <c r="D29" s="1485"/>
      <c r="E29" s="1485"/>
      <c r="F29" s="1485"/>
      <c r="G29" s="1485"/>
      <c r="H29" s="1485"/>
      <c r="I29" s="1485"/>
      <c r="J29" s="1485"/>
      <c r="K29" s="1485"/>
      <c r="L29" s="1485"/>
      <c r="M29" s="1485"/>
      <c r="N29" s="1485"/>
      <c r="O29" s="1485"/>
      <c r="P29" s="1485"/>
      <c r="Q29" s="1485"/>
      <c r="R29" s="1485"/>
      <c r="S29" s="1485"/>
      <c r="T29" s="1485"/>
      <c r="U29" s="1485"/>
      <c r="V29" s="1485"/>
    </row>
    <row r="30" spans="1:22">
      <c r="A30" s="1485"/>
      <c r="B30" s="1485"/>
      <c r="C30" s="1485"/>
      <c r="D30" s="1485"/>
      <c r="E30" s="1485"/>
      <c r="F30" s="1485"/>
      <c r="G30" s="1485"/>
      <c r="H30" s="1485"/>
      <c r="I30" s="1485"/>
      <c r="J30" s="1485"/>
      <c r="K30" s="1485"/>
      <c r="L30" s="1485"/>
      <c r="M30" s="1485"/>
      <c r="N30" s="1485"/>
      <c r="O30" s="1485"/>
      <c r="P30" s="1485"/>
      <c r="Q30" s="1485"/>
      <c r="R30" s="1485"/>
      <c r="S30" s="1485"/>
      <c r="T30" s="1485"/>
      <c r="U30" s="1485"/>
      <c r="V30" s="1485"/>
    </row>
    <row r="31" spans="1:22">
      <c r="A31" s="1485"/>
      <c r="B31" s="1485"/>
      <c r="C31" s="1485"/>
      <c r="D31" s="1485"/>
      <c r="E31" s="1485"/>
      <c r="F31" s="1485"/>
      <c r="G31" s="1485"/>
      <c r="H31" s="1485"/>
      <c r="I31" s="1485"/>
      <c r="J31" s="1485"/>
      <c r="K31" s="1485"/>
      <c r="L31" s="1485"/>
      <c r="M31" s="1485"/>
      <c r="N31" s="1485"/>
      <c r="O31" s="1485"/>
      <c r="P31" s="1485"/>
      <c r="Q31" s="1485"/>
      <c r="R31" s="1485"/>
      <c r="S31" s="1485"/>
      <c r="T31" s="1485"/>
      <c r="U31" s="1485"/>
      <c r="V31" s="1485"/>
    </row>
  </sheetData>
  <sheetProtection password="CEE9" sheet="1" objects="1" scenarios="1" formatCells="0" formatColumns="0" formatRows="0"/>
  <mergeCells count="1">
    <mergeCell ref="B5:C5"/>
  </mergeCells>
  <phoneticPr fontId="134"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view="pageBreakPreview" topLeftCell="C11" zoomScale="84" zoomScaleNormal="60" zoomScaleSheetLayoutView="84" workbookViewId="0">
      <selection activeCell="E45" sqref="E45"/>
    </sheetView>
  </sheetViews>
  <sheetFormatPr defaultColWidth="9" defaultRowHeight="14.25"/>
  <cols>
    <col min="1" max="1" width="10.5" style="354" customWidth="1"/>
    <col min="2" max="3" width="15.875" style="354" customWidth="1"/>
    <col min="4" max="4" width="12.125" style="354" customWidth="1"/>
    <col min="5" max="5" width="17.125" style="354" customWidth="1"/>
    <col min="6" max="6" width="12.125" style="354" customWidth="1"/>
    <col min="7" max="7" width="16.5" style="354" customWidth="1"/>
    <col min="8" max="8" width="12.125" style="354" customWidth="1"/>
    <col min="9" max="9" width="15.625" style="354" customWidth="1"/>
    <col min="10" max="10" width="12.125" style="354" customWidth="1"/>
    <col min="11" max="11" width="12.125" style="441" customWidth="1"/>
    <col min="12" max="12" width="12.125" style="442" customWidth="1"/>
    <col min="13" max="15" width="12.125" style="354" customWidth="1"/>
    <col min="16" max="16" width="4.875" style="1909" customWidth="1"/>
    <col min="17" max="17" width="19.5" style="354" customWidth="1"/>
    <col min="18" max="22" width="6.125" style="354" customWidth="1"/>
    <col min="23" max="23" width="5.875" style="354" customWidth="1"/>
    <col min="24" max="24" width="4.125" style="354" customWidth="1"/>
    <col min="25" max="25" width="3.5" style="354" customWidth="1"/>
    <col min="26" max="26" width="19.875" style="354" customWidth="1"/>
    <col min="27" max="28" width="9.375" style="354" customWidth="1"/>
    <col min="29" max="16384" width="9" style="354"/>
  </cols>
  <sheetData>
    <row r="1" spans="1:29" s="1229" customFormat="1" ht="28.5" customHeight="1" thickBot="1">
      <c r="A1" s="1218" t="s">
        <v>1660</v>
      </c>
      <c r="B1" s="1874" t="s">
        <v>1661</v>
      </c>
      <c r="C1" s="1234" t="s">
        <v>1662</v>
      </c>
      <c r="D1" s="1221" t="s">
        <v>3392</v>
      </c>
      <c r="E1" s="3418"/>
      <c r="F1" s="1875" t="s">
        <v>3529</v>
      </c>
      <c r="G1" s="1231" t="s">
        <v>1663</v>
      </c>
      <c r="H1" s="1230"/>
      <c r="I1" s="1230"/>
      <c r="J1" s="1230"/>
      <c r="K1" s="1232"/>
      <c r="L1" s="1233"/>
      <c r="M1" s="1234"/>
      <c r="N1" s="1234"/>
      <c r="O1" s="1234"/>
      <c r="P1" s="1876"/>
      <c r="Q1" s="1220"/>
      <c r="R1" s="1220"/>
      <c r="S1" s="1220"/>
      <c r="T1" s="1220"/>
      <c r="U1" s="1220"/>
      <c r="V1" s="1220"/>
      <c r="W1" s="1220"/>
      <c r="X1" s="1220"/>
      <c r="Y1" s="1220"/>
      <c r="Z1" s="1220"/>
      <c r="AA1" s="1220"/>
      <c r="AB1" s="1220"/>
      <c r="AC1" s="1228"/>
    </row>
    <row r="2" spans="1:29" s="344" customFormat="1" ht="28.5" customHeight="1" thickTop="1">
      <c r="A2" s="1217" t="s">
        <v>685</v>
      </c>
      <c r="B2" s="3419" t="b">
        <f>IF(E1="项目模式",IF(C2="——",ROUND(C49*D3/10000,0),ROUND(C49*D3/10000,0)-D2),IF(E1="单套模式",IF(C2="——",ROUND(C49*D3/10000,4),ROUND(C49*D3/10000,4)-D2)))</f>
        <v>0</v>
      </c>
      <c r="C2" s="1877" t="s">
        <v>43</v>
      </c>
      <c r="D2" s="1111" t="e">
        <f ca="1">IF(E1="项目模式",SUMIF(INDIRECT("'"&amp;F2&amp;"'"&amp;"!A:A"),"承租人权益价值",INDIRECT("'"&amp;F2&amp;"'"&amp;"!c:c")),SUMIF(INDIRECT("'"&amp;F2&amp;"'"&amp;"!A:A"),"承租人权益价值（单套）",INDIRECT("'"&amp;F2&amp;"'"&amp;"!c:c")))</f>
        <v>#REF!</v>
      </c>
      <c r="E2" s="1878" t="s">
        <v>1664</v>
      </c>
      <c r="F2" s="1879"/>
      <c r="G2" s="903"/>
      <c r="H2" s="903"/>
      <c r="I2" s="903"/>
      <c r="J2" s="903"/>
      <c r="K2" s="1880"/>
      <c r="L2" s="2705"/>
      <c r="M2" s="2706"/>
      <c r="N2" s="2706"/>
      <c r="O2" s="2706"/>
      <c r="P2" s="1881"/>
      <c r="Q2" s="1882"/>
      <c r="R2" s="1882"/>
      <c r="S2" s="1882"/>
      <c r="T2" s="1882"/>
      <c r="U2" s="1882"/>
      <c r="V2" s="1882"/>
      <c r="W2" s="1882"/>
      <c r="X2" s="1882"/>
      <c r="Y2" s="1882"/>
      <c r="Z2" s="1882"/>
      <c r="AA2" s="1882"/>
      <c r="AB2" s="1882"/>
      <c r="AC2" s="1883"/>
    </row>
    <row r="3" spans="1:29" s="344" customFormat="1" ht="28.5" customHeight="1" thickBot="1">
      <c r="A3" s="200" t="s">
        <v>686</v>
      </c>
      <c r="B3" s="350">
        <f>IF(C2="——",C49,ROUND(B2*10000/D3,0))</f>
        <v>31067</v>
      </c>
      <c r="C3" s="351" t="s">
        <v>1665</v>
      </c>
      <c r="D3" s="350">
        <f>IF(D1="",'数据-汇总表'!E3,SUMIF('数据-汇总表'!$C19:$C33,D1,'数据-汇总表'!$E19:$E33))</f>
        <v>1</v>
      </c>
      <c r="E3" s="903"/>
      <c r="F3" s="1884"/>
      <c r="G3" s="903"/>
      <c r="H3" s="903"/>
      <c r="I3" s="903"/>
      <c r="J3" s="903"/>
      <c r="K3" s="1880"/>
      <c r="L3" s="2705"/>
      <c r="M3" s="2706"/>
      <c r="N3" s="2706"/>
      <c r="O3" s="2706"/>
      <c r="P3" s="1881"/>
      <c r="Q3" s="1882"/>
      <c r="R3" s="1882"/>
      <c r="S3" s="1882"/>
      <c r="T3" s="1882"/>
      <c r="U3" s="1882"/>
      <c r="V3" s="1882"/>
      <c r="W3" s="1882"/>
      <c r="X3" s="1882"/>
      <c r="Y3" s="1882"/>
      <c r="Z3" s="1882"/>
      <c r="AA3" s="1882"/>
      <c r="AB3" s="1882"/>
      <c r="AC3" s="1057"/>
    </row>
    <row r="4" spans="1:29" ht="15">
      <c r="A4" s="352" t="s">
        <v>1666</v>
      </c>
      <c r="B4" s="353"/>
      <c r="C4" s="3738" t="s">
        <v>1667</v>
      </c>
      <c r="D4" s="3739"/>
      <c r="E4" s="3740" t="s">
        <v>1668</v>
      </c>
      <c r="F4" s="3741"/>
      <c r="G4" s="3738" t="s">
        <v>1669</v>
      </c>
      <c r="H4" s="3739"/>
      <c r="I4" s="3738" t="s">
        <v>1670</v>
      </c>
      <c r="J4" s="3739"/>
      <c r="K4" s="1885" t="s">
        <v>1671</v>
      </c>
      <c r="L4" s="2707"/>
      <c r="M4" s="2708"/>
      <c r="N4" s="2708"/>
      <c r="O4" s="2708"/>
      <c r="P4" s="3742" t="s">
        <v>1672</v>
      </c>
      <c r="Q4" s="3743"/>
      <c r="R4" s="3722" t="s">
        <v>1668</v>
      </c>
      <c r="S4" s="3723"/>
      <c r="T4" s="3722" t="s">
        <v>1669</v>
      </c>
      <c r="U4" s="3723"/>
      <c r="V4" s="3750" t="s">
        <v>1670</v>
      </c>
      <c r="W4" s="3750"/>
      <c r="X4" s="1351"/>
      <c r="Y4" s="3722" t="s">
        <v>1672</v>
      </c>
      <c r="Z4" s="3723"/>
      <c r="AA4" s="3717" t="s">
        <v>1668</v>
      </c>
      <c r="AB4" s="3717" t="s">
        <v>1669</v>
      </c>
      <c r="AC4" s="3717" t="s">
        <v>1670</v>
      </c>
    </row>
    <row r="5" spans="1:29" ht="35.1" customHeight="1">
      <c r="A5" s="355"/>
      <c r="B5" s="356"/>
      <c r="C5" s="3732" t="str">
        <f>'土地比较法-住宅、综合'!C5:D5</f>
        <v>旧宫</v>
      </c>
      <c r="D5" s="3729"/>
      <c r="E5" s="3798" t="str">
        <f>[2]招拍挂案例!B2</f>
        <v>星光里·星筑</v>
      </c>
      <c r="F5" s="3799"/>
      <c r="G5" s="3798" t="str">
        <f>[2]招拍挂案例!B3</f>
        <v>亦生悦</v>
      </c>
      <c r="H5" s="3799"/>
      <c r="I5" s="3802" t="s">
        <v>4297</v>
      </c>
      <c r="J5" s="3801"/>
      <c r="K5" s="1886"/>
      <c r="L5" s="2707"/>
      <c r="M5" s="2708"/>
      <c r="N5" s="2708"/>
      <c r="O5" s="2708"/>
      <c r="P5" s="3744"/>
      <c r="Q5" s="3745"/>
      <c r="R5" s="3724"/>
      <c r="S5" s="3725"/>
      <c r="T5" s="3724"/>
      <c r="U5" s="3725"/>
      <c r="V5" s="3750"/>
      <c r="W5" s="3750"/>
      <c r="X5" s="1351"/>
      <c r="Y5" s="3724"/>
      <c r="Z5" s="3725"/>
      <c r="AA5" s="3718"/>
      <c r="AB5" s="3718"/>
      <c r="AC5" s="3718"/>
    </row>
    <row r="6" spans="1:29" ht="15.75" thickBot="1">
      <c r="A6" s="357"/>
      <c r="B6" s="358"/>
      <c r="C6" s="3800" t="s">
        <v>3530</v>
      </c>
      <c r="D6" s="3801"/>
      <c r="E6" s="3803" t="s">
        <v>3530</v>
      </c>
      <c r="F6" s="3799"/>
      <c r="G6" s="3800" t="s">
        <v>3530</v>
      </c>
      <c r="H6" s="3801"/>
      <c r="I6" s="3800" t="s">
        <v>3530</v>
      </c>
      <c r="J6" s="3801"/>
      <c r="K6" s="1886" t="s">
        <v>1678</v>
      </c>
      <c r="L6" s="2707"/>
      <c r="M6" s="2708"/>
      <c r="N6" s="2708"/>
      <c r="O6" s="2708"/>
      <c r="P6" s="3746"/>
      <c r="Q6" s="3747"/>
      <c r="R6" s="3724"/>
      <c r="S6" s="3725"/>
      <c r="T6" s="3748"/>
      <c r="U6" s="3749"/>
      <c r="V6" s="3750"/>
      <c r="W6" s="3750"/>
      <c r="X6" s="1351"/>
      <c r="Y6" s="3748"/>
      <c r="Z6" s="3749"/>
      <c r="AA6" s="3719"/>
      <c r="AB6" s="3719"/>
      <c r="AC6" s="3719"/>
    </row>
    <row r="7" spans="1:29" s="108" customFormat="1" ht="15.75" thickBot="1">
      <c r="A7" s="359" t="s">
        <v>1679</v>
      </c>
      <c r="B7" s="360"/>
      <c r="C7" s="361">
        <f>'数据-取费表'!B2</f>
        <v>45114</v>
      </c>
      <c r="D7" s="362">
        <v>100</v>
      </c>
      <c r="E7" s="3507">
        <f>'土地比较法-住宅、综合'!G7</f>
        <v>45039</v>
      </c>
      <c r="F7" s="3508">
        <v>100</v>
      </c>
      <c r="G7" s="3507">
        <f>'土地比较法-住宅、综合'!I7</f>
        <v>45040</v>
      </c>
      <c r="H7" s="3509">
        <v>100</v>
      </c>
      <c r="I7" s="3507">
        <f>'土地比较法-住宅、综合'!E7</f>
        <v>44237.000497685185</v>
      </c>
      <c r="J7" s="3509">
        <f>'土地比较法-住宅、综合'!F7</f>
        <v>93.7</v>
      </c>
      <c r="K7" s="1887"/>
      <c r="L7" s="2709"/>
      <c r="M7" s="2710"/>
      <c r="N7" s="2710"/>
      <c r="O7" s="2710"/>
      <c r="P7" s="3720" t="s">
        <v>1680</v>
      </c>
      <c r="Q7" s="3751"/>
      <c r="R7" s="697" t="s">
        <v>20</v>
      </c>
      <c r="S7" s="698">
        <f t="shared" ref="S7:S15" si="0">F7</f>
        <v>100</v>
      </c>
      <c r="T7" s="697" t="s">
        <v>20</v>
      </c>
      <c r="U7" s="698">
        <f t="shared" ref="U7:U15" si="1">H7</f>
        <v>100</v>
      </c>
      <c r="V7" s="697" t="s">
        <v>20</v>
      </c>
      <c r="W7" s="698">
        <f t="shared" ref="W7:W15" si="2">J7</f>
        <v>93.7</v>
      </c>
      <c r="X7" s="699"/>
      <c r="Y7" s="3720" t="s">
        <v>1680</v>
      </c>
      <c r="Z7" s="3721"/>
      <c r="AA7" s="700">
        <f>D7/F7</f>
        <v>1</v>
      </c>
      <c r="AB7" s="700">
        <f>D7/H7</f>
        <v>1</v>
      </c>
      <c r="AC7" s="700">
        <f>D7/J7</f>
        <v>1.0672358591248665</v>
      </c>
    </row>
    <row r="8" spans="1:29" s="108" customFormat="1" ht="15.75" thickBot="1">
      <c r="A8" s="359" t="s">
        <v>1681</v>
      </c>
      <c r="B8" s="360"/>
      <c r="C8" s="365" t="s">
        <v>3481</v>
      </c>
      <c r="D8" s="362">
        <v>100</v>
      </c>
      <c r="E8" s="365" t="s">
        <v>3481</v>
      </c>
      <c r="F8" s="364">
        <f>SUMIF(61:61,E8,62:62)-SUMIF(61:61,C8,62:62)+100</f>
        <v>100</v>
      </c>
      <c r="G8" s="365" t="s">
        <v>3481</v>
      </c>
      <c r="H8" s="362">
        <f>SUMIF(61:61,G8,62:62)-SUMIF(61:61,C8,62:62)+100</f>
        <v>100</v>
      </c>
      <c r="I8" s="365" t="s">
        <v>3481</v>
      </c>
      <c r="J8" s="362">
        <f>SUMIF(61:61,I8,62:62)-SUMIF(61:61,C8,62:62)+100</f>
        <v>100</v>
      </c>
      <c r="K8" s="1887"/>
      <c r="L8" s="2709"/>
      <c r="M8" s="2710"/>
      <c r="N8" s="2710"/>
      <c r="O8" s="2710"/>
      <c r="P8" s="3720" t="s">
        <v>1683</v>
      </c>
      <c r="Q8" s="3721"/>
      <c r="R8" s="697" t="s">
        <v>20</v>
      </c>
      <c r="S8" s="698">
        <f t="shared" si="0"/>
        <v>100</v>
      </c>
      <c r="T8" s="697" t="s">
        <v>20</v>
      </c>
      <c r="U8" s="698">
        <f t="shared" si="1"/>
        <v>100</v>
      </c>
      <c r="V8" s="697" t="s">
        <v>20</v>
      </c>
      <c r="W8" s="698">
        <f t="shared" si="2"/>
        <v>100</v>
      </c>
      <c r="X8" s="699"/>
      <c r="Y8" s="3720" t="s">
        <v>1683</v>
      </c>
      <c r="Z8" s="3721"/>
      <c r="AA8" s="700">
        <f t="shared" ref="AA8:AA19" si="3">D8/F8</f>
        <v>1</v>
      </c>
      <c r="AB8" s="700">
        <f t="shared" ref="AB8:AB19" si="4">D8/H8</f>
        <v>1</v>
      </c>
      <c r="AC8" s="700">
        <f t="shared" ref="AC8:AC19" si="5">D8/J8</f>
        <v>1</v>
      </c>
    </row>
    <row r="9" spans="1:29" s="108" customFormat="1">
      <c r="A9" s="366" t="s">
        <v>1684</v>
      </c>
      <c r="B9" s="63" t="s">
        <v>1685</v>
      </c>
      <c r="C9" s="367" t="s">
        <v>3531</v>
      </c>
      <c r="D9" s="124">
        <v>100</v>
      </c>
      <c r="E9" s="368" t="s">
        <v>3390</v>
      </c>
      <c r="F9" s="369">
        <f>SUMIF(63:63,E9,64:64)-SUMIF(63:63,C9,64:64)+100</f>
        <v>100</v>
      </c>
      <c r="G9" s="368" t="s">
        <v>3390</v>
      </c>
      <c r="H9" s="124">
        <f>SUMIF(63:63,G9,64:64)-SUMIF(63:63,C9,64:64)+100</f>
        <v>100</v>
      </c>
      <c r="I9" s="368" t="s">
        <v>3390</v>
      </c>
      <c r="J9" s="124">
        <f>SUMIF(63:63,I9,64:64)-SUMIF(63:63,C9,64:64)+100</f>
        <v>100</v>
      </c>
      <c r="K9" s="1887"/>
      <c r="L9" s="2709"/>
      <c r="M9" s="2710"/>
      <c r="N9" s="2710"/>
      <c r="O9" s="2710"/>
      <c r="P9" s="3761" t="s">
        <v>1686</v>
      </c>
      <c r="Q9" s="1339" t="str">
        <f t="shared" ref="Q9:Q15" si="6">B9</f>
        <v>用途</v>
      </c>
      <c r="R9" s="697" t="s">
        <v>14</v>
      </c>
      <c r="S9" s="698">
        <f t="shared" si="0"/>
        <v>100</v>
      </c>
      <c r="T9" s="697" t="s">
        <v>14</v>
      </c>
      <c r="U9" s="698">
        <f t="shared" si="1"/>
        <v>100</v>
      </c>
      <c r="V9" s="697" t="s">
        <v>14</v>
      </c>
      <c r="W9" s="698">
        <f t="shared" si="2"/>
        <v>100</v>
      </c>
      <c r="X9" s="699"/>
      <c r="Y9" s="3685" t="s">
        <v>1687</v>
      </c>
      <c r="Z9" s="52" t="str">
        <f t="shared" ref="Z9:Z15" si="7">Q9</f>
        <v>用途</v>
      </c>
      <c r="AA9" s="700">
        <f t="shared" si="3"/>
        <v>1</v>
      </c>
      <c r="AB9" s="700">
        <f t="shared" si="4"/>
        <v>1</v>
      </c>
      <c r="AC9" s="700">
        <f t="shared" si="5"/>
        <v>1</v>
      </c>
    </row>
    <row r="10" spans="1:29" s="375" customFormat="1" ht="27">
      <c r="A10" s="371"/>
      <c r="B10" s="372" t="s">
        <v>1688</v>
      </c>
      <c r="C10" s="3426" t="s">
        <v>3532</v>
      </c>
      <c r="D10" s="125">
        <v>100</v>
      </c>
      <c r="E10" s="3427" t="s">
        <v>3532</v>
      </c>
      <c r="F10" s="373">
        <f>SUMIF(65:65,E10,66:66)-SUMIF(65:65,C10,66:66)+100</f>
        <v>100</v>
      </c>
      <c r="G10" s="3426" t="s">
        <v>3532</v>
      </c>
      <c r="H10" s="125">
        <f>SUMIF(65:65,G10,66:66)-SUMIF(65:65,C10,66:66)+100</f>
        <v>100</v>
      </c>
      <c r="I10" s="3426" t="s">
        <v>3532</v>
      </c>
      <c r="J10" s="125">
        <f>SUMIF(65:65,I10,66:66)-SUMIF(65:65,C10,66:66)+100</f>
        <v>100</v>
      </c>
      <c r="K10" s="1887"/>
      <c r="L10" s="2711"/>
      <c r="M10" s="2712"/>
      <c r="N10" s="2712"/>
      <c r="O10" s="2712"/>
      <c r="P10" s="3761"/>
      <c r="Q10" s="1339" t="str">
        <f t="shared" si="6"/>
        <v>土地使用年限（年）</v>
      </c>
      <c r="R10" s="697" t="s">
        <v>14</v>
      </c>
      <c r="S10" s="698">
        <f t="shared" si="0"/>
        <v>100</v>
      </c>
      <c r="T10" s="697" t="s">
        <v>14</v>
      </c>
      <c r="U10" s="698">
        <f t="shared" si="1"/>
        <v>100</v>
      </c>
      <c r="V10" s="697" t="s">
        <v>14</v>
      </c>
      <c r="W10" s="698">
        <f t="shared" si="2"/>
        <v>100</v>
      </c>
      <c r="X10" s="699"/>
      <c r="Y10" s="3685"/>
      <c r="Z10" s="52" t="str">
        <f t="shared" si="7"/>
        <v>土地使用年限（年）</v>
      </c>
      <c r="AA10" s="700">
        <f t="shared" si="3"/>
        <v>1</v>
      </c>
      <c r="AB10" s="700">
        <f t="shared" si="4"/>
        <v>1</v>
      </c>
      <c r="AC10" s="700">
        <f t="shared" si="5"/>
        <v>1</v>
      </c>
    </row>
    <row r="11" spans="1:29" ht="15">
      <c r="A11" s="376"/>
      <c r="B11" s="372" t="s">
        <v>1689</v>
      </c>
      <c r="C11" s="377">
        <f>'土地比较法-住宅、综合'!C11</f>
        <v>2.5</v>
      </c>
      <c r="D11" s="125">
        <v>100</v>
      </c>
      <c r="E11" s="378">
        <v>2.2000000000000002</v>
      </c>
      <c r="F11" s="373">
        <f>LOOKUP(E11,68:68,69:69)-LOOKUP(C11,68:68,69:69)+100</f>
        <v>100.29999999999998</v>
      </c>
      <c r="G11" s="377">
        <v>2.2000000000000002</v>
      </c>
      <c r="H11" s="125">
        <f>LOOKUP(G11,68:68,69:69)-LOOKUP(C11,68:68,69:69)+100</f>
        <v>100.29999999999998</v>
      </c>
      <c r="I11" s="377">
        <v>2.5</v>
      </c>
      <c r="J11" s="125">
        <f>LOOKUP(I11,68:68,69:69)-LOOKUP(C11,68:68,69:69)+100</f>
        <v>100</v>
      </c>
      <c r="K11" s="374">
        <v>0.1</v>
      </c>
      <c r="L11" s="2713"/>
      <c r="M11" s="2708"/>
      <c r="N11" s="2708"/>
      <c r="O11" s="2708"/>
      <c r="P11" s="3761"/>
      <c r="Q11" s="1339" t="str">
        <f t="shared" si="6"/>
        <v>容积率</v>
      </c>
      <c r="R11" s="697" t="s">
        <v>18</v>
      </c>
      <c r="S11" s="698">
        <f t="shared" si="0"/>
        <v>100.29999999999998</v>
      </c>
      <c r="T11" s="697" t="s">
        <v>18</v>
      </c>
      <c r="U11" s="698">
        <f t="shared" si="1"/>
        <v>100.29999999999998</v>
      </c>
      <c r="V11" s="697" t="s">
        <v>18</v>
      </c>
      <c r="W11" s="698">
        <f t="shared" si="2"/>
        <v>100</v>
      </c>
      <c r="X11" s="699"/>
      <c r="Y11" s="3685"/>
      <c r="Z11" s="52" t="str">
        <f t="shared" si="7"/>
        <v>容积率</v>
      </c>
      <c r="AA11" s="700">
        <f t="shared" si="3"/>
        <v>0.99700897308075787</v>
      </c>
      <c r="AB11" s="700">
        <f t="shared" si="4"/>
        <v>0.99700897308075787</v>
      </c>
      <c r="AC11" s="700">
        <f t="shared" si="5"/>
        <v>1</v>
      </c>
    </row>
    <row r="12" spans="1:29" s="108" customFormat="1" ht="15">
      <c r="A12" s="379"/>
      <c r="B12" s="1888" t="s">
        <v>3533</v>
      </c>
      <c r="C12" s="380" t="s">
        <v>3534</v>
      </c>
      <c r="D12" s="381">
        <v>100</v>
      </c>
      <c r="E12" s="380" t="s">
        <v>3534</v>
      </c>
      <c r="F12" s="373">
        <f>SUMIF(70:70,E12,71:71)-SUMIF(70:70,C12,71:71)+100</f>
        <v>100</v>
      </c>
      <c r="G12" s="380" t="s">
        <v>3534</v>
      </c>
      <c r="H12" s="125">
        <f>SUMIF(70:70,G12,71:71)-SUMIF(70:70,C12,71:71)+100</f>
        <v>100</v>
      </c>
      <c r="I12" s="380" t="s">
        <v>3534</v>
      </c>
      <c r="J12" s="125">
        <f>SUMIF(70:70,I12,71:71)-SUMIF(70:70,C12,71:71)+100</f>
        <v>100</v>
      </c>
      <c r="K12" s="1889"/>
      <c r="L12" s="2709"/>
      <c r="M12" s="2710"/>
      <c r="N12" s="2710"/>
      <c r="O12" s="2710"/>
      <c r="P12" s="3761"/>
      <c r="Q12" s="1339" t="str">
        <f t="shared" si="6"/>
        <v>产权性质</v>
      </c>
      <c r="R12" s="697" t="s">
        <v>18</v>
      </c>
      <c r="S12" s="698">
        <f t="shared" si="0"/>
        <v>100</v>
      </c>
      <c r="T12" s="697" t="s">
        <v>18</v>
      </c>
      <c r="U12" s="698">
        <f t="shared" si="1"/>
        <v>100</v>
      </c>
      <c r="V12" s="697" t="s">
        <v>18</v>
      </c>
      <c r="W12" s="698">
        <f t="shared" si="2"/>
        <v>100</v>
      </c>
      <c r="X12" s="699"/>
      <c r="Y12" s="3685"/>
      <c r="Z12" s="52" t="str">
        <f t="shared" si="7"/>
        <v>产权性质</v>
      </c>
      <c r="AA12" s="700">
        <f>D12/F12</f>
        <v>1</v>
      </c>
      <c r="AB12" s="700">
        <f>D12/H12</f>
        <v>1</v>
      </c>
      <c r="AC12" s="700">
        <f>D12/J12</f>
        <v>1</v>
      </c>
    </row>
    <row r="13" spans="1:29" ht="15">
      <c r="A13" s="376"/>
      <c r="B13" s="1888">
        <v>111</v>
      </c>
      <c r="C13" s="382"/>
      <c r="D13" s="383">
        <v>100</v>
      </c>
      <c r="E13" s="382"/>
      <c r="F13" s="373">
        <f>SUMIF(72:72,E13,73:73)-SUMIF(72:72,C13,73:73)+100</f>
        <v>100</v>
      </c>
      <c r="G13" s="382"/>
      <c r="H13" s="383">
        <f>SUMIF(72:72,G13,73:73)-SUMIF(72:72,C13,73:73)+100</f>
        <v>100</v>
      </c>
      <c r="I13" s="382"/>
      <c r="J13" s="383">
        <f>SUMIF(72:72,I13,73:73)-SUMIF(72:72,C13,73:73)+100</f>
        <v>100</v>
      </c>
      <c r="K13" s="1889"/>
      <c r="L13" s="2714"/>
      <c r="M13" s="2708"/>
      <c r="N13" s="2708"/>
      <c r="O13" s="2708"/>
      <c r="P13" s="3761"/>
      <c r="Q13" s="1339">
        <f t="shared" si="6"/>
        <v>111</v>
      </c>
      <c r="R13" s="697" t="s">
        <v>18</v>
      </c>
      <c r="S13" s="698">
        <f t="shared" si="0"/>
        <v>100</v>
      </c>
      <c r="T13" s="697" t="s">
        <v>18</v>
      </c>
      <c r="U13" s="698">
        <f t="shared" si="1"/>
        <v>100</v>
      </c>
      <c r="V13" s="697" t="s">
        <v>18</v>
      </c>
      <c r="W13" s="698">
        <f t="shared" si="2"/>
        <v>100</v>
      </c>
      <c r="X13" s="699"/>
      <c r="Y13" s="3685"/>
      <c r="Z13" s="52">
        <f t="shared" si="7"/>
        <v>111</v>
      </c>
      <c r="AA13" s="700">
        <f t="shared" si="3"/>
        <v>1</v>
      </c>
      <c r="AB13" s="700">
        <f t="shared" si="4"/>
        <v>1</v>
      </c>
      <c r="AC13" s="700">
        <f t="shared" si="5"/>
        <v>1</v>
      </c>
    </row>
    <row r="14" spans="1:29" ht="15.75" thickBot="1">
      <c r="A14" s="384"/>
      <c r="B14" s="1890">
        <v>111</v>
      </c>
      <c r="C14" s="385"/>
      <c r="D14" s="386">
        <v>100</v>
      </c>
      <c r="E14" s="385"/>
      <c r="F14" s="387">
        <f>SUMIF(74:74,E14,75:75)-SUMIF(74:74,C14,75:75)+100</f>
        <v>100</v>
      </c>
      <c r="G14" s="385"/>
      <c r="H14" s="386">
        <f>SUMIF(74:74,G14,75:75)-SUMIF(74:74,C14,75:75)+100</f>
        <v>100</v>
      </c>
      <c r="I14" s="385"/>
      <c r="J14" s="386">
        <f>SUMIF(74:74,I14,75:75)-SUMIF(74:74,C14,75:75)+100</f>
        <v>100</v>
      </c>
      <c r="K14" s="1889"/>
      <c r="L14" s="2714"/>
      <c r="M14" s="2708"/>
      <c r="N14" s="2708"/>
      <c r="O14" s="2708"/>
      <c r="P14" s="3761"/>
      <c r="Q14" s="1339">
        <f t="shared" si="6"/>
        <v>111</v>
      </c>
      <c r="R14" s="697" t="s">
        <v>18</v>
      </c>
      <c r="S14" s="698">
        <f t="shared" si="0"/>
        <v>100</v>
      </c>
      <c r="T14" s="697" t="s">
        <v>18</v>
      </c>
      <c r="U14" s="698">
        <f t="shared" si="1"/>
        <v>100</v>
      </c>
      <c r="V14" s="697" t="s">
        <v>18</v>
      </c>
      <c r="W14" s="698">
        <f t="shared" si="2"/>
        <v>100</v>
      </c>
      <c r="X14" s="699"/>
      <c r="Y14" s="3685"/>
      <c r="Z14" s="52">
        <f t="shared" si="7"/>
        <v>111</v>
      </c>
      <c r="AA14" s="700">
        <f t="shared" si="3"/>
        <v>1</v>
      </c>
      <c r="AB14" s="700">
        <f t="shared" si="4"/>
        <v>1</v>
      </c>
      <c r="AC14" s="700">
        <f t="shared" si="5"/>
        <v>1</v>
      </c>
    </row>
    <row r="15" spans="1:29" ht="54" customHeight="1">
      <c r="A15" s="388" t="s">
        <v>1690</v>
      </c>
      <c r="B15" s="61" t="s">
        <v>1257</v>
      </c>
      <c r="C15" s="1891" t="str">
        <f>估价对象房地状况!C3</f>
        <v>估价对象周边有瀛海家园、永旭家园、兴海园、玉璟园等住宅小区，居住用地比例、居住小区规模和社区发展完善程度，综合评价居住社区成熟度一般</v>
      </c>
      <c r="D15" s="389">
        <v>100</v>
      </c>
      <c r="E15" s="392"/>
      <c r="F15" s="389">
        <f>SUMIF(76:76,E16,77:77)-SUMIF(76:76,C16,77:77)+100</f>
        <v>100</v>
      </c>
      <c r="G15" s="390"/>
      <c r="H15" s="389">
        <f>SUMIF(76:76,G16,77:77)-SUMIF(76:76,C16,77:77)+100</f>
        <v>100</v>
      </c>
      <c r="I15" s="390"/>
      <c r="J15" s="389">
        <f>SUMIF(76:76,I16,77:77)-SUMIF(76:76,C16,77:77)+100</f>
        <v>100</v>
      </c>
      <c r="K15" s="393">
        <v>2</v>
      </c>
      <c r="L15" s="2714"/>
      <c r="M15" s="2708"/>
      <c r="N15" s="2708"/>
      <c r="O15" s="2708"/>
      <c r="P15" s="3810" t="s">
        <v>1691</v>
      </c>
      <c r="Q15" s="1348" t="str">
        <f t="shared" si="6"/>
        <v>居住社区成熟度</v>
      </c>
      <c r="R15" s="701" t="s">
        <v>18</v>
      </c>
      <c r="S15" s="702">
        <f t="shared" si="0"/>
        <v>100</v>
      </c>
      <c r="T15" s="701" t="s">
        <v>18</v>
      </c>
      <c r="U15" s="702">
        <f t="shared" si="1"/>
        <v>100</v>
      </c>
      <c r="V15" s="701" t="s">
        <v>18</v>
      </c>
      <c r="W15" s="702">
        <f t="shared" si="2"/>
        <v>100</v>
      </c>
      <c r="X15" s="1351"/>
      <c r="Y15" s="3752" t="s">
        <v>1691</v>
      </c>
      <c r="Z15" s="1352" t="str">
        <f t="shared" si="7"/>
        <v>居住社区成熟度</v>
      </c>
      <c r="AA15" s="1349">
        <f t="shared" si="3"/>
        <v>1</v>
      </c>
      <c r="AB15" s="1349">
        <f t="shared" si="4"/>
        <v>1</v>
      </c>
      <c r="AC15" s="1349">
        <f t="shared" si="5"/>
        <v>1</v>
      </c>
    </row>
    <row r="16" spans="1:29" ht="15">
      <c r="A16" s="376"/>
      <c r="B16" s="394"/>
      <c r="C16" s="395" t="s">
        <v>3489</v>
      </c>
      <c r="D16" s="396"/>
      <c r="E16" s="1892" t="s">
        <v>3489</v>
      </c>
      <c r="F16" s="396"/>
      <c r="G16" s="1893" t="s">
        <v>3489</v>
      </c>
      <c r="H16" s="398"/>
      <c r="I16" s="1893" t="s">
        <v>3489</v>
      </c>
      <c r="J16" s="396"/>
      <c r="K16" s="1894"/>
      <c r="L16" s="2714"/>
      <c r="M16" s="2708"/>
      <c r="N16" s="2708"/>
      <c r="O16" s="2708"/>
      <c r="P16" s="3811"/>
      <c r="Q16" s="1348"/>
      <c r="R16" s="701"/>
      <c r="S16" s="702"/>
      <c r="T16" s="701"/>
      <c r="U16" s="702"/>
      <c r="V16" s="701"/>
      <c r="W16" s="702"/>
      <c r="X16" s="1351"/>
      <c r="Y16" s="3753"/>
      <c r="Z16" s="1352"/>
      <c r="AA16" s="1349">
        <v>1</v>
      </c>
      <c r="AB16" s="1349">
        <v>1</v>
      </c>
      <c r="AC16" s="1349">
        <v>1</v>
      </c>
    </row>
    <row r="17" spans="1:29" ht="47.1" customHeight="1">
      <c r="A17" s="376"/>
      <c r="B17" s="399" t="s">
        <v>1259</v>
      </c>
      <c r="C17" s="1895" t="str">
        <f>估价对象房地状况!C6</f>
        <v>估价对象邻近城市高速路-京台高速，附近有兴16路、兴38路、专83路等公交线路，周边道路状况、公共交通通达情况、停车便捷程度，综合评价交通便捷度较好</v>
      </c>
      <c r="D17" s="398">
        <v>100</v>
      </c>
      <c r="E17" s="402"/>
      <c r="F17" s="398">
        <f>SUMIF(78:78,E18,79:79)-SUMIF(78:78,C18,79:79)+100</f>
        <v>100</v>
      </c>
      <c r="G17" s="400"/>
      <c r="H17" s="403">
        <f>SUMIF(78:78,G18,79:79)-SUMIF(78:78,C18,79:79)+100</f>
        <v>100</v>
      </c>
      <c r="I17" s="400"/>
      <c r="J17" s="403">
        <f>SUMIF(78:78,I18,79:79)-SUMIF(78:78,C18,79:79)+100</f>
        <v>100</v>
      </c>
      <c r="K17" s="393">
        <v>2</v>
      </c>
      <c r="L17" s="2714"/>
      <c r="M17" s="2708"/>
      <c r="N17" s="2708"/>
      <c r="O17" s="2708"/>
      <c r="P17" s="3811"/>
      <c r="Q17" s="1348" t="str">
        <f>B17</f>
        <v>交通便捷度</v>
      </c>
      <c r="R17" s="701" t="s">
        <v>18</v>
      </c>
      <c r="S17" s="702">
        <f>F17</f>
        <v>100</v>
      </c>
      <c r="T17" s="701" t="s">
        <v>18</v>
      </c>
      <c r="U17" s="702">
        <f>H17</f>
        <v>100</v>
      </c>
      <c r="V17" s="701" t="s">
        <v>18</v>
      </c>
      <c r="W17" s="702">
        <f>J17</f>
        <v>100</v>
      </c>
      <c r="X17" s="1351"/>
      <c r="Y17" s="3753"/>
      <c r="Z17" s="1352" t="str">
        <f>Q17</f>
        <v>交通便捷度</v>
      </c>
      <c r="AA17" s="1349">
        <f t="shared" si="3"/>
        <v>1</v>
      </c>
      <c r="AB17" s="1349">
        <f t="shared" si="4"/>
        <v>1</v>
      </c>
      <c r="AC17" s="1349">
        <f t="shared" si="5"/>
        <v>1</v>
      </c>
    </row>
    <row r="18" spans="1:29" ht="15">
      <c r="A18" s="376"/>
      <c r="B18" s="404"/>
      <c r="C18" s="1896" t="s">
        <v>3525</v>
      </c>
      <c r="D18" s="398"/>
      <c r="E18" s="1897" t="s">
        <v>3525</v>
      </c>
      <c r="F18" s="398"/>
      <c r="G18" s="1898" t="s">
        <v>3525</v>
      </c>
      <c r="H18" s="396"/>
      <c r="I18" s="1898" t="s">
        <v>3525</v>
      </c>
      <c r="J18" s="396"/>
      <c r="K18" s="1894"/>
      <c r="L18" s="2714"/>
      <c r="M18" s="2708"/>
      <c r="N18" s="2708"/>
      <c r="O18" s="2708"/>
      <c r="P18" s="3811"/>
      <c r="Q18" s="1348"/>
      <c r="R18" s="701"/>
      <c r="S18" s="702"/>
      <c r="T18" s="701"/>
      <c r="U18" s="702"/>
      <c r="V18" s="701"/>
      <c r="W18" s="702"/>
      <c r="X18" s="1351"/>
      <c r="Y18" s="3753"/>
      <c r="Z18" s="1352"/>
      <c r="AA18" s="1349">
        <v>1</v>
      </c>
      <c r="AB18" s="1349">
        <v>1</v>
      </c>
      <c r="AC18" s="1349">
        <v>1</v>
      </c>
    </row>
    <row r="19" spans="1:29" ht="54" customHeight="1">
      <c r="A19" s="376"/>
      <c r="B19" s="399" t="s">
        <v>1258</v>
      </c>
      <c r="C19" s="1895" t="str">
        <f>估价对象房地状况!C7</f>
        <v>估价对象周边有红星中学、瀛海镇第一中心小学、瀛海一幼幼儿园等教育机构，有肃宁正骨医院医疗设施，有北京农商银行等金融机构，公共配套设施状况一般</v>
      </c>
      <c r="D19" s="403">
        <v>100</v>
      </c>
      <c r="E19" s="407"/>
      <c r="F19" s="403">
        <f>SUMIF(80:80,E20,81:81)-SUMIF(80:80,C20,81:81)+100</f>
        <v>100</v>
      </c>
      <c r="G19" s="405"/>
      <c r="H19" s="398">
        <f>SUMIF(80:80,G20,81:81)-SUMIF(80:80,C20,81:81)+100</f>
        <v>100</v>
      </c>
      <c r="I19" s="405"/>
      <c r="J19" s="398">
        <f>SUMIF(80:80,I20,81:81)-SUMIF(80:80,C20,81:81)+100</f>
        <v>100</v>
      </c>
      <c r="K19" s="393">
        <v>2</v>
      </c>
      <c r="L19" s="2714"/>
      <c r="M19" s="2708"/>
      <c r="N19" s="2708"/>
      <c r="O19" s="2708"/>
      <c r="P19" s="3811"/>
      <c r="Q19" s="1348" t="str">
        <f>B19</f>
        <v>公共配套设施</v>
      </c>
      <c r="R19" s="701" t="s">
        <v>18</v>
      </c>
      <c r="S19" s="702">
        <f>F19</f>
        <v>100</v>
      </c>
      <c r="T19" s="701" t="s">
        <v>18</v>
      </c>
      <c r="U19" s="702">
        <f>H19</f>
        <v>100</v>
      </c>
      <c r="V19" s="701" t="s">
        <v>18</v>
      </c>
      <c r="W19" s="702">
        <f>J19</f>
        <v>100</v>
      </c>
      <c r="X19" s="1351"/>
      <c r="Y19" s="3753"/>
      <c r="Z19" s="1352" t="str">
        <f>Q19</f>
        <v>公共配套设施</v>
      </c>
      <c r="AA19" s="1349">
        <f t="shared" si="3"/>
        <v>1</v>
      </c>
      <c r="AB19" s="1349">
        <f t="shared" si="4"/>
        <v>1</v>
      </c>
      <c r="AC19" s="1349">
        <f t="shared" si="5"/>
        <v>1</v>
      </c>
    </row>
    <row r="20" spans="1:29" ht="15">
      <c r="A20" s="376"/>
      <c r="B20" s="404"/>
      <c r="C20" s="395" t="s">
        <v>3489</v>
      </c>
      <c r="D20" s="396"/>
      <c r="E20" s="1892" t="s">
        <v>3489</v>
      </c>
      <c r="F20" s="396"/>
      <c r="G20" s="1893" t="s">
        <v>3489</v>
      </c>
      <c r="H20" s="396"/>
      <c r="I20" s="1893" t="s">
        <v>3489</v>
      </c>
      <c r="J20" s="396"/>
      <c r="K20" s="1894"/>
      <c r="L20" s="2714"/>
      <c r="M20" s="2708"/>
      <c r="N20" s="2708"/>
      <c r="O20" s="2708"/>
      <c r="P20" s="3811"/>
      <c r="Q20" s="1348"/>
      <c r="R20" s="701"/>
      <c r="S20" s="702"/>
      <c r="T20" s="701"/>
      <c r="U20" s="702"/>
      <c r="V20" s="701"/>
      <c r="W20" s="702"/>
      <c r="X20" s="1351"/>
      <c r="Y20" s="3753"/>
      <c r="Z20" s="1352"/>
      <c r="AA20" s="1349">
        <v>1</v>
      </c>
      <c r="AB20" s="1349">
        <v>1</v>
      </c>
      <c r="AC20" s="1349">
        <v>1</v>
      </c>
    </row>
    <row r="21" spans="1:29" ht="42.75">
      <c r="A21" s="376"/>
      <c r="B21" s="1127" t="s">
        <v>1260</v>
      </c>
      <c r="C21" s="1895" t="str">
        <f>估价对象房地状况!C8</f>
        <v>估价对象所在区域基础设施水平-六通</v>
      </c>
      <c r="D21" s="398">
        <v>100</v>
      </c>
      <c r="E21" s="407"/>
      <c r="F21" s="403">
        <f>SUMIF(82:82,E22,83:83)-SUMIF(82:82,C22,83:83)+100</f>
        <v>100</v>
      </c>
      <c r="G21" s="405"/>
      <c r="H21" s="398">
        <f>SUMIF(82:82,G22,83:83)-SUMIF(82:82,C22,83:83)+100</f>
        <v>100</v>
      </c>
      <c r="I21" s="405"/>
      <c r="J21" s="398">
        <f>SUMIF(82:82,I22,83:83)-SUMIF(82:82,C22,83:83)+100</f>
        <v>100</v>
      </c>
      <c r="K21" s="393">
        <v>1</v>
      </c>
      <c r="L21" s="2714"/>
      <c r="M21" s="2708"/>
      <c r="N21" s="2708"/>
      <c r="O21" s="2708"/>
      <c r="P21" s="3811"/>
      <c r="Q21" s="1348" t="str">
        <f>B21</f>
        <v>基础设施水平</v>
      </c>
      <c r="R21" s="701" t="s">
        <v>14</v>
      </c>
      <c r="S21" s="702">
        <f>F21</f>
        <v>100</v>
      </c>
      <c r="T21" s="701" t="s">
        <v>14</v>
      </c>
      <c r="U21" s="702">
        <f>H21</f>
        <v>100</v>
      </c>
      <c r="V21" s="701" t="s">
        <v>14</v>
      </c>
      <c r="W21" s="702">
        <f>J21</f>
        <v>100</v>
      </c>
      <c r="X21" s="1351"/>
      <c r="Y21" s="3753"/>
      <c r="Z21" s="1352" t="str">
        <f>Q21</f>
        <v>基础设施水平</v>
      </c>
      <c r="AA21" s="1349">
        <f t="shared" ref="AA21" si="8">D21/F21</f>
        <v>1</v>
      </c>
      <c r="AB21" s="1349">
        <f t="shared" ref="AB21" si="9">D21/H21</f>
        <v>1</v>
      </c>
      <c r="AC21" s="1349">
        <f t="shared" ref="AC21" si="10">D21/J21</f>
        <v>1</v>
      </c>
    </row>
    <row r="22" spans="1:29" ht="15">
      <c r="A22" s="376"/>
      <c r="B22" s="1127"/>
      <c r="C22" s="1896" t="s">
        <v>3521</v>
      </c>
      <c r="D22" s="396"/>
      <c r="E22" s="395" t="s">
        <v>3521</v>
      </c>
      <c r="F22" s="396"/>
      <c r="G22" s="1899" t="s">
        <v>3521</v>
      </c>
      <c r="H22" s="396"/>
      <c r="I22" s="395" t="s">
        <v>3521</v>
      </c>
      <c r="J22" s="396"/>
      <c r="K22" s="1900"/>
      <c r="L22" s="2714"/>
      <c r="M22" s="2708"/>
      <c r="N22" s="2708"/>
      <c r="O22" s="2708"/>
      <c r="P22" s="3811"/>
      <c r="Q22" s="1348"/>
      <c r="R22" s="701"/>
      <c r="S22" s="702"/>
      <c r="T22" s="701"/>
      <c r="U22" s="702"/>
      <c r="V22" s="701"/>
      <c r="W22" s="702"/>
      <c r="X22" s="1351"/>
      <c r="Y22" s="3753"/>
      <c r="Z22" s="1352"/>
      <c r="AA22" s="1349">
        <v>1</v>
      </c>
      <c r="AB22" s="1349">
        <v>1</v>
      </c>
      <c r="AC22" s="1349">
        <v>1</v>
      </c>
    </row>
    <row r="23" spans="1:29" ht="51" customHeight="1">
      <c r="A23" s="376"/>
      <c r="B23" s="399" t="s">
        <v>1261</v>
      </c>
      <c r="C23" s="1895" t="str">
        <f>估价对象房地状况!C9</f>
        <v>周边1公里范围内有南海子公园、志远庄公园等自然景观，人文景观较少，综合评价环境状况一般</v>
      </c>
      <c r="D23" s="398">
        <v>100</v>
      </c>
      <c r="E23" s="402"/>
      <c r="F23" s="398">
        <f>SUMIF(84:84,E24,85:85)-SUMIF(84:84,C24,85:85)+100</f>
        <v>97</v>
      </c>
      <c r="G23" s="400"/>
      <c r="H23" s="398">
        <f>SUMIF(84:84,G24,85:85)-SUMIF(84:84,C24,85:85)+100</f>
        <v>97</v>
      </c>
      <c r="I23" s="400"/>
      <c r="J23" s="398">
        <f>SUMIF(84:84,I24,85:85)-SUMIF(84:84,C24,85:85)+100</f>
        <v>97</v>
      </c>
      <c r="K23" s="393">
        <v>3</v>
      </c>
      <c r="L23" s="2714"/>
      <c r="M23" s="2708"/>
      <c r="N23" s="2708"/>
      <c r="O23" s="2708"/>
      <c r="P23" s="3811"/>
      <c r="Q23" s="1348" t="str">
        <f>B23</f>
        <v>自然及人文环境</v>
      </c>
      <c r="R23" s="701" t="s">
        <v>18</v>
      </c>
      <c r="S23" s="702">
        <f>F23</f>
        <v>97</v>
      </c>
      <c r="T23" s="701" t="s">
        <v>18</v>
      </c>
      <c r="U23" s="702">
        <f>H23</f>
        <v>97</v>
      </c>
      <c r="V23" s="701" t="s">
        <v>18</v>
      </c>
      <c r="W23" s="702">
        <f>J23</f>
        <v>97</v>
      </c>
      <c r="X23" s="1351"/>
      <c r="Y23" s="3753"/>
      <c r="Z23" s="1352" t="str">
        <f>Q23</f>
        <v>自然及人文环境</v>
      </c>
      <c r="AA23" s="1349">
        <f>D23/F23</f>
        <v>1.0309278350515463</v>
      </c>
      <c r="AB23" s="1349">
        <f>D23/H23</f>
        <v>1.0309278350515463</v>
      </c>
      <c r="AC23" s="1349">
        <f>D23/J23</f>
        <v>1.0309278350515463</v>
      </c>
    </row>
    <row r="24" spans="1:29" ht="15">
      <c r="A24" s="376"/>
      <c r="B24" s="404"/>
      <c r="C24" s="395" t="s">
        <v>3525</v>
      </c>
      <c r="D24" s="396"/>
      <c r="E24" s="1892" t="s">
        <v>3489</v>
      </c>
      <c r="F24" s="396"/>
      <c r="G24" s="1893" t="s">
        <v>3489</v>
      </c>
      <c r="H24" s="396"/>
      <c r="I24" s="1893" t="s">
        <v>3489</v>
      </c>
      <c r="J24" s="396"/>
      <c r="K24" s="1894"/>
      <c r="L24" s="2714"/>
      <c r="M24" s="2708"/>
      <c r="N24" s="2708"/>
      <c r="O24" s="2708"/>
      <c r="P24" s="3811"/>
      <c r="Q24" s="1348"/>
      <c r="R24" s="701"/>
      <c r="S24" s="702"/>
      <c r="T24" s="701"/>
      <c r="U24" s="702"/>
      <c r="V24" s="701"/>
      <c r="W24" s="702"/>
      <c r="X24" s="1351"/>
      <c r="Y24" s="3753"/>
      <c r="Z24" s="1352"/>
      <c r="AA24" s="1349">
        <v>1</v>
      </c>
      <c r="AB24" s="1349">
        <v>1</v>
      </c>
      <c r="AC24" s="1349">
        <v>1</v>
      </c>
    </row>
    <row r="25" spans="1:29" ht="15">
      <c r="A25" s="376"/>
      <c r="B25" s="372" t="s">
        <v>1692</v>
      </c>
      <c r="C25" s="408"/>
      <c r="D25" s="383">
        <v>100</v>
      </c>
      <c r="E25" s="1901"/>
      <c r="F25" s="383">
        <f>SUMIF(86:86,E25,87:87)-SUMIF(86:86,C25,87:87)+100</f>
        <v>100</v>
      </c>
      <c r="G25" s="1902"/>
      <c r="H25" s="383">
        <f>SUMIF(86:86,G25,87:87)-SUMIF(86:86,C25,87:87)+100</f>
        <v>100</v>
      </c>
      <c r="I25" s="1902"/>
      <c r="J25" s="383">
        <f>SUMIF(86:86,I25,87:87)-SUMIF(86:86,C25,87:87)+100</f>
        <v>100</v>
      </c>
      <c r="K25" s="374"/>
      <c r="L25" s="2714"/>
      <c r="M25" s="2708"/>
      <c r="N25" s="2708"/>
      <c r="O25" s="2708"/>
      <c r="P25" s="3811"/>
      <c r="Q25" s="1348" t="str">
        <f t="shared" ref="Q25:Q46" si="11">B25</f>
        <v>楼层-1</v>
      </c>
      <c r="R25" s="701" t="s">
        <v>18</v>
      </c>
      <c r="S25" s="702">
        <f t="shared" ref="S25:S46" si="12">F25</f>
        <v>100</v>
      </c>
      <c r="T25" s="701" t="s">
        <v>18</v>
      </c>
      <c r="U25" s="702">
        <f t="shared" ref="U25:U46" si="13">H25</f>
        <v>100</v>
      </c>
      <c r="V25" s="701" t="s">
        <v>18</v>
      </c>
      <c r="W25" s="702">
        <f t="shared" ref="W25:W46" si="14">J25</f>
        <v>100</v>
      </c>
      <c r="X25" s="1351"/>
      <c r="Y25" s="3753"/>
      <c r="Z25" s="1352" t="str">
        <f>Q25</f>
        <v>楼层-1</v>
      </c>
      <c r="AA25" s="1349">
        <f t="shared" ref="AA25:AA46" si="15">D25/F25</f>
        <v>1</v>
      </c>
      <c r="AB25" s="1349">
        <f t="shared" ref="AB25:AB46" si="16">D25/H25</f>
        <v>1</v>
      </c>
      <c r="AC25" s="1349">
        <f t="shared" ref="AC25:AC46" si="17">D25/J25</f>
        <v>1</v>
      </c>
    </row>
    <row r="26" spans="1:29" ht="15">
      <c r="A26" s="376"/>
      <c r="B26" s="372" t="s">
        <v>1693</v>
      </c>
      <c r="C26" s="408"/>
      <c r="D26" s="383">
        <v>100</v>
      </c>
      <c r="E26" s="1901"/>
      <c r="F26" s="383">
        <f>SUMIF(88:88,E26,89:89)-SUMIF(88:88,C26,89:89)+100</f>
        <v>100</v>
      </c>
      <c r="G26" s="1902"/>
      <c r="H26" s="383">
        <f>SUMIF(88:88,G26,89:89)-SUMIF(88:88,C26,89:89)+100</f>
        <v>100</v>
      </c>
      <c r="I26" s="1902"/>
      <c r="J26" s="383">
        <f>SUMIF(88:88,I26,89:89)-SUMIF(88:88,C26,89:89)+100</f>
        <v>100</v>
      </c>
      <c r="K26" s="374"/>
      <c r="L26" s="2714"/>
      <c r="M26" s="2708"/>
      <c r="N26" s="2708"/>
      <c r="O26" s="2708"/>
      <c r="P26" s="3811"/>
      <c r="Q26" s="1348" t="str">
        <f t="shared" si="11"/>
        <v>朝向</v>
      </c>
      <c r="R26" s="701" t="s">
        <v>18</v>
      </c>
      <c r="S26" s="702">
        <f t="shared" si="12"/>
        <v>100</v>
      </c>
      <c r="T26" s="701" t="s">
        <v>18</v>
      </c>
      <c r="U26" s="702">
        <f t="shared" si="13"/>
        <v>100</v>
      </c>
      <c r="V26" s="701" t="s">
        <v>18</v>
      </c>
      <c r="W26" s="702">
        <f t="shared" si="14"/>
        <v>100</v>
      </c>
      <c r="X26" s="1351"/>
      <c r="Y26" s="3753"/>
      <c r="Z26" s="1352" t="str">
        <f>Q26</f>
        <v>朝向</v>
      </c>
      <c r="AA26" s="1349">
        <f t="shared" si="15"/>
        <v>1</v>
      </c>
      <c r="AB26" s="1349">
        <f t="shared" si="16"/>
        <v>1</v>
      </c>
      <c r="AC26" s="1349">
        <f t="shared" si="17"/>
        <v>1</v>
      </c>
    </row>
    <row r="27" spans="1:29" s="108" customFormat="1" ht="15">
      <c r="A27" s="379"/>
      <c r="B27" s="1129" t="s">
        <v>3535</v>
      </c>
      <c r="C27" s="380" t="s">
        <v>3536</v>
      </c>
      <c r="D27" s="410">
        <v>100</v>
      </c>
      <c r="E27" s="380" t="s">
        <v>3536</v>
      </c>
      <c r="F27" s="410">
        <f>SUMIF(90:90,E27,91:91)-SUMIF(90:90,C27,91:91)+100</f>
        <v>100</v>
      </c>
      <c r="G27" s="380" t="s">
        <v>3536</v>
      </c>
      <c r="H27" s="410">
        <f>SUMIF(90:90,G27,91:91)-SUMIF(90:90,C27,91:91)+100</f>
        <v>100</v>
      </c>
      <c r="I27" s="380" t="s">
        <v>3536</v>
      </c>
      <c r="J27" s="410">
        <f>SUMIF(90:90,I27,91:91)-SUMIF(90:90,C27,91:91)+100</f>
        <v>100</v>
      </c>
      <c r="K27" s="1889"/>
      <c r="L27" s="2709"/>
      <c r="M27" s="2710"/>
      <c r="N27" s="2710"/>
      <c r="O27" s="2710"/>
      <c r="P27" s="3811"/>
      <c r="Q27" s="1339" t="str">
        <f t="shared" si="11"/>
        <v>所在楼层</v>
      </c>
      <c r="R27" s="697" t="s">
        <v>18</v>
      </c>
      <c r="S27" s="698">
        <f t="shared" si="12"/>
        <v>100</v>
      </c>
      <c r="T27" s="697" t="s">
        <v>18</v>
      </c>
      <c r="U27" s="698">
        <f t="shared" si="13"/>
        <v>100</v>
      </c>
      <c r="V27" s="697" t="s">
        <v>18</v>
      </c>
      <c r="W27" s="698">
        <f t="shared" si="14"/>
        <v>100</v>
      </c>
      <c r="X27" s="699"/>
      <c r="Y27" s="3753"/>
      <c r="Z27" s="52" t="str">
        <f>Q27</f>
        <v>所在楼层</v>
      </c>
      <c r="AA27" s="1349">
        <f t="shared" si="15"/>
        <v>1</v>
      </c>
      <c r="AB27" s="1349">
        <f t="shared" si="16"/>
        <v>1</v>
      </c>
      <c r="AC27" s="1349">
        <f t="shared" si="17"/>
        <v>1</v>
      </c>
    </row>
    <row r="28" spans="1:29" ht="15">
      <c r="A28" s="376"/>
      <c r="B28" s="1129" t="s">
        <v>3538</v>
      </c>
      <c r="C28" s="382" t="s">
        <v>3537</v>
      </c>
      <c r="D28" s="383">
        <v>100</v>
      </c>
      <c r="E28" s="382" t="s">
        <v>3537</v>
      </c>
      <c r="F28" s="383">
        <f>SUMIF(92:92,E28,93:93)-SUMIF(92:92,C28,93:93)+100</f>
        <v>100</v>
      </c>
      <c r="G28" s="382" t="s">
        <v>3537</v>
      </c>
      <c r="H28" s="383">
        <f>SUMIF(92:92,G28,93:93)-SUMIF(92:92,C28,93:93)+100</f>
        <v>100</v>
      </c>
      <c r="I28" s="382" t="s">
        <v>3537</v>
      </c>
      <c r="J28" s="383">
        <f>SUMIF(92:92,I28,93:93)-SUMIF(92:92,C28,93:93)+100</f>
        <v>100</v>
      </c>
      <c r="K28" s="1889"/>
      <c r="L28" s="2714"/>
      <c r="M28" s="2708"/>
      <c r="N28" s="2708"/>
      <c r="O28" s="2708"/>
      <c r="P28" s="3811"/>
      <c r="Q28" s="1348" t="str">
        <f t="shared" si="11"/>
        <v>朝向</v>
      </c>
      <c r="R28" s="701" t="s">
        <v>18</v>
      </c>
      <c r="S28" s="702">
        <f t="shared" si="12"/>
        <v>100</v>
      </c>
      <c r="T28" s="701" t="s">
        <v>18</v>
      </c>
      <c r="U28" s="702">
        <f t="shared" si="13"/>
        <v>100</v>
      </c>
      <c r="V28" s="701" t="s">
        <v>18</v>
      </c>
      <c r="W28" s="702">
        <f t="shared" si="14"/>
        <v>100</v>
      </c>
      <c r="X28" s="1351"/>
      <c r="Y28" s="3753"/>
      <c r="Z28" s="1352" t="str">
        <f t="shared" ref="Z28:Z46" si="18">Q28</f>
        <v>朝向</v>
      </c>
      <c r="AA28" s="1349">
        <f t="shared" si="15"/>
        <v>1</v>
      </c>
      <c r="AB28" s="1349">
        <f t="shared" si="16"/>
        <v>1</v>
      </c>
      <c r="AC28" s="1349">
        <f t="shared" si="17"/>
        <v>1</v>
      </c>
    </row>
    <row r="29" spans="1:29" ht="15">
      <c r="A29" s="376"/>
      <c r="B29" s="1129" t="s">
        <v>3539</v>
      </c>
      <c r="C29" s="382" t="s">
        <v>3540</v>
      </c>
      <c r="D29" s="383">
        <v>100</v>
      </c>
      <c r="E29" s="382" t="s">
        <v>3540</v>
      </c>
      <c r="F29" s="383">
        <f>SUMIF(94:94,E29,95:95)-SUMIF(94:94,C29,95:95)+100</f>
        <v>100</v>
      </c>
      <c r="G29" s="382" t="s">
        <v>3540</v>
      </c>
      <c r="H29" s="383">
        <f>SUMIF(94:94,G29,95:95)-SUMIF(94:94,C29,95:95)+100</f>
        <v>100</v>
      </c>
      <c r="I29" s="382" t="s">
        <v>3540</v>
      </c>
      <c r="J29" s="383">
        <f>SUMIF(94:94,I29,95:95)-SUMIF(94:94,C29,95:95)+100</f>
        <v>100</v>
      </c>
      <c r="K29" s="1889"/>
      <c r="L29" s="2714"/>
      <c r="M29" s="2708"/>
      <c r="N29" s="2708"/>
      <c r="O29" s="2708"/>
      <c r="P29" s="3811"/>
      <c r="Q29" s="1348" t="str">
        <f t="shared" si="11"/>
        <v>临街状况</v>
      </c>
      <c r="R29" s="701" t="s">
        <v>18</v>
      </c>
      <c r="S29" s="702">
        <f t="shared" si="12"/>
        <v>100</v>
      </c>
      <c r="T29" s="701" t="s">
        <v>18</v>
      </c>
      <c r="U29" s="702">
        <f t="shared" si="13"/>
        <v>100</v>
      </c>
      <c r="V29" s="701" t="s">
        <v>18</v>
      </c>
      <c r="W29" s="702">
        <f t="shared" si="14"/>
        <v>100</v>
      </c>
      <c r="X29" s="1351"/>
      <c r="Y29" s="3753"/>
      <c r="Z29" s="1352" t="str">
        <f t="shared" si="18"/>
        <v>临街状况</v>
      </c>
      <c r="AA29" s="1349">
        <f t="shared" si="15"/>
        <v>1</v>
      </c>
      <c r="AB29" s="1349">
        <f t="shared" si="16"/>
        <v>1</v>
      </c>
      <c r="AC29" s="1349">
        <f t="shared" si="17"/>
        <v>1</v>
      </c>
    </row>
    <row r="30" spans="1:29" ht="15">
      <c r="A30" s="376"/>
      <c r="B30" s="1129">
        <v>111</v>
      </c>
      <c r="C30" s="382"/>
      <c r="D30" s="383">
        <v>100</v>
      </c>
      <c r="E30" s="382"/>
      <c r="F30" s="383">
        <f>SUMIF(96:96,E30,97:97)-SUMIF(96:96,C30,97:97)+100</f>
        <v>100</v>
      </c>
      <c r="G30" s="1903"/>
      <c r="H30" s="383">
        <f>SUMIF(96:96,G30,97:97)-SUMIF(96:96,C30,97:97)+100</f>
        <v>100</v>
      </c>
      <c r="I30" s="382"/>
      <c r="J30" s="383">
        <f>SUMIF(96:96,I30,97:97)-SUMIF(96:96,C30,97:97)+100</f>
        <v>100</v>
      </c>
      <c r="K30" s="1889"/>
      <c r="L30" s="2714"/>
      <c r="M30" s="2708"/>
      <c r="N30" s="2708"/>
      <c r="O30" s="2708"/>
      <c r="P30" s="3811"/>
      <c r="Q30" s="1348">
        <f t="shared" si="11"/>
        <v>111</v>
      </c>
      <c r="R30" s="701" t="s">
        <v>18</v>
      </c>
      <c r="S30" s="702">
        <f t="shared" si="12"/>
        <v>100</v>
      </c>
      <c r="T30" s="701" t="s">
        <v>18</v>
      </c>
      <c r="U30" s="702">
        <f t="shared" si="13"/>
        <v>100</v>
      </c>
      <c r="V30" s="701" t="s">
        <v>18</v>
      </c>
      <c r="W30" s="702">
        <f t="shared" si="14"/>
        <v>100</v>
      </c>
      <c r="X30" s="1351"/>
      <c r="Y30" s="3753"/>
      <c r="Z30" s="1352">
        <f t="shared" si="18"/>
        <v>111</v>
      </c>
      <c r="AA30" s="1349">
        <f t="shared" si="15"/>
        <v>1</v>
      </c>
      <c r="AB30" s="1349">
        <f t="shared" si="16"/>
        <v>1</v>
      </c>
      <c r="AC30" s="1349">
        <f t="shared" si="17"/>
        <v>1</v>
      </c>
    </row>
    <row r="31" spans="1:29" ht="15.75" thickBot="1">
      <c r="A31" s="384"/>
      <c r="B31" s="1129">
        <v>111</v>
      </c>
      <c r="C31" s="385"/>
      <c r="D31" s="386">
        <v>100</v>
      </c>
      <c r="E31" s="385"/>
      <c r="F31" s="386">
        <f>SUMIF(98:98,E31,99:99)-SUMIF(98:98,C31,99:99)+100</f>
        <v>100</v>
      </c>
      <c r="G31" s="1904"/>
      <c r="H31" s="386">
        <f>SUMIF(98:98,G31,99:99)-SUMIF(98:98,C31,99:99)+100</f>
        <v>100</v>
      </c>
      <c r="I31" s="385"/>
      <c r="J31" s="386">
        <f>SUMIF(98:98,I31,99:99)-SUMIF(98:98,C31,99:99)+100</f>
        <v>100</v>
      </c>
      <c r="K31" s="1889"/>
      <c r="L31" s="2714"/>
      <c r="M31" s="2708"/>
      <c r="N31" s="2708"/>
      <c r="O31" s="2708"/>
      <c r="P31" s="3811"/>
      <c r="Q31" s="1348">
        <f t="shared" si="11"/>
        <v>111</v>
      </c>
      <c r="R31" s="701" t="s">
        <v>18</v>
      </c>
      <c r="S31" s="702">
        <f t="shared" si="12"/>
        <v>100</v>
      </c>
      <c r="T31" s="701" t="s">
        <v>18</v>
      </c>
      <c r="U31" s="702">
        <f t="shared" si="13"/>
        <v>100</v>
      </c>
      <c r="V31" s="701" t="s">
        <v>18</v>
      </c>
      <c r="W31" s="702">
        <f t="shared" si="14"/>
        <v>100</v>
      </c>
      <c r="X31" s="1351"/>
      <c r="Y31" s="3753"/>
      <c r="Z31" s="1352">
        <f t="shared" si="18"/>
        <v>111</v>
      </c>
      <c r="AA31" s="1349">
        <f t="shared" si="15"/>
        <v>1</v>
      </c>
      <c r="AB31" s="1349">
        <f t="shared" si="16"/>
        <v>1</v>
      </c>
      <c r="AC31" s="1349">
        <f t="shared" si="17"/>
        <v>1</v>
      </c>
    </row>
    <row r="32" spans="1:29" ht="15">
      <c r="A32" s="388" t="s">
        <v>1694</v>
      </c>
      <c r="B32" s="63" t="s">
        <v>1695</v>
      </c>
      <c r="C32" s="1905" t="s">
        <v>3557</v>
      </c>
      <c r="D32" s="415">
        <v>100</v>
      </c>
      <c r="E32" s="1905" t="s">
        <v>3557</v>
      </c>
      <c r="F32" s="409">
        <f>SUMIF(100:100,E32,101:101)-SUMIF(100:100,C32,101:101)+100</f>
        <v>100</v>
      </c>
      <c r="G32" s="1905" t="s">
        <v>3557</v>
      </c>
      <c r="H32" s="415">
        <f>SUMIF(100:100,G32,101:101)-SUMIF(100:100,C32,101:101)+100</f>
        <v>100</v>
      </c>
      <c r="I32" s="1905" t="s">
        <v>3557</v>
      </c>
      <c r="J32" s="383">
        <f>SUMIF(100:100,I32,101:101)-SUMIF(100:100,C32,101:101)+100</f>
        <v>100</v>
      </c>
      <c r="K32" s="374">
        <v>2</v>
      </c>
      <c r="L32" s="2714"/>
      <c r="M32" s="2708"/>
      <c r="N32" s="2708"/>
      <c r="O32" s="2708"/>
      <c r="P32" s="3806" t="s">
        <v>1696</v>
      </c>
      <c r="Q32" s="1348" t="str">
        <f t="shared" si="11"/>
        <v>建筑类型</v>
      </c>
      <c r="R32" s="701" t="s">
        <v>18</v>
      </c>
      <c r="S32" s="702">
        <f t="shared" si="12"/>
        <v>100</v>
      </c>
      <c r="T32" s="701" t="s">
        <v>18</v>
      </c>
      <c r="U32" s="702">
        <f t="shared" si="13"/>
        <v>100</v>
      </c>
      <c r="V32" s="701" t="s">
        <v>18</v>
      </c>
      <c r="W32" s="702">
        <f t="shared" si="14"/>
        <v>100</v>
      </c>
      <c r="X32" s="1351"/>
      <c r="Y32" s="3755" t="s">
        <v>1696</v>
      </c>
      <c r="Z32" s="1352" t="str">
        <f t="shared" si="18"/>
        <v>建筑类型</v>
      </c>
      <c r="AA32" s="1349">
        <f t="shared" si="15"/>
        <v>1</v>
      </c>
      <c r="AB32" s="1349">
        <f t="shared" si="16"/>
        <v>1</v>
      </c>
      <c r="AC32" s="1349">
        <f t="shared" si="17"/>
        <v>1</v>
      </c>
    </row>
    <row r="33" spans="1:29" s="419" customFormat="1" ht="15">
      <c r="A33" s="416"/>
      <c r="B33" s="372" t="s">
        <v>1697</v>
      </c>
      <c r="C33" s="417">
        <v>1</v>
      </c>
      <c r="D33" s="125">
        <v>100</v>
      </c>
      <c r="E33" s="378">
        <v>1</v>
      </c>
      <c r="F33" s="373">
        <f>LOOKUP(E33,103:103,104:104)-LOOKUP(C33,103:103,104:104)+100</f>
        <v>100</v>
      </c>
      <c r="G33" s="377">
        <v>1</v>
      </c>
      <c r="H33" s="125">
        <f>LOOKUP(G33,103:103,104:104)-LOOKUP(C33,103:103,104:104)+100</f>
        <v>100</v>
      </c>
      <c r="I33" s="378">
        <v>1</v>
      </c>
      <c r="J33" s="125">
        <f>LOOKUP(I33,103:103,104:104)-LOOKUP(C33,103:103,104:104)+100</f>
        <v>100</v>
      </c>
      <c r="K33" s="1889"/>
      <c r="L33" s="2713"/>
      <c r="M33" s="2715"/>
      <c r="N33" s="2715"/>
      <c r="O33" s="2715"/>
      <c r="P33" s="3807"/>
      <c r="Q33" s="703" t="str">
        <f t="shared" si="11"/>
        <v>项目建筑规模</v>
      </c>
      <c r="R33" s="704" t="s">
        <v>18</v>
      </c>
      <c r="S33" s="705">
        <f t="shared" si="12"/>
        <v>100</v>
      </c>
      <c r="T33" s="704" t="s">
        <v>18</v>
      </c>
      <c r="U33" s="705">
        <f t="shared" si="13"/>
        <v>100</v>
      </c>
      <c r="V33" s="704" t="s">
        <v>18</v>
      </c>
      <c r="W33" s="705">
        <f t="shared" si="14"/>
        <v>100</v>
      </c>
      <c r="X33" s="706"/>
      <c r="Y33" s="3755"/>
      <c r="Z33" s="707" t="str">
        <f t="shared" si="18"/>
        <v>项目建筑规模</v>
      </c>
      <c r="AA33" s="1349">
        <f t="shared" si="15"/>
        <v>1</v>
      </c>
      <c r="AB33" s="1349">
        <f t="shared" si="16"/>
        <v>1</v>
      </c>
      <c r="AC33" s="1349">
        <f t="shared" si="17"/>
        <v>1</v>
      </c>
    </row>
    <row r="34" spans="1:29" ht="15">
      <c r="A34" s="420"/>
      <c r="B34" s="372" t="s">
        <v>1698</v>
      </c>
      <c r="C34" s="1906" t="s">
        <v>3558</v>
      </c>
      <c r="D34" s="383">
        <v>100</v>
      </c>
      <c r="E34" s="1906" t="s">
        <v>3558</v>
      </c>
      <c r="F34" s="409">
        <f>SUMIF(105:105,E34,106:106)-SUMIF(105:105,C34,106:106)+100</f>
        <v>100</v>
      </c>
      <c r="G34" s="1906" t="s">
        <v>3558</v>
      </c>
      <c r="H34" s="383">
        <f>SUMIF(105:105,G34,106:106)-SUMIF(105:105,C34,106:106)+100</f>
        <v>100</v>
      </c>
      <c r="I34" s="1906" t="s">
        <v>3558</v>
      </c>
      <c r="J34" s="383">
        <f>SUMIF(105:105,I34,106:106)-SUMIF(105:105,C34,106:106)+100</f>
        <v>100</v>
      </c>
      <c r="K34" s="374">
        <v>2</v>
      </c>
      <c r="L34" s="2714"/>
      <c r="M34" s="2708"/>
      <c r="N34" s="2708"/>
      <c r="O34" s="2708"/>
      <c r="P34" s="3807"/>
      <c r="Q34" s="1348" t="str">
        <f t="shared" si="11"/>
        <v>建筑结构</v>
      </c>
      <c r="R34" s="701" t="s">
        <v>18</v>
      </c>
      <c r="S34" s="702">
        <f t="shared" si="12"/>
        <v>100</v>
      </c>
      <c r="T34" s="701" t="s">
        <v>18</v>
      </c>
      <c r="U34" s="702">
        <f t="shared" si="13"/>
        <v>100</v>
      </c>
      <c r="V34" s="701" t="s">
        <v>18</v>
      </c>
      <c r="W34" s="702">
        <f t="shared" si="14"/>
        <v>100</v>
      </c>
      <c r="X34" s="1351"/>
      <c r="Y34" s="3755"/>
      <c r="Z34" s="1352" t="str">
        <f t="shared" si="18"/>
        <v>建筑结构</v>
      </c>
      <c r="AA34" s="1349">
        <f t="shared" si="15"/>
        <v>1</v>
      </c>
      <c r="AB34" s="1349">
        <f t="shared" si="16"/>
        <v>1</v>
      </c>
      <c r="AC34" s="1349">
        <f t="shared" si="17"/>
        <v>1</v>
      </c>
    </row>
    <row r="35" spans="1:29" ht="15">
      <c r="A35" s="420"/>
      <c r="B35" s="372" t="s">
        <v>1699</v>
      </c>
      <c r="C35" s="1901"/>
      <c r="D35" s="383">
        <v>100</v>
      </c>
      <c r="E35" s="1902"/>
      <c r="F35" s="409">
        <f>SUMIF(107:107,E35,108:108)-SUMIF(107:107,C35,108:108)+100</f>
        <v>100</v>
      </c>
      <c r="G35" s="1901"/>
      <c r="H35" s="383">
        <f>SUMIF(107:107,G35,108:108)-SUMIF(107:107,C35,108:108)+100</f>
        <v>100</v>
      </c>
      <c r="I35" s="1902"/>
      <c r="J35" s="383">
        <f>SUMIF(107:107,I35,108:108)-SUMIF(107:107,C35,108:108)+100</f>
        <v>100</v>
      </c>
      <c r="K35" s="374"/>
      <c r="L35" s="2714"/>
      <c r="M35" s="2708"/>
      <c r="N35" s="2708"/>
      <c r="O35" s="2708"/>
      <c r="P35" s="3807"/>
      <c r="Q35" s="1348" t="str">
        <f t="shared" si="11"/>
        <v>建筑品质</v>
      </c>
      <c r="R35" s="701" t="s">
        <v>18</v>
      </c>
      <c r="S35" s="702">
        <f t="shared" si="12"/>
        <v>100</v>
      </c>
      <c r="T35" s="701" t="s">
        <v>18</v>
      </c>
      <c r="U35" s="702">
        <f t="shared" si="13"/>
        <v>100</v>
      </c>
      <c r="V35" s="701" t="s">
        <v>18</v>
      </c>
      <c r="W35" s="702">
        <f t="shared" si="14"/>
        <v>100</v>
      </c>
      <c r="X35" s="1351"/>
      <c r="Y35" s="3755"/>
      <c r="Z35" s="1352" t="str">
        <f t="shared" si="18"/>
        <v>建筑品质</v>
      </c>
      <c r="AA35" s="1349">
        <f t="shared" si="15"/>
        <v>1</v>
      </c>
      <c r="AB35" s="1349">
        <f t="shared" si="16"/>
        <v>1</v>
      </c>
      <c r="AC35" s="1349">
        <f t="shared" si="17"/>
        <v>1</v>
      </c>
    </row>
    <row r="36" spans="1:29" ht="15">
      <c r="A36" s="420"/>
      <c r="B36" s="372" t="s">
        <v>1700</v>
      </c>
      <c r="C36" s="1901"/>
      <c r="D36" s="383">
        <v>100</v>
      </c>
      <c r="E36" s="1902"/>
      <c r="F36" s="409">
        <f>SUMIF(109:109,E36,110:110)-SUMIF(109:109,C36,110:110)+100</f>
        <v>100</v>
      </c>
      <c r="G36" s="1901"/>
      <c r="H36" s="383">
        <f>SUMIF(109:109,G36,110:110)-SUMIF(109:109,C36,110:110)+100</f>
        <v>100</v>
      </c>
      <c r="I36" s="1902"/>
      <c r="J36" s="383">
        <f>SUMIF(109:109,I36,110:110)-SUMIF(109:109,C36,110:110)+100</f>
        <v>100</v>
      </c>
      <c r="K36" s="374"/>
      <c r="L36" s="2714"/>
      <c r="M36" s="2708"/>
      <c r="N36" s="2708"/>
      <c r="O36" s="2708"/>
      <c r="P36" s="3807"/>
      <c r="Q36" s="1348" t="str">
        <f t="shared" si="11"/>
        <v>公共部分装修</v>
      </c>
      <c r="R36" s="701" t="s">
        <v>18</v>
      </c>
      <c r="S36" s="702">
        <f t="shared" si="12"/>
        <v>100</v>
      </c>
      <c r="T36" s="701" t="s">
        <v>18</v>
      </c>
      <c r="U36" s="702">
        <f t="shared" si="13"/>
        <v>100</v>
      </c>
      <c r="V36" s="701" t="s">
        <v>18</v>
      </c>
      <c r="W36" s="702">
        <f t="shared" si="14"/>
        <v>100</v>
      </c>
      <c r="X36" s="1351"/>
      <c r="Y36" s="3755"/>
      <c r="Z36" s="1352" t="str">
        <f t="shared" si="18"/>
        <v>公共部分装修</v>
      </c>
      <c r="AA36" s="1349">
        <f t="shared" si="15"/>
        <v>1</v>
      </c>
      <c r="AB36" s="1349">
        <f t="shared" si="16"/>
        <v>1</v>
      </c>
      <c r="AC36" s="1349">
        <f t="shared" si="17"/>
        <v>1</v>
      </c>
    </row>
    <row r="37" spans="1:29" s="108" customFormat="1" ht="15">
      <c r="A37" s="421"/>
      <c r="B37" s="372" t="s">
        <v>1701</v>
      </c>
      <c r="C37" s="422">
        <v>1</v>
      </c>
      <c r="D37" s="125">
        <v>100</v>
      </c>
      <c r="E37" s="422">
        <v>1</v>
      </c>
      <c r="F37" s="373">
        <f>LOOKUP(E37,112:112,113:113)-LOOKUP(C37,112:112,113:113)+100</f>
        <v>100</v>
      </c>
      <c r="G37" s="424">
        <v>1</v>
      </c>
      <c r="H37" s="125">
        <f>LOOKUP(G37,112:112,113:113)-LOOKUP(C37,112:112,113:113)+100</f>
        <v>100</v>
      </c>
      <c r="I37" s="423">
        <v>1</v>
      </c>
      <c r="J37" s="125">
        <f>LOOKUP(I37,112:112,113:113)-LOOKUP(C37,112:112,113:113)+100</f>
        <v>100</v>
      </c>
      <c r="K37" s="374">
        <v>1</v>
      </c>
      <c r="L37" s="2709"/>
      <c r="M37" s="2710"/>
      <c r="N37" s="2710"/>
      <c r="O37" s="2710"/>
      <c r="P37" s="3807"/>
      <c r="Q37" s="1339" t="str">
        <f t="shared" si="11"/>
        <v>成新度</v>
      </c>
      <c r="R37" s="697" t="s">
        <v>18</v>
      </c>
      <c r="S37" s="698">
        <f t="shared" si="12"/>
        <v>100</v>
      </c>
      <c r="T37" s="697" t="s">
        <v>18</v>
      </c>
      <c r="U37" s="698">
        <f t="shared" si="13"/>
        <v>100</v>
      </c>
      <c r="V37" s="697" t="s">
        <v>18</v>
      </c>
      <c r="W37" s="698">
        <f t="shared" si="14"/>
        <v>100</v>
      </c>
      <c r="X37" s="699"/>
      <c r="Y37" s="3755"/>
      <c r="Z37" s="52" t="str">
        <f t="shared" si="18"/>
        <v>成新度</v>
      </c>
      <c r="AA37" s="700">
        <f t="shared" si="15"/>
        <v>1</v>
      </c>
      <c r="AB37" s="700">
        <f t="shared" si="16"/>
        <v>1</v>
      </c>
      <c r="AC37" s="700">
        <f t="shared" si="17"/>
        <v>1</v>
      </c>
    </row>
    <row r="38" spans="1:29" ht="15">
      <c r="A38" s="420"/>
      <c r="B38" s="372" t="s">
        <v>1702</v>
      </c>
      <c r="C38" s="1901" t="s">
        <v>3559</v>
      </c>
      <c r="D38" s="383">
        <v>100</v>
      </c>
      <c r="E38" s="1901" t="s">
        <v>3559</v>
      </c>
      <c r="F38" s="409">
        <f>SUMIF(114:114,E38,115:115)-SUMIF(114:114,C38,115:115)+100</f>
        <v>100</v>
      </c>
      <c r="G38" s="1901" t="s">
        <v>3559</v>
      </c>
      <c r="H38" s="383">
        <f>SUMIF(114:114,G38,115:115)-SUMIF(114:114,C38,115:115)+100</f>
        <v>100</v>
      </c>
      <c r="I38" s="1901" t="s">
        <v>3559</v>
      </c>
      <c r="J38" s="383">
        <f>SUMIF(114:114,I38,115:115)-SUMIF(114:114,C38,115:115)+100</f>
        <v>100</v>
      </c>
      <c r="K38" s="374">
        <v>2</v>
      </c>
      <c r="L38" s="2714"/>
      <c r="M38" s="2708"/>
      <c r="N38" s="2708"/>
      <c r="O38" s="2708"/>
      <c r="P38" s="3807" t="s">
        <v>1696</v>
      </c>
      <c r="Q38" s="1348" t="str">
        <f t="shared" si="11"/>
        <v>物业管理</v>
      </c>
      <c r="R38" s="701" t="s">
        <v>18</v>
      </c>
      <c r="S38" s="702">
        <f t="shared" si="12"/>
        <v>100</v>
      </c>
      <c r="T38" s="701" t="s">
        <v>18</v>
      </c>
      <c r="U38" s="702">
        <f t="shared" si="13"/>
        <v>100</v>
      </c>
      <c r="V38" s="701" t="s">
        <v>18</v>
      </c>
      <c r="W38" s="702">
        <f t="shared" si="14"/>
        <v>100</v>
      </c>
      <c r="X38" s="1351"/>
      <c r="Y38" s="3755" t="s">
        <v>1696</v>
      </c>
      <c r="Z38" s="1352" t="str">
        <f t="shared" si="18"/>
        <v>物业管理</v>
      </c>
      <c r="AA38" s="1349">
        <f t="shared" si="15"/>
        <v>1</v>
      </c>
      <c r="AB38" s="1349">
        <f t="shared" si="16"/>
        <v>1</v>
      </c>
      <c r="AC38" s="1349">
        <f t="shared" si="17"/>
        <v>1</v>
      </c>
    </row>
    <row r="39" spans="1:29" ht="15">
      <c r="A39" s="420"/>
      <c r="B39" s="372" t="s">
        <v>1703</v>
      </c>
      <c r="C39" s="1901"/>
      <c r="D39" s="383">
        <v>100</v>
      </c>
      <c r="E39" s="1902"/>
      <c r="F39" s="409">
        <f>SUMIF(116:116,E39,117:117)-SUMIF(116:116,C39,117:117)+100</f>
        <v>100</v>
      </c>
      <c r="G39" s="1901"/>
      <c r="H39" s="383">
        <f>SUMIF(116:116,G39,117:117)-SUMIF(116:116,C39,117:117)+100</f>
        <v>100</v>
      </c>
      <c r="I39" s="1902"/>
      <c r="J39" s="383">
        <f>SUMIF(116:116,I39,117:117)-SUMIF(116:116,C39,117:117)+100</f>
        <v>100</v>
      </c>
      <c r="K39" s="374"/>
      <c r="L39" s="2714"/>
      <c r="M39" s="2708"/>
      <c r="N39" s="2708"/>
      <c r="O39" s="2708"/>
      <c r="P39" s="3807"/>
      <c r="Q39" s="1348" t="str">
        <f t="shared" si="11"/>
        <v>市政基础设施</v>
      </c>
      <c r="R39" s="701" t="s">
        <v>18</v>
      </c>
      <c r="S39" s="702">
        <f t="shared" si="12"/>
        <v>100</v>
      </c>
      <c r="T39" s="701" t="s">
        <v>18</v>
      </c>
      <c r="U39" s="702">
        <f t="shared" si="13"/>
        <v>100</v>
      </c>
      <c r="V39" s="701" t="s">
        <v>18</v>
      </c>
      <c r="W39" s="702">
        <f t="shared" si="14"/>
        <v>100</v>
      </c>
      <c r="X39" s="1351"/>
      <c r="Y39" s="3755"/>
      <c r="Z39" s="1352" t="str">
        <f t="shared" si="18"/>
        <v>市政基础设施</v>
      </c>
      <c r="AA39" s="1349">
        <f t="shared" si="15"/>
        <v>1</v>
      </c>
      <c r="AB39" s="1349">
        <f t="shared" si="16"/>
        <v>1</v>
      </c>
      <c r="AC39" s="1349">
        <f t="shared" si="17"/>
        <v>1</v>
      </c>
    </row>
    <row r="40" spans="1:29" ht="15">
      <c r="A40" s="420"/>
      <c r="B40" s="372" t="s">
        <v>1704</v>
      </c>
      <c r="C40" s="1901" t="s">
        <v>3560</v>
      </c>
      <c r="D40" s="383">
        <v>100</v>
      </c>
      <c r="E40" s="1901" t="s">
        <v>3560</v>
      </c>
      <c r="F40" s="409">
        <f>SUMIF(118:118,E40,119:119)-SUMIF(118:118,C40,119:119)+100</f>
        <v>100</v>
      </c>
      <c r="G40" s="1901" t="s">
        <v>3560</v>
      </c>
      <c r="H40" s="383">
        <f>SUMIF(118:118,G40,119:119)-SUMIF(118:118,C40,119:119)+100</f>
        <v>100</v>
      </c>
      <c r="I40" s="1901" t="s">
        <v>3560</v>
      </c>
      <c r="J40" s="383">
        <f>SUMIF(118:118,I40,119:119)-SUMIF(118:118,C40,119:119)+100</f>
        <v>100</v>
      </c>
      <c r="K40" s="374"/>
      <c r="L40" s="2714"/>
      <c r="M40" s="2708"/>
      <c r="N40" s="2708"/>
      <c r="O40" s="2708"/>
      <c r="P40" s="3807"/>
      <c r="Q40" s="1348" t="str">
        <f t="shared" si="11"/>
        <v>房型</v>
      </c>
      <c r="R40" s="701" t="s">
        <v>18</v>
      </c>
      <c r="S40" s="702">
        <f t="shared" si="12"/>
        <v>100</v>
      </c>
      <c r="T40" s="701" t="s">
        <v>18</v>
      </c>
      <c r="U40" s="702">
        <f t="shared" si="13"/>
        <v>100</v>
      </c>
      <c r="V40" s="701" t="s">
        <v>18</v>
      </c>
      <c r="W40" s="702">
        <f t="shared" si="14"/>
        <v>100</v>
      </c>
      <c r="X40" s="1351"/>
      <c r="Y40" s="3755"/>
      <c r="Z40" s="1352" t="str">
        <f t="shared" si="18"/>
        <v>房型</v>
      </c>
      <c r="AA40" s="1349">
        <f t="shared" si="15"/>
        <v>1</v>
      </c>
      <c r="AB40" s="1349">
        <f t="shared" si="16"/>
        <v>1</v>
      </c>
      <c r="AC40" s="1349">
        <f t="shared" si="17"/>
        <v>1</v>
      </c>
    </row>
    <row r="41" spans="1:29" s="419" customFormat="1" ht="82.5">
      <c r="A41" s="416"/>
      <c r="B41" s="372" t="s">
        <v>1705</v>
      </c>
      <c r="C41" s="3503" t="s">
        <v>4301</v>
      </c>
      <c r="D41" s="125">
        <v>100</v>
      </c>
      <c r="E41" s="3523" t="s">
        <v>4302</v>
      </c>
      <c r="F41" s="3511">
        <v>100</v>
      </c>
      <c r="G41" s="3523" t="s">
        <v>4302</v>
      </c>
      <c r="H41" s="3512">
        <v>100</v>
      </c>
      <c r="I41" s="3510" t="s">
        <v>4263</v>
      </c>
      <c r="J41" s="3513">
        <v>95</v>
      </c>
      <c r="K41" s="1889"/>
      <c r="L41" s="2713"/>
      <c r="M41" s="2715"/>
      <c r="N41" s="2715"/>
      <c r="O41" s="2715"/>
      <c r="P41" s="3807"/>
      <c r="Q41" s="703" t="str">
        <f t="shared" si="11"/>
        <v>单套/主力户型建筑面积</v>
      </c>
      <c r="R41" s="704" t="s">
        <v>18</v>
      </c>
      <c r="S41" s="705">
        <f t="shared" si="12"/>
        <v>100</v>
      </c>
      <c r="T41" s="704" t="s">
        <v>18</v>
      </c>
      <c r="U41" s="705">
        <f t="shared" si="13"/>
        <v>100</v>
      </c>
      <c r="V41" s="704" t="s">
        <v>18</v>
      </c>
      <c r="W41" s="705">
        <f t="shared" si="14"/>
        <v>95</v>
      </c>
      <c r="X41" s="706"/>
      <c r="Y41" s="3755"/>
      <c r="Z41" s="707" t="str">
        <f t="shared" si="18"/>
        <v>单套/主力户型建筑面积</v>
      </c>
      <c r="AA41" s="1349">
        <f t="shared" si="15"/>
        <v>1</v>
      </c>
      <c r="AB41" s="1349">
        <f t="shared" si="16"/>
        <v>1</v>
      </c>
      <c r="AC41" s="1349">
        <f t="shared" si="17"/>
        <v>1.0526315789473684</v>
      </c>
    </row>
    <row r="42" spans="1:29" ht="15">
      <c r="A42" s="420"/>
      <c r="B42" s="372" t="s">
        <v>1706</v>
      </c>
      <c r="C42" s="1901" t="s">
        <v>3561</v>
      </c>
      <c r="D42" s="383">
        <v>100</v>
      </c>
      <c r="E42" s="1901" t="s">
        <v>3561</v>
      </c>
      <c r="F42" s="409">
        <f>SUMIF(122:122,E42,123:123)-SUMIF(122:122,C42,123:123)+100</f>
        <v>100</v>
      </c>
      <c r="G42" s="1901" t="s">
        <v>3561</v>
      </c>
      <c r="H42" s="383">
        <f>SUMIF(122:122,G42,123:123)-SUMIF(122:122,C42,123:123)+100</f>
        <v>100</v>
      </c>
      <c r="I42" s="1901" t="s">
        <v>3561</v>
      </c>
      <c r="J42" s="383">
        <f>SUMIF(122:122,I42,123:123)-SUMIF(122:122,C42,123:123)+100</f>
        <v>100</v>
      </c>
      <c r="K42" s="374"/>
      <c r="L42" s="2714"/>
      <c r="M42" s="2708"/>
      <c r="N42" s="2708"/>
      <c r="O42" s="2708"/>
      <c r="P42" s="3807"/>
      <c r="Q42" s="1348" t="str">
        <f t="shared" si="11"/>
        <v>内部装修</v>
      </c>
      <c r="R42" s="701" t="s">
        <v>18</v>
      </c>
      <c r="S42" s="702">
        <f t="shared" si="12"/>
        <v>100</v>
      </c>
      <c r="T42" s="701" t="s">
        <v>18</v>
      </c>
      <c r="U42" s="702">
        <f t="shared" si="13"/>
        <v>100</v>
      </c>
      <c r="V42" s="701" t="s">
        <v>18</v>
      </c>
      <c r="W42" s="702">
        <f t="shared" si="14"/>
        <v>100</v>
      </c>
      <c r="X42" s="1351"/>
      <c r="Y42" s="3755"/>
      <c r="Z42" s="1352" t="str">
        <f t="shared" si="18"/>
        <v>内部装修</v>
      </c>
      <c r="AA42" s="1349">
        <f t="shared" si="15"/>
        <v>1</v>
      </c>
      <c r="AB42" s="1349">
        <f t="shared" si="16"/>
        <v>1</v>
      </c>
      <c r="AC42" s="1349">
        <f t="shared" si="17"/>
        <v>1</v>
      </c>
    </row>
    <row r="43" spans="1:29" ht="15" hidden="1">
      <c r="A43" s="420"/>
      <c r="B43" s="372" t="s">
        <v>1707</v>
      </c>
      <c r="C43" s="1901"/>
      <c r="D43" s="383">
        <v>100</v>
      </c>
      <c r="E43" s="1902"/>
      <c r="F43" s="409">
        <f>SUMIF(124:124,E43,125:125)-SUMIF(124:124,C43,125:125)+100</f>
        <v>100</v>
      </c>
      <c r="G43" s="1901"/>
      <c r="H43" s="383">
        <f>SUMIF(124:124,G43,125:125)-SUMIF(124:124,C43,125:125)+100</f>
        <v>100</v>
      </c>
      <c r="I43" s="1902"/>
      <c r="J43" s="383">
        <f>SUMIF(124:124,I43,125:125)-SUMIF(124:124,C43,125:125)+100</f>
        <v>100</v>
      </c>
      <c r="K43" s="374"/>
      <c r="L43" s="2714"/>
      <c r="M43" s="2708"/>
      <c r="N43" s="2708"/>
      <c r="O43" s="2708"/>
      <c r="P43" s="3807"/>
      <c r="Q43" s="1348" t="str">
        <f t="shared" si="11"/>
        <v>内部装修维护情况</v>
      </c>
      <c r="R43" s="701" t="s">
        <v>18</v>
      </c>
      <c r="S43" s="702">
        <f t="shared" si="12"/>
        <v>100</v>
      </c>
      <c r="T43" s="701" t="s">
        <v>18</v>
      </c>
      <c r="U43" s="702">
        <f t="shared" si="13"/>
        <v>100</v>
      </c>
      <c r="V43" s="701" t="s">
        <v>18</v>
      </c>
      <c r="W43" s="702">
        <f t="shared" si="14"/>
        <v>100</v>
      </c>
      <c r="X43" s="1351"/>
      <c r="Y43" s="3755"/>
      <c r="Z43" s="1352" t="str">
        <f t="shared" si="18"/>
        <v>内部装修维护情况</v>
      </c>
      <c r="AA43" s="1349">
        <f t="shared" si="15"/>
        <v>1</v>
      </c>
      <c r="AB43" s="1349">
        <f t="shared" si="16"/>
        <v>1</v>
      </c>
      <c r="AC43" s="1349">
        <f t="shared" si="17"/>
        <v>1</v>
      </c>
    </row>
    <row r="44" spans="1:29" s="108" customFormat="1" ht="15">
      <c r="A44" s="421"/>
      <c r="B44" s="1129" t="s">
        <v>3563</v>
      </c>
      <c r="C44" s="417" t="s">
        <v>3564</v>
      </c>
      <c r="D44" s="125">
        <v>100</v>
      </c>
      <c r="E44" s="417" t="s">
        <v>3564</v>
      </c>
      <c r="F44" s="373">
        <f>SUMIF(126:126,E44,127:127)-SUMIF(126:126,C44,127:127)+100</f>
        <v>100</v>
      </c>
      <c r="G44" s="417" t="s">
        <v>3564</v>
      </c>
      <c r="H44" s="125">
        <f>SUMIF(126:126,G44,127:127)-SUMIF(126:126,C44,127:127)+100</f>
        <v>100</v>
      </c>
      <c r="I44" s="417" t="s">
        <v>3564</v>
      </c>
      <c r="J44" s="125">
        <f>SUMIF(126:126,I44,127:127)-SUMIF(126:126,C44,127:127)+100</f>
        <v>100</v>
      </c>
      <c r="K44" s="1889"/>
      <c r="L44" s="2709"/>
      <c r="M44" s="2710"/>
      <c r="N44" s="2710"/>
      <c r="O44" s="2710"/>
      <c r="P44" s="3807"/>
      <c r="Q44" s="1339" t="str">
        <f t="shared" si="11"/>
        <v>设施设备情况</v>
      </c>
      <c r="R44" s="697" t="s">
        <v>18</v>
      </c>
      <c r="S44" s="698">
        <f t="shared" si="12"/>
        <v>100</v>
      </c>
      <c r="T44" s="697" t="s">
        <v>18</v>
      </c>
      <c r="U44" s="698">
        <f t="shared" si="13"/>
        <v>100</v>
      </c>
      <c r="V44" s="697" t="s">
        <v>18</v>
      </c>
      <c r="W44" s="698">
        <f t="shared" si="14"/>
        <v>100</v>
      </c>
      <c r="X44" s="699"/>
      <c r="Y44" s="3755"/>
      <c r="Z44" s="52" t="str">
        <f t="shared" si="18"/>
        <v>设施设备情况</v>
      </c>
      <c r="AA44" s="700">
        <f t="shared" si="15"/>
        <v>1</v>
      </c>
      <c r="AB44" s="700">
        <f t="shared" si="16"/>
        <v>1</v>
      </c>
      <c r="AC44" s="700">
        <f t="shared" si="17"/>
        <v>1</v>
      </c>
    </row>
    <row r="45" spans="1:29" ht="15">
      <c r="A45" s="420"/>
      <c r="B45" s="1129">
        <v>111</v>
      </c>
      <c r="C45" s="382"/>
      <c r="D45" s="383">
        <v>100</v>
      </c>
      <c r="E45" s="382"/>
      <c r="F45" s="409">
        <f>SUMIF(128:128,E45,129:129)-SUMIF(128:128,C45,129:129)+100</f>
        <v>100</v>
      </c>
      <c r="G45" s="382"/>
      <c r="H45" s="383">
        <f>SUMIF(128:128,G45,129:129)-SUMIF(128:128,C45,129:129)+100</f>
        <v>100</v>
      </c>
      <c r="I45" s="382"/>
      <c r="J45" s="383">
        <f>SUMIF(128:128,I45,129:129)-SUMIF(128:128,C45,129:129)+100</f>
        <v>100</v>
      </c>
      <c r="K45" s="1889"/>
      <c r="L45" s="2714"/>
      <c r="M45" s="2708"/>
      <c r="N45" s="2708"/>
      <c r="O45" s="2708"/>
      <c r="P45" s="3807"/>
      <c r="Q45" s="1348">
        <f t="shared" si="11"/>
        <v>111</v>
      </c>
      <c r="R45" s="701" t="s">
        <v>18</v>
      </c>
      <c r="S45" s="702">
        <f t="shared" si="12"/>
        <v>100</v>
      </c>
      <c r="T45" s="701" t="s">
        <v>18</v>
      </c>
      <c r="U45" s="702">
        <f t="shared" si="13"/>
        <v>100</v>
      </c>
      <c r="V45" s="701" t="s">
        <v>18</v>
      </c>
      <c r="W45" s="702">
        <f t="shared" si="14"/>
        <v>100</v>
      </c>
      <c r="X45" s="1351"/>
      <c r="Y45" s="3755"/>
      <c r="Z45" s="1352">
        <f t="shared" si="18"/>
        <v>111</v>
      </c>
      <c r="AA45" s="1349">
        <f t="shared" si="15"/>
        <v>1</v>
      </c>
      <c r="AB45" s="1349">
        <f t="shared" si="16"/>
        <v>1</v>
      </c>
      <c r="AC45" s="1349">
        <f t="shared" si="17"/>
        <v>1</v>
      </c>
    </row>
    <row r="46" spans="1:29" ht="15.75" thickBot="1">
      <c r="A46" s="426"/>
      <c r="B46" s="1890">
        <v>111</v>
      </c>
      <c r="C46" s="385"/>
      <c r="D46" s="386">
        <v>100</v>
      </c>
      <c r="E46" s="385"/>
      <c r="F46" s="387">
        <f>SUMIF(130:130,E46,131:131)-SUMIF(130:130,C46,131:131)+100</f>
        <v>100</v>
      </c>
      <c r="G46" s="385"/>
      <c r="H46" s="386">
        <f>SUMIF(130:130,G46,131:131)-SUMIF(130:130,C46,131:131)+100</f>
        <v>100</v>
      </c>
      <c r="I46" s="385"/>
      <c r="J46" s="386">
        <f>SUMIF(130:130,I46,131:131)-SUMIF(130:130,C46,131:131)+100</f>
        <v>100</v>
      </c>
      <c r="K46" s="1889"/>
      <c r="L46" s="2714"/>
      <c r="M46" s="2708"/>
      <c r="N46" s="2708"/>
      <c r="O46" s="2708"/>
      <c r="P46" s="3808"/>
      <c r="Q46" s="1348">
        <f t="shared" si="11"/>
        <v>111</v>
      </c>
      <c r="R46" s="701" t="s">
        <v>17</v>
      </c>
      <c r="S46" s="702">
        <f t="shared" si="12"/>
        <v>100</v>
      </c>
      <c r="T46" s="701" t="s">
        <v>17</v>
      </c>
      <c r="U46" s="702">
        <f t="shared" si="13"/>
        <v>100</v>
      </c>
      <c r="V46" s="701" t="s">
        <v>17</v>
      </c>
      <c r="W46" s="702">
        <f t="shared" si="14"/>
        <v>100</v>
      </c>
      <c r="X46" s="1351"/>
      <c r="Y46" s="3809"/>
      <c r="Z46" s="1352">
        <f t="shared" si="18"/>
        <v>111</v>
      </c>
      <c r="AA46" s="1349">
        <f t="shared" si="15"/>
        <v>1</v>
      </c>
      <c r="AB46" s="1349">
        <f t="shared" si="16"/>
        <v>1</v>
      </c>
      <c r="AC46" s="1349">
        <f t="shared" si="17"/>
        <v>1</v>
      </c>
    </row>
    <row r="47" spans="1:29" ht="15">
      <c r="A47" s="427" t="s">
        <v>1708</v>
      </c>
      <c r="B47" s="428"/>
      <c r="C47" s="1150" t="s">
        <v>16</v>
      </c>
      <c r="D47" s="1151"/>
      <c r="E47" s="1152">
        <v>29000</v>
      </c>
      <c r="F47" s="1153"/>
      <c r="G47" s="1154">
        <v>29000</v>
      </c>
      <c r="H47" s="1155"/>
      <c r="I47" s="1152">
        <v>29000</v>
      </c>
      <c r="J47" s="1155"/>
      <c r="K47" s="1907"/>
      <c r="L47" s="2716"/>
      <c r="M47" s="2717"/>
      <c r="N47" s="2708"/>
      <c r="O47" s="2717"/>
      <c r="P47" s="3737" t="str">
        <f>A47</f>
        <v>成交单价（元/平方米）</v>
      </c>
      <c r="Q47" s="3737"/>
      <c r="R47" s="3805">
        <f>E47</f>
        <v>29000</v>
      </c>
      <c r="S47" s="3805"/>
      <c r="T47" s="3805">
        <f>G47</f>
        <v>29000</v>
      </c>
      <c r="U47" s="3805"/>
      <c r="V47" s="3805">
        <f>I47</f>
        <v>29000</v>
      </c>
      <c r="W47" s="3805"/>
      <c r="X47" s="686"/>
      <c r="Y47" s="708"/>
      <c r="Z47" s="686"/>
      <c r="AA47" s="686"/>
      <c r="AB47" s="686"/>
      <c r="AC47" s="686"/>
    </row>
    <row r="48" spans="1:29" ht="15.75" thickBot="1">
      <c r="A48" s="434" t="s">
        <v>1709</v>
      </c>
      <c r="B48" s="435"/>
      <c r="C48" s="1156">
        <f>R49</f>
        <v>31067</v>
      </c>
      <c r="D48" s="2310" t="s">
        <v>2138</v>
      </c>
      <c r="E48" s="1157">
        <f>R48</f>
        <v>29807</v>
      </c>
      <c r="F48" s="2311"/>
      <c r="G48" s="3519">
        <f>E48</f>
        <v>29807</v>
      </c>
      <c r="H48" s="2311"/>
      <c r="I48" s="1157">
        <f>V48</f>
        <v>33586</v>
      </c>
      <c r="J48" s="2311"/>
      <c r="K48" s="2312">
        <f>F48+H48+J48</f>
        <v>0</v>
      </c>
      <c r="L48" s="2716"/>
      <c r="M48" s="2717"/>
      <c r="N48" s="2717"/>
      <c r="O48" s="2717"/>
      <c r="P48" s="3737" t="str">
        <f>A48</f>
        <v>比较价值（元/平方米）</v>
      </c>
      <c r="Q48" s="3737"/>
      <c r="R48" s="3805">
        <f>IF(F1="售价",ROUND(PRODUCT(R47,AA7:AA46),0),ROUND(PRODUCT(R47,AA7:AA46),1))</f>
        <v>29807</v>
      </c>
      <c r="S48" s="3805"/>
      <c r="T48" s="3805">
        <f>R48</f>
        <v>29807</v>
      </c>
      <c r="U48" s="3805"/>
      <c r="V48" s="3805">
        <f>IF(F1="售价",ROUND(PRODUCT(V47,AC7:AC46),0),ROUND(PRODUCT(V47,AC7:AC46),1))</f>
        <v>33586</v>
      </c>
      <c r="W48" s="3805"/>
      <c r="X48" s="686"/>
      <c r="Y48" s="686"/>
      <c r="Z48" s="686"/>
      <c r="AA48" s="686"/>
      <c r="AB48" s="686"/>
      <c r="AC48" s="686"/>
    </row>
    <row r="49" spans="1:29" ht="15.75" thickBot="1">
      <c r="A49" s="438" t="s">
        <v>1710</v>
      </c>
      <c r="B49" s="439"/>
      <c r="C49" s="1158">
        <f>R49</f>
        <v>31067</v>
      </c>
      <c r="D49" s="1159"/>
      <c r="E49" s="1159"/>
      <c r="F49" s="1159"/>
      <c r="G49" s="1159"/>
      <c r="H49" s="1159"/>
      <c r="I49" s="1159"/>
      <c r="J49" s="1159"/>
      <c r="K49" s="1908"/>
      <c r="L49" s="2716"/>
      <c r="M49" s="2717"/>
      <c r="N49" s="2717"/>
      <c r="O49" s="2717"/>
      <c r="P49" s="3757" t="str">
        <f>A49</f>
        <v>估价对象XX用房的比较价值（楼面单价，元/平方米）</v>
      </c>
      <c r="Q49" s="3758"/>
      <c r="R49" s="3804">
        <f>IF(F1="售价",ROUND(IF(D48="简单平均",AVERAGE(R48:V48),R48*F48+T48*H48+V48*J48),0),ROUND(IF(D48="简单平均",AVERAGE(R48:V48),R48*F48+T48*H48+V48*J48),1))</f>
        <v>31067</v>
      </c>
      <c r="S49" s="3804"/>
      <c r="T49" s="3804"/>
      <c r="U49" s="3804"/>
      <c r="V49" s="3804"/>
      <c r="W49" s="3804"/>
      <c r="X49" s="686"/>
      <c r="Y49" s="686"/>
      <c r="Z49" s="686"/>
      <c r="AA49" s="686"/>
      <c r="AB49" s="686"/>
      <c r="AC49" s="686"/>
    </row>
    <row r="50" spans="1:29">
      <c r="A50" s="2717"/>
      <c r="B50" s="2717"/>
      <c r="C50" s="2717"/>
      <c r="D50" s="2717"/>
      <c r="E50" s="2717">
        <f>E48/E47</f>
        <v>1.0278275862068966</v>
      </c>
      <c r="F50" s="2717"/>
      <c r="G50" s="2717">
        <f>G48/G47</f>
        <v>1.0278275862068966</v>
      </c>
      <c r="H50" s="2717"/>
      <c r="I50" s="2717">
        <f>I48/I47</f>
        <v>1.1581379310344828</v>
      </c>
      <c r="J50" s="2717"/>
      <c r="K50" s="2722"/>
      <c r="L50" s="2718"/>
      <c r="M50" s="2717"/>
      <c r="N50" s="2717"/>
      <c r="O50" s="2717"/>
    </row>
    <row r="51" spans="1:29">
      <c r="A51" s="2717"/>
      <c r="B51" s="2717"/>
      <c r="C51" s="2717"/>
      <c r="D51" s="2717"/>
      <c r="E51" s="2717"/>
      <c r="F51" s="2717"/>
      <c r="G51" s="2717"/>
      <c r="H51" s="2717"/>
      <c r="I51" s="2717"/>
      <c r="J51" s="2717"/>
      <c r="K51" s="2722"/>
      <c r="L51" s="2718"/>
      <c r="M51" s="2717"/>
      <c r="N51" s="2717"/>
      <c r="O51" s="2717"/>
    </row>
    <row r="52" spans="1:29" ht="13.5" customHeight="1">
      <c r="A52" s="2717"/>
      <c r="B52" s="2717"/>
      <c r="C52" s="443" t="s">
        <v>1711</v>
      </c>
      <c r="D52" s="444"/>
      <c r="E52" s="445">
        <f>IF(E47&lt;E48,E48/E47-1,E47/E48-1)</f>
        <v>2.7827586206896626E-2</v>
      </c>
      <c r="F52" s="446" t="str">
        <f>IF(OR(E52&gt;=0.3,E52&lt;=-0.3),"超过30%","")</f>
        <v/>
      </c>
      <c r="G52" s="445">
        <f>IF(G47&lt;G48,G48/G47-1,G47/G48-1)</f>
        <v>2.7827586206896626E-2</v>
      </c>
      <c r="H52" s="446" t="str">
        <f>IF(OR(G52&gt;=0.3,G52&lt;=-0.3),"超过30%","")</f>
        <v/>
      </c>
      <c r="I52" s="445">
        <f>IF(I47&lt;I48,I48/I47-1,I47/I48-1)</f>
        <v>0.15813793103448281</v>
      </c>
      <c r="J52" s="446" t="str">
        <f>IF(OR(I52&gt;=0.3,I52&lt;=-0.3),"超过30%","")</f>
        <v/>
      </c>
      <c r="K52" s="2722"/>
      <c r="L52" s="2718"/>
      <c r="M52" s="2717"/>
      <c r="N52" s="2717"/>
      <c r="O52" s="2717"/>
    </row>
    <row r="53" spans="1:29" ht="13.5" customHeight="1">
      <c r="A53" s="2717"/>
      <c r="B53" s="2717"/>
      <c r="C53" s="443" t="s">
        <v>1712</v>
      </c>
      <c r="D53" s="447"/>
      <c r="E53" s="445">
        <f>IF(E48&lt;G48,G48/E48-1,E48/G48-1)</f>
        <v>0</v>
      </c>
      <c r="F53" s="446" t="str">
        <f>IF(OR(E53&gt;=0.2,E53&lt;=-0.2),"超过20%","")</f>
        <v/>
      </c>
      <c r="G53" s="445">
        <f>IF(G48&lt;I48,I48/G48-1,G48/I48-1)</f>
        <v>0.12678229945985842</v>
      </c>
      <c r="H53" s="446" t="str">
        <f>IF(OR(G53&gt;=0.2,G53&lt;=-0.2),"超过20%","")</f>
        <v/>
      </c>
      <c r="I53" s="445">
        <f>IF(I48&lt;E48,E48/I48-1,I48/E48-1)</f>
        <v>0.12678229945985842</v>
      </c>
      <c r="J53" s="446" t="str">
        <f>IF(OR(I53&gt;=0.2,I53&lt;=-0.2),"超过20%","")</f>
        <v/>
      </c>
      <c r="K53" s="2722"/>
      <c r="L53" s="2718"/>
      <c r="M53" s="2717"/>
      <c r="N53" s="2717"/>
      <c r="O53" s="2717"/>
    </row>
    <row r="54" spans="1:29" s="448" customFormat="1" ht="13.5" customHeight="1">
      <c r="A54" s="2720"/>
      <c r="B54" s="2720"/>
      <c r="C54" s="443" t="s">
        <v>1713</v>
      </c>
      <c r="D54" s="447"/>
      <c r="E54" s="445">
        <f>IF(E47&lt;G47,G47/E47-1,E47/G47-1)</f>
        <v>0</v>
      </c>
      <c r="F54" s="446" t="str">
        <f>IF(OR(E54&gt;=0.3,E54&lt;=-0.3),"超过30%","")</f>
        <v/>
      </c>
      <c r="G54" s="445">
        <f>IF(G47&lt;I47,I47/G47-1,G47/I47-1)</f>
        <v>0</v>
      </c>
      <c r="H54" s="446" t="str">
        <f>IF(OR(G54&gt;=0.3,G54&lt;=-0.3),"超过30%","")</f>
        <v/>
      </c>
      <c r="I54" s="445">
        <f>IF(I47&lt;E47,E47/I47-1,I47/E47-1)</f>
        <v>0</v>
      </c>
      <c r="J54" s="446" t="str">
        <f>IF(OR(I54&gt;=0.3,I54&lt;=-0.3),"超过30%","")</f>
        <v/>
      </c>
      <c r="K54" s="2725"/>
      <c r="L54" s="2719"/>
      <c r="M54" s="2720"/>
      <c r="N54" s="2720"/>
      <c r="O54" s="2720"/>
      <c r="P54" s="1910"/>
    </row>
    <row r="55" spans="1:29" s="448" customFormat="1">
      <c r="A55" s="2720"/>
      <c r="B55" s="2723"/>
      <c r="C55" s="2724"/>
      <c r="D55" s="2720"/>
      <c r="E55" s="2720"/>
      <c r="F55" s="2720"/>
      <c r="G55" s="2720"/>
      <c r="H55" s="2720"/>
      <c r="I55" s="2720"/>
      <c r="J55" s="2720"/>
      <c r="K55" s="2725"/>
      <c r="L55" s="2719"/>
      <c r="M55" s="2720"/>
      <c r="N55" s="2720"/>
      <c r="O55" s="2720"/>
      <c r="P55" s="1910"/>
    </row>
    <row r="56" spans="1:29">
      <c r="A56" s="2717"/>
      <c r="B56" s="2723"/>
      <c r="C56" s="2724"/>
      <c r="D56" s="2717"/>
      <c r="E56" s="2717"/>
      <c r="F56" s="2717"/>
      <c r="G56" s="2717"/>
      <c r="H56" s="2717"/>
      <c r="I56" s="2717"/>
      <c r="J56" s="2717"/>
      <c r="K56" s="2722"/>
      <c r="L56" s="2718"/>
      <c r="M56" s="2717"/>
      <c r="N56" s="2717"/>
      <c r="O56" s="2717"/>
    </row>
    <row r="57" spans="1:29" ht="21.75" thickBot="1">
      <c r="A57" s="690" t="s">
        <v>1714</v>
      </c>
      <c r="B57" s="686"/>
      <c r="C57" s="691"/>
      <c r="D57" s="691"/>
      <c r="E57" s="691"/>
      <c r="F57" s="692"/>
      <c r="G57" s="692"/>
      <c r="H57" s="691"/>
      <c r="I57" s="691"/>
      <c r="J57" s="691"/>
      <c r="K57" s="937"/>
      <c r="L57" s="938"/>
      <c r="M57" s="936"/>
      <c r="N57" s="936"/>
      <c r="O57" s="936"/>
      <c r="P57" s="1911"/>
      <c r="Q57" s="450"/>
    </row>
    <row r="58" spans="1:29" s="454" customFormat="1" ht="15">
      <c r="A58" s="451" t="s">
        <v>1715</v>
      </c>
      <c r="B58" s="452"/>
      <c r="C58" s="1182" t="str">
        <f>YEAR(C7)&amp;"-"&amp;MONTH(C7)</f>
        <v>2023-7</v>
      </c>
      <c r="D58" s="1181">
        <f>EDATE(C58,-1)</f>
        <v>45078</v>
      </c>
      <c r="E58" s="1181">
        <f>EDATE(D58,-1)</f>
        <v>45047</v>
      </c>
      <c r="F58" s="1181">
        <f t="shared" ref="F58:O58" si="19">EDATE(E58,-1)</f>
        <v>45017</v>
      </c>
      <c r="G58" s="1181">
        <f t="shared" si="19"/>
        <v>44986</v>
      </c>
      <c r="H58" s="1181">
        <f t="shared" si="19"/>
        <v>44958</v>
      </c>
      <c r="I58" s="1181">
        <f t="shared" si="19"/>
        <v>44927</v>
      </c>
      <c r="J58" s="1181">
        <f t="shared" si="19"/>
        <v>44896</v>
      </c>
      <c r="K58" s="1181">
        <f t="shared" si="19"/>
        <v>44866</v>
      </c>
      <c r="L58" s="1181">
        <f t="shared" si="19"/>
        <v>44835</v>
      </c>
      <c r="M58" s="1181">
        <f t="shared" si="19"/>
        <v>44805</v>
      </c>
      <c r="N58" s="1181">
        <f t="shared" si="19"/>
        <v>44774</v>
      </c>
      <c r="O58" s="1181">
        <f t="shared" si="19"/>
        <v>44743</v>
      </c>
      <c r="P58" s="1177"/>
    </row>
    <row r="59" spans="1:29" s="108" customFormat="1" ht="15">
      <c r="A59" s="455"/>
      <c r="B59" s="1912"/>
      <c r="C59" s="1179">
        <v>100</v>
      </c>
      <c r="D59" s="457">
        <v>100</v>
      </c>
      <c r="E59" s="458"/>
      <c r="F59" s="458"/>
      <c r="G59" s="458"/>
      <c r="H59" s="458"/>
      <c r="I59" s="458"/>
      <c r="J59" s="458"/>
      <c r="K59" s="458"/>
      <c r="L59" s="458"/>
      <c r="M59" s="458"/>
      <c r="N59" s="458"/>
      <c r="O59" s="458"/>
      <c r="P59" s="1913"/>
    </row>
    <row r="60" spans="1:29" s="108" customFormat="1" ht="15.75" thickBot="1">
      <c r="A60" s="461" t="s">
        <v>1716</v>
      </c>
      <c r="B60" s="462"/>
      <c r="C60" s="463"/>
      <c r="D60" s="464"/>
      <c r="E60" s="464"/>
      <c r="F60" s="464"/>
      <c r="G60" s="464"/>
      <c r="H60" s="464"/>
      <c r="I60" s="464"/>
      <c r="J60" s="464"/>
      <c r="K60" s="464"/>
      <c r="L60" s="464"/>
      <c r="M60" s="465"/>
      <c r="N60" s="464"/>
      <c r="O60" s="465"/>
      <c r="P60" s="1913"/>
      <c r="Q60" s="450"/>
    </row>
    <row r="61" spans="1:29" s="108" customFormat="1" ht="15">
      <c r="A61" s="467" t="s">
        <v>1717</v>
      </c>
      <c r="B61" s="456"/>
      <c r="C61" s="468" t="s">
        <v>1718</v>
      </c>
      <c r="D61" s="469"/>
      <c r="E61" s="469"/>
      <c r="F61" s="469"/>
      <c r="G61" s="469"/>
      <c r="H61" s="469"/>
      <c r="I61" s="469"/>
      <c r="J61" s="469"/>
      <c r="K61" s="469"/>
      <c r="L61" s="470"/>
      <c r="M61" s="471"/>
      <c r="N61" s="928"/>
      <c r="O61" s="928"/>
      <c r="P61" s="1914"/>
      <c r="Q61" s="450"/>
    </row>
    <row r="62" spans="1:29" s="108" customFormat="1" ht="15.75" thickBot="1">
      <c r="A62" s="467"/>
      <c r="B62" s="456"/>
      <c r="C62" s="457">
        <v>100</v>
      </c>
      <c r="D62" s="458"/>
      <c r="E62" s="458"/>
      <c r="F62" s="458"/>
      <c r="G62" s="458"/>
      <c r="H62" s="458"/>
      <c r="I62" s="458"/>
      <c r="J62" s="458"/>
      <c r="K62" s="458"/>
      <c r="L62" s="458"/>
      <c r="M62" s="460"/>
      <c r="N62" s="928"/>
      <c r="O62" s="928"/>
      <c r="P62" s="1913"/>
      <c r="Q62" s="450"/>
    </row>
    <row r="63" spans="1:29">
      <c r="A63" s="473" t="s">
        <v>1719</v>
      </c>
      <c r="B63" s="474" t="s">
        <v>1685</v>
      </c>
      <c r="C63" s="475" t="str">
        <f>C9</f>
        <v>住宅</v>
      </c>
      <c r="D63" s="476"/>
      <c r="E63" s="476"/>
      <c r="F63" s="476"/>
      <c r="G63" s="476"/>
      <c r="H63" s="476"/>
      <c r="I63" s="476"/>
      <c r="J63" s="476"/>
      <c r="K63" s="477"/>
      <c r="L63" s="478"/>
      <c r="M63" s="479"/>
      <c r="N63" s="929"/>
      <c r="O63" s="929"/>
      <c r="P63" s="1915"/>
      <c r="Q63" s="450"/>
    </row>
    <row r="64" spans="1:29" ht="15.75" thickBot="1">
      <c r="A64" s="480"/>
      <c r="B64" s="481"/>
      <c r="C64" s="482">
        <v>100</v>
      </c>
      <c r="D64" s="482"/>
      <c r="E64" s="482"/>
      <c r="F64" s="482"/>
      <c r="G64" s="482"/>
      <c r="H64" s="482"/>
      <c r="I64" s="482"/>
      <c r="J64" s="482"/>
      <c r="K64" s="482"/>
      <c r="L64" s="482"/>
      <c r="M64" s="483"/>
      <c r="N64" s="930"/>
      <c r="O64" s="930"/>
      <c r="P64" s="1915"/>
      <c r="Q64" s="450"/>
    </row>
    <row r="65" spans="1:17" ht="27.75" thickTop="1">
      <c r="A65" s="480"/>
      <c r="B65" s="484" t="s">
        <v>1688</v>
      </c>
      <c r="C65" s="529" t="s">
        <v>3541</v>
      </c>
      <c r="D65" s="529"/>
      <c r="E65" s="529"/>
      <c r="F65" s="529"/>
      <c r="G65" s="529"/>
      <c r="H65" s="529"/>
      <c r="I65" s="529"/>
      <c r="J65" s="529"/>
      <c r="K65" s="529"/>
      <c r="L65" s="529"/>
      <c r="M65" s="529"/>
      <c r="N65" s="930"/>
      <c r="O65" s="930"/>
      <c r="P65" s="1915"/>
      <c r="Q65" s="450"/>
    </row>
    <row r="66" spans="1:17" ht="15.75" thickBot="1">
      <c r="A66" s="480"/>
      <c r="B66" s="489"/>
      <c r="C66" s="482">
        <v>100</v>
      </c>
      <c r="D66" s="482"/>
      <c r="E66" s="482"/>
      <c r="F66" s="482"/>
      <c r="G66" s="482"/>
      <c r="H66" s="482"/>
      <c r="I66" s="482"/>
      <c r="J66" s="482"/>
      <c r="K66" s="482"/>
      <c r="L66" s="482"/>
      <c r="M66" s="483"/>
      <c r="N66" s="930"/>
      <c r="O66" s="930"/>
      <c r="P66" s="1915"/>
      <c r="Q66" s="450"/>
    </row>
    <row r="67" spans="1:17" ht="15.75" thickTop="1">
      <c r="A67" s="480"/>
      <c r="B67" s="492" t="s">
        <v>1689</v>
      </c>
      <c r="C67" s="493" t="str">
        <f>C68&amp;"（含）"&amp;"-"&amp;D68</f>
        <v>2.2（含）-2.3</v>
      </c>
      <c r="D67" s="493" t="str">
        <f t="shared" ref="D67:L67" si="20">D68&amp;"（含）"&amp;"-"&amp;E68</f>
        <v>2.3（含）-2.4</v>
      </c>
      <c r="E67" s="493" t="str">
        <f t="shared" si="20"/>
        <v>2.4（含）-2.5</v>
      </c>
      <c r="F67" s="493" t="str">
        <f t="shared" si="20"/>
        <v>2.5（含）-2.6</v>
      </c>
      <c r="G67" s="493" t="str">
        <f t="shared" si="20"/>
        <v>2.6（含）-2.7</v>
      </c>
      <c r="H67" s="493" t="str">
        <f t="shared" si="20"/>
        <v>2.7（含）-</v>
      </c>
      <c r="I67" s="493" t="str">
        <f t="shared" si="20"/>
        <v>（含）-</v>
      </c>
      <c r="J67" s="493" t="str">
        <f t="shared" si="20"/>
        <v>（含）-</v>
      </c>
      <c r="K67" s="493" t="str">
        <f>K68&amp;"（含）"&amp;"-"&amp;L68</f>
        <v>（含）-</v>
      </c>
      <c r="L67" s="493" t="str">
        <f t="shared" si="20"/>
        <v>（含）-</v>
      </c>
      <c r="M67" s="396" t="str">
        <f>M68&amp;"（含）"&amp;"-"&amp;P68</f>
        <v>（含）-</v>
      </c>
      <c r="N67" s="930"/>
      <c r="O67" s="930"/>
      <c r="P67" s="1915"/>
      <c r="Q67" s="450"/>
    </row>
    <row r="68" spans="1:17" ht="15">
      <c r="A68" s="480"/>
      <c r="B68" s="494"/>
      <c r="C68" s="495">
        <v>2.2000000000000002</v>
      </c>
      <c r="D68" s="495">
        <v>2.2999999999999998</v>
      </c>
      <c r="E68" s="495">
        <v>2.4</v>
      </c>
      <c r="F68" s="495">
        <v>2.5</v>
      </c>
      <c r="G68" s="495">
        <v>2.6</v>
      </c>
      <c r="H68" s="495">
        <v>2.7</v>
      </c>
      <c r="I68" s="495"/>
      <c r="J68" s="495"/>
      <c r="K68" s="496"/>
      <c r="L68" s="497"/>
      <c r="M68" s="498"/>
      <c r="N68" s="929"/>
      <c r="O68" s="929"/>
      <c r="P68" s="1915"/>
      <c r="Q68" s="450"/>
    </row>
    <row r="69" spans="1:17" ht="15.75" thickBot="1">
      <c r="A69" s="480"/>
      <c r="B69" s="481"/>
      <c r="C69" s="490">
        <v>100</v>
      </c>
      <c r="D69" s="490">
        <f t="shared" ref="D69:M69" si="21">C69-$K11</f>
        <v>99.9</v>
      </c>
      <c r="E69" s="490">
        <f t="shared" si="21"/>
        <v>99.800000000000011</v>
      </c>
      <c r="F69" s="490">
        <f t="shared" si="21"/>
        <v>99.700000000000017</v>
      </c>
      <c r="G69" s="490">
        <f t="shared" si="21"/>
        <v>99.600000000000023</v>
      </c>
      <c r="H69" s="490">
        <f t="shared" si="21"/>
        <v>99.500000000000028</v>
      </c>
      <c r="I69" s="490">
        <f t="shared" si="21"/>
        <v>99.400000000000034</v>
      </c>
      <c r="J69" s="490">
        <f t="shared" si="21"/>
        <v>99.30000000000004</v>
      </c>
      <c r="K69" s="490">
        <f t="shared" si="21"/>
        <v>99.200000000000045</v>
      </c>
      <c r="L69" s="490">
        <f t="shared" si="21"/>
        <v>99.100000000000051</v>
      </c>
      <c r="M69" s="491">
        <f t="shared" si="21"/>
        <v>99.000000000000057</v>
      </c>
      <c r="N69" s="930"/>
      <c r="O69" s="930"/>
      <c r="P69" s="1915"/>
      <c r="Q69" s="450"/>
    </row>
    <row r="70" spans="1:17" s="419" customFormat="1" ht="15.75" thickTop="1">
      <c r="A70" s="499"/>
      <c r="B70" s="484" t="str">
        <f>B12</f>
        <v>产权性质</v>
      </c>
      <c r="C70" s="3474" t="s">
        <v>3542</v>
      </c>
      <c r="D70" s="500"/>
      <c r="E70" s="500"/>
      <c r="F70" s="500"/>
      <c r="G70" s="500"/>
      <c r="H70" s="501"/>
      <c r="I70" s="501"/>
      <c r="J70" s="501"/>
      <c r="K70" s="501"/>
      <c r="L70" s="502"/>
      <c r="M70" s="503"/>
      <c r="N70" s="931"/>
      <c r="O70" s="931"/>
      <c r="P70" s="1916"/>
      <c r="Q70" s="505"/>
    </row>
    <row r="71" spans="1:17" s="419" customFormat="1" ht="15.75" thickBot="1">
      <c r="A71" s="499"/>
      <c r="B71" s="489"/>
      <c r="C71" s="506">
        <v>100</v>
      </c>
      <c r="D71" s="482"/>
      <c r="E71" s="482"/>
      <c r="F71" s="482"/>
      <c r="G71" s="482"/>
      <c r="H71" s="482"/>
      <c r="I71" s="482"/>
      <c r="J71" s="482"/>
      <c r="K71" s="482"/>
      <c r="L71" s="482"/>
      <c r="M71" s="483"/>
      <c r="N71" s="930"/>
      <c r="O71" s="930"/>
      <c r="P71" s="1916"/>
      <c r="Q71" s="505"/>
    </row>
    <row r="72" spans="1:17" s="419" customFormat="1" ht="15.75" thickTop="1">
      <c r="A72" s="499"/>
      <c r="B72" s="484">
        <f>B13</f>
        <v>111</v>
      </c>
      <c r="C72" s="500"/>
      <c r="D72" s="500"/>
      <c r="E72" s="500"/>
      <c r="F72" s="500"/>
      <c r="G72" s="500"/>
      <c r="H72" s="501"/>
      <c r="I72" s="501"/>
      <c r="J72" s="501"/>
      <c r="K72" s="501"/>
      <c r="L72" s="502"/>
      <c r="M72" s="503"/>
      <c r="N72" s="931"/>
      <c r="O72" s="931"/>
      <c r="P72" s="1917"/>
      <c r="Q72" s="507"/>
    </row>
    <row r="73" spans="1:17" s="419" customFormat="1" ht="15.75" thickBot="1">
      <c r="A73" s="499"/>
      <c r="B73" s="489"/>
      <c r="C73" s="506"/>
      <c r="D73" s="506"/>
      <c r="E73" s="506"/>
      <c r="F73" s="506"/>
      <c r="G73" s="506"/>
      <c r="H73" s="508"/>
      <c r="I73" s="508"/>
      <c r="J73" s="508"/>
      <c r="K73" s="508"/>
      <c r="L73" s="508"/>
      <c r="M73" s="509"/>
      <c r="N73" s="931"/>
      <c r="O73" s="931"/>
      <c r="P73" s="1916"/>
      <c r="Q73" s="505"/>
    </row>
    <row r="74" spans="1:17" s="419" customFormat="1" ht="15.75" thickTop="1">
      <c r="A74" s="499"/>
      <c r="B74" s="492">
        <f>B14</f>
        <v>111</v>
      </c>
      <c r="C74" s="500"/>
      <c r="D74" s="500"/>
      <c r="E74" s="500"/>
      <c r="F74" s="500"/>
      <c r="G74" s="469"/>
      <c r="H74" s="510"/>
      <c r="I74" s="510"/>
      <c r="J74" s="510"/>
      <c r="K74" s="510"/>
      <c r="L74" s="511"/>
      <c r="M74" s="512"/>
      <c r="N74" s="931"/>
      <c r="O74" s="931"/>
      <c r="P74" s="1918"/>
      <c r="Q74" s="505"/>
    </row>
    <row r="75" spans="1:17" s="419" customFormat="1" ht="15.75" thickBot="1">
      <c r="A75" s="514"/>
      <c r="B75" s="515"/>
      <c r="C75" s="516"/>
      <c r="D75" s="516"/>
      <c r="E75" s="516"/>
      <c r="F75" s="516"/>
      <c r="G75" s="516"/>
      <c r="H75" s="517"/>
      <c r="I75" s="517"/>
      <c r="J75" s="517"/>
      <c r="K75" s="517"/>
      <c r="L75" s="517"/>
      <c r="M75" s="518"/>
      <c r="N75" s="931"/>
      <c r="O75" s="931"/>
      <c r="P75" s="1916"/>
      <c r="Q75" s="505"/>
    </row>
    <row r="76" spans="1:17">
      <c r="A76" s="473" t="s">
        <v>1690</v>
      </c>
      <c r="B76" s="474" t="s">
        <v>1720</v>
      </c>
      <c r="C76" s="519" t="s">
        <v>1721</v>
      </c>
      <c r="D76" s="519" t="s">
        <v>1722</v>
      </c>
      <c r="E76" s="519" t="s">
        <v>1723</v>
      </c>
      <c r="F76" s="519" t="s">
        <v>1724</v>
      </c>
      <c r="G76" s="519" t="s">
        <v>1725</v>
      </c>
      <c r="H76" s="475"/>
      <c r="I76" s="475"/>
      <c r="J76" s="475"/>
      <c r="K76" s="520"/>
      <c r="L76" s="521"/>
      <c r="M76" s="522"/>
      <c r="N76" s="929"/>
      <c r="O76" s="929"/>
      <c r="P76" s="1919"/>
      <c r="Q76" s="450"/>
    </row>
    <row r="77" spans="1:17" ht="15.75" thickBot="1">
      <c r="A77" s="480"/>
      <c r="B77" s="489"/>
      <c r="C77" s="490">
        <v>100</v>
      </c>
      <c r="D77" s="490">
        <f>C77-$K15</f>
        <v>98</v>
      </c>
      <c r="E77" s="490">
        <f>D77-$K15</f>
        <v>96</v>
      </c>
      <c r="F77" s="490">
        <f>E77-$K15</f>
        <v>94</v>
      </c>
      <c r="G77" s="490">
        <f>F77-$K15</f>
        <v>92</v>
      </c>
      <c r="H77" s="490"/>
      <c r="I77" s="490"/>
      <c r="J77" s="490"/>
      <c r="K77" s="490"/>
      <c r="L77" s="490"/>
      <c r="M77" s="491"/>
      <c r="N77" s="930"/>
      <c r="O77" s="930"/>
      <c r="P77" s="1915"/>
      <c r="Q77" s="450"/>
    </row>
    <row r="78" spans="1:17" ht="15.75" thickTop="1">
      <c r="A78" s="480"/>
      <c r="B78" s="484" t="s">
        <v>1726</v>
      </c>
      <c r="C78" s="524" t="s">
        <v>1721</v>
      </c>
      <c r="D78" s="524" t="s">
        <v>1722</v>
      </c>
      <c r="E78" s="524" t="s">
        <v>1723</v>
      </c>
      <c r="F78" s="524" t="s">
        <v>1724</v>
      </c>
      <c r="G78" s="524" t="s">
        <v>1725</v>
      </c>
      <c r="H78" s="485"/>
      <c r="I78" s="485"/>
      <c r="J78" s="485"/>
      <c r="K78" s="486"/>
      <c r="L78" s="487"/>
      <c r="M78" s="488"/>
      <c r="N78" s="929"/>
      <c r="O78" s="929"/>
      <c r="P78" s="1915"/>
      <c r="Q78" s="450"/>
    </row>
    <row r="79" spans="1:17" ht="15.75" thickBot="1">
      <c r="A79" s="480"/>
      <c r="B79" s="489"/>
      <c r="C79" s="490">
        <v>100</v>
      </c>
      <c r="D79" s="490">
        <f>C79-$K17</f>
        <v>98</v>
      </c>
      <c r="E79" s="490">
        <f>D79-$K17</f>
        <v>96</v>
      </c>
      <c r="F79" s="490">
        <f>E79-$K17</f>
        <v>94</v>
      </c>
      <c r="G79" s="490">
        <f>F79-$K17</f>
        <v>92</v>
      </c>
      <c r="H79" s="490"/>
      <c r="I79" s="490"/>
      <c r="J79" s="490"/>
      <c r="K79" s="490"/>
      <c r="L79" s="490"/>
      <c r="M79" s="491"/>
      <c r="N79" s="930"/>
      <c r="O79" s="930"/>
      <c r="P79" s="1915"/>
      <c r="Q79" s="450"/>
    </row>
    <row r="80" spans="1:17" ht="15.75" thickTop="1">
      <c r="A80" s="480"/>
      <c r="B80" s="484" t="s">
        <v>1727</v>
      </c>
      <c r="C80" s="524" t="s">
        <v>1721</v>
      </c>
      <c r="D80" s="524" t="s">
        <v>1722</v>
      </c>
      <c r="E80" s="524" t="s">
        <v>1723</v>
      </c>
      <c r="F80" s="524" t="s">
        <v>1724</v>
      </c>
      <c r="G80" s="524" t="s">
        <v>1725</v>
      </c>
      <c r="H80" s="485"/>
      <c r="I80" s="485"/>
      <c r="J80" s="485"/>
      <c r="K80" s="486"/>
      <c r="L80" s="487"/>
      <c r="M80" s="488"/>
      <c r="N80" s="929"/>
      <c r="O80" s="929"/>
      <c r="P80" s="1915"/>
      <c r="Q80" s="450"/>
    </row>
    <row r="81" spans="1:17" ht="15.75" thickBot="1">
      <c r="A81" s="480"/>
      <c r="B81" s="489"/>
      <c r="C81" s="490">
        <v>100</v>
      </c>
      <c r="D81" s="490">
        <f>C81-$K19</f>
        <v>98</v>
      </c>
      <c r="E81" s="490">
        <f>D81-$K19</f>
        <v>96</v>
      </c>
      <c r="F81" s="490">
        <f>E81-$K19</f>
        <v>94</v>
      </c>
      <c r="G81" s="490">
        <f>F81-$K19</f>
        <v>92</v>
      </c>
      <c r="H81" s="490"/>
      <c r="I81" s="490"/>
      <c r="J81" s="490"/>
      <c r="K81" s="490"/>
      <c r="L81" s="490"/>
      <c r="M81" s="491"/>
      <c r="N81" s="930"/>
      <c r="O81" s="930"/>
      <c r="P81" s="1915"/>
      <c r="Q81" s="450"/>
    </row>
    <row r="82" spans="1:17" ht="15.75" thickTop="1">
      <c r="A82" s="480"/>
      <c r="B82" s="492" t="s">
        <v>1260</v>
      </c>
      <c r="C82" s="485" t="s">
        <v>1728</v>
      </c>
      <c r="D82" s="485" t="s">
        <v>1729</v>
      </c>
      <c r="E82" s="485" t="s">
        <v>1730</v>
      </c>
      <c r="F82" s="485" t="s">
        <v>1731</v>
      </c>
      <c r="G82" s="485" t="s">
        <v>1732</v>
      </c>
      <c r="H82" s="485"/>
      <c r="I82" s="485"/>
      <c r="J82" s="485"/>
      <c r="K82" s="485"/>
      <c r="L82" s="485"/>
      <c r="M82" s="1125"/>
      <c r="N82" s="930"/>
      <c r="O82" s="930"/>
      <c r="P82" s="1915"/>
      <c r="Q82" s="450"/>
    </row>
    <row r="83" spans="1:17" ht="15.75" thickBot="1">
      <c r="A83" s="480"/>
      <c r="B83" s="492"/>
      <c r="C83" s="605">
        <v>100</v>
      </c>
      <c r="D83" s="605">
        <f>C83-$K21</f>
        <v>99</v>
      </c>
      <c r="E83" s="605">
        <f t="shared" ref="E83:G83" si="22">D83-$K21</f>
        <v>98</v>
      </c>
      <c r="F83" s="605">
        <f t="shared" si="22"/>
        <v>97</v>
      </c>
      <c r="G83" s="605">
        <f t="shared" si="22"/>
        <v>96</v>
      </c>
      <c r="H83" s="605"/>
      <c r="I83" s="605"/>
      <c r="J83" s="605"/>
      <c r="K83" s="605"/>
      <c r="L83" s="605"/>
      <c r="M83" s="398"/>
      <c r="N83" s="930"/>
      <c r="O83" s="930"/>
      <c r="P83" s="1915"/>
      <c r="Q83" s="450"/>
    </row>
    <row r="84" spans="1:17" ht="15.75" thickTop="1">
      <c r="A84" s="480"/>
      <c r="B84" s="484" t="s">
        <v>1733</v>
      </c>
      <c r="C84" s="524" t="s">
        <v>1721</v>
      </c>
      <c r="D84" s="524" t="s">
        <v>1722</v>
      </c>
      <c r="E84" s="524" t="s">
        <v>1723</v>
      </c>
      <c r="F84" s="524" t="s">
        <v>1724</v>
      </c>
      <c r="G84" s="524" t="s">
        <v>1725</v>
      </c>
      <c r="H84" s="485"/>
      <c r="I84" s="485"/>
      <c r="J84" s="485"/>
      <c r="K84" s="486"/>
      <c r="L84" s="487"/>
      <c r="M84" s="488"/>
      <c r="N84" s="929"/>
      <c r="O84" s="929"/>
      <c r="P84" s="1915"/>
      <c r="Q84" s="450"/>
    </row>
    <row r="85" spans="1:17" ht="15.75" thickBot="1">
      <c r="A85" s="480"/>
      <c r="B85" s="489"/>
      <c r="C85" s="490">
        <v>100</v>
      </c>
      <c r="D85" s="490">
        <f>C85-$K23</f>
        <v>97</v>
      </c>
      <c r="E85" s="490">
        <f>D85-$K23</f>
        <v>94</v>
      </c>
      <c r="F85" s="490">
        <f>E85-$K23</f>
        <v>91</v>
      </c>
      <c r="G85" s="490">
        <f>F85-$K23</f>
        <v>88</v>
      </c>
      <c r="H85" s="490"/>
      <c r="I85" s="490"/>
      <c r="J85" s="490"/>
      <c r="K85" s="490"/>
      <c r="L85" s="490"/>
      <c r="M85" s="491"/>
      <c r="N85" s="930"/>
      <c r="O85" s="930"/>
      <c r="P85" s="1915"/>
      <c r="Q85" s="450"/>
    </row>
    <row r="86" spans="1:17" s="108" customFormat="1" ht="15.75" thickTop="1">
      <c r="A86" s="525"/>
      <c r="B86" s="484" t="s">
        <v>1734</v>
      </c>
      <c r="C86" s="500"/>
      <c r="D86" s="500"/>
      <c r="E86" s="500"/>
      <c r="F86" s="500"/>
      <c r="G86" s="500"/>
      <c r="H86" s="500"/>
      <c r="I86" s="500"/>
      <c r="J86" s="500"/>
      <c r="K86" s="500"/>
      <c r="L86" s="526"/>
      <c r="M86" s="527"/>
      <c r="N86" s="928"/>
      <c r="O86" s="928"/>
      <c r="P86" s="1915"/>
      <c r="Q86" s="450"/>
    </row>
    <row r="87" spans="1:17" s="108" customFormat="1" ht="15.75" thickBot="1">
      <c r="A87" s="525"/>
      <c r="B87" s="489"/>
      <c r="C87" s="528">
        <v>100</v>
      </c>
      <c r="D87" s="490">
        <f t="shared" ref="D87:M87" si="23">$C$87-($C$86-D86)*$K$25</f>
        <v>100</v>
      </c>
      <c r="E87" s="490">
        <f t="shared" si="23"/>
        <v>100</v>
      </c>
      <c r="F87" s="490">
        <f t="shared" si="23"/>
        <v>100</v>
      </c>
      <c r="G87" s="490">
        <f t="shared" si="23"/>
        <v>100</v>
      </c>
      <c r="H87" s="490">
        <f t="shared" si="23"/>
        <v>100</v>
      </c>
      <c r="I87" s="490">
        <f t="shared" si="23"/>
        <v>100</v>
      </c>
      <c r="J87" s="490">
        <f t="shared" si="23"/>
        <v>100</v>
      </c>
      <c r="K87" s="490">
        <f t="shared" si="23"/>
        <v>100</v>
      </c>
      <c r="L87" s="490">
        <f t="shared" si="23"/>
        <v>100</v>
      </c>
      <c r="M87" s="490">
        <f t="shared" si="23"/>
        <v>100</v>
      </c>
      <c r="N87" s="930"/>
      <c r="O87" s="930"/>
      <c r="P87" s="1915"/>
      <c r="Q87" s="450"/>
    </row>
    <row r="88" spans="1:17" s="108" customFormat="1" ht="15.75" thickTop="1">
      <c r="A88" s="525"/>
      <c r="B88" s="484" t="s">
        <v>1735</v>
      </c>
      <c r="C88" s="500"/>
      <c r="D88" s="500"/>
      <c r="E88" s="500"/>
      <c r="F88" s="1920"/>
      <c r="G88" s="500"/>
      <c r="H88" s="500"/>
      <c r="I88" s="500"/>
      <c r="J88" s="500"/>
      <c r="K88" s="500"/>
      <c r="L88" s="500"/>
      <c r="M88" s="527"/>
      <c r="N88" s="928"/>
      <c r="O88" s="928"/>
      <c r="P88" s="1915"/>
      <c r="Q88" s="450"/>
    </row>
    <row r="89" spans="1:17" s="108" customFormat="1" ht="15.75" thickBot="1">
      <c r="A89" s="525"/>
      <c r="B89" s="489"/>
      <c r="C89" s="528">
        <v>100</v>
      </c>
      <c r="D89" s="490">
        <f t="shared" ref="D89:M89" si="24">C89-$K26</f>
        <v>100</v>
      </c>
      <c r="E89" s="490">
        <f t="shared" si="24"/>
        <v>100</v>
      </c>
      <c r="F89" s="490">
        <f t="shared" si="24"/>
        <v>100</v>
      </c>
      <c r="G89" s="490">
        <f t="shared" si="24"/>
        <v>100</v>
      </c>
      <c r="H89" s="490">
        <f t="shared" si="24"/>
        <v>100</v>
      </c>
      <c r="I89" s="490">
        <f t="shared" si="24"/>
        <v>100</v>
      </c>
      <c r="J89" s="490">
        <f t="shared" si="24"/>
        <v>100</v>
      </c>
      <c r="K89" s="490">
        <f t="shared" si="24"/>
        <v>100</v>
      </c>
      <c r="L89" s="490">
        <f t="shared" si="24"/>
        <v>100</v>
      </c>
      <c r="M89" s="490">
        <f t="shared" si="24"/>
        <v>100</v>
      </c>
      <c r="N89" s="930"/>
      <c r="O89" s="930"/>
      <c r="P89" s="1915"/>
      <c r="Q89" s="450"/>
    </row>
    <row r="90" spans="1:17" s="419" customFormat="1" ht="15.75" thickTop="1">
      <c r="A90" s="499"/>
      <c r="B90" s="484" t="str">
        <f>B27</f>
        <v>所在楼层</v>
      </c>
      <c r="C90" s="500" t="s">
        <v>3536</v>
      </c>
      <c r="D90" s="500"/>
      <c r="E90" s="500"/>
      <c r="F90" s="500"/>
      <c r="G90" s="500"/>
      <c r="H90" s="501"/>
      <c r="I90" s="501"/>
      <c r="J90" s="501"/>
      <c r="K90" s="501"/>
      <c r="L90" s="502"/>
      <c r="M90" s="503"/>
      <c r="N90" s="931"/>
      <c r="O90" s="931"/>
      <c r="P90" s="1916"/>
      <c r="Q90" s="505"/>
    </row>
    <row r="91" spans="1:17" s="419" customFormat="1" ht="15.75" thickBot="1">
      <c r="A91" s="499"/>
      <c r="B91" s="489"/>
      <c r="C91" s="506">
        <v>100</v>
      </c>
      <c r="D91" s="506"/>
      <c r="E91" s="506"/>
      <c r="F91" s="506"/>
      <c r="G91" s="506"/>
      <c r="H91" s="508"/>
      <c r="I91" s="508"/>
      <c r="J91" s="508"/>
      <c r="K91" s="508"/>
      <c r="L91" s="508"/>
      <c r="M91" s="509"/>
      <c r="N91" s="931"/>
      <c r="O91" s="931"/>
      <c r="P91" s="1916"/>
      <c r="Q91" s="505"/>
    </row>
    <row r="92" spans="1:17" ht="15.75" thickTop="1">
      <c r="A92" s="480"/>
      <c r="B92" s="484" t="str">
        <f>B28</f>
        <v>朝向</v>
      </c>
      <c r="C92" s="500" t="s">
        <v>3537</v>
      </c>
      <c r="D92" s="500"/>
      <c r="E92" s="500"/>
      <c r="F92" s="500"/>
      <c r="G92" s="529"/>
      <c r="H92" s="529"/>
      <c r="I92" s="529"/>
      <c r="J92" s="529"/>
      <c r="K92" s="530"/>
      <c r="L92" s="531"/>
      <c r="M92" s="532"/>
      <c r="N92" s="929"/>
      <c r="O92" s="929"/>
      <c r="P92" s="1915"/>
      <c r="Q92" s="450"/>
    </row>
    <row r="93" spans="1:17" ht="15.75" thickBot="1">
      <c r="A93" s="480"/>
      <c r="B93" s="489"/>
      <c r="C93" s="506">
        <v>100</v>
      </c>
      <c r="D93" s="482"/>
      <c r="E93" s="482"/>
      <c r="F93" s="482"/>
      <c r="G93" s="482"/>
      <c r="H93" s="482"/>
      <c r="I93" s="482"/>
      <c r="J93" s="482"/>
      <c r="K93" s="482"/>
      <c r="L93" s="482"/>
      <c r="M93" s="483"/>
      <c r="N93" s="930"/>
      <c r="O93" s="930"/>
      <c r="P93" s="1915"/>
      <c r="Q93" s="450"/>
    </row>
    <row r="94" spans="1:17" ht="15.75" thickTop="1">
      <c r="A94" s="480"/>
      <c r="B94" s="484" t="str">
        <f>B29</f>
        <v>临街状况</v>
      </c>
      <c r="C94" s="3461" t="s">
        <v>3543</v>
      </c>
      <c r="D94" s="3461" t="s">
        <v>3544</v>
      </c>
      <c r="E94" s="3461" t="s">
        <v>3545</v>
      </c>
      <c r="F94" s="500"/>
      <c r="G94" s="529"/>
      <c r="H94" s="529"/>
      <c r="I94" s="529"/>
      <c r="J94" s="529"/>
      <c r="K94" s="530"/>
      <c r="L94" s="531"/>
      <c r="M94" s="532"/>
      <c r="N94" s="929"/>
      <c r="O94" s="929"/>
      <c r="P94" s="1915"/>
      <c r="Q94" s="450"/>
    </row>
    <row r="95" spans="1:17" ht="15.75" thickBot="1">
      <c r="A95" s="480"/>
      <c r="B95" s="489"/>
      <c r="C95" s="506">
        <v>100</v>
      </c>
      <c r="D95" s="506">
        <v>102</v>
      </c>
      <c r="E95" s="506">
        <v>104</v>
      </c>
      <c r="F95" s="506"/>
      <c r="G95" s="482"/>
      <c r="H95" s="482"/>
      <c r="I95" s="482"/>
      <c r="J95" s="482"/>
      <c r="K95" s="482"/>
      <c r="L95" s="482"/>
      <c r="M95" s="483"/>
      <c r="N95" s="930"/>
      <c r="O95" s="930"/>
      <c r="P95" s="1915"/>
      <c r="Q95" s="450"/>
    </row>
    <row r="96" spans="1:17" ht="15.75" thickTop="1">
      <c r="A96" s="480"/>
      <c r="B96" s="484">
        <f>B30</f>
        <v>111</v>
      </c>
      <c r="C96" s="500"/>
      <c r="D96" s="500"/>
      <c r="E96" s="500"/>
      <c r="F96" s="500"/>
      <c r="G96" s="529"/>
      <c r="H96" s="529"/>
      <c r="I96" s="529"/>
      <c r="J96" s="529"/>
      <c r="K96" s="530"/>
      <c r="L96" s="531"/>
      <c r="M96" s="532"/>
      <c r="N96" s="929"/>
      <c r="O96" s="929"/>
      <c r="P96" s="1915"/>
      <c r="Q96" s="450"/>
    </row>
    <row r="97" spans="1:17" ht="15.75" thickBot="1">
      <c r="A97" s="480"/>
      <c r="B97" s="489"/>
      <c r="C97" s="516"/>
      <c r="D97" s="516"/>
      <c r="E97" s="516"/>
      <c r="F97" s="516"/>
      <c r="G97" s="482"/>
      <c r="H97" s="482"/>
      <c r="I97" s="482"/>
      <c r="J97" s="482"/>
      <c r="K97" s="482"/>
      <c r="L97" s="482"/>
      <c r="M97" s="483"/>
      <c r="N97" s="930"/>
      <c r="O97" s="930"/>
      <c r="P97" s="1915"/>
      <c r="Q97" s="450"/>
    </row>
    <row r="98" spans="1:17" ht="15.75" thickTop="1">
      <c r="A98" s="480"/>
      <c r="B98" s="492">
        <f>B31</f>
        <v>111</v>
      </c>
      <c r="C98" s="533"/>
      <c r="D98" s="533"/>
      <c r="E98" s="533"/>
      <c r="F98" s="533"/>
      <c r="G98" s="533"/>
      <c r="H98" s="533"/>
      <c r="I98" s="533"/>
      <c r="J98" s="533"/>
      <c r="K98" s="534"/>
      <c r="L98" s="535"/>
      <c r="M98" s="536"/>
      <c r="N98" s="929"/>
      <c r="O98" s="929"/>
      <c r="P98" s="1915"/>
      <c r="Q98" s="450"/>
    </row>
    <row r="99" spans="1:17" ht="15.75" thickBot="1">
      <c r="A99" s="1921"/>
      <c r="B99" s="515"/>
      <c r="C99" s="537"/>
      <c r="D99" s="537"/>
      <c r="E99" s="537"/>
      <c r="F99" s="537"/>
      <c r="G99" s="537"/>
      <c r="H99" s="537"/>
      <c r="I99" s="537"/>
      <c r="J99" s="537"/>
      <c r="K99" s="537"/>
      <c r="L99" s="537"/>
      <c r="M99" s="538"/>
      <c r="N99" s="930"/>
      <c r="O99" s="930"/>
      <c r="P99" s="1915"/>
      <c r="Q99" s="450"/>
    </row>
    <row r="100" spans="1:17">
      <c r="A100" s="473" t="s">
        <v>1694</v>
      </c>
      <c r="B100" s="474" t="s">
        <v>1736</v>
      </c>
      <c r="C100" s="354" t="s">
        <v>3548</v>
      </c>
      <c r="D100" s="3475" t="s">
        <v>3546</v>
      </c>
      <c r="E100" s="3475" t="s">
        <v>3547</v>
      </c>
      <c r="F100" s="476" t="s">
        <v>3549</v>
      </c>
      <c r="G100" s="476" t="s">
        <v>3550</v>
      </c>
      <c r="H100" s="476"/>
      <c r="I100" s="476"/>
      <c r="J100" s="476"/>
      <c r="K100" s="477"/>
      <c r="L100" s="478"/>
      <c r="M100" s="479"/>
      <c r="N100" s="929"/>
      <c r="O100" s="929"/>
      <c r="P100" s="1915"/>
      <c r="Q100" s="450"/>
    </row>
    <row r="101" spans="1:17" ht="15.75" thickBot="1">
      <c r="A101" s="480"/>
      <c r="B101" s="489"/>
      <c r="C101" s="490">
        <v>100</v>
      </c>
      <c r="D101" s="490">
        <f t="shared" ref="D101:M101" si="25">C101-$K32</f>
        <v>98</v>
      </c>
      <c r="E101" s="490">
        <f t="shared" si="25"/>
        <v>96</v>
      </c>
      <c r="F101" s="490">
        <f t="shared" si="25"/>
        <v>94</v>
      </c>
      <c r="G101" s="490">
        <f t="shared" si="25"/>
        <v>92</v>
      </c>
      <c r="H101" s="490">
        <f t="shared" si="25"/>
        <v>90</v>
      </c>
      <c r="I101" s="490">
        <f t="shared" si="25"/>
        <v>88</v>
      </c>
      <c r="J101" s="490">
        <f t="shared" si="25"/>
        <v>86</v>
      </c>
      <c r="K101" s="490">
        <f t="shared" si="25"/>
        <v>84</v>
      </c>
      <c r="L101" s="490">
        <f t="shared" si="25"/>
        <v>82</v>
      </c>
      <c r="M101" s="490">
        <f t="shared" si="25"/>
        <v>80</v>
      </c>
      <c r="N101" s="930"/>
      <c r="O101" s="930"/>
      <c r="P101" s="1915"/>
      <c r="Q101" s="450"/>
    </row>
    <row r="102" spans="1:17" ht="15.75" thickTop="1">
      <c r="A102" s="480"/>
      <c r="B102" s="484" t="s">
        <v>1737</v>
      </c>
      <c r="C102" s="524" t="str">
        <f>C103&amp;"(含)"&amp;"-"&amp;D103</f>
        <v>0(含)-100</v>
      </c>
      <c r="D102" s="524" t="str">
        <f t="shared" ref="D102:L102" si="26">D103&amp;"(含)"&amp;"-"&amp;E103</f>
        <v>100(含)-</v>
      </c>
      <c r="E102" s="524" t="str">
        <f t="shared" si="26"/>
        <v>(含)-</v>
      </c>
      <c r="F102" s="524" t="str">
        <f t="shared" si="26"/>
        <v>(含)-</v>
      </c>
      <c r="G102" s="524" t="str">
        <f t="shared" si="26"/>
        <v>(含)-</v>
      </c>
      <c r="H102" s="524" t="str">
        <f t="shared" si="26"/>
        <v>(含)-</v>
      </c>
      <c r="I102" s="524" t="str">
        <f t="shared" si="26"/>
        <v>(含)-</v>
      </c>
      <c r="J102" s="524" t="str">
        <f t="shared" si="26"/>
        <v>(含)-</v>
      </c>
      <c r="K102" s="524" t="str">
        <f>K103&amp;"(含)"&amp;"-"&amp;L103</f>
        <v>(含)-</v>
      </c>
      <c r="L102" s="524" t="str">
        <f t="shared" si="26"/>
        <v>(含)-</v>
      </c>
      <c r="M102" s="524" t="str">
        <f>M103&amp;"(含)"&amp;"-"&amp;P103</f>
        <v>(含)-</v>
      </c>
      <c r="N102" s="928"/>
      <c r="O102" s="928"/>
      <c r="P102" s="1915"/>
      <c r="Q102" s="450"/>
    </row>
    <row r="103" spans="1:17" s="419" customFormat="1">
      <c r="A103" s="539"/>
      <c r="B103" s="540"/>
      <c r="C103" s="541">
        <v>0</v>
      </c>
      <c r="D103" s="541">
        <v>100</v>
      </c>
      <c r="E103" s="541"/>
      <c r="F103" s="541"/>
      <c r="G103" s="541"/>
      <c r="H103" s="541"/>
      <c r="I103" s="541"/>
      <c r="J103" s="542"/>
      <c r="K103" s="542"/>
      <c r="L103" s="543"/>
      <c r="M103" s="544"/>
      <c r="N103" s="931"/>
      <c r="O103" s="931"/>
      <c r="P103" s="1916"/>
      <c r="Q103" s="505"/>
    </row>
    <row r="104" spans="1:17" s="419" customFormat="1" ht="15.75" thickBot="1">
      <c r="A104" s="499"/>
      <c r="B104" s="489"/>
      <c r="C104" s="506">
        <v>100</v>
      </c>
      <c r="D104" s="482"/>
      <c r="E104" s="482"/>
      <c r="F104" s="482"/>
      <c r="G104" s="482"/>
      <c r="H104" s="482"/>
      <c r="I104" s="482"/>
      <c r="J104" s="482"/>
      <c r="K104" s="482"/>
      <c r="L104" s="482"/>
      <c r="M104" s="482"/>
      <c r="N104" s="930"/>
      <c r="O104" s="930"/>
      <c r="P104" s="1916"/>
      <c r="Q104" s="505"/>
    </row>
    <row r="105" spans="1:17" ht="15" thickTop="1">
      <c r="A105" s="545"/>
      <c r="B105" s="484" t="s">
        <v>1738</v>
      </c>
      <c r="C105" s="500" t="s">
        <v>3558</v>
      </c>
      <c r="D105" s="500"/>
      <c r="E105" s="529"/>
      <c r="F105" s="529"/>
      <c r="G105" s="529"/>
      <c r="H105" s="529"/>
      <c r="I105" s="529"/>
      <c r="J105" s="529"/>
      <c r="K105" s="530"/>
      <c r="L105" s="531"/>
      <c r="M105" s="532"/>
      <c r="N105" s="929"/>
      <c r="O105" s="929"/>
      <c r="P105" s="1915"/>
      <c r="Q105" s="450"/>
    </row>
    <row r="106" spans="1:17" ht="15.75" thickBot="1">
      <c r="A106" s="480"/>
      <c r="B106" s="489"/>
      <c r="C106" s="490">
        <v>100</v>
      </c>
      <c r="D106" s="490">
        <f t="shared" ref="D106:M106" si="27">C106-$K34</f>
        <v>98</v>
      </c>
      <c r="E106" s="490">
        <f t="shared" si="27"/>
        <v>96</v>
      </c>
      <c r="F106" s="490">
        <f t="shared" si="27"/>
        <v>94</v>
      </c>
      <c r="G106" s="490">
        <f t="shared" si="27"/>
        <v>92</v>
      </c>
      <c r="H106" s="490">
        <f t="shared" si="27"/>
        <v>90</v>
      </c>
      <c r="I106" s="490">
        <f t="shared" si="27"/>
        <v>88</v>
      </c>
      <c r="J106" s="490">
        <f t="shared" si="27"/>
        <v>86</v>
      </c>
      <c r="K106" s="490">
        <f t="shared" si="27"/>
        <v>84</v>
      </c>
      <c r="L106" s="490">
        <f t="shared" si="27"/>
        <v>82</v>
      </c>
      <c r="M106" s="490">
        <f t="shared" si="27"/>
        <v>80</v>
      </c>
      <c r="N106" s="930"/>
      <c r="O106" s="930"/>
      <c r="P106" s="1915"/>
      <c r="Q106" s="450"/>
    </row>
    <row r="107" spans="1:17" ht="15" thickTop="1">
      <c r="A107" s="545"/>
      <c r="B107" s="484" t="s">
        <v>1739</v>
      </c>
      <c r="C107" s="529"/>
      <c r="D107" s="529"/>
      <c r="E107" s="529"/>
      <c r="F107" s="529"/>
      <c r="G107" s="529"/>
      <c r="H107" s="529"/>
      <c r="I107" s="529"/>
      <c r="J107" s="529"/>
      <c r="K107" s="530"/>
      <c r="L107" s="531"/>
      <c r="M107" s="532"/>
      <c r="N107" s="929"/>
      <c r="O107" s="929"/>
      <c r="P107" s="1915"/>
      <c r="Q107" s="450"/>
    </row>
    <row r="108" spans="1:17" ht="15.75" thickBot="1">
      <c r="A108" s="480"/>
      <c r="B108" s="489"/>
      <c r="C108" s="490">
        <v>100</v>
      </c>
      <c r="D108" s="490">
        <f t="shared" ref="D108:M108" si="28">C108-$K35</f>
        <v>100</v>
      </c>
      <c r="E108" s="490">
        <f t="shared" si="28"/>
        <v>100</v>
      </c>
      <c r="F108" s="490">
        <f t="shared" si="28"/>
        <v>100</v>
      </c>
      <c r="G108" s="490">
        <f t="shared" si="28"/>
        <v>100</v>
      </c>
      <c r="H108" s="490">
        <f t="shared" si="28"/>
        <v>100</v>
      </c>
      <c r="I108" s="490">
        <f t="shared" si="28"/>
        <v>100</v>
      </c>
      <c r="J108" s="490">
        <f t="shared" si="28"/>
        <v>100</v>
      </c>
      <c r="K108" s="490">
        <f t="shared" si="28"/>
        <v>100</v>
      </c>
      <c r="L108" s="490">
        <f t="shared" si="28"/>
        <v>100</v>
      </c>
      <c r="M108" s="490">
        <f t="shared" si="28"/>
        <v>100</v>
      </c>
      <c r="N108" s="930"/>
      <c r="O108" s="930"/>
      <c r="P108" s="1915"/>
      <c r="Q108" s="450"/>
    </row>
    <row r="109" spans="1:17" ht="15" thickTop="1">
      <c r="A109" s="545"/>
      <c r="B109" s="484" t="s">
        <v>1740</v>
      </c>
      <c r="C109" s="500"/>
      <c r="D109" s="500"/>
      <c r="E109" s="500"/>
      <c r="F109" s="529"/>
      <c r="G109" s="529"/>
      <c r="H109" s="529"/>
      <c r="I109" s="529"/>
      <c r="J109" s="529"/>
      <c r="K109" s="530"/>
      <c r="L109" s="531"/>
      <c r="M109" s="532"/>
      <c r="N109" s="929"/>
      <c r="O109" s="929"/>
      <c r="P109" s="1915"/>
      <c r="Q109" s="450"/>
    </row>
    <row r="110" spans="1:17" ht="15.75" thickBot="1">
      <c r="A110" s="480"/>
      <c r="B110" s="489"/>
      <c r="C110" s="490">
        <v>100</v>
      </c>
      <c r="D110" s="490">
        <f t="shared" ref="D110:M110" si="29">C110-$K36</f>
        <v>100</v>
      </c>
      <c r="E110" s="490">
        <f t="shared" si="29"/>
        <v>100</v>
      </c>
      <c r="F110" s="490">
        <f t="shared" si="29"/>
        <v>100</v>
      </c>
      <c r="G110" s="490">
        <f t="shared" si="29"/>
        <v>100</v>
      </c>
      <c r="H110" s="490">
        <f t="shared" si="29"/>
        <v>100</v>
      </c>
      <c r="I110" s="490">
        <f t="shared" si="29"/>
        <v>100</v>
      </c>
      <c r="J110" s="490">
        <f t="shared" si="29"/>
        <v>100</v>
      </c>
      <c r="K110" s="490">
        <f t="shared" si="29"/>
        <v>100</v>
      </c>
      <c r="L110" s="490">
        <f t="shared" si="29"/>
        <v>100</v>
      </c>
      <c r="M110" s="490">
        <f t="shared" si="29"/>
        <v>100</v>
      </c>
      <c r="N110" s="930"/>
      <c r="O110" s="930"/>
      <c r="P110" s="1915"/>
      <c r="Q110" s="450"/>
    </row>
    <row r="111" spans="1:17" s="419" customFormat="1" ht="15" thickTop="1">
      <c r="A111" s="539"/>
      <c r="B111" s="484" t="s">
        <v>1190</v>
      </c>
      <c r="C111" s="524" t="str">
        <f>C112&amp;"(含)"&amp;"-"&amp;D112</f>
        <v>0.5(含)-0.6</v>
      </c>
      <c r="D111" s="524" t="str">
        <f>D112&amp;"(含)"&amp;"-"&amp;E112</f>
        <v>0.6(含)-0.7</v>
      </c>
      <c r="E111" s="524" t="str">
        <f>E112&amp;"(含)"&amp;"-"&amp;F112</f>
        <v>0.7(含)-0.8</v>
      </c>
      <c r="F111" s="524" t="str">
        <f>F112&amp;"(含)"&amp;"-"&amp;G112</f>
        <v>0.8(含)-0.9</v>
      </c>
      <c r="G111" s="524" t="str">
        <f>G112&amp;"(含)"&amp;"-"&amp;ROUND(H112,0)&amp;"(含)"</f>
        <v>0.9(含)-1(含)</v>
      </c>
      <c r="H111" s="524" t="str">
        <f>ROUND(H112,0)&amp;"(含)"&amp;"-"&amp;I112</f>
        <v>1(含)-</v>
      </c>
      <c r="I111" s="524"/>
      <c r="J111" s="546"/>
      <c r="K111" s="546"/>
      <c r="L111" s="547"/>
      <c r="M111" s="548"/>
      <c r="N111" s="931"/>
      <c r="O111" s="931"/>
      <c r="P111" s="1916"/>
      <c r="Q111" s="505"/>
    </row>
    <row r="112" spans="1:17" s="419" customFormat="1">
      <c r="A112" s="539"/>
      <c r="B112" s="492"/>
      <c r="C112" s="549">
        <v>0.5</v>
      </c>
      <c r="D112" s="549">
        <v>0.6</v>
      </c>
      <c r="E112" s="549">
        <v>0.7</v>
      </c>
      <c r="F112" s="549">
        <v>0.8</v>
      </c>
      <c r="G112" s="549">
        <v>0.9</v>
      </c>
      <c r="H112" s="549">
        <v>1.0001</v>
      </c>
      <c r="I112" s="549"/>
      <c r="J112" s="550"/>
      <c r="K112" s="550"/>
      <c r="L112" s="551"/>
      <c r="M112" s="552"/>
      <c r="N112" s="931"/>
      <c r="O112" s="931"/>
      <c r="P112" s="1916"/>
      <c r="Q112" s="505"/>
    </row>
    <row r="113" spans="1:17" s="419" customFormat="1" ht="15.75" thickBot="1">
      <c r="A113" s="499"/>
      <c r="B113" s="489"/>
      <c r="C113" s="528">
        <v>100</v>
      </c>
      <c r="D113" s="490">
        <f>C113+$K37</f>
        <v>101</v>
      </c>
      <c r="E113" s="490">
        <f>D113+$K37</f>
        <v>102</v>
      </c>
      <c r="F113" s="490">
        <f>E113+$K37</f>
        <v>103</v>
      </c>
      <c r="G113" s="490">
        <f>F113+$K37</f>
        <v>104</v>
      </c>
      <c r="H113" s="490">
        <f>G113+$K37</f>
        <v>105</v>
      </c>
      <c r="I113" s="528"/>
      <c r="J113" s="553"/>
      <c r="K113" s="553"/>
      <c r="L113" s="553"/>
      <c r="M113" s="554"/>
      <c r="N113" s="931"/>
      <c r="O113" s="931"/>
      <c r="P113" s="1916"/>
      <c r="Q113" s="505"/>
    </row>
    <row r="114" spans="1:17" ht="15" thickTop="1">
      <c r="A114" s="545"/>
      <c r="B114" s="484" t="s">
        <v>1741</v>
      </c>
      <c r="C114" s="3461" t="s">
        <v>3551</v>
      </c>
      <c r="D114" s="500"/>
      <c r="E114" s="529"/>
      <c r="F114" s="529"/>
      <c r="G114" s="529"/>
      <c r="H114" s="529"/>
      <c r="I114" s="529"/>
      <c r="J114" s="529"/>
      <c r="K114" s="530"/>
      <c r="L114" s="531"/>
      <c r="M114" s="532"/>
      <c r="N114" s="929"/>
      <c r="O114" s="929"/>
      <c r="P114" s="1915"/>
      <c r="Q114" s="450"/>
    </row>
    <row r="115" spans="1:17" ht="15.75" thickBot="1">
      <c r="A115" s="480"/>
      <c r="B115" s="489"/>
      <c r="C115" s="490">
        <v>100</v>
      </c>
      <c r="D115" s="490">
        <f t="shared" ref="D115:M115" si="30">C115-$K38</f>
        <v>98</v>
      </c>
      <c r="E115" s="490">
        <f t="shared" si="30"/>
        <v>96</v>
      </c>
      <c r="F115" s="490">
        <f t="shared" si="30"/>
        <v>94</v>
      </c>
      <c r="G115" s="490">
        <f t="shared" si="30"/>
        <v>92</v>
      </c>
      <c r="H115" s="490">
        <f t="shared" si="30"/>
        <v>90</v>
      </c>
      <c r="I115" s="490">
        <f t="shared" si="30"/>
        <v>88</v>
      </c>
      <c r="J115" s="490">
        <f t="shared" si="30"/>
        <v>86</v>
      </c>
      <c r="K115" s="490">
        <f t="shared" si="30"/>
        <v>84</v>
      </c>
      <c r="L115" s="490">
        <f t="shared" si="30"/>
        <v>82</v>
      </c>
      <c r="M115" s="490">
        <f t="shared" si="30"/>
        <v>80</v>
      </c>
      <c r="N115" s="930"/>
      <c r="O115" s="930"/>
      <c r="P115" s="1915"/>
      <c r="Q115" s="450"/>
    </row>
    <row r="116" spans="1:17" ht="15" thickTop="1">
      <c r="A116" s="545"/>
      <c r="B116" s="484" t="s">
        <v>1742</v>
      </c>
      <c r="C116" s="3461" t="s">
        <v>3509</v>
      </c>
      <c r="D116" s="3461" t="s">
        <v>3510</v>
      </c>
      <c r="E116" s="3461" t="s">
        <v>3511</v>
      </c>
      <c r="F116" s="3461" t="s">
        <v>3512</v>
      </c>
      <c r="G116" s="3461" t="s">
        <v>3513</v>
      </c>
      <c r="H116" s="529"/>
      <c r="I116" s="529"/>
      <c r="J116" s="529"/>
      <c r="K116" s="530"/>
      <c r="L116" s="531"/>
      <c r="M116" s="532"/>
      <c r="N116" s="929"/>
      <c r="O116" s="929"/>
      <c r="P116" s="1915"/>
      <c r="Q116" s="450"/>
    </row>
    <row r="117" spans="1:17" ht="15.75" thickBot="1">
      <c r="A117" s="480"/>
      <c r="B117" s="489"/>
      <c r="C117" s="490">
        <v>100</v>
      </c>
      <c r="D117" s="490">
        <f>C117-$K39</f>
        <v>100</v>
      </c>
      <c r="E117" s="490">
        <f>D117-$K39</f>
        <v>100</v>
      </c>
      <c r="F117" s="490">
        <f>E117-$K39</f>
        <v>100</v>
      </c>
      <c r="G117" s="490">
        <f>F117-$K39</f>
        <v>100</v>
      </c>
      <c r="H117" s="490"/>
      <c r="I117" s="490"/>
      <c r="J117" s="490"/>
      <c r="K117" s="490"/>
      <c r="L117" s="490"/>
      <c r="M117" s="491"/>
      <c r="N117" s="930"/>
      <c r="O117" s="930"/>
      <c r="P117" s="1915"/>
      <c r="Q117" s="450"/>
    </row>
    <row r="118" spans="1:17" ht="15" thickTop="1">
      <c r="A118" s="545"/>
      <c r="B118" s="484" t="s">
        <v>1743</v>
      </c>
      <c r="C118" s="3462" t="s">
        <v>3552</v>
      </c>
      <c r="D118" s="529"/>
      <c r="E118" s="529"/>
      <c r="F118" s="529"/>
      <c r="G118" s="529"/>
      <c r="H118" s="529"/>
      <c r="I118" s="529"/>
      <c r="J118" s="529"/>
      <c r="K118" s="530"/>
      <c r="L118" s="531"/>
      <c r="M118" s="532"/>
      <c r="N118" s="929"/>
      <c r="O118" s="929"/>
      <c r="P118" s="1915"/>
      <c r="Q118" s="450"/>
    </row>
    <row r="119" spans="1:17" ht="15.75" thickBot="1">
      <c r="A119" s="480"/>
      <c r="B119" s="489"/>
      <c r="C119" s="490">
        <v>100</v>
      </c>
      <c r="D119" s="490">
        <f t="shared" ref="D119:M119" si="31">C119-$K40</f>
        <v>100</v>
      </c>
      <c r="E119" s="490">
        <f t="shared" si="31"/>
        <v>100</v>
      </c>
      <c r="F119" s="490">
        <f t="shared" si="31"/>
        <v>100</v>
      </c>
      <c r="G119" s="490">
        <f t="shared" si="31"/>
        <v>100</v>
      </c>
      <c r="H119" s="490">
        <f t="shared" si="31"/>
        <v>100</v>
      </c>
      <c r="I119" s="490">
        <f t="shared" si="31"/>
        <v>100</v>
      </c>
      <c r="J119" s="490">
        <f t="shared" si="31"/>
        <v>100</v>
      </c>
      <c r="K119" s="490">
        <f t="shared" si="31"/>
        <v>100</v>
      </c>
      <c r="L119" s="490">
        <f t="shared" si="31"/>
        <v>100</v>
      </c>
      <c r="M119" s="490">
        <f t="shared" si="31"/>
        <v>100</v>
      </c>
      <c r="N119" s="930"/>
      <c r="O119" s="930"/>
      <c r="P119" s="1915"/>
      <c r="Q119" s="450"/>
    </row>
    <row r="120" spans="1:17" s="419" customFormat="1" ht="86.25" thickTop="1">
      <c r="A120" s="539"/>
      <c r="B120" s="484" t="s">
        <v>1705</v>
      </c>
      <c r="C120" s="3476" t="s">
        <v>3553</v>
      </c>
      <c r="D120" s="500" t="s">
        <v>3562</v>
      </c>
      <c r="E120" s="500"/>
      <c r="F120" s="500"/>
      <c r="G120" s="500"/>
      <c r="H120" s="500"/>
      <c r="I120" s="500"/>
      <c r="J120" s="500"/>
      <c r="K120" s="500"/>
      <c r="L120" s="526"/>
      <c r="M120" s="527"/>
      <c r="N120" s="931"/>
      <c r="O120" s="931"/>
      <c r="P120" s="1916"/>
      <c r="Q120" s="505"/>
    </row>
    <row r="121" spans="1:17" s="419" customFormat="1" ht="15.75" thickBot="1">
      <c r="A121" s="499"/>
      <c r="B121" s="481"/>
      <c r="C121" s="506">
        <v>100</v>
      </c>
      <c r="D121" s="482">
        <v>98.5</v>
      </c>
      <c r="E121" s="482"/>
      <c r="F121" s="482"/>
      <c r="G121" s="482"/>
      <c r="H121" s="482"/>
      <c r="I121" s="482"/>
      <c r="J121" s="482"/>
      <c r="K121" s="482"/>
      <c r="L121" s="482"/>
      <c r="M121" s="482"/>
      <c r="N121" s="931"/>
      <c r="O121" s="931"/>
      <c r="P121" s="1916"/>
      <c r="Q121" s="505"/>
    </row>
    <row r="122" spans="1:17" ht="15" thickTop="1">
      <c r="A122" s="545"/>
      <c r="B122" s="484" t="s">
        <v>1744</v>
      </c>
      <c r="C122" s="3461" t="s">
        <v>3554</v>
      </c>
      <c r="D122" s="500"/>
      <c r="E122" s="500"/>
      <c r="F122" s="529"/>
      <c r="G122" s="529"/>
      <c r="H122" s="529"/>
      <c r="I122" s="529"/>
      <c r="J122" s="529"/>
      <c r="K122" s="530"/>
      <c r="L122" s="531"/>
      <c r="M122" s="532"/>
      <c r="N122" s="929"/>
      <c r="O122" s="929"/>
      <c r="P122" s="1915"/>
      <c r="Q122" s="450"/>
    </row>
    <row r="123" spans="1:17" ht="15.75" thickBot="1">
      <c r="A123" s="480"/>
      <c r="B123" s="489"/>
      <c r="C123" s="490">
        <v>100</v>
      </c>
      <c r="D123" s="490">
        <f t="shared" ref="D123:M123" si="32">C123-$K42</f>
        <v>100</v>
      </c>
      <c r="E123" s="490">
        <f t="shared" si="32"/>
        <v>100</v>
      </c>
      <c r="F123" s="490">
        <f t="shared" si="32"/>
        <v>100</v>
      </c>
      <c r="G123" s="490">
        <f t="shared" si="32"/>
        <v>100</v>
      </c>
      <c r="H123" s="490">
        <f t="shared" si="32"/>
        <v>100</v>
      </c>
      <c r="I123" s="490">
        <f t="shared" si="32"/>
        <v>100</v>
      </c>
      <c r="J123" s="490">
        <f t="shared" si="32"/>
        <v>100</v>
      </c>
      <c r="K123" s="490">
        <f t="shared" si="32"/>
        <v>100</v>
      </c>
      <c r="L123" s="490">
        <f t="shared" si="32"/>
        <v>100</v>
      </c>
      <c r="M123" s="490">
        <f t="shared" si="32"/>
        <v>100</v>
      </c>
      <c r="N123" s="930"/>
      <c r="O123" s="930"/>
      <c r="P123" s="1915"/>
      <c r="Q123" s="450"/>
    </row>
    <row r="124" spans="1:17" ht="15" thickTop="1">
      <c r="A124" s="545"/>
      <c r="B124" s="484" t="s">
        <v>1745</v>
      </c>
      <c r="C124" s="524" t="s">
        <v>1721</v>
      </c>
      <c r="D124" s="524" t="s">
        <v>1722</v>
      </c>
      <c r="E124" s="524" t="s">
        <v>1723</v>
      </c>
      <c r="F124" s="524" t="s">
        <v>1724</v>
      </c>
      <c r="G124" s="524" t="s">
        <v>1725</v>
      </c>
      <c r="H124" s="485"/>
      <c r="I124" s="485"/>
      <c r="J124" s="485"/>
      <c r="K124" s="486"/>
      <c r="L124" s="487"/>
      <c r="M124" s="488"/>
      <c r="N124" s="929"/>
      <c r="O124" s="929"/>
      <c r="P124" s="1916"/>
      <c r="Q124" s="450"/>
    </row>
    <row r="125" spans="1:17" ht="15.75" thickBot="1">
      <c r="A125" s="480"/>
      <c r="B125" s="489"/>
      <c r="C125" s="490">
        <v>100</v>
      </c>
      <c r="D125" s="490">
        <f>C125-$K43</f>
        <v>100</v>
      </c>
      <c r="E125" s="490">
        <f>D125-$K43</f>
        <v>100</v>
      </c>
      <c r="F125" s="490">
        <f>E125-$K43</f>
        <v>100</v>
      </c>
      <c r="G125" s="490">
        <f>F125-$K43</f>
        <v>100</v>
      </c>
      <c r="H125" s="490"/>
      <c r="I125" s="490"/>
      <c r="J125" s="490"/>
      <c r="K125" s="490"/>
      <c r="L125" s="490"/>
      <c r="M125" s="491"/>
      <c r="N125" s="930"/>
      <c r="O125" s="930"/>
      <c r="P125" s="1915"/>
      <c r="Q125" s="450"/>
    </row>
    <row r="126" spans="1:17" s="419" customFormat="1" ht="15" thickTop="1">
      <c r="A126" s="539"/>
      <c r="B126" s="484" t="str">
        <f>B44</f>
        <v>设施设备情况</v>
      </c>
      <c r="C126" s="500" t="s">
        <v>3555</v>
      </c>
      <c r="D126" s="3477" t="s">
        <v>3556</v>
      </c>
      <c r="E126" s="500"/>
      <c r="F126" s="500"/>
      <c r="G126" s="500"/>
      <c r="H126" s="501"/>
      <c r="I126" s="501"/>
      <c r="J126" s="501"/>
      <c r="K126" s="501"/>
      <c r="L126" s="502"/>
      <c r="M126" s="503"/>
      <c r="N126" s="931"/>
      <c r="O126" s="931"/>
      <c r="P126" s="1916"/>
      <c r="Q126" s="505"/>
    </row>
    <row r="127" spans="1:17" s="419" customFormat="1" ht="15.75" thickBot="1">
      <c r="A127" s="499"/>
      <c r="B127" s="489"/>
      <c r="C127" s="506">
        <v>100</v>
      </c>
      <c r="D127" s="354">
        <v>100</v>
      </c>
      <c r="E127" s="482"/>
      <c r="F127" s="482"/>
      <c r="G127" s="506"/>
      <c r="H127" s="508"/>
      <c r="I127" s="508"/>
      <c r="J127" s="508"/>
      <c r="K127" s="508"/>
      <c r="L127" s="508"/>
      <c r="M127" s="509"/>
      <c r="N127" s="931"/>
      <c r="O127" s="931"/>
      <c r="P127" s="1916"/>
      <c r="Q127" s="505"/>
    </row>
    <row r="128" spans="1:17" ht="15" thickTop="1">
      <c r="A128" s="545"/>
      <c r="B128" s="484">
        <f>B45</f>
        <v>111</v>
      </c>
      <c r="C128" s="500"/>
      <c r="D128" s="500"/>
      <c r="E128" s="500"/>
      <c r="F128" s="500"/>
      <c r="G128" s="529"/>
      <c r="H128" s="529"/>
      <c r="I128" s="529"/>
      <c r="J128" s="529"/>
      <c r="K128" s="530"/>
      <c r="L128" s="531"/>
      <c r="M128" s="532"/>
      <c r="N128" s="929"/>
      <c r="O128" s="929"/>
      <c r="P128" s="1915"/>
      <c r="Q128" s="450"/>
    </row>
    <row r="129" spans="1:17" ht="15.75" thickBot="1">
      <c r="A129" s="480"/>
      <c r="B129" s="489"/>
      <c r="C129" s="506"/>
      <c r="D129" s="506"/>
      <c r="E129" s="506"/>
      <c r="F129" s="506"/>
      <c r="G129" s="482"/>
      <c r="H129" s="482"/>
      <c r="I129" s="482"/>
      <c r="J129" s="482"/>
      <c r="K129" s="482"/>
      <c r="L129" s="482"/>
      <c r="M129" s="483"/>
      <c r="N129" s="930"/>
      <c r="O129" s="930"/>
      <c r="P129" s="1915"/>
      <c r="Q129" s="450"/>
    </row>
    <row r="130" spans="1:17" ht="15" thickTop="1">
      <c r="A130" s="545"/>
      <c r="B130" s="492">
        <f>B46</f>
        <v>111</v>
      </c>
      <c r="C130" s="500"/>
      <c r="D130" s="500"/>
      <c r="E130" s="500"/>
      <c r="F130" s="500"/>
      <c r="G130" s="533"/>
      <c r="H130" s="533"/>
      <c r="I130" s="533"/>
      <c r="J130" s="533"/>
      <c r="K130" s="469"/>
      <c r="L130" s="470"/>
      <c r="M130" s="536"/>
      <c r="N130" s="929"/>
      <c r="O130" s="929"/>
      <c r="P130" s="1915"/>
      <c r="Q130" s="450"/>
    </row>
    <row r="131" spans="1:17" ht="15.75" thickBot="1">
      <c r="A131" s="1921"/>
      <c r="B131" s="515"/>
      <c r="C131" s="516"/>
      <c r="D131" s="516"/>
      <c r="E131" s="516"/>
      <c r="F131" s="516"/>
      <c r="G131" s="537"/>
      <c r="H131" s="537"/>
      <c r="I131" s="537"/>
      <c r="J131" s="537"/>
      <c r="K131" s="537"/>
      <c r="L131" s="537"/>
      <c r="M131" s="538"/>
      <c r="N131" s="930"/>
      <c r="O131" s="930"/>
      <c r="P131" s="1915"/>
      <c r="Q131" s="450"/>
    </row>
    <row r="136" spans="1:17" ht="15" thickBot="1">
      <c r="B136" s="1922" t="s">
        <v>1746</v>
      </c>
    </row>
    <row r="137" spans="1:17" ht="15">
      <c r="B137" s="1923" t="s">
        <v>1747</v>
      </c>
      <c r="C137" s="1924"/>
      <c r="D137" s="1924"/>
      <c r="E137" s="1924"/>
      <c r="F137" s="1924"/>
      <c r="G137" s="1925"/>
      <c r="H137" s="1926"/>
      <c r="I137" s="1927" t="s">
        <v>1748</v>
      </c>
      <c r="J137" s="1924"/>
      <c r="K137" s="1928"/>
    </row>
    <row r="138" spans="1:17" ht="15">
      <c r="B138" s="1929"/>
      <c r="C138" s="135" t="s">
        <v>1749</v>
      </c>
      <c r="D138" s="135" t="s">
        <v>1750</v>
      </c>
      <c r="E138" s="1930" t="s">
        <v>1751</v>
      </c>
      <c r="F138" s="1931" t="s">
        <v>1752</v>
      </c>
      <c r="G138" s="135" t="s">
        <v>1750</v>
      </c>
      <c r="H138" s="136" t="s">
        <v>1751</v>
      </c>
      <c r="I138" s="1932"/>
      <c r="J138" s="135" t="s">
        <v>1753</v>
      </c>
      <c r="K138" s="136" t="s">
        <v>1754</v>
      </c>
    </row>
    <row r="139" spans="1:17" ht="15">
      <c r="B139" s="863">
        <v>6</v>
      </c>
      <c r="C139" s="864">
        <v>96</v>
      </c>
      <c r="D139" s="1933" t="s">
        <v>1755</v>
      </c>
      <c r="E139" s="865">
        <v>100</v>
      </c>
      <c r="F139" s="866">
        <v>102.5</v>
      </c>
      <c r="G139" s="1933" t="s">
        <v>1755</v>
      </c>
      <c r="H139" s="867">
        <v>105</v>
      </c>
      <c r="I139" s="1934" t="s">
        <v>1756</v>
      </c>
      <c r="J139" s="864">
        <v>20</v>
      </c>
      <c r="K139" s="868">
        <f>C145/(J139-2)</f>
        <v>4.0555555555555553E-3</v>
      </c>
    </row>
    <row r="140" spans="1:17" ht="15">
      <c r="B140" s="869">
        <v>5</v>
      </c>
      <c r="C140" s="870">
        <v>100</v>
      </c>
      <c r="D140" s="870"/>
      <c r="E140" s="871"/>
      <c r="F140" s="872">
        <v>102</v>
      </c>
      <c r="G140" s="870"/>
      <c r="H140" s="873"/>
      <c r="I140" s="1935" t="s">
        <v>1757</v>
      </c>
      <c r="J140" s="268">
        <f>ROUNDUP((J139-1)/2,0)</f>
        <v>10</v>
      </c>
      <c r="K140" s="874">
        <v>100</v>
      </c>
    </row>
    <row r="141" spans="1:17" ht="15">
      <c r="B141" s="869">
        <v>4</v>
      </c>
      <c r="C141" s="870">
        <v>102</v>
      </c>
      <c r="D141" s="870"/>
      <c r="E141" s="871"/>
      <c r="F141" s="872">
        <v>101.5</v>
      </c>
      <c r="G141" s="870"/>
      <c r="H141" s="873"/>
      <c r="I141" s="1935" t="s">
        <v>1758</v>
      </c>
      <c r="J141" s="268">
        <v>1</v>
      </c>
      <c r="K141" s="875">
        <f>ROUND(100+(J141-J140)*K139*100,1)</f>
        <v>96.4</v>
      </c>
    </row>
    <row r="142" spans="1:17" ht="15">
      <c r="B142" s="869">
        <v>3</v>
      </c>
      <c r="C142" s="870">
        <v>103</v>
      </c>
      <c r="D142" s="870"/>
      <c r="E142" s="871"/>
      <c r="F142" s="872">
        <v>101</v>
      </c>
      <c r="G142" s="870"/>
      <c r="H142" s="873"/>
      <c r="I142" s="1935" t="s">
        <v>1759</v>
      </c>
      <c r="J142" s="268">
        <f>J139</f>
        <v>20</v>
      </c>
      <c r="K142" s="876">
        <v>95</v>
      </c>
    </row>
    <row r="143" spans="1:17" ht="15">
      <c r="B143" s="869">
        <v>2</v>
      </c>
      <c r="C143" s="870">
        <v>100</v>
      </c>
      <c r="D143" s="870"/>
      <c r="E143" s="871"/>
      <c r="F143" s="872">
        <v>100.5</v>
      </c>
      <c r="G143" s="870"/>
      <c r="H143" s="873"/>
      <c r="I143" s="1935" t="s">
        <v>1760</v>
      </c>
      <c r="J143" s="870">
        <v>15</v>
      </c>
      <c r="K143" s="875">
        <f>ROUND(100+(J143-J140)*K139*100,1)</f>
        <v>102</v>
      </c>
    </row>
    <row r="144" spans="1:17" ht="15">
      <c r="B144" s="869">
        <v>1</v>
      </c>
      <c r="C144" s="870">
        <v>98</v>
      </c>
      <c r="D144" s="1936" t="s">
        <v>1761</v>
      </c>
      <c r="E144" s="871">
        <v>102</v>
      </c>
      <c r="F144" s="877">
        <v>100</v>
      </c>
      <c r="G144" s="1936" t="s">
        <v>1761</v>
      </c>
      <c r="H144" s="873">
        <v>105</v>
      </c>
      <c r="I144" s="1935" t="s">
        <v>1760</v>
      </c>
      <c r="J144" s="870">
        <v>18</v>
      </c>
      <c r="K144" s="875">
        <f>ROUND(100+(J144-J140)*K139*100,1)</f>
        <v>103.2</v>
      </c>
    </row>
    <row r="145" spans="2:11" ht="15.75" thickBot="1">
      <c r="B145" s="1937" t="s">
        <v>1762</v>
      </c>
      <c r="C145" s="878">
        <f>ROUND(MAX(C139:C144)/MIN(C139:C144)-1,3)</f>
        <v>7.2999999999999995E-2</v>
      </c>
      <c r="D145" s="879"/>
      <c r="E145" s="879"/>
      <c r="F145" s="1938" t="s">
        <v>1763</v>
      </c>
      <c r="G145" s="1939"/>
      <c r="H145" s="1940"/>
      <c r="I145" s="1941" t="s">
        <v>1760</v>
      </c>
      <c r="J145" s="880">
        <v>8</v>
      </c>
      <c r="K145" s="881">
        <f>ROUND(100+(J145-J140)*K139*100,1)</f>
        <v>99.2</v>
      </c>
    </row>
    <row r="147" spans="2:11">
      <c r="B147" s="1922" t="s">
        <v>1764</v>
      </c>
    </row>
    <row r="148" spans="2:11">
      <c r="B148" s="1922" t="s">
        <v>1765</v>
      </c>
    </row>
  </sheetData>
  <sheetProtection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4" type="noConversion"/>
  <conditionalFormatting sqref="F52 H52 J52">
    <cfRule type="containsText" dxfId="138" priority="19" stopIfTrue="1" operator="containsText" text="超过">
      <formula>NOT(ISERROR(SEARCH("超过",F52)))</formula>
    </cfRule>
  </conditionalFormatting>
  <conditionalFormatting sqref="J54">
    <cfRule type="containsText" dxfId="137" priority="18" stopIfTrue="1" operator="containsText" text="超过">
      <formula>NOT(ISERROR(SEARCH("超过",J54)))</formula>
    </cfRule>
  </conditionalFormatting>
  <conditionalFormatting sqref="H54">
    <cfRule type="containsText" dxfId="136" priority="17" stopIfTrue="1" operator="containsText" text="超过">
      <formula>NOT(ISERROR(SEARCH("超过",H54)))</formula>
    </cfRule>
  </conditionalFormatting>
  <conditionalFormatting sqref="F54">
    <cfRule type="containsText" dxfId="135" priority="16" stopIfTrue="1" operator="containsText" text="超过">
      <formula>NOT(ISERROR(SEARCH("超过",F54)))</formula>
    </cfRule>
  </conditionalFormatting>
  <conditionalFormatting sqref="F53 H53 J53">
    <cfRule type="containsText" dxfId="134" priority="15" stopIfTrue="1" operator="containsText" text="超过">
      <formula>NOT(ISERROR(SEARCH("超过",F53)))</formula>
    </cfRule>
  </conditionalFormatting>
  <conditionalFormatting sqref="E52">
    <cfRule type="expression" dxfId="133" priority="14" stopIfTrue="1">
      <formula>$F$52="超过30%"</formula>
    </cfRule>
  </conditionalFormatting>
  <conditionalFormatting sqref="G54">
    <cfRule type="expression" dxfId="132" priority="12" stopIfTrue="1">
      <formula>$H$54="超过30%"</formula>
    </cfRule>
  </conditionalFormatting>
  <conditionalFormatting sqref="E53">
    <cfRule type="expression" dxfId="131" priority="11" stopIfTrue="1">
      <formula>$F$53="超过20%"</formula>
    </cfRule>
  </conditionalFormatting>
  <conditionalFormatting sqref="E54">
    <cfRule type="expression" dxfId="130" priority="10" stopIfTrue="1">
      <formula>$F$54="超过30%"</formula>
    </cfRule>
  </conditionalFormatting>
  <conditionalFormatting sqref="G52">
    <cfRule type="expression" dxfId="129" priority="9" stopIfTrue="1">
      <formula>$H$52="超过30%"</formula>
    </cfRule>
  </conditionalFormatting>
  <conditionalFormatting sqref="G53">
    <cfRule type="expression" dxfId="128" priority="8" stopIfTrue="1">
      <formula>$H$53="超过20%"</formula>
    </cfRule>
  </conditionalFormatting>
  <conditionalFormatting sqref="I52">
    <cfRule type="expression" dxfId="127" priority="7" stopIfTrue="1">
      <formula>$J$52="超过30%"</formula>
    </cfRule>
  </conditionalFormatting>
  <conditionalFormatting sqref="I53">
    <cfRule type="expression" dxfId="126" priority="6" stopIfTrue="1">
      <formula>$J$53="超过20%"</formula>
    </cfRule>
  </conditionalFormatting>
  <conditionalFormatting sqref="I54">
    <cfRule type="expression" dxfId="125" priority="5" stopIfTrue="1">
      <formula>$J$54="超过30%"</formula>
    </cfRule>
  </conditionalFormatting>
  <conditionalFormatting sqref="F48">
    <cfRule type="expression" dxfId="124" priority="4">
      <formula>$D$48="简单平均"</formula>
    </cfRule>
  </conditionalFormatting>
  <conditionalFormatting sqref="H48">
    <cfRule type="expression" dxfId="123" priority="3">
      <formula>$D$48="简单平均"</formula>
    </cfRule>
  </conditionalFormatting>
  <conditionalFormatting sqref="J48">
    <cfRule type="expression" dxfId="122" priority="2">
      <formula>$D$48="简单平均"</formula>
    </cfRule>
  </conditionalFormatting>
  <conditionalFormatting sqref="F7:F46 H7:H46 J7:J46">
    <cfRule type="cellIs" dxfId="121"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C38 E38 G38 I38">
      <formula1>住宅物业管理</formula1>
    </dataValidation>
    <dataValidation type="list" allowBlank="1" showInputMessage="1" showErrorMessage="1" sqref="E39 G39 I39 C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48" fitToHeight="0"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G1:K10"/>
  <sheetViews>
    <sheetView workbookViewId="0">
      <selection activeCell="M54" sqref="M54"/>
    </sheetView>
  </sheetViews>
  <sheetFormatPr defaultColWidth="11" defaultRowHeight="14.25"/>
  <sheetData>
    <row r="1" spans="7:11">
      <c r="G1" s="3488" t="s">
        <v>4249</v>
      </c>
      <c r="H1" s="3488" t="s">
        <v>4250</v>
      </c>
      <c r="I1" s="3488" t="s">
        <v>4251</v>
      </c>
      <c r="J1" s="3488" t="s">
        <v>4252</v>
      </c>
      <c r="K1" s="3488" t="s">
        <v>4253</v>
      </c>
    </row>
    <row r="2" spans="7:11">
      <c r="G2" s="3488" t="s">
        <v>4237</v>
      </c>
      <c r="H2" s="3488">
        <v>999</v>
      </c>
      <c r="I2" s="3488">
        <v>29000</v>
      </c>
      <c r="J2" s="3489">
        <v>0.6</v>
      </c>
      <c r="K2" s="3490"/>
    </row>
    <row r="3" spans="7:11" ht="28.5">
      <c r="G3" s="3488" t="s">
        <v>4238</v>
      </c>
      <c r="H3" s="3488">
        <v>171</v>
      </c>
      <c r="I3" s="3488">
        <v>17500</v>
      </c>
      <c r="J3" s="3489">
        <v>0.4</v>
      </c>
      <c r="K3" s="3491"/>
    </row>
    <row r="4" spans="7:11" ht="42.75">
      <c r="G4" s="3488" t="s">
        <v>4239</v>
      </c>
      <c r="H4" s="3488">
        <v>584</v>
      </c>
      <c r="I4" s="3488">
        <v>29000</v>
      </c>
      <c r="J4" s="3489">
        <v>0.6</v>
      </c>
      <c r="K4" s="3491"/>
    </row>
    <row r="5" spans="7:11" ht="42.75">
      <c r="G5" s="3488" t="s">
        <v>4240</v>
      </c>
      <c r="H5" s="3488">
        <v>2224</v>
      </c>
      <c r="I5" s="3488">
        <v>29000</v>
      </c>
      <c r="J5" s="3489">
        <v>0.8</v>
      </c>
      <c r="K5" s="3491"/>
    </row>
    <row r="6" spans="7:11" ht="28.5">
      <c r="G6" s="3488" t="s">
        <v>4241</v>
      </c>
      <c r="H6" s="3488">
        <v>360</v>
      </c>
      <c r="I6" s="3488">
        <v>30000</v>
      </c>
      <c r="J6" s="3489">
        <v>0.7</v>
      </c>
      <c r="K6" s="3490"/>
    </row>
    <row r="7" spans="7:11">
      <c r="G7" s="3492" t="s">
        <v>4242</v>
      </c>
      <c r="H7" s="3492">
        <v>1508</v>
      </c>
      <c r="I7" s="3492">
        <v>29000</v>
      </c>
      <c r="J7" s="3493">
        <v>0.7</v>
      </c>
      <c r="K7" s="3494" t="s">
        <v>4245</v>
      </c>
    </row>
    <row r="8" spans="7:11" ht="28.5">
      <c r="G8" s="3492" t="s">
        <v>4243</v>
      </c>
      <c r="H8" s="3492">
        <v>1101</v>
      </c>
      <c r="I8" s="3492">
        <v>29000</v>
      </c>
      <c r="J8" s="3493">
        <v>0.7</v>
      </c>
      <c r="K8" s="3494" t="s">
        <v>4245</v>
      </c>
    </row>
    <row r="9" spans="7:11">
      <c r="G9" s="3492" t="s">
        <v>4244</v>
      </c>
      <c r="H9" s="3492">
        <v>1130</v>
      </c>
      <c r="I9" s="3492">
        <v>29000</v>
      </c>
      <c r="J9" s="3493">
        <v>0.7</v>
      </c>
      <c r="K9" s="3494" t="s">
        <v>4245</v>
      </c>
    </row>
    <row r="10" spans="7:11">
      <c r="G10" s="3488" t="s">
        <v>4246</v>
      </c>
      <c r="H10" s="3488">
        <v>348</v>
      </c>
      <c r="I10" s="3488" t="s">
        <v>4247</v>
      </c>
      <c r="J10" s="3489">
        <v>0.79</v>
      </c>
      <c r="K10" s="3490" t="s">
        <v>4248</v>
      </c>
    </row>
  </sheetData>
  <phoneticPr fontId="247" type="noConversion"/>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O4:Q7"/>
  <sheetViews>
    <sheetView workbookViewId="0">
      <selection activeCell="O4" sqref="O4:O7"/>
    </sheetView>
  </sheetViews>
  <sheetFormatPr defaultColWidth="8.875" defaultRowHeight="14.25"/>
  <sheetData>
    <row r="4" spans="15:17">
      <c r="O4" s="3501">
        <v>44958</v>
      </c>
      <c r="P4">
        <v>57047</v>
      </c>
    </row>
    <row r="5" spans="15:17">
      <c r="O5" s="3501">
        <v>44228</v>
      </c>
      <c r="P5">
        <v>44242</v>
      </c>
      <c r="Q5">
        <f>P5/$P$4</f>
        <v>0.77553596157554294</v>
      </c>
    </row>
    <row r="6" spans="15:17">
      <c r="O6" s="3501">
        <v>44166</v>
      </c>
      <c r="P6">
        <v>44426</v>
      </c>
      <c r="Q6">
        <f t="shared" ref="Q6:Q7" si="0">P6/$P$4</f>
        <v>0.77876137220186858</v>
      </c>
    </row>
    <row r="7" spans="15:17">
      <c r="O7" s="3501">
        <v>43709</v>
      </c>
      <c r="P7">
        <v>43093</v>
      </c>
      <c r="Q7">
        <f t="shared" si="0"/>
        <v>0.75539467456658549</v>
      </c>
    </row>
  </sheetData>
  <phoneticPr fontId="273" type="noConversion"/>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workbookViewId="0">
      <selection activeCell="G50" sqref="G50"/>
    </sheetView>
  </sheetViews>
  <sheetFormatPr defaultColWidth="8.875" defaultRowHeight="14.25"/>
  <sheetData/>
  <phoneticPr fontId="273" type="noConversion"/>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zoomScaleSheetLayoutView="80" workbookViewId="0">
      <selection activeCell="D15" sqref="D15"/>
    </sheetView>
  </sheetViews>
  <sheetFormatPr defaultColWidth="9" defaultRowHeight="14.25"/>
  <cols>
    <col min="1" max="1" width="25" style="2505" customWidth="1"/>
    <col min="2" max="9" width="15.875" style="2505" customWidth="1"/>
    <col min="10" max="16384" width="9" style="2505"/>
  </cols>
  <sheetData>
    <row r="1" spans="1:11" ht="16.5">
      <c r="A1" s="2504" t="s">
        <v>665</v>
      </c>
      <c r="B1" s="2504">
        <f>SUM(B14:B23)</f>
        <v>86314.574999999997</v>
      </c>
      <c r="C1" s="2678"/>
      <c r="D1" s="2678"/>
      <c r="E1" s="2678"/>
      <c r="F1" s="2678"/>
      <c r="G1" s="2679"/>
      <c r="H1" s="2680"/>
      <c r="I1" s="2680"/>
      <c r="J1" s="2680"/>
      <c r="K1" s="2680"/>
    </row>
    <row r="2" spans="1:11" ht="16.5">
      <c r="A2" s="2504" t="s">
        <v>653</v>
      </c>
      <c r="B2" s="2504">
        <f>SUM(C14:C23)</f>
        <v>34525.83</v>
      </c>
      <c r="C2" s="2678"/>
      <c r="D2" s="2678"/>
      <c r="E2" s="2678"/>
      <c r="F2" s="2678"/>
      <c r="G2" s="2679"/>
      <c r="H2" s="2680"/>
      <c r="I2" s="2680"/>
      <c r="J2" s="2680"/>
      <c r="K2" s="2680"/>
    </row>
    <row r="3" spans="1:11" ht="16.5">
      <c r="A3" s="2504" t="s">
        <v>662</v>
      </c>
      <c r="B3" s="2506">
        <f>项目基本情况!D3</f>
        <v>45114</v>
      </c>
      <c r="C3" s="2678"/>
      <c r="D3" s="2678"/>
      <c r="E3" s="2678"/>
      <c r="F3" s="2678"/>
      <c r="G3" s="2679"/>
      <c r="H3" s="2680"/>
      <c r="I3" s="2680"/>
      <c r="J3" s="2680"/>
      <c r="K3" s="2680"/>
    </row>
    <row r="4" spans="1:11" ht="33">
      <c r="A4" s="2504" t="s">
        <v>661</v>
      </c>
      <c r="B4" s="2504" t="s">
        <v>660</v>
      </c>
      <c r="C4" s="2504" t="s">
        <v>659</v>
      </c>
      <c r="D4" s="2504" t="s">
        <v>658</v>
      </c>
      <c r="E4" s="2678"/>
      <c r="F4" s="2679"/>
      <c r="G4" s="2679"/>
      <c r="H4" s="2680"/>
      <c r="I4" s="2680"/>
      <c r="J4" s="2680"/>
      <c r="K4" s="2680"/>
    </row>
    <row r="5" spans="1:11" ht="16.5">
      <c r="A5" s="2504" t="s">
        <v>657</v>
      </c>
      <c r="B5" s="2504">
        <f ca="1">SUM(D14:D23)</f>
        <v>259280.35184249998</v>
      </c>
      <c r="C5" s="2504">
        <f ca="1">IF(B5=D14,结果表!H102,ROUND(B5*10000/$B$1,0))</f>
        <v>30039</v>
      </c>
      <c r="D5" s="2504">
        <f ca="1">ROUND(B5*10000/$B$2,0)</f>
        <v>75098</v>
      </c>
      <c r="E5" s="2678"/>
      <c r="F5" s="2679"/>
      <c r="G5" s="2679"/>
      <c r="H5" s="2680"/>
      <c r="I5" s="2680"/>
      <c r="J5" s="2680"/>
      <c r="K5" s="2680"/>
    </row>
    <row r="6" spans="1:11" ht="16.5">
      <c r="A6" s="2504" t="s">
        <v>656</v>
      </c>
      <c r="B6" s="2504">
        <f>SUM(G14:G23)</f>
        <v>0</v>
      </c>
      <c r="C6" s="2504">
        <f ca="1">IF(B6=G14,结果表!H108,ROUND(B6*10000/$B$1,0))</f>
        <v>30039</v>
      </c>
      <c r="D6" s="2504">
        <f>ROUND(B6*10000/$B$2,0)</f>
        <v>0</v>
      </c>
      <c r="E6" s="2678"/>
      <c r="F6" s="2679"/>
      <c r="G6" s="2679"/>
      <c r="H6" s="2680"/>
      <c r="I6" s="2680"/>
      <c r="J6" s="2680"/>
      <c r="K6" s="2680"/>
    </row>
    <row r="7" spans="1:11" ht="16.5">
      <c r="A7" s="2504" t="s">
        <v>664</v>
      </c>
      <c r="B7" s="2504">
        <f>SUM(H14:H23)</f>
        <v>0</v>
      </c>
      <c r="C7" s="2504" t="str">
        <f>IF(B7=H14,结果表!H110,ROUND(B7*10000/$B$1,0))</f>
        <v>——</v>
      </c>
      <c r="D7" s="2504">
        <f>ROUND(B7*10000/$B$2,0)</f>
        <v>0</v>
      </c>
      <c r="E7" s="2678"/>
      <c r="F7" s="2679"/>
      <c r="G7" s="2679"/>
      <c r="H7" s="2680"/>
      <c r="I7" s="2680"/>
      <c r="J7" s="2680"/>
      <c r="K7" s="2680"/>
    </row>
    <row r="8" spans="1:11" ht="16.5">
      <c r="A8" s="2504" t="s">
        <v>587</v>
      </c>
      <c r="B8" s="2504">
        <f>SUM(I14:I23)</f>
        <v>0</v>
      </c>
      <c r="C8" s="2504" t="str">
        <f>IF(B8=I14,结果表!H112,ROUND(B8*10000/$B$1,0))</f>
        <v>——</v>
      </c>
      <c r="D8" s="2504">
        <f>ROUND(B8*10000/$B$2,0)</f>
        <v>0</v>
      </c>
      <c r="E8" s="2678"/>
      <c r="F8" s="2679"/>
      <c r="G8" s="2679"/>
      <c r="H8" s="2680"/>
      <c r="I8" s="2680"/>
      <c r="J8" s="2680"/>
      <c r="K8" s="2680"/>
    </row>
    <row r="9" spans="1:11" ht="16.5">
      <c r="A9" s="2504" t="s">
        <v>655</v>
      </c>
      <c r="B9" s="2512"/>
      <c r="C9" s="2678"/>
      <c r="D9" s="2678"/>
      <c r="E9" s="2678"/>
      <c r="F9" s="2679"/>
      <c r="G9" s="2679"/>
      <c r="H9" s="2680"/>
      <c r="I9" s="2680"/>
      <c r="J9" s="2680"/>
      <c r="K9" s="2680"/>
    </row>
    <row r="10" spans="1:11" ht="16.5">
      <c r="A10" s="2504" t="s">
        <v>654</v>
      </c>
      <c r="B10" s="2504">
        <f>IF(E10="",0,ROUND(B1*(E10*365/G10)/10000,0))</f>
        <v>0</v>
      </c>
      <c r="C10" s="2504" t="s">
        <v>3360</v>
      </c>
      <c r="D10" s="2504" t="s">
        <v>3361</v>
      </c>
      <c r="E10" s="3433"/>
      <c r="F10" s="3437" t="s">
        <v>3362</v>
      </c>
      <c r="G10" s="3434"/>
      <c r="H10" s="2680"/>
      <c r="I10" s="2680"/>
      <c r="J10" s="2680"/>
      <c r="K10" s="2680"/>
    </row>
    <row r="11" spans="1:11" ht="16.5">
      <c r="A11" s="2504" t="s">
        <v>670</v>
      </c>
      <c r="B11" s="2512"/>
      <c r="C11" s="2678"/>
      <c r="D11" s="2678"/>
      <c r="E11" s="2678"/>
      <c r="F11" s="2679"/>
      <c r="G11" s="2679"/>
      <c r="H11" s="2680"/>
      <c r="I11" s="2680"/>
      <c r="J11" s="2680"/>
      <c r="K11" s="2680"/>
    </row>
    <row r="12" spans="1:11" ht="16.5">
      <c r="A12" s="2678"/>
      <c r="B12" s="2678"/>
      <c r="C12" s="2678"/>
      <c r="D12" s="2678"/>
      <c r="E12" s="2678"/>
      <c r="F12" s="2679"/>
      <c r="G12" s="2679"/>
      <c r="H12" s="2680"/>
      <c r="I12" s="2680"/>
      <c r="J12" s="2680"/>
      <c r="K12" s="2680"/>
    </row>
    <row r="13" spans="1:11" ht="33">
      <c r="A13" s="2507" t="s">
        <v>669</v>
      </c>
      <c r="B13" s="2508" t="s">
        <v>666</v>
      </c>
      <c r="C13" s="2508" t="s">
        <v>668</v>
      </c>
      <c r="D13" s="2508" t="s">
        <v>667</v>
      </c>
      <c r="E13" s="2504" t="s">
        <v>659</v>
      </c>
      <c r="F13" s="2504" t="s">
        <v>658</v>
      </c>
      <c r="G13" s="2508" t="s">
        <v>652</v>
      </c>
      <c r="H13" s="2508" t="s">
        <v>663</v>
      </c>
      <c r="I13" s="2508" t="s">
        <v>651</v>
      </c>
      <c r="J13" s="2679"/>
      <c r="K13" s="2680"/>
    </row>
    <row r="14" spans="1:11" ht="16.5">
      <c r="A14" s="2509" t="s">
        <v>650</v>
      </c>
      <c r="B14" s="2510">
        <f>多规!E6</f>
        <v>86314.574999999997</v>
      </c>
      <c r="C14" s="2510">
        <f>多规!D6</f>
        <v>34525.83</v>
      </c>
      <c r="D14" s="2510">
        <f ca="1">B14*E14/10000</f>
        <v>259280.35184249998</v>
      </c>
      <c r="E14" s="2510">
        <f ca="1">C6</f>
        <v>30039</v>
      </c>
      <c r="F14" s="2510">
        <f ca="1">ROUND(D14*10000/C14,0)</f>
        <v>75098</v>
      </c>
      <c r="G14" s="2510"/>
      <c r="H14" s="2510"/>
      <c r="I14" s="2510"/>
      <c r="J14" s="2679"/>
      <c r="K14" s="2680"/>
    </row>
    <row r="15" spans="1:11" ht="16.5">
      <c r="A15" s="2509" t="s">
        <v>649</v>
      </c>
      <c r="B15" s="2511"/>
      <c r="C15" s="2511"/>
      <c r="D15" s="2511"/>
      <c r="E15" s="2510" t="e">
        <f t="shared" ref="E15:E23" si="0">ROUND(D15*10000/B15,0)</f>
        <v>#DIV/0!</v>
      </c>
      <c r="F15" s="2510" t="e">
        <f t="shared" ref="F15:F23" si="1">ROUND(D15*10000/C15,0)</f>
        <v>#DIV/0!</v>
      </c>
      <c r="G15" s="1327"/>
      <c r="H15" s="1327"/>
      <c r="I15" s="2511"/>
      <c r="J15" s="2679"/>
      <c r="K15" s="2680"/>
    </row>
    <row r="16" spans="1:11" ht="16.5">
      <c r="A16" s="2509" t="s">
        <v>648</v>
      </c>
      <c r="B16" s="2511"/>
      <c r="C16" s="2511"/>
      <c r="D16" s="2511"/>
      <c r="E16" s="2510" t="e">
        <f t="shared" si="0"/>
        <v>#DIV/0!</v>
      </c>
      <c r="F16" s="2510" t="e">
        <f t="shared" si="1"/>
        <v>#DIV/0!</v>
      </c>
      <c r="G16" s="1327"/>
      <c r="H16" s="1327"/>
      <c r="I16" s="2511"/>
      <c r="J16" s="2680"/>
      <c r="K16" s="2680"/>
    </row>
    <row r="17" spans="1:11" ht="16.5">
      <c r="A17" s="2509" t="s">
        <v>647</v>
      </c>
      <c r="B17" s="2511"/>
      <c r="C17" s="2511"/>
      <c r="D17" s="2511"/>
      <c r="E17" s="2510" t="e">
        <f t="shared" si="0"/>
        <v>#DIV/0!</v>
      </c>
      <c r="F17" s="2510" t="e">
        <f t="shared" si="1"/>
        <v>#DIV/0!</v>
      </c>
      <c r="G17" s="1327"/>
      <c r="H17" s="1327"/>
      <c r="I17" s="2511"/>
      <c r="J17" s="2680"/>
      <c r="K17" s="2680"/>
    </row>
    <row r="18" spans="1:11" ht="16.5">
      <c r="A18" s="2509" t="s">
        <v>646</v>
      </c>
      <c r="B18" s="2511"/>
      <c r="C18" s="2511"/>
      <c r="D18" s="2511"/>
      <c r="E18" s="2510" t="e">
        <f t="shared" si="0"/>
        <v>#DIV/0!</v>
      </c>
      <c r="F18" s="2510" t="e">
        <f t="shared" si="1"/>
        <v>#DIV/0!</v>
      </c>
      <c r="G18" s="2511"/>
      <c r="H18" s="2511"/>
      <c r="I18" s="2511"/>
      <c r="J18" s="2680"/>
      <c r="K18" s="2680"/>
    </row>
    <row r="19" spans="1:11" ht="16.5">
      <c r="A19" s="2509" t="s">
        <v>645</v>
      </c>
      <c r="B19" s="2511"/>
      <c r="C19" s="2511"/>
      <c r="D19" s="2511"/>
      <c r="E19" s="2510" t="e">
        <f t="shared" si="0"/>
        <v>#DIV/0!</v>
      </c>
      <c r="F19" s="2510" t="e">
        <f t="shared" si="1"/>
        <v>#DIV/0!</v>
      </c>
      <c r="G19" s="2511"/>
      <c r="H19" s="2511"/>
      <c r="I19" s="2511"/>
      <c r="J19" s="2680"/>
      <c r="K19" s="2680"/>
    </row>
    <row r="20" spans="1:11" ht="16.5">
      <c r="A20" s="2509" t="s">
        <v>644</v>
      </c>
      <c r="B20" s="2511"/>
      <c r="C20" s="2511"/>
      <c r="D20" s="2511"/>
      <c r="E20" s="2510" t="e">
        <f t="shared" si="0"/>
        <v>#DIV/0!</v>
      </c>
      <c r="F20" s="2510" t="e">
        <f t="shared" si="1"/>
        <v>#DIV/0!</v>
      </c>
      <c r="G20" s="2511"/>
      <c r="H20" s="2511"/>
      <c r="I20" s="2511"/>
      <c r="J20" s="2680"/>
      <c r="K20" s="2680"/>
    </row>
    <row r="21" spans="1:11" ht="16.5">
      <c r="A21" s="2509" t="s">
        <v>643</v>
      </c>
      <c r="B21" s="2511"/>
      <c r="C21" s="2511"/>
      <c r="D21" s="2511"/>
      <c r="E21" s="2510" t="e">
        <f t="shared" si="0"/>
        <v>#DIV/0!</v>
      </c>
      <c r="F21" s="2510" t="e">
        <f t="shared" si="1"/>
        <v>#DIV/0!</v>
      </c>
      <c r="G21" s="2511"/>
      <c r="H21" s="2511"/>
      <c r="I21" s="2511"/>
      <c r="J21" s="2680"/>
      <c r="K21" s="2680"/>
    </row>
    <row r="22" spans="1:11" ht="16.5">
      <c r="A22" s="2509" t="s">
        <v>642</v>
      </c>
      <c r="B22" s="2511"/>
      <c r="C22" s="2511"/>
      <c r="D22" s="2511"/>
      <c r="E22" s="2510" t="e">
        <f t="shared" si="0"/>
        <v>#DIV/0!</v>
      </c>
      <c r="F22" s="2510" t="e">
        <f t="shared" si="1"/>
        <v>#DIV/0!</v>
      </c>
      <c r="G22" s="2511"/>
      <c r="H22" s="2511"/>
      <c r="I22" s="2511"/>
      <c r="J22" s="2680"/>
      <c r="K22" s="2680"/>
    </row>
    <row r="23" spans="1:11" ht="16.5">
      <c r="A23" s="2509" t="s">
        <v>641</v>
      </c>
      <c r="B23" s="2511"/>
      <c r="C23" s="2511"/>
      <c r="D23" s="2511"/>
      <c r="E23" s="2512" t="e">
        <f t="shared" si="0"/>
        <v>#DIV/0!</v>
      </c>
      <c r="F23" s="2512" t="e">
        <f t="shared" si="1"/>
        <v>#DIV/0!</v>
      </c>
      <c r="G23" s="2511"/>
      <c r="H23" s="2511"/>
      <c r="I23" s="2511"/>
      <c r="J23" s="2680"/>
      <c r="K23" s="2680"/>
    </row>
    <row r="24" spans="1:11">
      <c r="A24" s="2680"/>
      <c r="B24" s="2680"/>
      <c r="C24" s="2680"/>
      <c r="D24" s="2680"/>
      <c r="E24" s="2680"/>
      <c r="F24" s="2680"/>
      <c r="G24" s="2680"/>
      <c r="H24" s="2680"/>
      <c r="I24" s="2680"/>
      <c r="J24" s="2680"/>
      <c r="K24" s="2680"/>
    </row>
    <row r="25" spans="1:11">
      <c r="A25" s="2680"/>
      <c r="B25" s="2680"/>
      <c r="C25" s="2680"/>
      <c r="D25" s="2680"/>
      <c r="E25" s="2680"/>
      <c r="F25" s="2680"/>
      <c r="G25" s="2680"/>
      <c r="H25" s="2680"/>
      <c r="I25" s="2680"/>
      <c r="J25" s="2680"/>
      <c r="K25" s="2680"/>
    </row>
    <row r="26" spans="1:11">
      <c r="A26" s="2680"/>
      <c r="B26" s="2680"/>
      <c r="C26" s="2680"/>
      <c r="D26" s="2680"/>
      <c r="E26" s="2680"/>
      <c r="F26" s="2680"/>
      <c r="G26" s="2680"/>
      <c r="H26" s="2680"/>
      <c r="I26" s="2680"/>
      <c r="J26" s="2680"/>
      <c r="K26" s="2680"/>
    </row>
  </sheetData>
  <sheetProtection password="CEE9" sheet="1" objects="1" scenarios="1" formatCells="0" formatColumns="0" formatRows="0"/>
  <phoneticPr fontId="134" type="noConversion"/>
  <pageMargins left="0.7" right="0.7" top="0.75" bottom="0.75" header="0.3" footer="0.3"/>
  <pageSetup paperSize="9" scale="83"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P2:S7"/>
  <sheetViews>
    <sheetView workbookViewId="0">
      <selection activeCell="P16" sqref="P16"/>
    </sheetView>
  </sheetViews>
  <sheetFormatPr defaultColWidth="8.875" defaultRowHeight="14.25"/>
  <sheetData>
    <row r="2" spans="16:19">
      <c r="P2" s="3501">
        <v>44958</v>
      </c>
      <c r="Q2">
        <v>43722</v>
      </c>
    </row>
    <row r="3" spans="16:19">
      <c r="P3" s="3501">
        <v>44228</v>
      </c>
      <c r="Q3">
        <v>41403</v>
      </c>
      <c r="R3">
        <f>Q3/$Q$2</f>
        <v>0.9469603403320983</v>
      </c>
      <c r="S3">
        <v>95</v>
      </c>
    </row>
    <row r="4" spans="16:19">
      <c r="P4" s="3501">
        <v>44166</v>
      </c>
      <c r="Q4">
        <v>41952</v>
      </c>
      <c r="R4">
        <f t="shared" ref="R4:R5" si="0">Q4/$Q$2</f>
        <v>0.95951694798957043</v>
      </c>
      <c r="S4">
        <v>96</v>
      </c>
    </row>
    <row r="5" spans="16:19">
      <c r="P5" s="3501">
        <v>43709</v>
      </c>
      <c r="Q5">
        <v>43326</v>
      </c>
      <c r="R5">
        <f t="shared" si="0"/>
        <v>0.99094277480444626</v>
      </c>
      <c r="S5">
        <v>99</v>
      </c>
    </row>
    <row r="7" spans="16:19">
      <c r="P7" t="s">
        <v>4255</v>
      </c>
    </row>
  </sheetData>
  <phoneticPr fontId="273" type="noConversion"/>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Z74"/>
  <sheetViews>
    <sheetView topLeftCell="Q1" workbookViewId="0">
      <selection activeCell="K81" sqref="K81"/>
    </sheetView>
  </sheetViews>
  <sheetFormatPr defaultColWidth="9.5" defaultRowHeight="12"/>
  <cols>
    <col min="1" max="1" width="39.125" style="3478" customWidth="1"/>
    <col min="2" max="5" width="9.5" style="3478" customWidth="1"/>
    <col min="6" max="6" width="9.5" style="3478"/>
    <col min="7" max="7" width="13.5" style="3478" customWidth="1"/>
    <col min="8" max="8" width="14.375" style="3478" customWidth="1"/>
    <col min="9" max="12" width="9.5" style="3478"/>
    <col min="13" max="13" width="27" style="3478" customWidth="1"/>
    <col min="14" max="28" width="9.5" style="3478"/>
    <col min="29" max="29" width="9.5" style="3479"/>
    <col min="30" max="31" width="9.5" style="3478"/>
    <col min="32" max="32" width="16.375" style="3478" customWidth="1"/>
    <col min="33" max="41" width="9.5" style="3478"/>
    <col min="42" max="42" width="9.5" style="3479"/>
    <col min="43" max="45" width="9.5" style="3478"/>
    <col min="46" max="46" width="40" style="3478" customWidth="1"/>
    <col min="47" max="16384" width="9.5" style="3478"/>
  </cols>
  <sheetData>
    <row r="1" spans="1:52">
      <c r="A1" s="3812" t="s">
        <v>3401</v>
      </c>
      <c r="B1" s="3812" t="s">
        <v>4236</v>
      </c>
      <c r="C1" s="3812" t="s">
        <v>3383</v>
      </c>
      <c r="D1" s="3812" t="s">
        <v>4235</v>
      </c>
      <c r="E1" s="3812" t="s">
        <v>4234</v>
      </c>
      <c r="F1" s="3812" t="s">
        <v>4233</v>
      </c>
      <c r="G1" s="3812" t="s">
        <v>4232</v>
      </c>
      <c r="H1" s="3812" t="s">
        <v>3402</v>
      </c>
      <c r="I1" s="3812" t="s">
        <v>3403</v>
      </c>
      <c r="J1" s="3812" t="s">
        <v>3404</v>
      </c>
      <c r="K1" s="3812" t="s">
        <v>3405</v>
      </c>
      <c r="L1" s="3812" t="s">
        <v>3406</v>
      </c>
      <c r="M1" s="3812" t="s">
        <v>3407</v>
      </c>
      <c r="N1" s="3812" t="s">
        <v>3408</v>
      </c>
      <c r="O1" s="3812" t="s">
        <v>4231</v>
      </c>
      <c r="P1" s="3812" t="s">
        <v>4230</v>
      </c>
      <c r="Q1" s="3812" t="s">
        <v>4229</v>
      </c>
      <c r="R1" s="3812" t="s">
        <v>4228</v>
      </c>
      <c r="S1" s="3812" t="s">
        <v>4227</v>
      </c>
      <c r="T1" s="3812" t="s">
        <v>4226</v>
      </c>
      <c r="U1" s="3812" t="s">
        <v>4225</v>
      </c>
      <c r="V1" s="3812" t="s">
        <v>4224</v>
      </c>
      <c r="W1" s="3812" t="s">
        <v>4223</v>
      </c>
      <c r="X1" s="3812" t="s">
        <v>4222</v>
      </c>
      <c r="Y1" s="3812" t="s">
        <v>4221</v>
      </c>
      <c r="Z1" s="3812" t="s">
        <v>4220</v>
      </c>
      <c r="AA1" s="3812" t="s">
        <v>4219</v>
      </c>
      <c r="AB1" s="3812" t="s">
        <v>3409</v>
      </c>
      <c r="AC1" s="3814" t="s">
        <v>3410</v>
      </c>
      <c r="AD1" s="3812" t="s">
        <v>4218</v>
      </c>
      <c r="AE1" s="3812" t="s">
        <v>3411</v>
      </c>
      <c r="AF1" s="3812" t="s">
        <v>3412</v>
      </c>
      <c r="AG1" s="3812" t="s">
        <v>4217</v>
      </c>
      <c r="AH1" s="3812" t="s">
        <v>4216</v>
      </c>
      <c r="AI1" s="3812" t="s">
        <v>3413</v>
      </c>
      <c r="AJ1" s="3812" t="s">
        <v>3414</v>
      </c>
      <c r="AK1" s="3812" t="s">
        <v>3415</v>
      </c>
      <c r="AL1" s="3812" t="s">
        <v>3416</v>
      </c>
      <c r="AM1" s="3812" t="s">
        <v>4215</v>
      </c>
      <c r="AN1" s="3812" t="s">
        <v>4214</v>
      </c>
      <c r="AO1" s="3812" t="s">
        <v>4213</v>
      </c>
      <c r="AP1" s="3814" t="s">
        <v>3417</v>
      </c>
      <c r="AQ1" s="3812" t="s">
        <v>4212</v>
      </c>
      <c r="AR1" s="3812" t="s">
        <v>4211</v>
      </c>
      <c r="AS1" s="3812" t="s">
        <v>3418</v>
      </c>
      <c r="AT1" s="3812" t="s">
        <v>4210</v>
      </c>
      <c r="AU1" s="3812" t="s">
        <v>4209</v>
      </c>
      <c r="AV1" s="3812" t="s">
        <v>4208</v>
      </c>
      <c r="AW1" s="3812" t="s">
        <v>4207</v>
      </c>
      <c r="AX1" s="3812" t="s">
        <v>4206</v>
      </c>
      <c r="AY1" s="3812" t="s">
        <v>4205</v>
      </c>
      <c r="AZ1" s="3812" t="s">
        <v>4204</v>
      </c>
    </row>
    <row r="2" spans="1:52" hidden="1">
      <c r="A2" s="3812" t="s">
        <v>4203</v>
      </c>
      <c r="B2" s="3812" t="s">
        <v>3378</v>
      </c>
      <c r="C2" s="3812" t="s">
        <v>4202</v>
      </c>
      <c r="D2" s="3812" t="s">
        <v>3579</v>
      </c>
      <c r="E2" s="3812" t="s">
        <v>3718</v>
      </c>
      <c r="F2" s="3812" t="s">
        <v>3717</v>
      </c>
      <c r="G2" s="3812" t="s">
        <v>4201</v>
      </c>
      <c r="H2" s="3812" t="s">
        <v>3422</v>
      </c>
      <c r="I2" s="3812">
        <v>31231.38</v>
      </c>
      <c r="J2" s="3812">
        <v>78078.45</v>
      </c>
      <c r="K2" s="3812">
        <v>2.5</v>
      </c>
      <c r="L2" s="3812" t="s">
        <v>3423</v>
      </c>
      <c r="M2" s="3812" t="s">
        <v>3611</v>
      </c>
      <c r="N2" s="3812" t="s">
        <v>4192</v>
      </c>
      <c r="O2" s="3812" t="s">
        <v>3463</v>
      </c>
      <c r="P2" s="3812">
        <v>0.3</v>
      </c>
      <c r="Q2" s="3812" t="s">
        <v>4200</v>
      </c>
      <c r="R2" s="3812" t="s">
        <v>4114</v>
      </c>
      <c r="S2" s="3812" t="s">
        <v>3570</v>
      </c>
      <c r="T2" s="3812" t="s">
        <v>3461</v>
      </c>
      <c r="U2" s="3812" t="s">
        <v>3461</v>
      </c>
      <c r="V2" s="3812" t="s">
        <v>3461</v>
      </c>
      <c r="W2" s="3812" t="s">
        <v>3461</v>
      </c>
      <c r="X2" s="3812">
        <v>0</v>
      </c>
      <c r="Y2" s="3812">
        <v>0</v>
      </c>
      <c r="Z2" s="3815">
        <v>44925.000497685185</v>
      </c>
      <c r="AA2" s="3815">
        <v>44945.000497685185</v>
      </c>
      <c r="AB2" s="3815">
        <v>44964.000497685185</v>
      </c>
      <c r="AC2" s="3813">
        <v>44964.000497685185</v>
      </c>
      <c r="AD2" s="3812" t="s">
        <v>4199</v>
      </c>
      <c r="AE2" s="3812" t="s">
        <v>3426</v>
      </c>
      <c r="AF2" s="3812" t="s">
        <v>3982</v>
      </c>
      <c r="AG2" s="3812" t="s">
        <v>3823</v>
      </c>
      <c r="AH2" s="3812" t="s">
        <v>3595</v>
      </c>
      <c r="AI2" s="3812">
        <v>172000</v>
      </c>
      <c r="AJ2" s="3812">
        <v>35000</v>
      </c>
      <c r="AK2" s="3812" t="s">
        <v>4198</v>
      </c>
      <c r="AL2" s="3812">
        <v>172000</v>
      </c>
      <c r="AM2" s="3812">
        <v>3671.52</v>
      </c>
      <c r="AN2" s="3812">
        <v>3671.52</v>
      </c>
      <c r="AO2" s="3812">
        <v>22029</v>
      </c>
      <c r="AP2" s="3814">
        <v>22029</v>
      </c>
      <c r="AQ2" s="3812" t="s">
        <v>3461</v>
      </c>
      <c r="AR2" s="3812" t="s">
        <v>3461</v>
      </c>
      <c r="AS2" s="3812">
        <v>0</v>
      </c>
      <c r="AT2" s="3812" t="s">
        <v>4124</v>
      </c>
      <c r="AU2" s="3812">
        <v>197800</v>
      </c>
      <c r="AV2" s="3812" t="s">
        <v>3897</v>
      </c>
      <c r="AW2" s="3812">
        <v>45000</v>
      </c>
      <c r="AX2" s="3812">
        <v>25333</v>
      </c>
      <c r="AY2" s="3812">
        <v>15</v>
      </c>
      <c r="AZ2" s="3812">
        <v>22971</v>
      </c>
    </row>
    <row r="3" spans="1:52" hidden="1">
      <c r="A3" s="3812" t="s">
        <v>4197</v>
      </c>
      <c r="B3" s="3812" t="s">
        <v>3378</v>
      </c>
      <c r="C3" s="3812" t="s">
        <v>4196</v>
      </c>
      <c r="D3" s="3812" t="s">
        <v>3579</v>
      </c>
      <c r="E3" s="3812" t="s">
        <v>3592</v>
      </c>
      <c r="F3" s="3812" t="s">
        <v>3699</v>
      </c>
      <c r="G3" s="3812" t="s">
        <v>4195</v>
      </c>
      <c r="H3" s="3812" t="s">
        <v>3439</v>
      </c>
      <c r="I3" s="3812">
        <v>71668</v>
      </c>
      <c r="J3" s="3812">
        <v>194641.99</v>
      </c>
      <c r="K3" s="3812" t="s">
        <v>4194</v>
      </c>
      <c r="L3" s="3812" t="s">
        <v>3423</v>
      </c>
      <c r="M3" s="3812" t="s">
        <v>4193</v>
      </c>
      <c r="N3" s="3812" t="s">
        <v>4192</v>
      </c>
      <c r="O3" s="3812" t="s">
        <v>3463</v>
      </c>
      <c r="P3" s="3812" t="s">
        <v>4191</v>
      </c>
      <c r="Q3" s="3812" t="s">
        <v>4190</v>
      </c>
      <c r="R3" s="3812" t="s">
        <v>4189</v>
      </c>
      <c r="S3" s="3812" t="s">
        <v>3570</v>
      </c>
      <c r="T3" s="3812" t="s">
        <v>3461</v>
      </c>
      <c r="U3" s="3812" t="s">
        <v>3461</v>
      </c>
      <c r="V3" s="3812" t="s">
        <v>3461</v>
      </c>
      <c r="W3" s="3812" t="s">
        <v>3461</v>
      </c>
      <c r="X3" s="3812">
        <v>0</v>
      </c>
      <c r="Y3" s="3812">
        <v>0</v>
      </c>
      <c r="Z3" s="3815">
        <v>44925.000497685185</v>
      </c>
      <c r="AA3" s="3815">
        <v>44945.000497685185</v>
      </c>
      <c r="AB3" s="3815">
        <v>44964.000497685185</v>
      </c>
      <c r="AC3" s="3813">
        <v>44964.000497685185</v>
      </c>
      <c r="AD3" s="3812" t="s">
        <v>4188</v>
      </c>
      <c r="AE3" s="3812" t="s">
        <v>3426</v>
      </c>
      <c r="AF3" s="3812" t="s">
        <v>4187</v>
      </c>
      <c r="AG3" s="3812" t="s">
        <v>4186</v>
      </c>
      <c r="AH3" s="3812" t="s">
        <v>3615</v>
      </c>
      <c r="AI3" s="3812">
        <v>311200</v>
      </c>
      <c r="AJ3" s="3812">
        <v>63000</v>
      </c>
      <c r="AK3" s="3812" t="s">
        <v>633</v>
      </c>
      <c r="AL3" s="3812">
        <v>311200</v>
      </c>
      <c r="AM3" s="3812">
        <v>2894.83</v>
      </c>
      <c r="AN3" s="3812">
        <v>2894.83</v>
      </c>
      <c r="AO3" s="3812">
        <v>15988</v>
      </c>
      <c r="AP3" s="3814">
        <v>15988</v>
      </c>
      <c r="AQ3" s="3812" t="s">
        <v>3461</v>
      </c>
      <c r="AR3" s="3812" t="s">
        <v>3461</v>
      </c>
      <c r="AS3" s="3812">
        <v>0</v>
      </c>
      <c r="AT3" s="3812" t="s">
        <v>4185</v>
      </c>
      <c r="AU3" s="3812">
        <v>357880</v>
      </c>
      <c r="AV3" s="3812" t="s">
        <v>3897</v>
      </c>
      <c r="AW3" s="3812">
        <v>58000</v>
      </c>
      <c r="AX3" s="3812">
        <v>18387</v>
      </c>
      <c r="AY3" s="3812">
        <v>15</v>
      </c>
      <c r="AZ3" s="3812">
        <v>42012</v>
      </c>
    </row>
    <row r="4" spans="1:52" hidden="1">
      <c r="A4" s="3812" t="s">
        <v>4184</v>
      </c>
      <c r="B4" s="3812" t="s">
        <v>3378</v>
      </c>
      <c r="C4" s="3812" t="s">
        <v>4183</v>
      </c>
      <c r="D4" s="3812" t="s">
        <v>3579</v>
      </c>
      <c r="E4" s="3812" t="s">
        <v>3718</v>
      </c>
      <c r="F4" s="3812" t="s">
        <v>3717</v>
      </c>
      <c r="G4" s="3812" t="s">
        <v>3888</v>
      </c>
      <c r="H4" s="3812" t="s">
        <v>3439</v>
      </c>
      <c r="I4" s="3812">
        <v>17779.03</v>
      </c>
      <c r="J4" s="3812">
        <v>18677</v>
      </c>
      <c r="K4" s="3812" t="s">
        <v>4182</v>
      </c>
      <c r="L4" s="3812" t="s">
        <v>3423</v>
      </c>
      <c r="M4" s="3812" t="s">
        <v>3574</v>
      </c>
      <c r="N4" s="3812" t="s">
        <v>4129</v>
      </c>
      <c r="O4" s="3812" t="s">
        <v>3463</v>
      </c>
      <c r="P4" s="3812" t="s">
        <v>4181</v>
      </c>
      <c r="Q4" s="3812" t="s">
        <v>4180</v>
      </c>
      <c r="R4" s="3812" t="s">
        <v>4179</v>
      </c>
      <c r="S4" s="3812" t="s">
        <v>3623</v>
      </c>
      <c r="T4" s="3812" t="s">
        <v>3461</v>
      </c>
      <c r="U4" s="3812" t="s">
        <v>3461</v>
      </c>
      <c r="V4" s="3812" t="s">
        <v>3461</v>
      </c>
      <c r="W4" s="3812" t="s">
        <v>3461</v>
      </c>
      <c r="X4" s="3812">
        <v>0</v>
      </c>
      <c r="Y4" s="3812">
        <v>0</v>
      </c>
      <c r="Z4" s="3815">
        <v>44791.000497685185</v>
      </c>
      <c r="AA4" s="3815">
        <v>44811.000497685185</v>
      </c>
      <c r="AB4" s="3815">
        <v>44826.000497685185</v>
      </c>
      <c r="AC4" s="3813">
        <v>44826.000497685185</v>
      </c>
      <c r="AD4" s="3812" t="s">
        <v>4178</v>
      </c>
      <c r="AE4" s="3812" t="s">
        <v>3426</v>
      </c>
      <c r="AF4" s="3812" t="s">
        <v>4177</v>
      </c>
      <c r="AG4" s="3812" t="s">
        <v>4176</v>
      </c>
      <c r="AH4" s="3812" t="s">
        <v>3633</v>
      </c>
      <c r="AI4" s="3812">
        <v>43000</v>
      </c>
      <c r="AJ4" s="3812">
        <v>8600</v>
      </c>
      <c r="AK4" s="3812" t="s">
        <v>4125</v>
      </c>
      <c r="AL4" s="3812">
        <v>43000</v>
      </c>
      <c r="AM4" s="3812">
        <v>1612.39</v>
      </c>
      <c r="AN4" s="3812">
        <v>1612.39</v>
      </c>
      <c r="AO4" s="3812">
        <v>23023</v>
      </c>
      <c r="AP4" s="3814">
        <v>23023</v>
      </c>
      <c r="AQ4" s="3812" t="s">
        <v>3461</v>
      </c>
      <c r="AR4" s="3812" t="s">
        <v>3461</v>
      </c>
      <c r="AS4" s="3812">
        <v>0</v>
      </c>
      <c r="AT4" s="3812" t="s">
        <v>4158</v>
      </c>
      <c r="AU4" s="3812">
        <v>49450</v>
      </c>
      <c r="AV4" s="3812" t="s">
        <v>3897</v>
      </c>
      <c r="AW4" s="3812" t="s">
        <v>3463</v>
      </c>
      <c r="AX4" s="3812">
        <v>26476</v>
      </c>
      <c r="AY4" s="3812">
        <v>15</v>
      </c>
      <c r="AZ4" s="3812" t="s">
        <v>3461</v>
      </c>
    </row>
    <row r="5" spans="1:52" hidden="1">
      <c r="A5" s="3812" t="s">
        <v>4175</v>
      </c>
      <c r="B5" s="3812" t="s">
        <v>3378</v>
      </c>
      <c r="C5" s="3812" t="s">
        <v>4174</v>
      </c>
      <c r="D5" s="3812" t="s">
        <v>3579</v>
      </c>
      <c r="E5" s="3812" t="s">
        <v>3592</v>
      </c>
      <c r="F5" s="3812" t="s">
        <v>3699</v>
      </c>
      <c r="G5" s="3812" t="s">
        <v>4173</v>
      </c>
      <c r="H5" s="3812" t="s">
        <v>3422</v>
      </c>
      <c r="I5" s="3812">
        <v>21625</v>
      </c>
      <c r="J5" s="3812">
        <v>43250</v>
      </c>
      <c r="K5" s="3812" t="s">
        <v>3471</v>
      </c>
      <c r="L5" s="3812" t="s">
        <v>3423</v>
      </c>
      <c r="M5" s="3812" t="s">
        <v>3611</v>
      </c>
      <c r="N5" s="3812" t="s">
        <v>4129</v>
      </c>
      <c r="O5" s="3812" t="s">
        <v>3463</v>
      </c>
      <c r="P5" s="3812">
        <v>0.3</v>
      </c>
      <c r="Q5" s="3812" t="s">
        <v>3877</v>
      </c>
      <c r="R5" s="3812" t="s">
        <v>4172</v>
      </c>
      <c r="S5" s="3812" t="s">
        <v>4171</v>
      </c>
      <c r="T5" s="3812" t="s">
        <v>3461</v>
      </c>
      <c r="U5" s="3812" t="s">
        <v>3461</v>
      </c>
      <c r="V5" s="3812" t="s">
        <v>3461</v>
      </c>
      <c r="W5" s="3812" t="s">
        <v>3461</v>
      </c>
      <c r="X5" s="3812">
        <v>0</v>
      </c>
      <c r="Y5" s="3812">
        <v>0</v>
      </c>
      <c r="Z5" s="3815">
        <v>44791.000497685185</v>
      </c>
      <c r="AA5" s="3815">
        <v>44811.000497685185</v>
      </c>
      <c r="AB5" s="3815">
        <v>44826.000497685185</v>
      </c>
      <c r="AC5" s="3813">
        <v>44826.000497685185</v>
      </c>
      <c r="AD5" s="3812" t="s">
        <v>4170</v>
      </c>
      <c r="AE5" s="3812" t="s">
        <v>3426</v>
      </c>
      <c r="AF5" s="3812" t="s">
        <v>4169</v>
      </c>
      <c r="AG5" s="3812" t="s">
        <v>4168</v>
      </c>
      <c r="AH5" s="3812" t="s">
        <v>3633</v>
      </c>
      <c r="AI5" s="3812">
        <v>143000</v>
      </c>
      <c r="AJ5" s="3812">
        <v>29000</v>
      </c>
      <c r="AK5" s="3812" t="s">
        <v>4125</v>
      </c>
      <c r="AL5" s="3812">
        <v>143000</v>
      </c>
      <c r="AM5" s="3812">
        <v>4408.4799999999996</v>
      </c>
      <c r="AN5" s="3812">
        <v>4408.4799999999996</v>
      </c>
      <c r="AO5" s="3812">
        <v>33064</v>
      </c>
      <c r="AP5" s="3814">
        <v>33064</v>
      </c>
      <c r="AQ5" s="3812" t="s">
        <v>3461</v>
      </c>
      <c r="AR5" s="3812" t="s">
        <v>3461</v>
      </c>
      <c r="AS5" s="3812">
        <v>0</v>
      </c>
      <c r="AT5" s="3812" t="s">
        <v>4124</v>
      </c>
      <c r="AU5" s="3812">
        <v>164450</v>
      </c>
      <c r="AV5" s="3812" t="s">
        <v>3897</v>
      </c>
      <c r="AW5" s="3812" t="s">
        <v>3463</v>
      </c>
      <c r="AX5" s="3812">
        <v>38023</v>
      </c>
      <c r="AY5" s="3812">
        <v>15</v>
      </c>
      <c r="AZ5" s="3812" t="s">
        <v>3461</v>
      </c>
    </row>
    <row r="6" spans="1:52" hidden="1">
      <c r="A6" s="3812" t="s">
        <v>4167</v>
      </c>
      <c r="B6" s="3812" t="s">
        <v>3378</v>
      </c>
      <c r="C6" s="3812" t="s">
        <v>4166</v>
      </c>
      <c r="D6" s="3812" t="s">
        <v>3579</v>
      </c>
      <c r="E6" s="3812" t="s">
        <v>3718</v>
      </c>
      <c r="F6" s="3812" t="s">
        <v>3740</v>
      </c>
      <c r="G6" s="3812" t="s">
        <v>4165</v>
      </c>
      <c r="H6" s="3812" t="s">
        <v>3439</v>
      </c>
      <c r="I6" s="3812">
        <v>48701.2</v>
      </c>
      <c r="J6" s="3812">
        <v>111831</v>
      </c>
      <c r="K6" s="3812" t="s">
        <v>4164</v>
      </c>
      <c r="L6" s="3812" t="s">
        <v>3423</v>
      </c>
      <c r="M6" s="3812" t="s">
        <v>3574</v>
      </c>
      <c r="N6" s="3812" t="s">
        <v>4129</v>
      </c>
      <c r="O6" s="3812" t="s">
        <v>3463</v>
      </c>
      <c r="P6" s="3812" t="s">
        <v>4163</v>
      </c>
      <c r="Q6" s="3812" t="s">
        <v>4162</v>
      </c>
      <c r="R6" s="3812" t="s">
        <v>4128</v>
      </c>
      <c r="S6" s="3812" t="s">
        <v>3623</v>
      </c>
      <c r="T6" s="3812" t="s">
        <v>3461</v>
      </c>
      <c r="U6" s="3812" t="s">
        <v>3461</v>
      </c>
      <c r="V6" s="3812" t="s">
        <v>3461</v>
      </c>
      <c r="W6" s="3812" t="s">
        <v>3461</v>
      </c>
      <c r="X6" s="3812">
        <v>0</v>
      </c>
      <c r="Y6" s="3812">
        <v>0</v>
      </c>
      <c r="Z6" s="3815">
        <v>44791.000497685185</v>
      </c>
      <c r="AA6" s="3815">
        <v>44811.000497685185</v>
      </c>
      <c r="AB6" s="3815">
        <v>44826.000497685185</v>
      </c>
      <c r="AC6" s="3813">
        <v>44826.000497685185</v>
      </c>
      <c r="AD6" s="3812" t="s">
        <v>4161</v>
      </c>
      <c r="AE6" s="3812" t="s">
        <v>3426</v>
      </c>
      <c r="AF6" s="3812" t="s">
        <v>4160</v>
      </c>
      <c r="AG6" s="3812" t="s">
        <v>4159</v>
      </c>
      <c r="AH6" s="3812" t="s">
        <v>3633</v>
      </c>
      <c r="AI6" s="3812">
        <v>167000</v>
      </c>
      <c r="AJ6" s="3812">
        <v>34000</v>
      </c>
      <c r="AK6" s="3812" t="s">
        <v>4125</v>
      </c>
      <c r="AL6" s="3812">
        <v>167000</v>
      </c>
      <c r="AM6" s="3812">
        <v>2286.0500000000002</v>
      </c>
      <c r="AN6" s="3812">
        <v>2286.0500000000002</v>
      </c>
      <c r="AO6" s="3812">
        <v>14933</v>
      </c>
      <c r="AP6" s="3814">
        <v>14933</v>
      </c>
      <c r="AQ6" s="3812" t="s">
        <v>3461</v>
      </c>
      <c r="AR6" s="3812" t="s">
        <v>3461</v>
      </c>
      <c r="AS6" s="3812">
        <v>0</v>
      </c>
      <c r="AT6" s="3812" t="s">
        <v>4158</v>
      </c>
      <c r="AU6" s="3812">
        <v>192050</v>
      </c>
      <c r="AV6" s="3812" t="s">
        <v>3897</v>
      </c>
      <c r="AW6" s="3812" t="s">
        <v>3463</v>
      </c>
      <c r="AX6" s="3812">
        <v>17173</v>
      </c>
      <c r="AY6" s="3812">
        <v>15</v>
      </c>
      <c r="AZ6" s="3812" t="s">
        <v>3461</v>
      </c>
    </row>
    <row r="7" spans="1:52" hidden="1">
      <c r="A7" s="3812" t="s">
        <v>4157</v>
      </c>
      <c r="B7" s="3812" t="s">
        <v>3378</v>
      </c>
      <c r="C7" s="3812" t="s">
        <v>4156</v>
      </c>
      <c r="D7" s="3812" t="s">
        <v>3579</v>
      </c>
      <c r="E7" s="3812" t="s">
        <v>3578</v>
      </c>
      <c r="F7" s="3812" t="s">
        <v>4155</v>
      </c>
      <c r="G7" s="3812" t="s">
        <v>4154</v>
      </c>
      <c r="H7" s="3812" t="s">
        <v>3422</v>
      </c>
      <c r="I7" s="3812">
        <v>32689.63</v>
      </c>
      <c r="J7" s="3812">
        <v>71917</v>
      </c>
      <c r="K7" s="3812">
        <v>2.2000000000000002</v>
      </c>
      <c r="L7" s="3812" t="s">
        <v>3423</v>
      </c>
      <c r="M7" s="3812" t="s">
        <v>3611</v>
      </c>
      <c r="N7" s="3812" t="s">
        <v>4129</v>
      </c>
      <c r="O7" s="3812" t="s">
        <v>3463</v>
      </c>
      <c r="P7" s="3812" t="s">
        <v>3461</v>
      </c>
      <c r="Q7" s="3812" t="s">
        <v>3877</v>
      </c>
      <c r="R7" s="3812" t="s">
        <v>4128</v>
      </c>
      <c r="S7" s="3812" t="s">
        <v>3623</v>
      </c>
      <c r="T7" s="3812" t="s">
        <v>3461</v>
      </c>
      <c r="U7" s="3812" t="s">
        <v>3461</v>
      </c>
      <c r="V7" s="3812" t="s">
        <v>3461</v>
      </c>
      <c r="W7" s="3812" t="s">
        <v>3461</v>
      </c>
      <c r="X7" s="3812">
        <v>0</v>
      </c>
      <c r="Y7" s="3812">
        <v>0</v>
      </c>
      <c r="Z7" s="3815">
        <v>44791.000497685185</v>
      </c>
      <c r="AA7" s="3815">
        <v>44811.000497685185</v>
      </c>
      <c r="AB7" s="3815">
        <v>44826.000497685185</v>
      </c>
      <c r="AC7" s="3813">
        <v>44827.000497685185</v>
      </c>
      <c r="AD7" s="3812" t="s">
        <v>4153</v>
      </c>
      <c r="AE7" s="3812" t="s">
        <v>3426</v>
      </c>
      <c r="AF7" s="3812" t="s">
        <v>4152</v>
      </c>
      <c r="AG7" s="3812" t="s">
        <v>4151</v>
      </c>
      <c r="AH7" s="3812" t="s">
        <v>3633</v>
      </c>
      <c r="AI7" s="3812">
        <v>294000</v>
      </c>
      <c r="AJ7" s="3812">
        <v>60000</v>
      </c>
      <c r="AK7" s="3812" t="s">
        <v>4125</v>
      </c>
      <c r="AL7" s="3812">
        <v>338100</v>
      </c>
      <c r="AM7" s="3812">
        <v>5995.79</v>
      </c>
      <c r="AN7" s="3812">
        <v>6895.15</v>
      </c>
      <c r="AO7" s="3812">
        <v>40880</v>
      </c>
      <c r="AP7" s="3814">
        <v>47013</v>
      </c>
      <c r="AQ7" s="3812" t="s">
        <v>3461</v>
      </c>
      <c r="AR7" s="3812" t="s">
        <v>3461</v>
      </c>
      <c r="AS7" s="3812">
        <v>15</v>
      </c>
      <c r="AT7" s="3812" t="s">
        <v>4124</v>
      </c>
      <c r="AU7" s="3812">
        <v>338100</v>
      </c>
      <c r="AV7" s="3812" t="s">
        <v>3933</v>
      </c>
      <c r="AW7" s="3812" t="s">
        <v>3463</v>
      </c>
      <c r="AX7" s="3812">
        <v>47013</v>
      </c>
      <c r="AY7" s="3812">
        <v>15</v>
      </c>
      <c r="AZ7" s="3812" t="s">
        <v>3461</v>
      </c>
    </row>
    <row r="8" spans="1:52" hidden="1">
      <c r="A8" s="3812" t="s">
        <v>4150</v>
      </c>
      <c r="B8" s="3812" t="s">
        <v>3378</v>
      </c>
      <c r="C8" s="3812" t="s">
        <v>4149</v>
      </c>
      <c r="D8" s="3812" t="s">
        <v>3579</v>
      </c>
      <c r="E8" s="3812" t="s">
        <v>3592</v>
      </c>
      <c r="F8" s="3812" t="s">
        <v>3796</v>
      </c>
      <c r="G8" s="3812" t="s">
        <v>3795</v>
      </c>
      <c r="H8" s="3812" t="s">
        <v>3439</v>
      </c>
      <c r="I8" s="3812">
        <v>27876.52</v>
      </c>
      <c r="J8" s="3812">
        <v>69691.3</v>
      </c>
      <c r="K8" s="3812">
        <v>2.5</v>
      </c>
      <c r="L8" s="3812" t="s">
        <v>3423</v>
      </c>
      <c r="M8" s="3812" t="s">
        <v>4148</v>
      </c>
      <c r="N8" s="3812" t="s">
        <v>4129</v>
      </c>
      <c r="O8" s="3812">
        <v>5.74</v>
      </c>
      <c r="P8" s="3812" t="s">
        <v>3461</v>
      </c>
      <c r="Q8" s="3812">
        <v>45</v>
      </c>
      <c r="R8" s="3812" t="s">
        <v>4128</v>
      </c>
      <c r="S8" s="3812" t="s">
        <v>3623</v>
      </c>
      <c r="T8" s="3812" t="s">
        <v>3461</v>
      </c>
      <c r="U8" s="3812" t="s">
        <v>3461</v>
      </c>
      <c r="V8" s="3812">
        <v>0</v>
      </c>
      <c r="W8" s="3812" t="s">
        <v>3461</v>
      </c>
      <c r="X8" s="3812">
        <v>0</v>
      </c>
      <c r="Y8" s="3812">
        <v>0</v>
      </c>
      <c r="Z8" s="3815">
        <v>44791.000497685185</v>
      </c>
      <c r="AA8" s="3815">
        <v>44811.000497685185</v>
      </c>
      <c r="AB8" s="3815">
        <v>44826.000497685185</v>
      </c>
      <c r="AC8" s="3813">
        <v>44826.000497685185</v>
      </c>
      <c r="AD8" s="3812" t="s">
        <v>4147</v>
      </c>
      <c r="AE8" s="3812" t="s">
        <v>3426</v>
      </c>
      <c r="AF8" s="3812" t="s">
        <v>4146</v>
      </c>
      <c r="AG8" s="3812" t="s">
        <v>4145</v>
      </c>
      <c r="AH8" s="3812" t="s">
        <v>4144</v>
      </c>
      <c r="AI8" s="3812">
        <v>250000</v>
      </c>
      <c r="AJ8" s="3812">
        <v>50000</v>
      </c>
      <c r="AK8" s="3812" t="s">
        <v>4125</v>
      </c>
      <c r="AL8" s="3812">
        <v>250000</v>
      </c>
      <c r="AM8" s="3812">
        <v>5978.75</v>
      </c>
      <c r="AN8" s="3812">
        <v>5978.75</v>
      </c>
      <c r="AO8" s="3812">
        <v>35872</v>
      </c>
      <c r="AP8" s="3814">
        <v>35872</v>
      </c>
      <c r="AQ8" s="3812" t="s">
        <v>3461</v>
      </c>
      <c r="AR8" s="3812" t="s">
        <v>3461</v>
      </c>
      <c r="AS8" s="3812">
        <v>0</v>
      </c>
      <c r="AT8" s="3812" t="s">
        <v>4143</v>
      </c>
      <c r="AU8" s="3812">
        <v>287500</v>
      </c>
      <c r="AV8" s="3812" t="s">
        <v>3897</v>
      </c>
      <c r="AW8" s="3812" t="s">
        <v>3463</v>
      </c>
      <c r="AX8" s="3812">
        <v>41253</v>
      </c>
      <c r="AY8" s="3812">
        <v>15</v>
      </c>
      <c r="AZ8" s="3812" t="s">
        <v>3461</v>
      </c>
    </row>
    <row r="9" spans="1:52" hidden="1">
      <c r="A9" s="3812" t="s">
        <v>4142</v>
      </c>
      <c r="B9" s="3812" t="s">
        <v>3378</v>
      </c>
      <c r="C9" s="3812" t="s">
        <v>4141</v>
      </c>
      <c r="D9" s="3812" t="s">
        <v>3579</v>
      </c>
      <c r="E9" s="3812" t="s">
        <v>3578</v>
      </c>
      <c r="F9" s="3812" t="s">
        <v>4137</v>
      </c>
      <c r="G9" s="3812" t="s">
        <v>4136</v>
      </c>
      <c r="H9" s="3812" t="s">
        <v>3422</v>
      </c>
      <c r="I9" s="3812">
        <v>39419.43</v>
      </c>
      <c r="J9" s="3812">
        <v>94607</v>
      </c>
      <c r="K9" s="3812">
        <v>2.4</v>
      </c>
      <c r="L9" s="3812" t="s">
        <v>3423</v>
      </c>
      <c r="M9" s="3812" t="s">
        <v>3611</v>
      </c>
      <c r="N9" s="3812" t="s">
        <v>4129</v>
      </c>
      <c r="O9" s="3812" t="s">
        <v>3463</v>
      </c>
      <c r="P9" s="3812" t="s">
        <v>3461</v>
      </c>
      <c r="Q9" s="3812" t="s">
        <v>3877</v>
      </c>
      <c r="R9" s="3812" t="s">
        <v>4128</v>
      </c>
      <c r="S9" s="3812" t="s">
        <v>3623</v>
      </c>
      <c r="T9" s="3812" t="s">
        <v>3461</v>
      </c>
      <c r="U9" s="3812" t="s">
        <v>3461</v>
      </c>
      <c r="V9" s="3812" t="s">
        <v>3461</v>
      </c>
      <c r="W9" s="3812" t="s">
        <v>3461</v>
      </c>
      <c r="X9" s="3812">
        <v>0</v>
      </c>
      <c r="Y9" s="3812">
        <v>0</v>
      </c>
      <c r="Z9" s="3815">
        <v>44791.000497685185</v>
      </c>
      <c r="AA9" s="3815">
        <v>44811.000497685185</v>
      </c>
      <c r="AB9" s="3815">
        <v>44826.000497685185</v>
      </c>
      <c r="AC9" s="3813">
        <v>44827.000497685185</v>
      </c>
      <c r="AD9" s="3812" t="s">
        <v>4140</v>
      </c>
      <c r="AE9" s="3812" t="s">
        <v>3426</v>
      </c>
      <c r="AF9" s="3812" t="s">
        <v>3597</v>
      </c>
      <c r="AG9" s="3812" t="s">
        <v>3596</v>
      </c>
      <c r="AH9" s="3812" t="s">
        <v>3595</v>
      </c>
      <c r="AI9" s="3812">
        <v>480000</v>
      </c>
      <c r="AJ9" s="3812">
        <v>96000</v>
      </c>
      <c r="AK9" s="3812" t="s">
        <v>4125</v>
      </c>
      <c r="AL9" s="3812">
        <v>497000</v>
      </c>
      <c r="AM9" s="3812">
        <v>8117.82</v>
      </c>
      <c r="AN9" s="3812">
        <v>8405.33</v>
      </c>
      <c r="AO9" s="3812">
        <v>50736</v>
      </c>
      <c r="AP9" s="3814">
        <v>52533</v>
      </c>
      <c r="AQ9" s="3812" t="s">
        <v>3461</v>
      </c>
      <c r="AR9" s="3812" t="s">
        <v>3461</v>
      </c>
      <c r="AS9" s="3812">
        <v>3.54</v>
      </c>
      <c r="AT9" s="3812" t="s">
        <v>4124</v>
      </c>
      <c r="AU9" s="3812">
        <v>552000</v>
      </c>
      <c r="AV9" s="3812" t="s">
        <v>3897</v>
      </c>
      <c r="AW9" s="3812" t="s">
        <v>3463</v>
      </c>
      <c r="AX9" s="3812">
        <v>58347</v>
      </c>
      <c r="AY9" s="3812">
        <v>15</v>
      </c>
      <c r="AZ9" s="3812" t="s">
        <v>3461</v>
      </c>
    </row>
    <row r="10" spans="1:52" hidden="1">
      <c r="A10" s="3812" t="s">
        <v>4139</v>
      </c>
      <c r="B10" s="3812" t="s">
        <v>3378</v>
      </c>
      <c r="C10" s="3812" t="s">
        <v>4138</v>
      </c>
      <c r="D10" s="3812" t="s">
        <v>3579</v>
      </c>
      <c r="E10" s="3812" t="s">
        <v>3578</v>
      </c>
      <c r="F10" s="3812" t="s">
        <v>4137</v>
      </c>
      <c r="G10" s="3812" t="s">
        <v>4136</v>
      </c>
      <c r="H10" s="3812" t="s">
        <v>3422</v>
      </c>
      <c r="I10" s="3812">
        <v>26171.64</v>
      </c>
      <c r="J10" s="3812">
        <v>68046</v>
      </c>
      <c r="K10" s="3812">
        <v>2.6</v>
      </c>
      <c r="L10" s="3812" t="s">
        <v>3423</v>
      </c>
      <c r="M10" s="3812" t="s">
        <v>3611</v>
      </c>
      <c r="N10" s="3812" t="s">
        <v>4129</v>
      </c>
      <c r="O10" s="3812" t="s">
        <v>3463</v>
      </c>
      <c r="P10" s="3812" t="s">
        <v>3461</v>
      </c>
      <c r="Q10" s="3812" t="s">
        <v>4135</v>
      </c>
      <c r="R10" s="3812" t="s">
        <v>4128</v>
      </c>
      <c r="S10" s="3812" t="s">
        <v>3623</v>
      </c>
      <c r="T10" s="3812" t="s">
        <v>3461</v>
      </c>
      <c r="U10" s="3812" t="s">
        <v>3461</v>
      </c>
      <c r="V10" s="3812" t="s">
        <v>3461</v>
      </c>
      <c r="W10" s="3812" t="s">
        <v>3461</v>
      </c>
      <c r="X10" s="3812">
        <v>0</v>
      </c>
      <c r="Y10" s="3812">
        <v>0</v>
      </c>
      <c r="Z10" s="3815">
        <v>44791.000497685185</v>
      </c>
      <c r="AA10" s="3815">
        <v>44811.000497685185</v>
      </c>
      <c r="AB10" s="3815">
        <v>44826.000497685185</v>
      </c>
      <c r="AC10" s="3813">
        <v>44827.000497685185</v>
      </c>
      <c r="AD10" s="3812" t="s">
        <v>4134</v>
      </c>
      <c r="AE10" s="3812" t="s">
        <v>3426</v>
      </c>
      <c r="AF10" s="3812" t="s">
        <v>4133</v>
      </c>
      <c r="AG10" s="3812" t="s">
        <v>3909</v>
      </c>
      <c r="AH10" s="3812" t="s">
        <v>3595</v>
      </c>
      <c r="AI10" s="3812">
        <v>366000</v>
      </c>
      <c r="AJ10" s="3812">
        <v>74000</v>
      </c>
      <c r="AK10" s="3812" t="s">
        <v>4125</v>
      </c>
      <c r="AL10" s="3812">
        <v>381000</v>
      </c>
      <c r="AM10" s="3812">
        <v>9323.07</v>
      </c>
      <c r="AN10" s="3812">
        <v>9705.16</v>
      </c>
      <c r="AO10" s="3812">
        <v>53787</v>
      </c>
      <c r="AP10" s="3814">
        <v>55992</v>
      </c>
      <c r="AQ10" s="3812" t="s">
        <v>3461</v>
      </c>
      <c r="AR10" s="3812" t="s">
        <v>3461</v>
      </c>
      <c r="AS10" s="3812">
        <v>4.0999999999999996</v>
      </c>
      <c r="AT10" s="3812" t="s">
        <v>3565</v>
      </c>
      <c r="AU10" s="3812">
        <v>420900</v>
      </c>
      <c r="AV10" s="3812" t="s">
        <v>3897</v>
      </c>
      <c r="AW10" s="3812" t="s">
        <v>3463</v>
      </c>
      <c r="AX10" s="3812">
        <v>61855</v>
      </c>
      <c r="AY10" s="3812">
        <v>15</v>
      </c>
      <c r="AZ10" s="3812" t="s">
        <v>3461</v>
      </c>
    </row>
    <row r="11" spans="1:52" hidden="1">
      <c r="A11" s="3812" t="s">
        <v>4132</v>
      </c>
      <c r="B11" s="3812" t="s">
        <v>3378</v>
      </c>
      <c r="C11" s="3812" t="s">
        <v>4131</v>
      </c>
      <c r="D11" s="3812" t="s">
        <v>3579</v>
      </c>
      <c r="E11" s="3812" t="s">
        <v>3578</v>
      </c>
      <c r="F11" s="3812" t="s">
        <v>3630</v>
      </c>
      <c r="G11" s="3812" t="s">
        <v>4130</v>
      </c>
      <c r="H11" s="3812" t="s">
        <v>3422</v>
      </c>
      <c r="I11" s="3812">
        <v>23125</v>
      </c>
      <c r="J11" s="3812">
        <v>55500</v>
      </c>
      <c r="K11" s="3812">
        <v>2.4</v>
      </c>
      <c r="L11" s="3812" t="s">
        <v>3423</v>
      </c>
      <c r="M11" s="3812" t="s">
        <v>3611</v>
      </c>
      <c r="N11" s="3812" t="s">
        <v>4129</v>
      </c>
      <c r="O11" s="3812" t="s">
        <v>3463</v>
      </c>
      <c r="P11" s="3812" t="s">
        <v>3461</v>
      </c>
      <c r="Q11" s="3812">
        <v>45</v>
      </c>
      <c r="R11" s="3812" t="s">
        <v>4128</v>
      </c>
      <c r="S11" s="3812" t="s">
        <v>4127</v>
      </c>
      <c r="T11" s="3812" t="s">
        <v>3461</v>
      </c>
      <c r="U11" s="3812" t="s">
        <v>3461</v>
      </c>
      <c r="V11" s="3812" t="s">
        <v>3461</v>
      </c>
      <c r="W11" s="3812" t="s">
        <v>3461</v>
      </c>
      <c r="X11" s="3812">
        <v>0</v>
      </c>
      <c r="Y11" s="3812">
        <v>0</v>
      </c>
      <c r="Z11" s="3815">
        <v>44791.000497685185</v>
      </c>
      <c r="AA11" s="3815">
        <v>44811.000497685185</v>
      </c>
      <c r="AB11" s="3815">
        <v>44826.000497685185</v>
      </c>
      <c r="AC11" s="3813">
        <v>44827.000497685185</v>
      </c>
      <c r="AD11" s="3812" t="s">
        <v>4126</v>
      </c>
      <c r="AE11" s="3812" t="s">
        <v>3426</v>
      </c>
      <c r="AF11" s="3812" t="s">
        <v>3963</v>
      </c>
      <c r="AG11" s="3812" t="s">
        <v>3934</v>
      </c>
      <c r="AH11" s="3812" t="s">
        <v>3633</v>
      </c>
      <c r="AI11" s="3812">
        <v>333000</v>
      </c>
      <c r="AJ11" s="3812">
        <v>67000</v>
      </c>
      <c r="AK11" s="3812" t="s">
        <v>4125</v>
      </c>
      <c r="AL11" s="3812">
        <v>382950</v>
      </c>
      <c r="AM11" s="3812">
        <v>9600</v>
      </c>
      <c r="AN11" s="3812">
        <v>11040</v>
      </c>
      <c r="AO11" s="3812">
        <v>60000</v>
      </c>
      <c r="AP11" s="3814">
        <v>69000</v>
      </c>
      <c r="AQ11" s="3812" t="s">
        <v>3461</v>
      </c>
      <c r="AR11" s="3812" t="s">
        <v>3461</v>
      </c>
      <c r="AS11" s="3812">
        <v>15</v>
      </c>
      <c r="AT11" s="3812" t="s">
        <v>4124</v>
      </c>
      <c r="AU11" s="3812">
        <v>382950</v>
      </c>
      <c r="AV11" s="3812" t="s">
        <v>3933</v>
      </c>
      <c r="AW11" s="3812" t="s">
        <v>3463</v>
      </c>
      <c r="AX11" s="3812">
        <v>69000</v>
      </c>
      <c r="AY11" s="3812">
        <v>15</v>
      </c>
      <c r="AZ11" s="3812" t="s">
        <v>3461</v>
      </c>
    </row>
    <row r="12" spans="1:52" hidden="1">
      <c r="A12" s="3812" t="s">
        <v>4123</v>
      </c>
      <c r="B12" s="3812" t="s">
        <v>3378</v>
      </c>
      <c r="C12" s="3812" t="s">
        <v>4122</v>
      </c>
      <c r="D12" s="3812" t="s">
        <v>3579</v>
      </c>
      <c r="E12" s="3812" t="s">
        <v>3578</v>
      </c>
      <c r="F12" s="3812" t="s">
        <v>3998</v>
      </c>
      <c r="G12" s="3812" t="s">
        <v>4121</v>
      </c>
      <c r="H12" s="3812" t="s">
        <v>3439</v>
      </c>
      <c r="I12" s="3812">
        <v>59541.89</v>
      </c>
      <c r="J12" s="3812">
        <v>201892</v>
      </c>
      <c r="K12" s="3812" t="s">
        <v>4120</v>
      </c>
      <c r="L12" s="3812" t="s">
        <v>3423</v>
      </c>
      <c r="M12" s="3812" t="s">
        <v>4119</v>
      </c>
      <c r="N12" s="3812" t="s">
        <v>4104</v>
      </c>
      <c r="O12" s="3812" t="s">
        <v>3463</v>
      </c>
      <c r="P12" s="3812" t="s">
        <v>3461</v>
      </c>
      <c r="Q12" s="3812" t="s">
        <v>4118</v>
      </c>
      <c r="R12" s="3812" t="s">
        <v>4058</v>
      </c>
      <c r="S12" s="3812" t="s">
        <v>3965</v>
      </c>
      <c r="T12" s="3812" t="s">
        <v>3924</v>
      </c>
      <c r="U12" s="3812" t="s">
        <v>4012</v>
      </c>
      <c r="V12" s="3812">
        <v>33188</v>
      </c>
      <c r="W12" s="3812" t="s">
        <v>3461</v>
      </c>
      <c r="X12" s="3812">
        <v>0</v>
      </c>
      <c r="Y12" s="3812">
        <v>0</v>
      </c>
      <c r="Z12" s="3815">
        <v>44670.000497685185</v>
      </c>
      <c r="AA12" s="3815">
        <v>44691.000497685185</v>
      </c>
      <c r="AB12" s="3815">
        <v>44712.000497685185</v>
      </c>
      <c r="AC12" s="3813">
        <v>44712.000497685185</v>
      </c>
      <c r="AD12" s="3812" t="s">
        <v>4117</v>
      </c>
      <c r="AE12" s="3812" t="s">
        <v>3426</v>
      </c>
      <c r="AF12" s="3812" t="s">
        <v>4056</v>
      </c>
      <c r="AG12" s="3812" t="s">
        <v>4055</v>
      </c>
      <c r="AH12" s="3812" t="s">
        <v>3595</v>
      </c>
      <c r="AI12" s="3812">
        <v>747000</v>
      </c>
      <c r="AJ12" s="3812">
        <v>150000</v>
      </c>
      <c r="AK12" s="3812" t="s">
        <v>4100</v>
      </c>
      <c r="AL12" s="3812">
        <v>747000</v>
      </c>
      <c r="AM12" s="3812">
        <v>8363.86</v>
      </c>
      <c r="AN12" s="3812">
        <v>8363.86</v>
      </c>
      <c r="AO12" s="3812">
        <v>37000</v>
      </c>
      <c r="AP12" s="3814">
        <v>37000</v>
      </c>
      <c r="AQ12" s="3812">
        <v>44279</v>
      </c>
      <c r="AR12" s="3812" t="s">
        <v>3461</v>
      </c>
      <c r="AS12" s="3812">
        <v>0</v>
      </c>
      <c r="AT12" s="3812" t="s">
        <v>3565</v>
      </c>
      <c r="AU12" s="3812">
        <v>859050</v>
      </c>
      <c r="AV12" s="3812" t="s">
        <v>3897</v>
      </c>
      <c r="AW12" s="3812" t="s">
        <v>3463</v>
      </c>
      <c r="AX12" s="3812">
        <v>42550</v>
      </c>
      <c r="AY12" s="3812">
        <v>15</v>
      </c>
      <c r="AZ12" s="3812" t="s">
        <v>3461</v>
      </c>
    </row>
    <row r="13" spans="1:52" hidden="1">
      <c r="A13" s="3812" t="s">
        <v>4116</v>
      </c>
      <c r="B13" s="3812" t="s">
        <v>3378</v>
      </c>
      <c r="C13" s="3812" t="s">
        <v>4115</v>
      </c>
      <c r="D13" s="3812" t="s">
        <v>3579</v>
      </c>
      <c r="E13" s="3812" t="s">
        <v>3578</v>
      </c>
      <c r="F13" s="3812" t="s">
        <v>3728</v>
      </c>
      <c r="G13" s="3812" t="s">
        <v>4080</v>
      </c>
      <c r="H13" s="3812" t="s">
        <v>3422</v>
      </c>
      <c r="I13" s="3812">
        <v>21200</v>
      </c>
      <c r="J13" s="3812">
        <v>59360</v>
      </c>
      <c r="K13" s="3812" t="s">
        <v>3697</v>
      </c>
      <c r="L13" s="3812" t="s">
        <v>3423</v>
      </c>
      <c r="M13" s="3812" t="s">
        <v>3611</v>
      </c>
      <c r="N13" s="3812" t="s">
        <v>4104</v>
      </c>
      <c r="O13" s="3812" t="s">
        <v>3463</v>
      </c>
      <c r="P13" s="3812" t="s">
        <v>3461</v>
      </c>
      <c r="Q13" s="3812">
        <v>80</v>
      </c>
      <c r="R13" s="3812" t="s">
        <v>4114</v>
      </c>
      <c r="S13" s="3812" t="s">
        <v>4113</v>
      </c>
      <c r="T13" s="3812" t="s">
        <v>3461</v>
      </c>
      <c r="U13" s="3812" t="s">
        <v>3461</v>
      </c>
      <c r="V13" s="3812" t="s">
        <v>3461</v>
      </c>
      <c r="W13" s="3812" t="s">
        <v>3461</v>
      </c>
      <c r="X13" s="3812">
        <v>0</v>
      </c>
      <c r="Y13" s="3812">
        <v>0</v>
      </c>
      <c r="Z13" s="3815">
        <v>44670.000497685185</v>
      </c>
      <c r="AA13" s="3815">
        <v>44691.000497685185</v>
      </c>
      <c r="AB13" s="3815">
        <v>44712.000497685185</v>
      </c>
      <c r="AC13" s="3813">
        <v>44713.000497685185</v>
      </c>
      <c r="AD13" s="3812" t="s">
        <v>4112</v>
      </c>
      <c r="AE13" s="3812" t="s">
        <v>3426</v>
      </c>
      <c r="AF13" s="3812" t="s">
        <v>4111</v>
      </c>
      <c r="AG13" s="3812" t="s">
        <v>4110</v>
      </c>
      <c r="AH13" s="3812" t="s">
        <v>4109</v>
      </c>
      <c r="AI13" s="3812">
        <v>230000</v>
      </c>
      <c r="AJ13" s="3812">
        <v>46000</v>
      </c>
      <c r="AK13" s="3812" t="s">
        <v>4100</v>
      </c>
      <c r="AL13" s="3812">
        <v>264500</v>
      </c>
      <c r="AM13" s="3812">
        <v>7232.7</v>
      </c>
      <c r="AN13" s="3812">
        <v>8317.61</v>
      </c>
      <c r="AO13" s="3812">
        <v>38747</v>
      </c>
      <c r="AP13" s="3814">
        <v>44559</v>
      </c>
      <c r="AQ13" s="3812" t="s">
        <v>3461</v>
      </c>
      <c r="AR13" s="3812" t="s">
        <v>3461</v>
      </c>
      <c r="AS13" s="3812">
        <v>15</v>
      </c>
      <c r="AT13" s="3812" t="s">
        <v>3786</v>
      </c>
      <c r="AU13" s="3812">
        <v>264500</v>
      </c>
      <c r="AV13" s="3812" t="s">
        <v>3933</v>
      </c>
      <c r="AW13" s="3812" t="s">
        <v>3463</v>
      </c>
      <c r="AX13" s="3812">
        <v>44559</v>
      </c>
      <c r="AY13" s="3812">
        <v>15</v>
      </c>
      <c r="AZ13" s="3812" t="s">
        <v>3461</v>
      </c>
    </row>
    <row r="14" spans="1:52" hidden="1">
      <c r="A14" s="3812" t="s">
        <v>4108</v>
      </c>
      <c r="B14" s="3812" t="s">
        <v>3378</v>
      </c>
      <c r="C14" s="3812" t="s">
        <v>4107</v>
      </c>
      <c r="D14" s="3812" t="s">
        <v>3579</v>
      </c>
      <c r="E14" s="3812" t="s">
        <v>3578</v>
      </c>
      <c r="F14" s="3812" t="s">
        <v>3728</v>
      </c>
      <c r="G14" s="3812" t="s">
        <v>4106</v>
      </c>
      <c r="H14" s="3812" t="s">
        <v>3422</v>
      </c>
      <c r="I14" s="3812">
        <v>43909.52</v>
      </c>
      <c r="J14" s="3812">
        <v>74646</v>
      </c>
      <c r="K14" s="3812" t="s">
        <v>4105</v>
      </c>
      <c r="L14" s="3812" t="s">
        <v>3423</v>
      </c>
      <c r="M14" s="3812" t="s">
        <v>3611</v>
      </c>
      <c r="N14" s="3812" t="s">
        <v>4104</v>
      </c>
      <c r="O14" s="3812" t="s">
        <v>3463</v>
      </c>
      <c r="P14" s="3812" t="s">
        <v>3461</v>
      </c>
      <c r="Q14" s="3812">
        <v>30</v>
      </c>
      <c r="R14" s="3812" t="s">
        <v>4021</v>
      </c>
      <c r="S14" s="3812" t="s">
        <v>3965</v>
      </c>
      <c r="T14" s="3812" t="s">
        <v>3461</v>
      </c>
      <c r="U14" s="3812" t="s">
        <v>3461</v>
      </c>
      <c r="V14" s="3812" t="s">
        <v>3461</v>
      </c>
      <c r="W14" s="3812" t="s">
        <v>3461</v>
      </c>
      <c r="X14" s="3812">
        <v>0</v>
      </c>
      <c r="Y14" s="3812">
        <v>0</v>
      </c>
      <c r="Z14" s="3815">
        <v>44670.000497685185</v>
      </c>
      <c r="AA14" s="3815">
        <v>44691.000497685185</v>
      </c>
      <c r="AB14" s="3815">
        <v>44712.000497685185</v>
      </c>
      <c r="AC14" s="3813">
        <v>44712.000497685185</v>
      </c>
      <c r="AD14" s="3812" t="s">
        <v>4103</v>
      </c>
      <c r="AE14" s="3812" t="s">
        <v>3426</v>
      </c>
      <c r="AF14" s="3812" t="s">
        <v>4102</v>
      </c>
      <c r="AG14" s="3812" t="s">
        <v>4101</v>
      </c>
      <c r="AH14" s="3812" t="s">
        <v>3799</v>
      </c>
      <c r="AI14" s="3812">
        <v>244000</v>
      </c>
      <c r="AJ14" s="3812">
        <v>49000</v>
      </c>
      <c r="AK14" s="3812" t="s">
        <v>4100</v>
      </c>
      <c r="AL14" s="3812">
        <v>244000</v>
      </c>
      <c r="AM14" s="3812">
        <v>3704.59</v>
      </c>
      <c r="AN14" s="3812">
        <v>3704.59</v>
      </c>
      <c r="AO14" s="3812">
        <v>32688</v>
      </c>
      <c r="AP14" s="3814">
        <v>32688</v>
      </c>
      <c r="AQ14" s="3812" t="s">
        <v>3461</v>
      </c>
      <c r="AR14" s="3812" t="s">
        <v>3461</v>
      </c>
      <c r="AS14" s="3812">
        <v>0</v>
      </c>
      <c r="AT14" s="3812" t="s">
        <v>3786</v>
      </c>
      <c r="AU14" s="3812">
        <v>280600</v>
      </c>
      <c r="AV14" s="3812" t="s">
        <v>3897</v>
      </c>
      <c r="AW14" s="3812" t="s">
        <v>3463</v>
      </c>
      <c r="AX14" s="3812">
        <v>37591</v>
      </c>
      <c r="AY14" s="3812">
        <v>15</v>
      </c>
      <c r="AZ14" s="3812" t="s">
        <v>3461</v>
      </c>
    </row>
    <row r="15" spans="1:52" hidden="1">
      <c r="A15" s="3812" t="s">
        <v>4099</v>
      </c>
      <c r="B15" s="3812" t="s">
        <v>3378</v>
      </c>
      <c r="C15" s="3812" t="s">
        <v>4098</v>
      </c>
      <c r="D15" s="3812" t="s">
        <v>3579</v>
      </c>
      <c r="E15" s="3812" t="s">
        <v>3592</v>
      </c>
      <c r="F15" s="3812" t="s">
        <v>3699</v>
      </c>
      <c r="G15" s="3812" t="s">
        <v>4097</v>
      </c>
      <c r="H15" s="3812" t="s">
        <v>3422</v>
      </c>
      <c r="I15" s="3812">
        <v>22115.200000000001</v>
      </c>
      <c r="J15" s="3812">
        <v>44230.400000000001</v>
      </c>
      <c r="K15" s="3812">
        <v>2</v>
      </c>
      <c r="L15" s="3812" t="s">
        <v>3423</v>
      </c>
      <c r="M15" s="3812" t="s">
        <v>3611</v>
      </c>
      <c r="N15" s="3812" t="s">
        <v>4049</v>
      </c>
      <c r="O15" s="3812" t="s">
        <v>3463</v>
      </c>
      <c r="P15" s="3812">
        <v>0.3</v>
      </c>
      <c r="Q15" s="3812">
        <v>45</v>
      </c>
      <c r="R15" s="3812" t="s">
        <v>4096</v>
      </c>
      <c r="S15" s="3812" t="s">
        <v>3791</v>
      </c>
      <c r="T15" s="3812" t="s">
        <v>3461</v>
      </c>
      <c r="U15" s="3812" t="s">
        <v>3461</v>
      </c>
      <c r="V15" s="3812">
        <v>0</v>
      </c>
      <c r="W15" s="3812" t="s">
        <v>3461</v>
      </c>
      <c r="X15" s="3812">
        <v>0</v>
      </c>
      <c r="Y15" s="3812">
        <v>0</v>
      </c>
      <c r="Z15" s="3815">
        <v>44568.000497685185</v>
      </c>
      <c r="AA15" s="3815">
        <v>44589.000497685185</v>
      </c>
      <c r="AB15" s="3815">
        <v>44608.000497685185</v>
      </c>
      <c r="AC15" s="3813">
        <v>44609.000497685185</v>
      </c>
      <c r="AD15" s="3812" t="s">
        <v>4095</v>
      </c>
      <c r="AE15" s="3812" t="s">
        <v>3426</v>
      </c>
      <c r="AF15" s="3812" t="s">
        <v>4094</v>
      </c>
      <c r="AG15" s="3812" t="s">
        <v>4093</v>
      </c>
      <c r="AH15" s="3812" t="s">
        <v>3566</v>
      </c>
      <c r="AI15" s="3812">
        <v>146000</v>
      </c>
      <c r="AJ15" s="3812">
        <v>30000</v>
      </c>
      <c r="AK15" s="3812" t="s">
        <v>4042</v>
      </c>
      <c r="AL15" s="3812">
        <v>147600</v>
      </c>
      <c r="AM15" s="3812">
        <v>4401.2</v>
      </c>
      <c r="AN15" s="3812">
        <v>4449.43</v>
      </c>
      <c r="AO15" s="3812">
        <v>33009</v>
      </c>
      <c r="AP15" s="3814">
        <v>33371</v>
      </c>
      <c r="AQ15" s="3812" t="s">
        <v>3461</v>
      </c>
      <c r="AR15" s="3812" t="s">
        <v>3461</v>
      </c>
      <c r="AS15" s="3812">
        <v>1.1000000000000001</v>
      </c>
      <c r="AT15" s="3812" t="s">
        <v>3970</v>
      </c>
      <c r="AU15" s="3812">
        <v>153300</v>
      </c>
      <c r="AV15" s="3812" t="s">
        <v>3897</v>
      </c>
      <c r="AW15" s="3812">
        <v>58000</v>
      </c>
      <c r="AX15" s="3812">
        <v>34659</v>
      </c>
      <c r="AY15" s="3812">
        <v>5</v>
      </c>
      <c r="AZ15" s="3812">
        <v>24991</v>
      </c>
    </row>
    <row r="16" spans="1:52" hidden="1">
      <c r="A16" s="3812" t="s">
        <v>4092</v>
      </c>
      <c r="B16" s="3812" t="s">
        <v>3378</v>
      </c>
      <c r="C16" s="3812" t="s">
        <v>4091</v>
      </c>
      <c r="D16" s="3812" t="s">
        <v>3579</v>
      </c>
      <c r="E16" s="3812" t="s">
        <v>3718</v>
      </c>
      <c r="F16" s="3812" t="s">
        <v>3717</v>
      </c>
      <c r="G16" s="3812" t="s">
        <v>3716</v>
      </c>
      <c r="H16" s="3812" t="s">
        <v>3422</v>
      </c>
      <c r="I16" s="3812">
        <v>32057.19</v>
      </c>
      <c r="J16" s="3812">
        <v>51292</v>
      </c>
      <c r="K16" s="3812">
        <v>1.6</v>
      </c>
      <c r="L16" s="3812" t="s">
        <v>3423</v>
      </c>
      <c r="M16" s="3812" t="s">
        <v>3611</v>
      </c>
      <c r="N16" s="3812" t="s">
        <v>4049</v>
      </c>
      <c r="O16" s="3812" t="s">
        <v>3463</v>
      </c>
      <c r="P16" s="3812">
        <v>0.3</v>
      </c>
      <c r="Q16" s="3812">
        <v>18</v>
      </c>
      <c r="R16" s="3812" t="s">
        <v>4021</v>
      </c>
      <c r="S16" s="3812" t="s">
        <v>3965</v>
      </c>
      <c r="T16" s="3812" t="s">
        <v>3461</v>
      </c>
      <c r="U16" s="3812" t="s">
        <v>3461</v>
      </c>
      <c r="V16" s="3812">
        <v>0</v>
      </c>
      <c r="W16" s="3812">
        <v>0</v>
      </c>
      <c r="X16" s="3812">
        <v>0</v>
      </c>
      <c r="Y16" s="3812">
        <v>0</v>
      </c>
      <c r="Z16" s="3815">
        <v>44568.000497685185</v>
      </c>
      <c r="AA16" s="3815">
        <v>44589.000497685185</v>
      </c>
      <c r="AB16" s="3815">
        <v>44608.000497685185</v>
      </c>
      <c r="AC16" s="3813">
        <v>44608.000497685185</v>
      </c>
      <c r="AD16" s="3812" t="s">
        <v>4090</v>
      </c>
      <c r="AE16" s="3812" t="s">
        <v>3426</v>
      </c>
      <c r="AF16" s="3812" t="s">
        <v>3982</v>
      </c>
      <c r="AG16" s="3812" t="s">
        <v>3823</v>
      </c>
      <c r="AH16" s="3812" t="s">
        <v>3595</v>
      </c>
      <c r="AI16" s="3812">
        <v>81000</v>
      </c>
      <c r="AJ16" s="3812">
        <v>17000</v>
      </c>
      <c r="AK16" s="3812" t="s">
        <v>4042</v>
      </c>
      <c r="AL16" s="3812">
        <v>81000</v>
      </c>
      <c r="AM16" s="3812">
        <v>1684.49</v>
      </c>
      <c r="AN16" s="3812">
        <v>1684.49</v>
      </c>
      <c r="AO16" s="3812">
        <v>15792</v>
      </c>
      <c r="AP16" s="3814">
        <v>15792</v>
      </c>
      <c r="AQ16" s="3812" t="s">
        <v>3461</v>
      </c>
      <c r="AR16" s="3812" t="s">
        <v>3461</v>
      </c>
      <c r="AS16" s="3812">
        <v>0</v>
      </c>
      <c r="AT16" s="3812" t="s">
        <v>3970</v>
      </c>
      <c r="AU16" s="3812">
        <v>93150</v>
      </c>
      <c r="AV16" s="3812" t="s">
        <v>3897</v>
      </c>
      <c r="AW16" s="3812">
        <v>45000</v>
      </c>
      <c r="AX16" s="3812">
        <v>18161</v>
      </c>
      <c r="AY16" s="3812">
        <v>15</v>
      </c>
      <c r="AZ16" s="3812">
        <v>29208</v>
      </c>
    </row>
    <row r="17" spans="1:52" hidden="1">
      <c r="A17" s="3812" t="s">
        <v>4089</v>
      </c>
      <c r="B17" s="3812" t="s">
        <v>3378</v>
      </c>
      <c r="C17" s="3812" t="s">
        <v>4088</v>
      </c>
      <c r="D17" s="3812" t="s">
        <v>3579</v>
      </c>
      <c r="E17" s="3812" t="s">
        <v>3592</v>
      </c>
      <c r="F17" s="3812" t="s">
        <v>4087</v>
      </c>
      <c r="G17" s="3812" t="s">
        <v>3680</v>
      </c>
      <c r="H17" s="3812" t="s">
        <v>3422</v>
      </c>
      <c r="I17" s="3812">
        <v>23519.8</v>
      </c>
      <c r="J17" s="3812">
        <v>58799.5</v>
      </c>
      <c r="K17" s="3812">
        <v>2.5</v>
      </c>
      <c r="L17" s="3812" t="s">
        <v>3423</v>
      </c>
      <c r="M17" s="3812" t="s">
        <v>3611</v>
      </c>
      <c r="N17" s="3812" t="s">
        <v>4049</v>
      </c>
      <c r="O17" s="3812">
        <v>0</v>
      </c>
      <c r="P17" s="3812" t="s">
        <v>3461</v>
      </c>
      <c r="Q17" s="3812">
        <v>60</v>
      </c>
      <c r="R17" s="3812" t="s">
        <v>4086</v>
      </c>
      <c r="S17" s="3812" t="s">
        <v>3965</v>
      </c>
      <c r="T17" s="3812" t="s">
        <v>3461</v>
      </c>
      <c r="U17" s="3812" t="s">
        <v>3461</v>
      </c>
      <c r="V17" s="3812" t="s">
        <v>3461</v>
      </c>
      <c r="W17" s="3812">
        <v>0</v>
      </c>
      <c r="X17" s="3812">
        <v>0</v>
      </c>
      <c r="Y17" s="3812">
        <v>0</v>
      </c>
      <c r="Z17" s="3815">
        <v>44568.000497685185</v>
      </c>
      <c r="AA17" s="3815">
        <v>44589.000497685185</v>
      </c>
      <c r="AB17" s="3815">
        <v>44608.000497685185</v>
      </c>
      <c r="AC17" s="3813">
        <v>44609.000497685185</v>
      </c>
      <c r="AD17" s="3812" t="s">
        <v>4085</v>
      </c>
      <c r="AE17" s="3812" t="s">
        <v>3426</v>
      </c>
      <c r="AF17" s="3812" t="s">
        <v>4084</v>
      </c>
      <c r="AG17" s="3812" t="s">
        <v>3596</v>
      </c>
      <c r="AH17" s="3812" t="s">
        <v>3595</v>
      </c>
      <c r="AI17" s="3812">
        <v>223000</v>
      </c>
      <c r="AJ17" s="3812">
        <v>45000</v>
      </c>
      <c r="AK17" s="3812" t="s">
        <v>4042</v>
      </c>
      <c r="AL17" s="3812">
        <v>248000</v>
      </c>
      <c r="AM17" s="3812">
        <v>6320.92</v>
      </c>
      <c r="AN17" s="3812">
        <v>7029.54</v>
      </c>
      <c r="AO17" s="3812">
        <v>37925</v>
      </c>
      <c r="AP17" s="3814">
        <v>42177</v>
      </c>
      <c r="AQ17" s="3812" t="s">
        <v>3461</v>
      </c>
      <c r="AR17" s="3812" t="s">
        <v>3461</v>
      </c>
      <c r="AS17" s="3812">
        <v>11.21</v>
      </c>
      <c r="AT17" s="3812" t="s">
        <v>3970</v>
      </c>
      <c r="AU17" s="3812">
        <v>256450</v>
      </c>
      <c r="AV17" s="3812" t="s">
        <v>3897</v>
      </c>
      <c r="AW17" s="3812">
        <v>73000</v>
      </c>
      <c r="AX17" s="3812">
        <v>43614</v>
      </c>
      <c r="AY17" s="3812">
        <v>15</v>
      </c>
      <c r="AZ17" s="3812">
        <v>35075</v>
      </c>
    </row>
    <row r="18" spans="1:52" hidden="1">
      <c r="A18" s="3812" t="s">
        <v>4083</v>
      </c>
      <c r="B18" s="3812" t="s">
        <v>3378</v>
      </c>
      <c r="C18" s="3812" t="s">
        <v>4082</v>
      </c>
      <c r="D18" s="3812" t="s">
        <v>3579</v>
      </c>
      <c r="E18" s="3812" t="s">
        <v>3578</v>
      </c>
      <c r="F18" s="3812" t="s">
        <v>4081</v>
      </c>
      <c r="G18" s="3812" t="s">
        <v>4080</v>
      </c>
      <c r="H18" s="3812" t="s">
        <v>3439</v>
      </c>
      <c r="I18" s="3812">
        <v>47200</v>
      </c>
      <c r="J18" s="3812">
        <v>119500</v>
      </c>
      <c r="K18" s="3812" t="s">
        <v>4079</v>
      </c>
      <c r="L18" s="3812" t="s">
        <v>3423</v>
      </c>
      <c r="M18" s="3812" t="s">
        <v>4078</v>
      </c>
      <c r="N18" s="3812" t="s">
        <v>4049</v>
      </c>
      <c r="O18" s="3812" t="s">
        <v>3463</v>
      </c>
      <c r="P18" s="3812" t="s">
        <v>3461</v>
      </c>
      <c r="Q18" s="3812" t="s">
        <v>4077</v>
      </c>
      <c r="R18" s="3812" t="s">
        <v>4076</v>
      </c>
      <c r="S18" s="3812" t="s">
        <v>3965</v>
      </c>
      <c r="T18" s="3812" t="s">
        <v>3985</v>
      </c>
      <c r="U18" s="3812" t="s">
        <v>3984</v>
      </c>
      <c r="V18" s="3812" t="s">
        <v>3461</v>
      </c>
      <c r="W18" s="3812" t="s">
        <v>3461</v>
      </c>
      <c r="X18" s="3812">
        <v>0</v>
      </c>
      <c r="Y18" s="3812">
        <v>0</v>
      </c>
      <c r="Z18" s="3815">
        <v>44568.000497685185</v>
      </c>
      <c r="AA18" s="3815">
        <v>44589.000497685185</v>
      </c>
      <c r="AB18" s="3815">
        <v>44608.000497685185</v>
      </c>
      <c r="AC18" s="3813">
        <v>44608.000497685185</v>
      </c>
      <c r="AD18" s="3812" t="s">
        <v>4075</v>
      </c>
      <c r="AE18" s="3812" t="s">
        <v>3426</v>
      </c>
      <c r="AF18" s="3812" t="s">
        <v>4074</v>
      </c>
      <c r="AG18" s="3812" t="s">
        <v>3972</v>
      </c>
      <c r="AH18" s="3812" t="s">
        <v>3633</v>
      </c>
      <c r="AI18" s="3812">
        <v>263000</v>
      </c>
      <c r="AJ18" s="3812">
        <v>53000</v>
      </c>
      <c r="AK18" s="3812" t="s">
        <v>4042</v>
      </c>
      <c r="AL18" s="3812">
        <v>263000</v>
      </c>
      <c r="AM18" s="3812">
        <v>3714.69</v>
      </c>
      <c r="AN18" s="3812">
        <v>3714.69</v>
      </c>
      <c r="AO18" s="3812">
        <v>22008</v>
      </c>
      <c r="AP18" s="3814">
        <v>22008</v>
      </c>
      <c r="AQ18" s="3812" t="s">
        <v>3461</v>
      </c>
      <c r="AR18" s="3812" t="s">
        <v>3461</v>
      </c>
      <c r="AS18" s="3812">
        <v>0</v>
      </c>
      <c r="AT18" s="3812" t="s">
        <v>4073</v>
      </c>
      <c r="AU18" s="3812">
        <v>302450</v>
      </c>
      <c r="AV18" s="3812" t="s">
        <v>3897</v>
      </c>
      <c r="AW18" s="3812">
        <v>85000</v>
      </c>
      <c r="AX18" s="3812">
        <v>25310</v>
      </c>
      <c r="AY18" s="3812">
        <v>15</v>
      </c>
      <c r="AZ18" s="3812">
        <v>62992</v>
      </c>
    </row>
    <row r="19" spans="1:52" hidden="1">
      <c r="A19" s="3812" t="s">
        <v>4072</v>
      </c>
      <c r="B19" s="3812" t="s">
        <v>3378</v>
      </c>
      <c r="C19" s="3812" t="s">
        <v>4071</v>
      </c>
      <c r="D19" s="3812" t="s">
        <v>3579</v>
      </c>
      <c r="E19" s="3812" t="s">
        <v>3592</v>
      </c>
      <c r="F19" s="3812" t="s">
        <v>3591</v>
      </c>
      <c r="G19" s="3812" t="s">
        <v>3689</v>
      </c>
      <c r="H19" s="3812" t="s">
        <v>3439</v>
      </c>
      <c r="I19" s="3812">
        <v>78176.460000000006</v>
      </c>
      <c r="J19" s="3812">
        <v>178342.9</v>
      </c>
      <c r="K19" s="3812" t="s">
        <v>4070</v>
      </c>
      <c r="L19" s="3812" t="s">
        <v>3423</v>
      </c>
      <c r="M19" s="3812" t="s">
        <v>4069</v>
      </c>
      <c r="N19" s="3812" t="s">
        <v>4049</v>
      </c>
      <c r="O19" s="3812">
        <v>0</v>
      </c>
      <c r="P19" s="3812">
        <v>0.3</v>
      </c>
      <c r="Q19" s="3812" t="s">
        <v>4068</v>
      </c>
      <c r="R19" s="3812" t="s">
        <v>4046</v>
      </c>
      <c r="S19" s="3812" t="s">
        <v>3965</v>
      </c>
      <c r="T19" s="3812" t="s">
        <v>3461</v>
      </c>
      <c r="U19" s="3812" t="s">
        <v>3461</v>
      </c>
      <c r="V19" s="3812" t="s">
        <v>3461</v>
      </c>
      <c r="W19" s="3812">
        <v>0</v>
      </c>
      <c r="X19" s="3812">
        <v>0</v>
      </c>
      <c r="Y19" s="3812">
        <v>0</v>
      </c>
      <c r="Z19" s="3815">
        <v>44568.000497685185</v>
      </c>
      <c r="AA19" s="3815">
        <v>44589.000497685185</v>
      </c>
      <c r="AB19" s="3815">
        <v>44608.000497685185</v>
      </c>
      <c r="AC19" s="3813">
        <v>44608.000497685185</v>
      </c>
      <c r="AD19" s="3812" t="s">
        <v>4067</v>
      </c>
      <c r="AE19" s="3812" t="s">
        <v>3426</v>
      </c>
      <c r="AF19" s="3812" t="s">
        <v>4066</v>
      </c>
      <c r="AG19" s="3812" t="s">
        <v>4065</v>
      </c>
      <c r="AH19" s="3812" t="s">
        <v>3769</v>
      </c>
      <c r="AI19" s="3812">
        <v>482000</v>
      </c>
      <c r="AJ19" s="3812">
        <v>97000</v>
      </c>
      <c r="AK19" s="3812" t="s">
        <v>4042</v>
      </c>
      <c r="AL19" s="3812">
        <v>482000</v>
      </c>
      <c r="AM19" s="3812">
        <v>4110.3599999999997</v>
      </c>
      <c r="AN19" s="3812">
        <v>4110.3599999999997</v>
      </c>
      <c r="AO19" s="3812">
        <v>27027</v>
      </c>
      <c r="AP19" s="3814">
        <v>27027</v>
      </c>
      <c r="AQ19" s="3812" t="s">
        <v>3461</v>
      </c>
      <c r="AR19" s="3812" t="s">
        <v>3461</v>
      </c>
      <c r="AS19" s="3812">
        <v>0</v>
      </c>
      <c r="AT19" s="3812" t="s">
        <v>4064</v>
      </c>
      <c r="AU19" s="3812">
        <v>554300</v>
      </c>
      <c r="AV19" s="3812" t="s">
        <v>3897</v>
      </c>
      <c r="AW19" s="3812">
        <v>59000</v>
      </c>
      <c r="AX19" s="3812">
        <v>31081</v>
      </c>
      <c r="AY19" s="3812">
        <v>15</v>
      </c>
      <c r="AZ19" s="3812">
        <v>31973</v>
      </c>
    </row>
    <row r="20" spans="1:52" hidden="1">
      <c r="A20" s="3812" t="s">
        <v>4063</v>
      </c>
      <c r="B20" s="3812" t="s">
        <v>3378</v>
      </c>
      <c r="C20" s="3812" t="s">
        <v>4062</v>
      </c>
      <c r="D20" s="3812" t="s">
        <v>3579</v>
      </c>
      <c r="E20" s="3812" t="s">
        <v>3578</v>
      </c>
      <c r="F20" s="3812" t="s">
        <v>3998</v>
      </c>
      <c r="G20" s="3812" t="s">
        <v>4061</v>
      </c>
      <c r="H20" s="3812" t="s">
        <v>3439</v>
      </c>
      <c r="I20" s="3812">
        <v>33500</v>
      </c>
      <c r="J20" s="3812">
        <v>85400</v>
      </c>
      <c r="K20" s="3812" t="s">
        <v>4060</v>
      </c>
      <c r="L20" s="3812" t="s">
        <v>3423</v>
      </c>
      <c r="M20" s="3812" t="s">
        <v>3574</v>
      </c>
      <c r="N20" s="3812" t="s">
        <v>4049</v>
      </c>
      <c r="O20" s="3812" t="s">
        <v>3463</v>
      </c>
      <c r="P20" s="3812" t="s">
        <v>3461</v>
      </c>
      <c r="Q20" s="3812" t="s">
        <v>4059</v>
      </c>
      <c r="R20" s="3812" t="s">
        <v>4058</v>
      </c>
      <c r="S20" s="3812" t="s">
        <v>3965</v>
      </c>
      <c r="T20" s="3812" t="s">
        <v>3461</v>
      </c>
      <c r="U20" s="3812" t="s">
        <v>3461</v>
      </c>
      <c r="V20" s="3812" t="s">
        <v>3461</v>
      </c>
      <c r="W20" s="3812" t="s">
        <v>3461</v>
      </c>
      <c r="X20" s="3812">
        <v>0</v>
      </c>
      <c r="Y20" s="3812">
        <v>0</v>
      </c>
      <c r="Z20" s="3815">
        <v>44568.000497685185</v>
      </c>
      <c r="AA20" s="3815">
        <v>44589.000497685185</v>
      </c>
      <c r="AB20" s="3815">
        <v>44608.000497685185</v>
      </c>
      <c r="AC20" s="3813">
        <v>44609.000497685185</v>
      </c>
      <c r="AD20" s="3812" t="s">
        <v>4057</v>
      </c>
      <c r="AE20" s="3812" t="s">
        <v>3426</v>
      </c>
      <c r="AF20" s="3812" t="s">
        <v>4056</v>
      </c>
      <c r="AG20" s="3812" t="s">
        <v>4055</v>
      </c>
      <c r="AH20" s="3812" t="s">
        <v>3595</v>
      </c>
      <c r="AI20" s="3812">
        <v>544000</v>
      </c>
      <c r="AJ20" s="3812">
        <v>109000</v>
      </c>
      <c r="AK20" s="3812" t="s">
        <v>4042</v>
      </c>
      <c r="AL20" s="3812">
        <v>571200</v>
      </c>
      <c r="AM20" s="3812">
        <v>10825.87</v>
      </c>
      <c r="AN20" s="3812">
        <v>11367.16</v>
      </c>
      <c r="AO20" s="3812">
        <v>63700</v>
      </c>
      <c r="AP20" s="3814">
        <v>66885</v>
      </c>
      <c r="AQ20" s="3812" t="s">
        <v>3461</v>
      </c>
      <c r="AR20" s="3812" t="s">
        <v>3461</v>
      </c>
      <c r="AS20" s="3812">
        <v>5</v>
      </c>
      <c r="AT20" s="3812" t="s">
        <v>4054</v>
      </c>
      <c r="AU20" s="3812">
        <v>571200</v>
      </c>
      <c r="AV20" s="3812" t="s">
        <v>3933</v>
      </c>
      <c r="AW20" s="3812">
        <v>109000</v>
      </c>
      <c r="AX20" s="3812">
        <v>66885</v>
      </c>
      <c r="AY20" s="3812">
        <v>5</v>
      </c>
      <c r="AZ20" s="3812">
        <v>45300</v>
      </c>
    </row>
    <row r="21" spans="1:52" hidden="1">
      <c r="A21" s="3812" t="s">
        <v>4053</v>
      </c>
      <c r="B21" s="3812" t="s">
        <v>3378</v>
      </c>
      <c r="C21" s="3812" t="s">
        <v>4052</v>
      </c>
      <c r="D21" s="3812" t="s">
        <v>3579</v>
      </c>
      <c r="E21" s="3812" t="s">
        <v>3592</v>
      </c>
      <c r="F21" s="3812" t="s">
        <v>3796</v>
      </c>
      <c r="G21" s="3812" t="s">
        <v>3795</v>
      </c>
      <c r="H21" s="3812" t="s">
        <v>3439</v>
      </c>
      <c r="I21" s="3812">
        <v>104108.28</v>
      </c>
      <c r="J21" s="3812">
        <v>211367.4</v>
      </c>
      <c r="K21" s="3812" t="s">
        <v>4051</v>
      </c>
      <c r="L21" s="3812" t="s">
        <v>3423</v>
      </c>
      <c r="M21" s="3812" t="s">
        <v>4050</v>
      </c>
      <c r="N21" s="3812" t="s">
        <v>4049</v>
      </c>
      <c r="O21" s="3812" t="s">
        <v>3463</v>
      </c>
      <c r="P21" s="3812" t="s">
        <v>4048</v>
      </c>
      <c r="Q21" s="3812" t="s">
        <v>4047</v>
      </c>
      <c r="R21" s="3812" t="s">
        <v>4046</v>
      </c>
      <c r="S21" s="3812" t="s">
        <v>3965</v>
      </c>
      <c r="T21" s="3812" t="s">
        <v>3461</v>
      </c>
      <c r="U21" s="3812" t="s">
        <v>3461</v>
      </c>
      <c r="V21" s="3812">
        <v>0</v>
      </c>
      <c r="W21" s="3812">
        <v>0</v>
      </c>
      <c r="X21" s="3812">
        <v>0</v>
      </c>
      <c r="Y21" s="3812">
        <v>0</v>
      </c>
      <c r="Z21" s="3815">
        <v>44568.000497685185</v>
      </c>
      <c r="AA21" s="3815">
        <v>44589.000497685185</v>
      </c>
      <c r="AB21" s="3815">
        <v>44608.000497685185</v>
      </c>
      <c r="AC21" s="3813">
        <v>44608.000497685185</v>
      </c>
      <c r="AD21" s="3812" t="s">
        <v>4045</v>
      </c>
      <c r="AE21" s="3812" t="s">
        <v>3426</v>
      </c>
      <c r="AF21" s="3812" t="s">
        <v>4044</v>
      </c>
      <c r="AG21" s="3812" t="s">
        <v>4043</v>
      </c>
      <c r="AH21" s="3812" t="s">
        <v>3673</v>
      </c>
      <c r="AI21" s="3812">
        <v>357000</v>
      </c>
      <c r="AJ21" s="3812">
        <v>72000</v>
      </c>
      <c r="AK21" s="3812" t="s">
        <v>4042</v>
      </c>
      <c r="AL21" s="3812">
        <v>357000</v>
      </c>
      <c r="AM21" s="3812">
        <v>2286.08</v>
      </c>
      <c r="AN21" s="3812">
        <v>2286.08</v>
      </c>
      <c r="AO21" s="3812">
        <v>16890</v>
      </c>
      <c r="AP21" s="3814">
        <v>16890</v>
      </c>
      <c r="AQ21" s="3812" t="s">
        <v>3461</v>
      </c>
      <c r="AR21" s="3812" t="s">
        <v>3461</v>
      </c>
      <c r="AS21" s="3812">
        <v>0</v>
      </c>
      <c r="AT21" s="3812" t="s">
        <v>4041</v>
      </c>
      <c r="AU21" s="3812">
        <v>410550</v>
      </c>
      <c r="AV21" s="3812" t="s">
        <v>3897</v>
      </c>
      <c r="AW21" s="3812">
        <v>66000</v>
      </c>
      <c r="AX21" s="3812">
        <v>19424</v>
      </c>
      <c r="AY21" s="3812">
        <v>15</v>
      </c>
      <c r="AZ21" s="3812">
        <v>49110</v>
      </c>
    </row>
    <row r="22" spans="1:52" hidden="1">
      <c r="A22" s="3812" t="s">
        <v>4040</v>
      </c>
      <c r="B22" s="3812" t="s">
        <v>3378</v>
      </c>
      <c r="C22" s="3812" t="s">
        <v>4039</v>
      </c>
      <c r="D22" s="3812" t="s">
        <v>3579</v>
      </c>
      <c r="E22" s="3812" t="s">
        <v>3718</v>
      </c>
      <c r="F22" s="3812" t="s">
        <v>3717</v>
      </c>
      <c r="G22" s="3812" t="s">
        <v>4038</v>
      </c>
      <c r="H22" s="3812" t="s">
        <v>3422</v>
      </c>
      <c r="I22" s="3812">
        <v>45509.77</v>
      </c>
      <c r="J22" s="3812">
        <v>113774</v>
      </c>
      <c r="K22" s="3812">
        <v>2.5</v>
      </c>
      <c r="L22" s="3812" t="s">
        <v>3423</v>
      </c>
      <c r="M22" s="3812" t="s">
        <v>3611</v>
      </c>
      <c r="N22" s="3812" t="s">
        <v>4037</v>
      </c>
      <c r="O22" s="3812" t="s">
        <v>3463</v>
      </c>
      <c r="P22" s="3812">
        <v>0.25</v>
      </c>
      <c r="Q22" s="3812">
        <v>45</v>
      </c>
      <c r="R22" s="3812" t="s">
        <v>4021</v>
      </c>
      <c r="S22" s="3812" t="s">
        <v>3975</v>
      </c>
      <c r="T22" s="3812" t="s">
        <v>4036</v>
      </c>
      <c r="U22" s="3812" t="s">
        <v>3984</v>
      </c>
      <c r="V22" s="3812" t="s">
        <v>3461</v>
      </c>
      <c r="W22" s="3812" t="s">
        <v>3461</v>
      </c>
      <c r="X22" s="3812">
        <v>0</v>
      </c>
      <c r="Y22" s="3812">
        <v>0</v>
      </c>
      <c r="Z22" s="3815">
        <v>44519.000497685185</v>
      </c>
      <c r="AA22" s="3815">
        <v>44540.000497685185</v>
      </c>
      <c r="AB22" s="3815">
        <v>44554.000497685185</v>
      </c>
      <c r="AC22" s="3813">
        <v>44557.000497685185</v>
      </c>
      <c r="AD22" s="3812" t="s">
        <v>4035</v>
      </c>
      <c r="AE22" s="3812" t="s">
        <v>3426</v>
      </c>
      <c r="AF22" s="3812" t="s">
        <v>3982</v>
      </c>
      <c r="AG22" s="3812" t="s">
        <v>3823</v>
      </c>
      <c r="AH22" s="3812" t="s">
        <v>3595</v>
      </c>
      <c r="AI22" s="3812">
        <v>162000</v>
      </c>
      <c r="AJ22" s="3812">
        <v>33000</v>
      </c>
      <c r="AK22" s="3812" t="s">
        <v>4034</v>
      </c>
      <c r="AL22" s="3812">
        <v>186300</v>
      </c>
      <c r="AM22" s="3812">
        <v>2373.12</v>
      </c>
      <c r="AN22" s="3812">
        <v>2729.08</v>
      </c>
      <c r="AO22" s="3812">
        <v>14239</v>
      </c>
      <c r="AP22" s="3814">
        <v>16375</v>
      </c>
      <c r="AQ22" s="3812" t="s">
        <v>3461</v>
      </c>
      <c r="AR22" s="3812" t="s">
        <v>3461</v>
      </c>
      <c r="AS22" s="3812">
        <v>15</v>
      </c>
      <c r="AT22" s="3812" t="s">
        <v>4033</v>
      </c>
      <c r="AU22" s="3812">
        <v>186300</v>
      </c>
      <c r="AV22" s="3812" t="s">
        <v>3933</v>
      </c>
      <c r="AW22" s="3812">
        <v>45000</v>
      </c>
      <c r="AX22" s="3812">
        <v>16375</v>
      </c>
      <c r="AY22" s="3812">
        <v>15</v>
      </c>
      <c r="AZ22" s="3812">
        <v>30761</v>
      </c>
    </row>
    <row r="23" spans="1:52" s="3482" customFormat="1">
      <c r="A23" s="3816" t="s">
        <v>4032</v>
      </c>
      <c r="B23" s="3816" t="s">
        <v>3378</v>
      </c>
      <c r="C23" s="3816" t="s">
        <v>3421</v>
      </c>
      <c r="D23" s="3816" t="s">
        <v>3579</v>
      </c>
      <c r="E23" s="3816" t="s">
        <v>3592</v>
      </c>
      <c r="F23" s="3816" t="s">
        <v>3603</v>
      </c>
      <c r="G23" s="3816" t="s">
        <v>4031</v>
      </c>
      <c r="H23" s="3816" t="s">
        <v>3422</v>
      </c>
      <c r="I23" s="3816">
        <v>40082.199999999997</v>
      </c>
      <c r="J23" s="3816">
        <v>60123.3</v>
      </c>
      <c r="K23" s="3816">
        <v>1.5</v>
      </c>
      <c r="L23" s="3816" t="s">
        <v>3423</v>
      </c>
      <c r="M23" s="3816" t="s">
        <v>4030</v>
      </c>
      <c r="N23" s="3816" t="s">
        <v>3425</v>
      </c>
      <c r="O23" s="3816" t="s">
        <v>3463</v>
      </c>
      <c r="P23" s="3816">
        <v>30</v>
      </c>
      <c r="Q23" s="3816" t="s">
        <v>3461</v>
      </c>
      <c r="R23" s="3816" t="s">
        <v>3461</v>
      </c>
      <c r="S23" s="3816" t="s">
        <v>3461</v>
      </c>
      <c r="T23" s="3816" t="s">
        <v>3461</v>
      </c>
      <c r="U23" s="3816" t="s">
        <v>3461</v>
      </c>
      <c r="V23" s="3816" t="s">
        <v>3461</v>
      </c>
      <c r="W23" s="3816" t="s">
        <v>3461</v>
      </c>
      <c r="X23" s="3816">
        <v>0</v>
      </c>
      <c r="Y23" s="3816">
        <v>0</v>
      </c>
      <c r="Z23" s="3817">
        <v>44516.000497685185</v>
      </c>
      <c r="AA23" s="3817">
        <v>44536.000497685185</v>
      </c>
      <c r="AB23" s="3817">
        <v>44550.000497685185</v>
      </c>
      <c r="AC23" s="3819">
        <v>44550.000497685185</v>
      </c>
      <c r="AD23" s="3816" t="s">
        <v>4029</v>
      </c>
      <c r="AE23" s="3816" t="s">
        <v>3426</v>
      </c>
      <c r="AF23" s="3816" t="s">
        <v>3427</v>
      </c>
      <c r="AG23" s="3816" t="s">
        <v>4028</v>
      </c>
      <c r="AH23" s="3816" t="s">
        <v>3633</v>
      </c>
      <c r="AI23" s="3816">
        <v>81924.009999999995</v>
      </c>
      <c r="AJ23" s="3816">
        <v>16400</v>
      </c>
      <c r="AK23" s="3816" t="s">
        <v>633</v>
      </c>
      <c r="AL23" s="3816">
        <v>81924.009999999995</v>
      </c>
      <c r="AM23" s="3816">
        <v>1362.6</v>
      </c>
      <c r="AN23" s="3816">
        <v>1362.6</v>
      </c>
      <c r="AO23" s="3816">
        <v>13626</v>
      </c>
      <c r="AP23" s="3818">
        <v>13626</v>
      </c>
      <c r="AQ23" s="3816" t="s">
        <v>3461</v>
      </c>
      <c r="AR23" s="3816" t="s">
        <v>3461</v>
      </c>
      <c r="AS23" s="3816">
        <v>0</v>
      </c>
      <c r="AT23" s="3816">
        <v>50</v>
      </c>
      <c r="AU23" s="3816" t="s">
        <v>3463</v>
      </c>
      <c r="AV23" s="3816" t="s">
        <v>3461</v>
      </c>
      <c r="AW23" s="3816" t="s">
        <v>3463</v>
      </c>
      <c r="AX23" s="3816" t="s">
        <v>3461</v>
      </c>
      <c r="AY23" s="3816" t="s">
        <v>3461</v>
      </c>
      <c r="AZ23" s="3816" t="s">
        <v>3461</v>
      </c>
    </row>
    <row r="24" spans="1:52" hidden="1">
      <c r="A24" s="3812" t="s">
        <v>4027</v>
      </c>
      <c r="B24" s="3812" t="s">
        <v>3378</v>
      </c>
      <c r="C24" s="3812" t="s">
        <v>4026</v>
      </c>
      <c r="D24" s="3812" t="s">
        <v>3579</v>
      </c>
      <c r="E24" s="3812" t="s">
        <v>3592</v>
      </c>
      <c r="F24" s="3812" t="s">
        <v>4025</v>
      </c>
      <c r="G24" s="3812" t="s">
        <v>3689</v>
      </c>
      <c r="H24" s="3812" t="s">
        <v>3439</v>
      </c>
      <c r="I24" s="3812">
        <v>54389.09</v>
      </c>
      <c r="J24" s="3812">
        <v>123172</v>
      </c>
      <c r="K24" s="3812" t="s">
        <v>4024</v>
      </c>
      <c r="L24" s="3812" t="s">
        <v>3423</v>
      </c>
      <c r="M24" s="3812" t="s">
        <v>4023</v>
      </c>
      <c r="N24" s="3812" t="s">
        <v>3976</v>
      </c>
      <c r="O24" s="3812">
        <v>1.79</v>
      </c>
      <c r="P24" s="3812" t="s">
        <v>4005</v>
      </c>
      <c r="Q24" s="3812" t="s">
        <v>4022</v>
      </c>
      <c r="R24" s="3812" t="s">
        <v>4021</v>
      </c>
      <c r="S24" s="3812" t="s">
        <v>4020</v>
      </c>
      <c r="T24" s="3812" t="s">
        <v>3461</v>
      </c>
      <c r="U24" s="3812" t="s">
        <v>3461</v>
      </c>
      <c r="V24" s="3812" t="s">
        <v>3461</v>
      </c>
      <c r="W24" s="3812" t="s">
        <v>3461</v>
      </c>
      <c r="X24" s="3812">
        <v>0</v>
      </c>
      <c r="Y24" s="3812">
        <v>0</v>
      </c>
      <c r="Z24" s="3815">
        <v>44438.000497685185</v>
      </c>
      <c r="AA24" s="3815">
        <v>44462.000497685185</v>
      </c>
      <c r="AB24" s="3815">
        <v>44482.000497685185</v>
      </c>
      <c r="AC24" s="3813">
        <v>44482.000497685185</v>
      </c>
      <c r="AD24" s="3812" t="s">
        <v>4019</v>
      </c>
      <c r="AE24" s="3812" t="s">
        <v>3426</v>
      </c>
      <c r="AF24" s="3812" t="s">
        <v>4018</v>
      </c>
      <c r="AG24" s="3812" t="s">
        <v>4017</v>
      </c>
      <c r="AH24" s="3812" t="s">
        <v>3595</v>
      </c>
      <c r="AI24" s="3812">
        <v>344000</v>
      </c>
      <c r="AJ24" s="3812">
        <v>69000</v>
      </c>
      <c r="AK24" s="3812" t="s">
        <v>3971</v>
      </c>
      <c r="AL24" s="3812">
        <v>378400</v>
      </c>
      <c r="AM24" s="3812">
        <v>4216.53</v>
      </c>
      <c r="AN24" s="3812">
        <v>4638.1899999999996</v>
      </c>
      <c r="AO24" s="3812">
        <v>27928</v>
      </c>
      <c r="AP24" s="3814">
        <v>30721</v>
      </c>
      <c r="AQ24" s="3812" t="s">
        <v>3461</v>
      </c>
      <c r="AR24" s="3812" t="s">
        <v>3461</v>
      </c>
      <c r="AS24" s="3812">
        <v>10</v>
      </c>
      <c r="AT24" s="3812" t="s">
        <v>3582</v>
      </c>
      <c r="AU24" s="3812">
        <v>378400</v>
      </c>
      <c r="AV24" s="3812" t="s">
        <v>3933</v>
      </c>
      <c r="AW24" s="3812">
        <v>59000</v>
      </c>
      <c r="AX24" s="3812">
        <v>30721</v>
      </c>
      <c r="AY24" s="3812">
        <v>10</v>
      </c>
      <c r="AZ24" s="3812">
        <v>31072</v>
      </c>
    </row>
    <row r="25" spans="1:52" hidden="1">
      <c r="A25" s="3812" t="s">
        <v>4016</v>
      </c>
      <c r="B25" s="3812" t="s">
        <v>3378</v>
      </c>
      <c r="C25" s="3812" t="s">
        <v>4015</v>
      </c>
      <c r="D25" s="3812" t="s">
        <v>3579</v>
      </c>
      <c r="E25" s="3812" t="s">
        <v>3578</v>
      </c>
      <c r="F25" s="3812" t="s">
        <v>3630</v>
      </c>
      <c r="G25" s="3812" t="s">
        <v>3997</v>
      </c>
      <c r="H25" s="3812" t="s">
        <v>3439</v>
      </c>
      <c r="I25" s="3812">
        <v>81852.240000000005</v>
      </c>
      <c r="J25" s="3812">
        <v>229603.29</v>
      </c>
      <c r="K25" s="3812">
        <v>2.81</v>
      </c>
      <c r="L25" s="3812" t="s">
        <v>3423</v>
      </c>
      <c r="M25" s="3812" t="s">
        <v>4014</v>
      </c>
      <c r="N25" s="3812" t="s">
        <v>3976</v>
      </c>
      <c r="O25" s="3812" t="s">
        <v>3463</v>
      </c>
      <c r="P25" s="3812">
        <v>0.3</v>
      </c>
      <c r="Q25" s="3812" t="s">
        <v>4013</v>
      </c>
      <c r="R25" s="3812" t="s">
        <v>3975</v>
      </c>
      <c r="S25" s="3812" t="s">
        <v>3965</v>
      </c>
      <c r="T25" s="3812" t="s">
        <v>3461</v>
      </c>
      <c r="U25" s="3812" t="s">
        <v>4012</v>
      </c>
      <c r="V25" s="3812">
        <v>128400</v>
      </c>
      <c r="W25" s="3812" t="s">
        <v>3461</v>
      </c>
      <c r="X25" s="3812">
        <v>0</v>
      </c>
      <c r="Y25" s="3812">
        <v>0</v>
      </c>
      <c r="Z25" s="3815">
        <v>44438.000497685185</v>
      </c>
      <c r="AA25" s="3815">
        <v>44462.000497685185</v>
      </c>
      <c r="AB25" s="3815">
        <v>44482.000497685185</v>
      </c>
      <c r="AC25" s="3813">
        <v>44482.000497685185</v>
      </c>
      <c r="AD25" s="3812" t="s">
        <v>4011</v>
      </c>
      <c r="AE25" s="3812" t="s">
        <v>3426</v>
      </c>
      <c r="AF25" s="3812" t="s">
        <v>4010</v>
      </c>
      <c r="AG25" s="3812" t="s">
        <v>4009</v>
      </c>
      <c r="AH25" s="3812" t="s">
        <v>3615</v>
      </c>
      <c r="AI25" s="3812">
        <v>429000</v>
      </c>
      <c r="AJ25" s="3812">
        <v>86000</v>
      </c>
      <c r="AK25" s="3812" t="s">
        <v>3971</v>
      </c>
      <c r="AL25" s="3812">
        <v>433400</v>
      </c>
      <c r="AM25" s="3812">
        <v>3494.1</v>
      </c>
      <c r="AN25" s="3812">
        <v>3529.94</v>
      </c>
      <c r="AO25" s="3812">
        <v>18684</v>
      </c>
      <c r="AP25" s="3814">
        <v>18876</v>
      </c>
      <c r="AQ25" s="3812">
        <v>42390</v>
      </c>
      <c r="AR25" s="3812" t="s">
        <v>3461</v>
      </c>
      <c r="AS25" s="3812">
        <v>1.03</v>
      </c>
      <c r="AT25" s="3812" t="s">
        <v>3970</v>
      </c>
      <c r="AU25" s="3812">
        <v>493350</v>
      </c>
      <c r="AV25" s="3812" t="s">
        <v>3897</v>
      </c>
      <c r="AW25" s="3812">
        <v>106000</v>
      </c>
      <c r="AX25" s="3812">
        <v>21487</v>
      </c>
      <c r="AY25" s="3812">
        <v>15</v>
      </c>
      <c r="AZ25" s="3812">
        <v>87316</v>
      </c>
    </row>
    <row r="26" spans="1:52" hidden="1">
      <c r="A26" s="3812" t="s">
        <v>4008</v>
      </c>
      <c r="B26" s="3812" t="s">
        <v>3378</v>
      </c>
      <c r="C26" s="3812" t="s">
        <v>4007</v>
      </c>
      <c r="D26" s="3812" t="s">
        <v>3579</v>
      </c>
      <c r="E26" s="3812" t="s">
        <v>3592</v>
      </c>
      <c r="F26" s="3812" t="s">
        <v>3796</v>
      </c>
      <c r="G26" s="3812" t="s">
        <v>3795</v>
      </c>
      <c r="H26" s="3812" t="s">
        <v>3422</v>
      </c>
      <c r="I26" s="3812">
        <v>71316.899999999994</v>
      </c>
      <c r="J26" s="3812">
        <v>178292.25</v>
      </c>
      <c r="K26" s="3812" t="s">
        <v>4006</v>
      </c>
      <c r="L26" s="3812" t="s">
        <v>3423</v>
      </c>
      <c r="M26" s="3812" t="s">
        <v>3611</v>
      </c>
      <c r="N26" s="3812" t="s">
        <v>3976</v>
      </c>
      <c r="O26" s="3812" t="s">
        <v>3463</v>
      </c>
      <c r="P26" s="3812" t="s">
        <v>4005</v>
      </c>
      <c r="Q26" s="3812" t="s">
        <v>3610</v>
      </c>
      <c r="R26" s="3812" t="s">
        <v>3975</v>
      </c>
      <c r="S26" s="3812" t="s">
        <v>3965</v>
      </c>
      <c r="T26" s="3812" t="s">
        <v>3985</v>
      </c>
      <c r="U26" s="3812" t="s">
        <v>3984</v>
      </c>
      <c r="V26" s="3812" t="s">
        <v>3461</v>
      </c>
      <c r="W26" s="3812" t="s">
        <v>3461</v>
      </c>
      <c r="X26" s="3812">
        <v>0</v>
      </c>
      <c r="Y26" s="3812">
        <v>0</v>
      </c>
      <c r="Z26" s="3815">
        <v>44438.000497685185</v>
      </c>
      <c r="AA26" s="3815">
        <v>44462.000497685185</v>
      </c>
      <c r="AB26" s="3815">
        <v>44481.000497685185</v>
      </c>
      <c r="AC26" s="3813">
        <v>44481.000497685185</v>
      </c>
      <c r="AD26" s="3812" t="s">
        <v>4004</v>
      </c>
      <c r="AE26" s="3812" t="s">
        <v>3426</v>
      </c>
      <c r="AF26" s="3812" t="s">
        <v>4003</v>
      </c>
      <c r="AG26" s="3812" t="s">
        <v>4002</v>
      </c>
      <c r="AH26" s="3812" t="s">
        <v>4001</v>
      </c>
      <c r="AI26" s="3812">
        <v>685000</v>
      </c>
      <c r="AJ26" s="3812">
        <v>137000</v>
      </c>
      <c r="AK26" s="3812" t="s">
        <v>3971</v>
      </c>
      <c r="AL26" s="3812">
        <v>685000</v>
      </c>
      <c r="AM26" s="3812">
        <v>6403.34</v>
      </c>
      <c r="AN26" s="3812">
        <v>6403.34</v>
      </c>
      <c r="AO26" s="3812">
        <v>38420</v>
      </c>
      <c r="AP26" s="3814">
        <v>38420</v>
      </c>
      <c r="AQ26" s="3812" t="s">
        <v>3461</v>
      </c>
      <c r="AR26" s="3812" t="s">
        <v>3461</v>
      </c>
      <c r="AS26" s="3812">
        <v>0</v>
      </c>
      <c r="AT26" s="3812" t="s">
        <v>3786</v>
      </c>
      <c r="AU26" s="3812">
        <v>787750</v>
      </c>
      <c r="AV26" s="3812" t="s">
        <v>3897</v>
      </c>
      <c r="AW26" s="3812">
        <v>66000</v>
      </c>
      <c r="AX26" s="3812">
        <v>44183</v>
      </c>
      <c r="AY26" s="3812">
        <v>15</v>
      </c>
      <c r="AZ26" s="3812">
        <v>27580</v>
      </c>
    </row>
    <row r="27" spans="1:52" hidden="1">
      <c r="A27" s="3812" t="s">
        <v>4000</v>
      </c>
      <c r="B27" s="3812" t="s">
        <v>3378</v>
      </c>
      <c r="C27" s="3812" t="s">
        <v>3999</v>
      </c>
      <c r="D27" s="3812" t="s">
        <v>3579</v>
      </c>
      <c r="E27" s="3812" t="s">
        <v>3578</v>
      </c>
      <c r="F27" s="3812" t="s">
        <v>3998</v>
      </c>
      <c r="G27" s="3812" t="s">
        <v>3997</v>
      </c>
      <c r="H27" s="3812" t="s">
        <v>3439</v>
      </c>
      <c r="I27" s="3812">
        <v>43632.26</v>
      </c>
      <c r="J27" s="3812">
        <v>101601</v>
      </c>
      <c r="K27" s="3812">
        <v>2.33</v>
      </c>
      <c r="L27" s="3812" t="s">
        <v>3423</v>
      </c>
      <c r="M27" s="3812" t="s">
        <v>3996</v>
      </c>
      <c r="N27" s="3812" t="s">
        <v>3976</v>
      </c>
      <c r="O27" s="3812">
        <v>12.48</v>
      </c>
      <c r="P27" s="3812" t="s">
        <v>3461</v>
      </c>
      <c r="Q27" s="3812" t="s">
        <v>3461</v>
      </c>
      <c r="R27" s="3812" t="s">
        <v>3975</v>
      </c>
      <c r="S27" s="3812" t="s">
        <v>3965</v>
      </c>
      <c r="T27" s="3812" t="s">
        <v>3461</v>
      </c>
      <c r="U27" s="3812" t="s">
        <v>3923</v>
      </c>
      <c r="V27" s="3812">
        <v>25700</v>
      </c>
      <c r="W27" s="3812" t="s">
        <v>3461</v>
      </c>
      <c r="X27" s="3812">
        <v>0</v>
      </c>
      <c r="Y27" s="3812">
        <v>0</v>
      </c>
      <c r="Z27" s="3815">
        <v>44438.000497685185</v>
      </c>
      <c r="AA27" s="3815">
        <v>44462.000497685185</v>
      </c>
      <c r="AB27" s="3815">
        <v>44482.000497685185</v>
      </c>
      <c r="AC27" s="3813">
        <v>44482.000497685185</v>
      </c>
      <c r="AD27" s="3812" t="s">
        <v>3995</v>
      </c>
      <c r="AE27" s="3812" t="s">
        <v>3426</v>
      </c>
      <c r="AF27" s="3812" t="s">
        <v>3994</v>
      </c>
      <c r="AG27" s="3812" t="s">
        <v>3993</v>
      </c>
      <c r="AH27" s="3812" t="s">
        <v>3769</v>
      </c>
      <c r="AI27" s="3812">
        <v>390000</v>
      </c>
      <c r="AJ27" s="3812">
        <v>78000</v>
      </c>
      <c r="AK27" s="3812" t="s">
        <v>3971</v>
      </c>
      <c r="AL27" s="3812">
        <v>418000</v>
      </c>
      <c r="AM27" s="3812">
        <v>5958.89</v>
      </c>
      <c r="AN27" s="3812">
        <v>6386.71</v>
      </c>
      <c r="AO27" s="3812">
        <v>38385</v>
      </c>
      <c r="AP27" s="3814">
        <v>41141</v>
      </c>
      <c r="AQ27" s="3812">
        <v>51383</v>
      </c>
      <c r="AR27" s="3812" t="s">
        <v>3461</v>
      </c>
      <c r="AS27" s="3812">
        <v>7.18</v>
      </c>
      <c r="AT27" s="3812" t="s">
        <v>3992</v>
      </c>
      <c r="AU27" s="3812">
        <v>448500</v>
      </c>
      <c r="AV27" s="3812" t="s">
        <v>3897</v>
      </c>
      <c r="AW27" s="3812">
        <v>112000</v>
      </c>
      <c r="AX27" s="3812">
        <v>44143</v>
      </c>
      <c r="AY27" s="3812">
        <v>15</v>
      </c>
      <c r="AZ27" s="3812">
        <v>73615</v>
      </c>
    </row>
    <row r="28" spans="1:52" hidden="1">
      <c r="A28" s="3812" t="s">
        <v>3991</v>
      </c>
      <c r="B28" s="3812" t="s">
        <v>3378</v>
      </c>
      <c r="C28" s="3812" t="s">
        <v>3990</v>
      </c>
      <c r="D28" s="3812" t="s">
        <v>3579</v>
      </c>
      <c r="E28" s="3812" t="s">
        <v>3718</v>
      </c>
      <c r="F28" s="3812" t="s">
        <v>3717</v>
      </c>
      <c r="G28" s="3812" t="s">
        <v>3888</v>
      </c>
      <c r="H28" s="3812" t="s">
        <v>3439</v>
      </c>
      <c r="I28" s="3812">
        <v>41530.480000000003</v>
      </c>
      <c r="J28" s="3812">
        <v>90206</v>
      </c>
      <c r="K28" s="3812" t="s">
        <v>3989</v>
      </c>
      <c r="L28" s="3812" t="s">
        <v>3423</v>
      </c>
      <c r="M28" s="3812" t="s">
        <v>3988</v>
      </c>
      <c r="N28" s="3812" t="s">
        <v>3976</v>
      </c>
      <c r="O28" s="3812" t="s">
        <v>3463</v>
      </c>
      <c r="P28" s="3812" t="s">
        <v>3987</v>
      </c>
      <c r="Q28" s="3812" t="s">
        <v>3986</v>
      </c>
      <c r="R28" s="3812" t="s">
        <v>3975</v>
      </c>
      <c r="S28" s="3812" t="s">
        <v>3965</v>
      </c>
      <c r="T28" s="3812" t="s">
        <v>3985</v>
      </c>
      <c r="U28" s="3812" t="s">
        <v>3984</v>
      </c>
      <c r="V28" s="3812" t="s">
        <v>3461</v>
      </c>
      <c r="W28" s="3812" t="s">
        <v>3461</v>
      </c>
      <c r="X28" s="3812">
        <v>0</v>
      </c>
      <c r="Y28" s="3812">
        <v>0</v>
      </c>
      <c r="Z28" s="3815">
        <v>44438.000497685185</v>
      </c>
      <c r="AA28" s="3815">
        <v>44462.000497685185</v>
      </c>
      <c r="AB28" s="3815">
        <v>44482.000497685185</v>
      </c>
      <c r="AC28" s="3813">
        <v>44482.000497685185</v>
      </c>
      <c r="AD28" s="3812" t="s">
        <v>3983</v>
      </c>
      <c r="AE28" s="3812" t="s">
        <v>3426</v>
      </c>
      <c r="AF28" s="3812" t="s">
        <v>3982</v>
      </c>
      <c r="AG28" s="3812" t="s">
        <v>3823</v>
      </c>
      <c r="AH28" s="3812" t="s">
        <v>3595</v>
      </c>
      <c r="AI28" s="3812">
        <v>135000</v>
      </c>
      <c r="AJ28" s="3812">
        <v>27000</v>
      </c>
      <c r="AK28" s="3812" t="s">
        <v>3971</v>
      </c>
      <c r="AL28" s="3812">
        <v>146000</v>
      </c>
      <c r="AM28" s="3812">
        <v>2167.08</v>
      </c>
      <c r="AN28" s="3812">
        <v>2343.66</v>
      </c>
      <c r="AO28" s="3812">
        <v>14966</v>
      </c>
      <c r="AP28" s="3814">
        <v>16185</v>
      </c>
      <c r="AQ28" s="3812" t="s">
        <v>3461</v>
      </c>
      <c r="AR28" s="3812" t="s">
        <v>3461</v>
      </c>
      <c r="AS28" s="3812">
        <v>8.15</v>
      </c>
      <c r="AT28" s="3812" t="s">
        <v>3981</v>
      </c>
      <c r="AU28" s="3812">
        <v>155250</v>
      </c>
      <c r="AV28" s="3812" t="s">
        <v>3897</v>
      </c>
      <c r="AW28" s="3812">
        <v>45000</v>
      </c>
      <c r="AX28" s="3812">
        <v>17211</v>
      </c>
      <c r="AY28" s="3812">
        <v>15</v>
      </c>
      <c r="AZ28" s="3812">
        <v>30034</v>
      </c>
    </row>
    <row r="29" spans="1:52" hidden="1">
      <c r="A29" s="3812" t="s">
        <v>3980</v>
      </c>
      <c r="B29" s="3812" t="s">
        <v>3378</v>
      </c>
      <c r="C29" s="3812" t="s">
        <v>3979</v>
      </c>
      <c r="D29" s="3812" t="s">
        <v>3579</v>
      </c>
      <c r="E29" s="3812" t="s">
        <v>3718</v>
      </c>
      <c r="F29" s="3812" t="s">
        <v>3978</v>
      </c>
      <c r="G29" s="3812" t="s">
        <v>3977</v>
      </c>
      <c r="H29" s="3812" t="s">
        <v>3422</v>
      </c>
      <c r="I29" s="3812">
        <v>72250</v>
      </c>
      <c r="J29" s="3812">
        <v>79475</v>
      </c>
      <c r="K29" s="3812">
        <v>1.1000000000000001</v>
      </c>
      <c r="L29" s="3812" t="s">
        <v>3423</v>
      </c>
      <c r="M29" s="3812" t="s">
        <v>3611</v>
      </c>
      <c r="N29" s="3812" t="s">
        <v>3976</v>
      </c>
      <c r="O29" s="3812" t="s">
        <v>3463</v>
      </c>
      <c r="P29" s="3812" t="s">
        <v>3461</v>
      </c>
      <c r="Q29" s="3812" t="s">
        <v>3461</v>
      </c>
      <c r="R29" s="3812" t="s">
        <v>3975</v>
      </c>
      <c r="S29" s="3812" t="s">
        <v>3965</v>
      </c>
      <c r="T29" s="3812" t="s">
        <v>3461</v>
      </c>
      <c r="U29" s="3812" t="s">
        <v>3461</v>
      </c>
      <c r="V29" s="3812" t="s">
        <v>3461</v>
      </c>
      <c r="W29" s="3812" t="s">
        <v>3461</v>
      </c>
      <c r="X29" s="3812">
        <v>0</v>
      </c>
      <c r="Y29" s="3812">
        <v>0</v>
      </c>
      <c r="Z29" s="3815">
        <v>44438.000497685185</v>
      </c>
      <c r="AA29" s="3815">
        <v>44462.000497685185</v>
      </c>
      <c r="AB29" s="3815">
        <v>44481.000497685185</v>
      </c>
      <c r="AC29" s="3813">
        <v>44481.000497685185</v>
      </c>
      <c r="AD29" s="3812" t="s">
        <v>3974</v>
      </c>
      <c r="AE29" s="3812" t="s">
        <v>3426</v>
      </c>
      <c r="AF29" s="3812" t="s">
        <v>3973</v>
      </c>
      <c r="AG29" s="3812" t="s">
        <v>3972</v>
      </c>
      <c r="AH29" s="3812" t="s">
        <v>3633</v>
      </c>
      <c r="AI29" s="3812">
        <v>98300</v>
      </c>
      <c r="AJ29" s="3812">
        <v>20000</v>
      </c>
      <c r="AK29" s="3812" t="s">
        <v>3971</v>
      </c>
      <c r="AL29" s="3812">
        <v>98300</v>
      </c>
      <c r="AM29" s="3812">
        <v>907.04</v>
      </c>
      <c r="AN29" s="3812">
        <v>907.04</v>
      </c>
      <c r="AO29" s="3812">
        <v>12369</v>
      </c>
      <c r="AP29" s="3814">
        <v>12369</v>
      </c>
      <c r="AQ29" s="3812" t="s">
        <v>3461</v>
      </c>
      <c r="AR29" s="3812" t="s">
        <v>3461</v>
      </c>
      <c r="AS29" s="3812">
        <v>0</v>
      </c>
      <c r="AT29" s="3812" t="s">
        <v>3970</v>
      </c>
      <c r="AU29" s="3812">
        <v>103215</v>
      </c>
      <c r="AV29" s="3812" t="s">
        <v>3897</v>
      </c>
      <c r="AW29" s="3812">
        <v>27000</v>
      </c>
      <c r="AX29" s="3812">
        <v>12987</v>
      </c>
      <c r="AY29" s="3812">
        <v>5</v>
      </c>
      <c r="AZ29" s="3812">
        <v>14631</v>
      </c>
    </row>
    <row r="30" spans="1:52" hidden="1">
      <c r="A30" s="3812" t="s">
        <v>3969</v>
      </c>
      <c r="B30" s="3812" t="s">
        <v>3378</v>
      </c>
      <c r="C30" s="3812" t="s">
        <v>3968</v>
      </c>
      <c r="D30" s="3812" t="s">
        <v>3579</v>
      </c>
      <c r="E30" s="3812" t="s">
        <v>3718</v>
      </c>
      <c r="F30" s="3812" t="s">
        <v>3842</v>
      </c>
      <c r="G30" s="3812" t="s">
        <v>3841</v>
      </c>
      <c r="H30" s="3812" t="s">
        <v>3439</v>
      </c>
      <c r="I30" s="3812">
        <v>40514.839999999997</v>
      </c>
      <c r="J30" s="3812">
        <v>92680</v>
      </c>
      <c r="K30" s="3812" t="s">
        <v>3967</v>
      </c>
      <c r="L30" s="3812" t="s">
        <v>3746</v>
      </c>
      <c r="M30" s="3812" t="s">
        <v>3952</v>
      </c>
      <c r="N30" s="3812" t="s">
        <v>3904</v>
      </c>
      <c r="O30" s="3812" t="s">
        <v>3463</v>
      </c>
      <c r="P30" s="3812" t="s">
        <v>3573</v>
      </c>
      <c r="Q30" s="3812" t="s">
        <v>3966</v>
      </c>
      <c r="R30" s="3812" t="s">
        <v>3965</v>
      </c>
      <c r="S30" s="3812" t="s">
        <v>3638</v>
      </c>
      <c r="T30" s="3812" t="s">
        <v>3924</v>
      </c>
      <c r="U30" s="3812" t="s">
        <v>3923</v>
      </c>
      <c r="V30" s="3812">
        <v>25775.56</v>
      </c>
      <c r="W30" s="3812">
        <v>0</v>
      </c>
      <c r="X30" s="3812">
        <v>0</v>
      </c>
      <c r="Y30" s="3812">
        <v>25775.56</v>
      </c>
      <c r="Z30" s="3815">
        <v>44286.000497685185</v>
      </c>
      <c r="AA30" s="3815">
        <v>44308.000497685185</v>
      </c>
      <c r="AB30" s="3815">
        <v>44308.000497685185</v>
      </c>
      <c r="AC30" s="3813">
        <v>44308.000497685185</v>
      </c>
      <c r="AD30" s="3812" t="s">
        <v>3964</v>
      </c>
      <c r="AE30" s="3812" t="s">
        <v>3426</v>
      </c>
      <c r="AF30" s="3812" t="s">
        <v>3963</v>
      </c>
      <c r="AG30" s="3812" t="s">
        <v>3934</v>
      </c>
      <c r="AH30" s="3812" t="s">
        <v>3633</v>
      </c>
      <c r="AI30" s="3812" t="s">
        <v>3461</v>
      </c>
      <c r="AJ30" s="3812">
        <v>15000</v>
      </c>
      <c r="AK30" s="3812" t="s">
        <v>3962</v>
      </c>
      <c r="AL30" s="3812">
        <v>75000</v>
      </c>
      <c r="AM30" s="3812" t="s">
        <v>3461</v>
      </c>
      <c r="AN30" s="3812">
        <v>1234.1199999999999</v>
      </c>
      <c r="AO30" s="3812" t="s">
        <v>3461</v>
      </c>
      <c r="AP30" s="3814">
        <v>8092</v>
      </c>
      <c r="AQ30" s="3812" t="s">
        <v>3461</v>
      </c>
      <c r="AR30" s="3812" t="s">
        <v>3461</v>
      </c>
      <c r="AS30" s="3812">
        <v>0</v>
      </c>
      <c r="AT30" s="3812" t="s">
        <v>3606</v>
      </c>
      <c r="AU30" s="3812">
        <v>403700</v>
      </c>
      <c r="AV30" s="3812" t="s">
        <v>3897</v>
      </c>
      <c r="AW30" s="3812">
        <v>27000</v>
      </c>
      <c r="AX30" s="3812">
        <v>43558</v>
      </c>
      <c r="AY30" s="3812" t="s">
        <v>3461</v>
      </c>
      <c r="AZ30" s="3812" t="s">
        <v>3461</v>
      </c>
    </row>
    <row r="31" spans="1:52" hidden="1">
      <c r="A31" s="3812" t="s">
        <v>3961</v>
      </c>
      <c r="B31" s="3812" t="s">
        <v>3378</v>
      </c>
      <c r="C31" s="3812" t="s">
        <v>3960</v>
      </c>
      <c r="D31" s="3812" t="s">
        <v>3579</v>
      </c>
      <c r="E31" s="3812" t="s">
        <v>3578</v>
      </c>
      <c r="F31" s="3812" t="s">
        <v>3728</v>
      </c>
      <c r="G31" s="3812" t="s">
        <v>3959</v>
      </c>
      <c r="H31" s="3812" t="s">
        <v>3422</v>
      </c>
      <c r="I31" s="3812">
        <v>74400.31</v>
      </c>
      <c r="J31" s="3812">
        <v>171120.71</v>
      </c>
      <c r="K31" s="3812" t="s">
        <v>3894</v>
      </c>
      <c r="L31" s="3812" t="s">
        <v>3423</v>
      </c>
      <c r="M31" s="3812" t="s">
        <v>3611</v>
      </c>
      <c r="N31" s="3812" t="s">
        <v>3904</v>
      </c>
      <c r="O31" s="3812" t="s">
        <v>3463</v>
      </c>
      <c r="P31" s="3812" t="s">
        <v>3573</v>
      </c>
      <c r="Q31" s="3812" t="s">
        <v>3877</v>
      </c>
      <c r="R31" s="3812" t="s">
        <v>3938</v>
      </c>
      <c r="S31" s="3812" t="s">
        <v>3937</v>
      </c>
      <c r="T31" s="3812" t="s">
        <v>3924</v>
      </c>
      <c r="U31" s="3812" t="s">
        <v>3923</v>
      </c>
      <c r="V31" s="3812">
        <v>1000</v>
      </c>
      <c r="W31" s="3812">
        <v>33500</v>
      </c>
      <c r="X31" s="3812">
        <v>0</v>
      </c>
      <c r="Y31" s="3812">
        <v>0</v>
      </c>
      <c r="Z31" s="3815">
        <v>44286.000497685185</v>
      </c>
      <c r="AA31" s="3815">
        <v>44308.000497685185</v>
      </c>
      <c r="AB31" s="3815">
        <v>44324.000497685185</v>
      </c>
      <c r="AC31" s="3813">
        <v>44327.000497685185</v>
      </c>
      <c r="AD31" s="3812" t="s">
        <v>3958</v>
      </c>
      <c r="AE31" s="3812" t="s">
        <v>3426</v>
      </c>
      <c r="AF31" s="3812" t="s">
        <v>3957</v>
      </c>
      <c r="AG31" s="3812" t="s">
        <v>3956</v>
      </c>
      <c r="AH31" s="3812" t="s">
        <v>3955</v>
      </c>
      <c r="AI31" s="3812">
        <v>590000</v>
      </c>
      <c r="AJ31" s="3812">
        <v>120000</v>
      </c>
      <c r="AK31" s="3812" t="s">
        <v>3898</v>
      </c>
      <c r="AL31" s="3812">
        <v>620000</v>
      </c>
      <c r="AM31" s="3812">
        <v>5286.72</v>
      </c>
      <c r="AN31" s="3812">
        <v>5555.53</v>
      </c>
      <c r="AO31" s="3812">
        <v>34479</v>
      </c>
      <c r="AP31" s="3814">
        <v>36232</v>
      </c>
      <c r="AQ31" s="3812">
        <v>34681</v>
      </c>
      <c r="AR31" s="3812">
        <v>45051</v>
      </c>
      <c r="AS31" s="3812">
        <v>5.08</v>
      </c>
      <c r="AT31" s="3812" t="s">
        <v>3606</v>
      </c>
      <c r="AU31" s="3812">
        <v>620000</v>
      </c>
      <c r="AV31" s="3812" t="s">
        <v>3933</v>
      </c>
      <c r="AW31" s="3812" t="s">
        <v>3463</v>
      </c>
      <c r="AX31" s="3812">
        <v>36232</v>
      </c>
      <c r="AY31" s="3812">
        <v>5.08</v>
      </c>
      <c r="AZ31" s="3812" t="s">
        <v>3461</v>
      </c>
    </row>
    <row r="32" spans="1:52" hidden="1">
      <c r="A32" s="3812" t="s">
        <v>3954</v>
      </c>
      <c r="B32" s="3812" t="s">
        <v>3378</v>
      </c>
      <c r="C32" s="3812" t="s">
        <v>3953</v>
      </c>
      <c r="D32" s="3812" t="s">
        <v>3579</v>
      </c>
      <c r="E32" s="3812" t="s">
        <v>3592</v>
      </c>
      <c r="F32" s="3812" t="s">
        <v>3930</v>
      </c>
      <c r="G32" s="3812" t="s">
        <v>3929</v>
      </c>
      <c r="H32" s="3812" t="s">
        <v>3439</v>
      </c>
      <c r="I32" s="3812">
        <v>94973.86</v>
      </c>
      <c r="J32" s="3812">
        <v>192900</v>
      </c>
      <c r="K32" s="3812" t="s">
        <v>3471</v>
      </c>
      <c r="L32" s="3812" t="s">
        <v>3423</v>
      </c>
      <c r="M32" s="3812" t="s">
        <v>3952</v>
      </c>
      <c r="N32" s="3812" t="s">
        <v>3904</v>
      </c>
      <c r="O32" s="3812" t="s">
        <v>3463</v>
      </c>
      <c r="P32" s="3812" t="s">
        <v>3461</v>
      </c>
      <c r="Q32" s="3812" t="s">
        <v>3951</v>
      </c>
      <c r="R32" s="3812" t="s">
        <v>3950</v>
      </c>
      <c r="S32" s="3812" t="s">
        <v>3949</v>
      </c>
      <c r="T32" s="3812" t="s">
        <v>3924</v>
      </c>
      <c r="U32" s="3812" t="s">
        <v>3923</v>
      </c>
      <c r="V32" s="3812" t="s">
        <v>3461</v>
      </c>
      <c r="W32" s="3812">
        <v>1000</v>
      </c>
      <c r="X32" s="3812">
        <v>0</v>
      </c>
      <c r="Y32" s="3812">
        <v>0</v>
      </c>
      <c r="Z32" s="3815">
        <v>44286.000497685185</v>
      </c>
      <c r="AA32" s="3815">
        <v>44308.000497685185</v>
      </c>
      <c r="AB32" s="3815">
        <v>44324.000497685185</v>
      </c>
      <c r="AC32" s="3813">
        <v>44327.000497685185</v>
      </c>
      <c r="AD32" s="3812" t="s">
        <v>3948</v>
      </c>
      <c r="AE32" s="3812" t="s">
        <v>3426</v>
      </c>
      <c r="AF32" s="3812" t="s">
        <v>3947</v>
      </c>
      <c r="AG32" s="3812" t="s">
        <v>3946</v>
      </c>
      <c r="AH32" s="3812" t="s">
        <v>3595</v>
      </c>
      <c r="AI32" s="3812">
        <v>595000</v>
      </c>
      <c r="AJ32" s="3812">
        <v>119000</v>
      </c>
      <c r="AK32" s="3812" t="s">
        <v>3898</v>
      </c>
      <c r="AL32" s="3812">
        <v>625000</v>
      </c>
      <c r="AM32" s="3812">
        <v>4176.59</v>
      </c>
      <c r="AN32" s="3812">
        <v>4387.17</v>
      </c>
      <c r="AO32" s="3812">
        <v>30845</v>
      </c>
      <c r="AP32" s="3814">
        <v>32400</v>
      </c>
      <c r="AQ32" s="3812" t="s">
        <v>3461</v>
      </c>
      <c r="AR32" s="3812">
        <v>32569</v>
      </c>
      <c r="AS32" s="3812">
        <v>5.04</v>
      </c>
      <c r="AT32" s="3812" t="s">
        <v>3606</v>
      </c>
      <c r="AU32" s="3812">
        <v>625000</v>
      </c>
      <c r="AV32" s="3812" t="s">
        <v>3933</v>
      </c>
      <c r="AW32" s="3812" t="s">
        <v>3463</v>
      </c>
      <c r="AX32" s="3812">
        <v>32400</v>
      </c>
      <c r="AY32" s="3812">
        <v>5.04</v>
      </c>
      <c r="AZ32" s="3812" t="s">
        <v>3461</v>
      </c>
    </row>
    <row r="33" spans="1:52" hidden="1">
      <c r="A33" s="3812" t="s">
        <v>3945</v>
      </c>
      <c r="B33" s="3812" t="s">
        <v>3378</v>
      </c>
      <c r="C33" s="3812" t="s">
        <v>3944</v>
      </c>
      <c r="D33" s="3812" t="s">
        <v>3579</v>
      </c>
      <c r="E33" s="3812" t="s">
        <v>3592</v>
      </c>
      <c r="F33" s="3812" t="s">
        <v>3796</v>
      </c>
      <c r="G33" s="3812" t="s">
        <v>3943</v>
      </c>
      <c r="H33" s="3812" t="s">
        <v>3439</v>
      </c>
      <c r="I33" s="3812">
        <v>38598.46</v>
      </c>
      <c r="J33" s="3812">
        <v>82574</v>
      </c>
      <c r="K33" s="3812" t="s">
        <v>3942</v>
      </c>
      <c r="L33" s="3812" t="s">
        <v>3423</v>
      </c>
      <c r="M33" s="3812" t="s">
        <v>3941</v>
      </c>
      <c r="N33" s="3812" t="s">
        <v>3904</v>
      </c>
      <c r="O33" s="3812" t="s">
        <v>3463</v>
      </c>
      <c r="P33" s="3812" t="s">
        <v>3940</v>
      </c>
      <c r="Q33" s="3812" t="s">
        <v>3939</v>
      </c>
      <c r="R33" s="3812" t="s">
        <v>3938</v>
      </c>
      <c r="S33" s="3812" t="s">
        <v>3937</v>
      </c>
      <c r="T33" s="3812" t="s">
        <v>3924</v>
      </c>
      <c r="U33" s="3812" t="s">
        <v>3923</v>
      </c>
      <c r="V33" s="3812">
        <v>12810</v>
      </c>
      <c r="W33" s="3812">
        <v>28810</v>
      </c>
      <c r="X33" s="3812">
        <v>0</v>
      </c>
      <c r="Y33" s="3812">
        <v>0</v>
      </c>
      <c r="Z33" s="3815">
        <v>44286.000497685185</v>
      </c>
      <c r="AA33" s="3815">
        <v>44308.000497685185</v>
      </c>
      <c r="AB33" s="3815">
        <v>44324.000497685185</v>
      </c>
      <c r="AC33" s="3813">
        <v>44327.000497685185</v>
      </c>
      <c r="AD33" s="3812" t="s">
        <v>3936</v>
      </c>
      <c r="AE33" s="3812" t="s">
        <v>3426</v>
      </c>
      <c r="AF33" s="3812" t="s">
        <v>3935</v>
      </c>
      <c r="AG33" s="3812" t="s">
        <v>3934</v>
      </c>
      <c r="AH33" s="3812" t="s">
        <v>3633</v>
      </c>
      <c r="AI33" s="3812">
        <v>142000</v>
      </c>
      <c r="AJ33" s="3812">
        <v>29000</v>
      </c>
      <c r="AK33" s="3812" t="s">
        <v>3898</v>
      </c>
      <c r="AL33" s="3812">
        <v>163000</v>
      </c>
      <c r="AM33" s="3812">
        <v>2452.6</v>
      </c>
      <c r="AN33" s="3812">
        <v>2815.31</v>
      </c>
      <c r="AO33" s="3812">
        <v>17197</v>
      </c>
      <c r="AP33" s="3814">
        <v>19740</v>
      </c>
      <c r="AQ33" s="3812">
        <v>20354</v>
      </c>
      <c r="AR33" s="3812">
        <v>30318</v>
      </c>
      <c r="AS33" s="3812">
        <v>14.79</v>
      </c>
      <c r="AT33" s="3812" t="s">
        <v>3606</v>
      </c>
      <c r="AU33" s="3812">
        <v>163000</v>
      </c>
      <c r="AV33" s="3812" t="s">
        <v>3933</v>
      </c>
      <c r="AW33" s="3812" t="s">
        <v>3463</v>
      </c>
      <c r="AX33" s="3812">
        <v>19740</v>
      </c>
      <c r="AY33" s="3812">
        <v>14.79</v>
      </c>
      <c r="AZ33" s="3812" t="s">
        <v>3461</v>
      </c>
    </row>
    <row r="34" spans="1:52" hidden="1">
      <c r="A34" s="3812" t="s">
        <v>3932</v>
      </c>
      <c r="B34" s="3812" t="s">
        <v>3378</v>
      </c>
      <c r="C34" s="3812" t="s">
        <v>3931</v>
      </c>
      <c r="D34" s="3812" t="s">
        <v>3579</v>
      </c>
      <c r="E34" s="3812" t="s">
        <v>3592</v>
      </c>
      <c r="F34" s="3812" t="s">
        <v>3930</v>
      </c>
      <c r="G34" s="3812" t="s">
        <v>3929</v>
      </c>
      <c r="H34" s="3812" t="s">
        <v>3439</v>
      </c>
      <c r="I34" s="3812">
        <v>108243.94</v>
      </c>
      <c r="J34" s="3812">
        <v>262360.75</v>
      </c>
      <c r="K34" s="3812" t="s">
        <v>3928</v>
      </c>
      <c r="L34" s="3812" t="s">
        <v>3423</v>
      </c>
      <c r="M34" s="3812" t="s">
        <v>3927</v>
      </c>
      <c r="N34" s="3812" t="s">
        <v>3904</v>
      </c>
      <c r="O34" s="3812">
        <v>5.28</v>
      </c>
      <c r="P34" s="3812" t="s">
        <v>3461</v>
      </c>
      <c r="Q34" s="3812" t="s">
        <v>3461</v>
      </c>
      <c r="R34" s="3812" t="s">
        <v>3926</v>
      </c>
      <c r="S34" s="3812" t="s">
        <v>3925</v>
      </c>
      <c r="T34" s="3812" t="s">
        <v>3924</v>
      </c>
      <c r="U34" s="3812" t="s">
        <v>3923</v>
      </c>
      <c r="V34" s="3812" t="s">
        <v>3461</v>
      </c>
      <c r="W34" s="3812">
        <v>0</v>
      </c>
      <c r="X34" s="3812">
        <v>0</v>
      </c>
      <c r="Y34" s="3812">
        <v>0</v>
      </c>
      <c r="Z34" s="3815">
        <v>44286.000497685185</v>
      </c>
      <c r="AA34" s="3815">
        <v>44308.000497685185</v>
      </c>
      <c r="AB34" s="3815">
        <v>44324.000497685185</v>
      </c>
      <c r="AC34" s="3813">
        <v>44324.000497685185</v>
      </c>
      <c r="AD34" s="3812" t="s">
        <v>3922</v>
      </c>
      <c r="AE34" s="3812" t="s">
        <v>3426</v>
      </c>
      <c r="AF34" s="3812" t="s">
        <v>3921</v>
      </c>
      <c r="AG34" s="3812" t="s">
        <v>3920</v>
      </c>
      <c r="AH34" s="3812" t="s">
        <v>3919</v>
      </c>
      <c r="AI34" s="3812">
        <v>452000</v>
      </c>
      <c r="AJ34" s="3812">
        <v>91000</v>
      </c>
      <c r="AK34" s="3812" t="s">
        <v>3898</v>
      </c>
      <c r="AL34" s="3812">
        <v>452000</v>
      </c>
      <c r="AM34" s="3812">
        <v>2783.84</v>
      </c>
      <c r="AN34" s="3812">
        <v>2783.84</v>
      </c>
      <c r="AO34" s="3812">
        <v>17228</v>
      </c>
      <c r="AP34" s="3814">
        <v>17228</v>
      </c>
      <c r="AQ34" s="3812" t="s">
        <v>3461</v>
      </c>
      <c r="AR34" s="3812" t="s">
        <v>3461</v>
      </c>
      <c r="AS34" s="3812">
        <v>0</v>
      </c>
      <c r="AT34" s="3812" t="s">
        <v>3606</v>
      </c>
      <c r="AU34" s="3812">
        <v>497000</v>
      </c>
      <c r="AV34" s="3812" t="s">
        <v>3897</v>
      </c>
      <c r="AW34" s="3812" t="s">
        <v>3463</v>
      </c>
      <c r="AX34" s="3812">
        <v>18943</v>
      </c>
      <c r="AY34" s="3812">
        <v>9.9600000000000009</v>
      </c>
      <c r="AZ34" s="3812" t="s">
        <v>3461</v>
      </c>
    </row>
    <row r="35" spans="1:52" hidden="1">
      <c r="A35" s="3812" t="s">
        <v>3918</v>
      </c>
      <c r="B35" s="3812" t="s">
        <v>3378</v>
      </c>
      <c r="C35" s="3812" t="s">
        <v>3917</v>
      </c>
      <c r="D35" s="3812" t="s">
        <v>3579</v>
      </c>
      <c r="E35" s="3812" t="s">
        <v>3578</v>
      </c>
      <c r="F35" s="3812" t="s">
        <v>3577</v>
      </c>
      <c r="G35" s="3812" t="s">
        <v>3916</v>
      </c>
      <c r="H35" s="3812" t="s">
        <v>3422</v>
      </c>
      <c r="I35" s="3812">
        <v>90083.7</v>
      </c>
      <c r="J35" s="3812">
        <v>126117.18</v>
      </c>
      <c r="K35" s="3812" t="s">
        <v>3915</v>
      </c>
      <c r="L35" s="3812" t="s">
        <v>3423</v>
      </c>
      <c r="M35" s="3812" t="s">
        <v>3611</v>
      </c>
      <c r="N35" s="3812" t="s">
        <v>3904</v>
      </c>
      <c r="O35" s="3812" t="s">
        <v>3463</v>
      </c>
      <c r="P35" s="3812" t="s">
        <v>3914</v>
      </c>
      <c r="Q35" s="3812" t="s">
        <v>3913</v>
      </c>
      <c r="R35" s="3812" t="s">
        <v>3912</v>
      </c>
      <c r="S35" s="3812" t="s">
        <v>3570</v>
      </c>
      <c r="T35" s="3812" t="s">
        <v>3461</v>
      </c>
      <c r="U35" s="3812" t="s">
        <v>3461</v>
      </c>
      <c r="V35" s="3812">
        <v>0</v>
      </c>
      <c r="W35" s="3812">
        <v>0</v>
      </c>
      <c r="X35" s="3812">
        <v>0</v>
      </c>
      <c r="Y35" s="3812">
        <v>0</v>
      </c>
      <c r="Z35" s="3815">
        <v>44286.000497685185</v>
      </c>
      <c r="AA35" s="3815">
        <v>44308.000497685185</v>
      </c>
      <c r="AB35" s="3815">
        <v>44324.000497685185</v>
      </c>
      <c r="AC35" s="3813">
        <v>44327.000497685185</v>
      </c>
      <c r="AD35" s="3812" t="s">
        <v>3911</v>
      </c>
      <c r="AE35" s="3812" t="s">
        <v>3426</v>
      </c>
      <c r="AF35" s="3812" t="s">
        <v>3910</v>
      </c>
      <c r="AG35" s="3812" t="s">
        <v>3909</v>
      </c>
      <c r="AH35" s="3812" t="s">
        <v>3595</v>
      </c>
      <c r="AI35" s="3812">
        <v>367000</v>
      </c>
      <c r="AJ35" s="3812">
        <v>75000</v>
      </c>
      <c r="AK35" s="3812" t="s">
        <v>3898</v>
      </c>
      <c r="AL35" s="3812">
        <v>371000</v>
      </c>
      <c r="AM35" s="3812">
        <v>2715.99</v>
      </c>
      <c r="AN35" s="3812">
        <v>2745.59</v>
      </c>
      <c r="AO35" s="3812">
        <v>29100</v>
      </c>
      <c r="AP35" s="3814">
        <v>29417</v>
      </c>
      <c r="AQ35" s="3812" t="s">
        <v>3461</v>
      </c>
      <c r="AR35" s="3812" t="s">
        <v>3461</v>
      </c>
      <c r="AS35" s="3812">
        <v>1.0900000000000001</v>
      </c>
      <c r="AT35" s="3812" t="s">
        <v>3606</v>
      </c>
      <c r="AU35" s="3812">
        <v>403700</v>
      </c>
      <c r="AV35" s="3812" t="s">
        <v>3897</v>
      </c>
      <c r="AW35" s="3812" t="s">
        <v>3463</v>
      </c>
      <c r="AX35" s="3812">
        <v>32010</v>
      </c>
      <c r="AY35" s="3812">
        <v>10</v>
      </c>
      <c r="AZ35" s="3812" t="s">
        <v>3461</v>
      </c>
    </row>
    <row r="36" spans="1:52" hidden="1">
      <c r="A36" s="3812" t="s">
        <v>3908</v>
      </c>
      <c r="B36" s="3812" t="s">
        <v>3378</v>
      </c>
      <c r="C36" s="3812" t="s">
        <v>3907</v>
      </c>
      <c r="D36" s="3812" t="s">
        <v>3579</v>
      </c>
      <c r="E36" s="3812" t="s">
        <v>3592</v>
      </c>
      <c r="F36" s="3812" t="s">
        <v>3906</v>
      </c>
      <c r="G36" s="3812" t="s">
        <v>3905</v>
      </c>
      <c r="H36" s="3812" t="s">
        <v>3422</v>
      </c>
      <c r="I36" s="3812">
        <v>48407.51</v>
      </c>
      <c r="J36" s="3812">
        <v>96815.01</v>
      </c>
      <c r="K36" s="3812" t="s">
        <v>3471</v>
      </c>
      <c r="L36" s="3812" t="s">
        <v>3423</v>
      </c>
      <c r="M36" s="3812" t="s">
        <v>3611</v>
      </c>
      <c r="N36" s="3812" t="s">
        <v>3904</v>
      </c>
      <c r="O36" s="3812" t="s">
        <v>3463</v>
      </c>
      <c r="P36" s="3812" t="s">
        <v>3573</v>
      </c>
      <c r="Q36" s="3812" t="s">
        <v>3877</v>
      </c>
      <c r="R36" s="3812" t="s">
        <v>3903</v>
      </c>
      <c r="S36" s="3812" t="s">
        <v>3623</v>
      </c>
      <c r="T36" s="3812" t="s">
        <v>3461</v>
      </c>
      <c r="U36" s="3812" t="s">
        <v>3461</v>
      </c>
      <c r="V36" s="3812">
        <v>0</v>
      </c>
      <c r="W36" s="3812">
        <v>0</v>
      </c>
      <c r="X36" s="3812">
        <v>0</v>
      </c>
      <c r="Y36" s="3812">
        <v>0</v>
      </c>
      <c r="Z36" s="3815">
        <v>44286.000497685185</v>
      </c>
      <c r="AA36" s="3815">
        <v>44308.000497685185</v>
      </c>
      <c r="AB36" s="3815">
        <v>44324.000497685185</v>
      </c>
      <c r="AC36" s="3813">
        <v>44324.000497685185</v>
      </c>
      <c r="AD36" s="3812" t="s">
        <v>3902</v>
      </c>
      <c r="AE36" s="3812" t="s">
        <v>3426</v>
      </c>
      <c r="AF36" s="3812" t="s">
        <v>3901</v>
      </c>
      <c r="AG36" s="3812" t="s">
        <v>3900</v>
      </c>
      <c r="AH36" s="3812" t="s">
        <v>3899</v>
      </c>
      <c r="AI36" s="3812">
        <v>145800</v>
      </c>
      <c r="AJ36" s="3812">
        <v>30000</v>
      </c>
      <c r="AK36" s="3812" t="s">
        <v>3898</v>
      </c>
      <c r="AL36" s="3812">
        <v>145800</v>
      </c>
      <c r="AM36" s="3812">
        <v>2007.95</v>
      </c>
      <c r="AN36" s="3812">
        <v>2007.95</v>
      </c>
      <c r="AO36" s="3812">
        <v>15060</v>
      </c>
      <c r="AP36" s="3814">
        <v>15060</v>
      </c>
      <c r="AQ36" s="3812" t="s">
        <v>3461</v>
      </c>
      <c r="AR36" s="3812" t="s">
        <v>3461</v>
      </c>
      <c r="AS36" s="3812">
        <v>0</v>
      </c>
      <c r="AT36" s="3812" t="s">
        <v>3606</v>
      </c>
      <c r="AU36" s="3812">
        <v>167600</v>
      </c>
      <c r="AV36" s="3812" t="s">
        <v>3897</v>
      </c>
      <c r="AW36" s="3812" t="s">
        <v>3463</v>
      </c>
      <c r="AX36" s="3812">
        <v>17311</v>
      </c>
      <c r="AY36" s="3812">
        <v>14.95</v>
      </c>
      <c r="AZ36" s="3812" t="s">
        <v>3461</v>
      </c>
    </row>
    <row r="37" spans="1:52" hidden="1">
      <c r="A37" s="3812" t="s">
        <v>3896</v>
      </c>
      <c r="B37" s="3812" t="s">
        <v>3378</v>
      </c>
      <c r="C37" s="3812" t="s">
        <v>3895</v>
      </c>
      <c r="D37" s="3812" t="s">
        <v>3579</v>
      </c>
      <c r="E37" s="3812" t="s">
        <v>3592</v>
      </c>
      <c r="F37" s="3812" t="s">
        <v>3681</v>
      </c>
      <c r="G37" s="3812" t="s">
        <v>3680</v>
      </c>
      <c r="H37" s="3812" t="s">
        <v>3422</v>
      </c>
      <c r="I37" s="3812">
        <v>56860.73</v>
      </c>
      <c r="J37" s="3812">
        <v>133065.75</v>
      </c>
      <c r="K37" s="3812" t="s">
        <v>3894</v>
      </c>
      <c r="L37" s="3812" t="s">
        <v>3423</v>
      </c>
      <c r="M37" s="3812" t="s">
        <v>3611</v>
      </c>
      <c r="N37" s="3812" t="s">
        <v>3425</v>
      </c>
      <c r="O37" s="3812" t="s">
        <v>3463</v>
      </c>
      <c r="P37" s="3812" t="s">
        <v>3461</v>
      </c>
      <c r="Q37" s="3812" t="s">
        <v>3461</v>
      </c>
      <c r="R37" s="3812" t="s">
        <v>3624</v>
      </c>
      <c r="S37" s="3812" t="s">
        <v>3623</v>
      </c>
      <c r="T37" s="3812" t="s">
        <v>3461</v>
      </c>
      <c r="U37" s="3812" t="s">
        <v>3461</v>
      </c>
      <c r="V37" s="3812" t="s">
        <v>3461</v>
      </c>
      <c r="W37" s="3812">
        <v>0</v>
      </c>
      <c r="X37" s="3812">
        <v>0</v>
      </c>
      <c r="Y37" s="3812">
        <v>0</v>
      </c>
      <c r="Z37" s="3815">
        <v>44188.000497685185</v>
      </c>
      <c r="AA37" s="3815">
        <v>44208.000497685185</v>
      </c>
      <c r="AB37" s="3815">
        <v>44222.000497685185</v>
      </c>
      <c r="AC37" s="3813">
        <v>44222.000497685185</v>
      </c>
      <c r="AD37" s="3812" t="s">
        <v>3893</v>
      </c>
      <c r="AE37" s="3812" t="s">
        <v>3426</v>
      </c>
      <c r="AF37" s="3812" t="s">
        <v>3892</v>
      </c>
      <c r="AG37" s="3812" t="s">
        <v>3807</v>
      </c>
      <c r="AH37" s="3812" t="s">
        <v>3615</v>
      </c>
      <c r="AI37" s="3812">
        <v>420000</v>
      </c>
      <c r="AJ37" s="3812">
        <v>85000</v>
      </c>
      <c r="AK37" s="3812" t="s">
        <v>3891</v>
      </c>
      <c r="AL37" s="3812">
        <v>465700</v>
      </c>
      <c r="AM37" s="3812">
        <v>4924.3100000000004</v>
      </c>
      <c r="AN37" s="3812">
        <v>5460.12</v>
      </c>
      <c r="AO37" s="3812">
        <v>31563</v>
      </c>
      <c r="AP37" s="3814">
        <v>34998</v>
      </c>
      <c r="AQ37" s="3812" t="s">
        <v>3461</v>
      </c>
      <c r="AR37" s="3812" t="s">
        <v>3461</v>
      </c>
      <c r="AS37" s="3812">
        <v>10.88</v>
      </c>
      <c r="AT37" s="3812" t="s">
        <v>3606</v>
      </c>
      <c r="AU37" s="3812" t="s">
        <v>3463</v>
      </c>
      <c r="AV37" s="3812" t="s">
        <v>3461</v>
      </c>
      <c r="AW37" s="3812" t="s">
        <v>3463</v>
      </c>
      <c r="AX37" s="3812" t="s">
        <v>3461</v>
      </c>
      <c r="AY37" s="3812" t="s">
        <v>3461</v>
      </c>
      <c r="AZ37" s="3812" t="s">
        <v>3461</v>
      </c>
    </row>
    <row r="38" spans="1:52" hidden="1">
      <c r="A38" s="3812" t="s">
        <v>3890</v>
      </c>
      <c r="B38" s="3812" t="s">
        <v>3378</v>
      </c>
      <c r="C38" s="3812" t="s">
        <v>3889</v>
      </c>
      <c r="D38" s="3812" t="s">
        <v>3579</v>
      </c>
      <c r="E38" s="3812" t="s">
        <v>3718</v>
      </c>
      <c r="F38" s="3812" t="s">
        <v>3740</v>
      </c>
      <c r="G38" s="3812" t="s">
        <v>3888</v>
      </c>
      <c r="H38" s="3812" t="s">
        <v>3439</v>
      </c>
      <c r="I38" s="3812">
        <v>63474.94</v>
      </c>
      <c r="J38" s="3812">
        <v>97252.05</v>
      </c>
      <c r="K38" s="3812" t="s">
        <v>3887</v>
      </c>
      <c r="L38" s="3812" t="s">
        <v>3423</v>
      </c>
      <c r="M38" s="3812" t="s">
        <v>3886</v>
      </c>
      <c r="N38" s="3812" t="s">
        <v>3425</v>
      </c>
      <c r="O38" s="3812">
        <v>15.76</v>
      </c>
      <c r="P38" s="3812" t="s">
        <v>3885</v>
      </c>
      <c r="Q38" s="3812" t="s">
        <v>3884</v>
      </c>
      <c r="R38" s="3812" t="s">
        <v>3624</v>
      </c>
      <c r="S38" s="3812" t="s">
        <v>3623</v>
      </c>
      <c r="T38" s="3812" t="s">
        <v>3461</v>
      </c>
      <c r="U38" s="3812" t="s">
        <v>3461</v>
      </c>
      <c r="V38" s="3812">
        <v>0</v>
      </c>
      <c r="W38" s="3812">
        <v>0</v>
      </c>
      <c r="X38" s="3812">
        <v>0</v>
      </c>
      <c r="Y38" s="3812">
        <v>0</v>
      </c>
      <c r="Z38" s="3815">
        <v>44174.000497685185</v>
      </c>
      <c r="AA38" s="3815">
        <v>44194.000497685185</v>
      </c>
      <c r="AB38" s="3815">
        <v>44209.000497685185</v>
      </c>
      <c r="AC38" s="3813">
        <v>44209.000497685185</v>
      </c>
      <c r="AD38" s="3812" t="s">
        <v>3883</v>
      </c>
      <c r="AE38" s="3812" t="s">
        <v>3426</v>
      </c>
      <c r="AF38" s="3812" t="s">
        <v>3882</v>
      </c>
      <c r="AG38" s="3812" t="s">
        <v>3583</v>
      </c>
      <c r="AH38" s="3812" t="s">
        <v>3566</v>
      </c>
      <c r="AI38" s="3812">
        <v>167300</v>
      </c>
      <c r="AJ38" s="3812">
        <v>33500</v>
      </c>
      <c r="AK38" s="3812" t="s">
        <v>3881</v>
      </c>
      <c r="AL38" s="3812">
        <v>182800</v>
      </c>
      <c r="AM38" s="3812">
        <v>1757.12</v>
      </c>
      <c r="AN38" s="3812">
        <v>1919.92</v>
      </c>
      <c r="AO38" s="3812">
        <v>17203</v>
      </c>
      <c r="AP38" s="3814">
        <v>18797</v>
      </c>
      <c r="AQ38" s="3812" t="s">
        <v>3461</v>
      </c>
      <c r="AR38" s="3812" t="s">
        <v>3461</v>
      </c>
      <c r="AS38" s="3812">
        <v>9.26</v>
      </c>
      <c r="AT38" s="3812" t="s">
        <v>3606</v>
      </c>
      <c r="AU38" s="3812" t="s">
        <v>3463</v>
      </c>
      <c r="AV38" s="3812" t="s">
        <v>3461</v>
      </c>
      <c r="AW38" s="3812" t="s">
        <v>3463</v>
      </c>
      <c r="AX38" s="3812" t="s">
        <v>3461</v>
      </c>
      <c r="AY38" s="3812" t="s">
        <v>3461</v>
      </c>
      <c r="AZ38" s="3812" t="s">
        <v>3461</v>
      </c>
    </row>
    <row r="39" spans="1:52">
      <c r="A39" s="3812" t="s">
        <v>3880</v>
      </c>
      <c r="B39" s="3812" t="s">
        <v>3378</v>
      </c>
      <c r="C39" s="3812" t="s">
        <v>3454</v>
      </c>
      <c r="D39" s="3812" t="s">
        <v>3579</v>
      </c>
      <c r="E39" s="3812" t="s">
        <v>3592</v>
      </c>
      <c r="F39" s="3812" t="s">
        <v>3879</v>
      </c>
      <c r="G39" s="3812" t="s">
        <v>3878</v>
      </c>
      <c r="H39" s="3812" t="s">
        <v>3439</v>
      </c>
      <c r="I39" s="3812">
        <v>43870.1</v>
      </c>
      <c r="J39" s="3812">
        <v>109675.25</v>
      </c>
      <c r="K39" s="3812" t="s">
        <v>3455</v>
      </c>
      <c r="L39" s="3812" t="s">
        <v>3423</v>
      </c>
      <c r="M39" s="3812" t="s">
        <v>3433</v>
      </c>
      <c r="N39" s="3812" t="s">
        <v>3425</v>
      </c>
      <c r="O39" s="3812" t="s">
        <v>3463</v>
      </c>
      <c r="P39" s="3812" t="s">
        <v>3461</v>
      </c>
      <c r="Q39" s="3812" t="s">
        <v>3877</v>
      </c>
      <c r="R39" s="3812" t="s">
        <v>3461</v>
      </c>
      <c r="S39" s="3812" t="s">
        <v>3461</v>
      </c>
      <c r="T39" s="3812" t="s">
        <v>3876</v>
      </c>
      <c r="U39" s="3812" t="s">
        <v>3875</v>
      </c>
      <c r="V39" s="3812">
        <v>0</v>
      </c>
      <c r="W39" s="3812">
        <v>0</v>
      </c>
      <c r="X39" s="3812">
        <v>0</v>
      </c>
      <c r="Y39" s="3812">
        <v>0</v>
      </c>
      <c r="Z39" s="3815">
        <v>44151.000497685185</v>
      </c>
      <c r="AA39" s="3815">
        <v>44172.000497685185</v>
      </c>
      <c r="AB39" s="3815">
        <v>44187.000497685185</v>
      </c>
      <c r="AC39" s="3813">
        <v>44187.000497685185</v>
      </c>
      <c r="AD39" s="3812" t="s">
        <v>3874</v>
      </c>
      <c r="AE39" s="3812" t="s">
        <v>3426</v>
      </c>
      <c r="AF39" s="3812" t="s">
        <v>3457</v>
      </c>
      <c r="AG39" s="3812" t="s">
        <v>3873</v>
      </c>
      <c r="AH39" s="3812" t="s">
        <v>3615</v>
      </c>
      <c r="AI39" s="3812">
        <v>148061.57999999999</v>
      </c>
      <c r="AJ39" s="3812">
        <v>45000</v>
      </c>
      <c r="AK39" s="3812" t="s">
        <v>3458</v>
      </c>
      <c r="AL39" s="3812">
        <v>148061.57999999999</v>
      </c>
      <c r="AM39" s="3812">
        <v>2250</v>
      </c>
      <c r="AN39" s="3812">
        <v>2250</v>
      </c>
      <c r="AO39" s="3812">
        <v>13500</v>
      </c>
      <c r="AP39" s="3814">
        <v>13500</v>
      </c>
      <c r="AQ39" s="3812" t="s">
        <v>3461</v>
      </c>
      <c r="AR39" s="3812" t="s">
        <v>3461</v>
      </c>
      <c r="AS39" s="3812">
        <v>0</v>
      </c>
      <c r="AT39" s="3812" t="s">
        <v>3872</v>
      </c>
      <c r="AU39" s="3812" t="s">
        <v>3463</v>
      </c>
      <c r="AV39" s="3812" t="s">
        <v>3461</v>
      </c>
      <c r="AW39" s="3812" t="s">
        <v>3463</v>
      </c>
      <c r="AX39" s="3812" t="s">
        <v>3461</v>
      </c>
      <c r="AY39" s="3812" t="s">
        <v>3461</v>
      </c>
      <c r="AZ39" s="3812" t="s">
        <v>3461</v>
      </c>
    </row>
    <row r="40" spans="1:52" s="3482" customFormat="1" hidden="1">
      <c r="A40" s="3816" t="s">
        <v>3871</v>
      </c>
      <c r="B40" s="3816" t="s">
        <v>3378</v>
      </c>
      <c r="C40" s="3816" t="s">
        <v>3870</v>
      </c>
      <c r="D40" s="3816" t="s">
        <v>3579</v>
      </c>
      <c r="E40" s="3816" t="s">
        <v>3592</v>
      </c>
      <c r="F40" s="3816" t="s">
        <v>3603</v>
      </c>
      <c r="G40" s="3816" t="s">
        <v>3869</v>
      </c>
      <c r="H40" s="3816" t="s">
        <v>3439</v>
      </c>
      <c r="I40" s="3816">
        <v>85128.1</v>
      </c>
      <c r="J40" s="3816">
        <v>201473.8</v>
      </c>
      <c r="K40" s="3816" t="s">
        <v>3868</v>
      </c>
      <c r="L40" s="3816" t="s">
        <v>3423</v>
      </c>
      <c r="M40" s="3816" t="s">
        <v>3867</v>
      </c>
      <c r="N40" s="3816" t="s">
        <v>3425</v>
      </c>
      <c r="O40" s="3816" t="s">
        <v>3463</v>
      </c>
      <c r="P40" s="3816" t="s">
        <v>3573</v>
      </c>
      <c r="Q40" s="3816" t="s">
        <v>3705</v>
      </c>
      <c r="R40" s="3816" t="s">
        <v>3624</v>
      </c>
      <c r="S40" s="3816" t="s">
        <v>3623</v>
      </c>
      <c r="T40" s="3816" t="s">
        <v>3461</v>
      </c>
      <c r="U40" s="3816" t="s">
        <v>3461</v>
      </c>
      <c r="V40" s="3816">
        <v>0</v>
      </c>
      <c r="W40" s="3816">
        <v>0</v>
      </c>
      <c r="X40" s="3816">
        <v>0</v>
      </c>
      <c r="Y40" s="3816">
        <v>0</v>
      </c>
      <c r="Z40" s="3817">
        <v>44012.000497685185</v>
      </c>
      <c r="AA40" s="3817">
        <v>44032.000497685185</v>
      </c>
      <c r="AB40" s="3817">
        <v>44046.000497685185</v>
      </c>
      <c r="AC40" s="3819">
        <v>44046.000497685185</v>
      </c>
      <c r="AD40" s="3816" t="s">
        <v>3866</v>
      </c>
      <c r="AE40" s="3816" t="s">
        <v>3426</v>
      </c>
      <c r="AF40" s="3816" t="s">
        <v>3597</v>
      </c>
      <c r="AG40" s="3816" t="s">
        <v>3596</v>
      </c>
      <c r="AH40" s="3816" t="s">
        <v>3595</v>
      </c>
      <c r="AI40" s="3816">
        <v>640000</v>
      </c>
      <c r="AJ40" s="3816">
        <v>128000</v>
      </c>
      <c r="AK40" s="3816" t="s">
        <v>3865</v>
      </c>
      <c r="AL40" s="3816">
        <v>790000</v>
      </c>
      <c r="AM40" s="3816">
        <v>5012.05</v>
      </c>
      <c r="AN40" s="3816">
        <v>6186.75</v>
      </c>
      <c r="AO40" s="3816">
        <v>31766</v>
      </c>
      <c r="AP40" s="3818">
        <v>39211</v>
      </c>
      <c r="AQ40" s="3816" t="s">
        <v>3461</v>
      </c>
      <c r="AR40" s="3816" t="s">
        <v>3461</v>
      </c>
      <c r="AS40" s="3816">
        <v>23.44</v>
      </c>
      <c r="AT40" s="3816" t="s">
        <v>3606</v>
      </c>
      <c r="AU40" s="3816" t="s">
        <v>3463</v>
      </c>
      <c r="AV40" s="3816" t="s">
        <v>3461</v>
      </c>
      <c r="AW40" s="3816" t="s">
        <v>3463</v>
      </c>
      <c r="AX40" s="3816" t="s">
        <v>3461</v>
      </c>
      <c r="AY40" s="3816" t="s">
        <v>3461</v>
      </c>
      <c r="AZ40" s="3816" t="s">
        <v>3461</v>
      </c>
    </row>
    <row r="41" spans="1:52" hidden="1">
      <c r="A41" s="3812" t="s">
        <v>3864</v>
      </c>
      <c r="B41" s="3812" t="s">
        <v>3378</v>
      </c>
      <c r="C41" s="3812" t="s">
        <v>3863</v>
      </c>
      <c r="D41" s="3812" t="s">
        <v>3579</v>
      </c>
      <c r="E41" s="3812" t="s">
        <v>3578</v>
      </c>
      <c r="F41" s="3812" t="s">
        <v>3728</v>
      </c>
      <c r="G41" s="3812" t="s">
        <v>3862</v>
      </c>
      <c r="H41" s="3812" t="s">
        <v>3439</v>
      </c>
      <c r="I41" s="3812">
        <v>41058.97</v>
      </c>
      <c r="J41" s="3812">
        <v>103031</v>
      </c>
      <c r="K41" s="3812" t="s">
        <v>3861</v>
      </c>
      <c r="L41" s="3812" t="s">
        <v>3423</v>
      </c>
      <c r="M41" s="3812" t="s">
        <v>3851</v>
      </c>
      <c r="N41" s="3812" t="s">
        <v>3425</v>
      </c>
      <c r="O41" s="3812">
        <v>5.73</v>
      </c>
      <c r="P41" s="3812" t="s">
        <v>3573</v>
      </c>
      <c r="Q41" s="3812" t="s">
        <v>3860</v>
      </c>
      <c r="R41" s="3812" t="s">
        <v>3624</v>
      </c>
      <c r="S41" s="3812" t="s">
        <v>3623</v>
      </c>
      <c r="T41" s="3812" t="s">
        <v>3461</v>
      </c>
      <c r="U41" s="3812" t="s">
        <v>3461</v>
      </c>
      <c r="V41" s="3812">
        <v>0</v>
      </c>
      <c r="W41" s="3812">
        <v>0</v>
      </c>
      <c r="X41" s="3812">
        <v>0</v>
      </c>
      <c r="Y41" s="3812">
        <v>0</v>
      </c>
      <c r="Z41" s="3815">
        <v>44000.000497685185</v>
      </c>
      <c r="AA41" s="3815">
        <v>44020.000497685185</v>
      </c>
      <c r="AB41" s="3815">
        <v>44034.000497685185</v>
      </c>
      <c r="AC41" s="3813">
        <v>44034.000497685185</v>
      </c>
      <c r="AD41" s="3812" t="s">
        <v>3859</v>
      </c>
      <c r="AE41" s="3812" t="s">
        <v>3426</v>
      </c>
      <c r="AF41" s="3812" t="s">
        <v>3858</v>
      </c>
      <c r="AG41" s="3812" t="s">
        <v>3857</v>
      </c>
      <c r="AH41" s="3812" t="s">
        <v>3856</v>
      </c>
      <c r="AI41" s="3812">
        <v>379500</v>
      </c>
      <c r="AJ41" s="3812">
        <v>76000</v>
      </c>
      <c r="AK41" s="3812" t="s">
        <v>3845</v>
      </c>
      <c r="AL41" s="3812">
        <v>480000</v>
      </c>
      <c r="AM41" s="3812">
        <v>6161.87</v>
      </c>
      <c r="AN41" s="3812">
        <v>7793.67</v>
      </c>
      <c r="AO41" s="3812">
        <v>36834</v>
      </c>
      <c r="AP41" s="3814">
        <v>46588</v>
      </c>
      <c r="AQ41" s="3812" t="s">
        <v>3461</v>
      </c>
      <c r="AR41" s="3812" t="s">
        <v>3461</v>
      </c>
      <c r="AS41" s="3812">
        <v>26.48</v>
      </c>
      <c r="AT41" s="3812" t="s">
        <v>3606</v>
      </c>
      <c r="AU41" s="3812" t="s">
        <v>3463</v>
      </c>
      <c r="AV41" s="3812" t="s">
        <v>3461</v>
      </c>
      <c r="AW41" s="3812" t="s">
        <v>3463</v>
      </c>
      <c r="AX41" s="3812" t="s">
        <v>3461</v>
      </c>
      <c r="AY41" s="3812" t="s">
        <v>3461</v>
      </c>
      <c r="AZ41" s="3812" t="s">
        <v>3461</v>
      </c>
    </row>
    <row r="42" spans="1:52" hidden="1">
      <c r="A42" s="3812" t="s">
        <v>3855</v>
      </c>
      <c r="B42" s="3812" t="s">
        <v>3378</v>
      </c>
      <c r="C42" s="3812" t="s">
        <v>3854</v>
      </c>
      <c r="D42" s="3812" t="s">
        <v>3579</v>
      </c>
      <c r="E42" s="3812" t="s">
        <v>3578</v>
      </c>
      <c r="F42" s="3812" t="s">
        <v>3728</v>
      </c>
      <c r="G42" s="3812" t="s">
        <v>3853</v>
      </c>
      <c r="H42" s="3812" t="s">
        <v>3439</v>
      </c>
      <c r="I42" s="3812">
        <v>44670.31</v>
      </c>
      <c r="J42" s="3812">
        <v>119857</v>
      </c>
      <c r="K42" s="3812" t="s">
        <v>3852</v>
      </c>
      <c r="L42" s="3812" t="s">
        <v>3423</v>
      </c>
      <c r="M42" s="3812" t="s">
        <v>3851</v>
      </c>
      <c r="N42" s="3812" t="s">
        <v>3425</v>
      </c>
      <c r="O42" s="3812">
        <v>39.799999999999997</v>
      </c>
      <c r="P42" s="3812" t="s">
        <v>3850</v>
      </c>
      <c r="Q42" s="3812" t="s">
        <v>3849</v>
      </c>
      <c r="R42" s="3812" t="s">
        <v>3624</v>
      </c>
      <c r="S42" s="3812" t="s">
        <v>3623</v>
      </c>
      <c r="T42" s="3812" t="s">
        <v>3461</v>
      </c>
      <c r="U42" s="3812" t="s">
        <v>3461</v>
      </c>
      <c r="V42" s="3812">
        <v>0</v>
      </c>
      <c r="W42" s="3812">
        <v>0</v>
      </c>
      <c r="X42" s="3812">
        <v>0</v>
      </c>
      <c r="Y42" s="3812">
        <v>0</v>
      </c>
      <c r="Z42" s="3815">
        <v>44000.000497685185</v>
      </c>
      <c r="AA42" s="3815">
        <v>44020.000497685185</v>
      </c>
      <c r="AB42" s="3815">
        <v>44034.000497685185</v>
      </c>
      <c r="AC42" s="3813">
        <v>44034.000497685185</v>
      </c>
      <c r="AD42" s="3812" t="s">
        <v>3848</v>
      </c>
      <c r="AE42" s="3812" t="s">
        <v>3426</v>
      </c>
      <c r="AF42" s="3812" t="s">
        <v>3847</v>
      </c>
      <c r="AG42" s="3812" t="s">
        <v>3846</v>
      </c>
      <c r="AH42" s="3812" t="s">
        <v>3633</v>
      </c>
      <c r="AI42" s="3812">
        <v>250300</v>
      </c>
      <c r="AJ42" s="3812">
        <v>50100</v>
      </c>
      <c r="AK42" s="3812" t="s">
        <v>3845</v>
      </c>
      <c r="AL42" s="3812">
        <v>296000</v>
      </c>
      <c r="AM42" s="3812">
        <v>3735.52</v>
      </c>
      <c r="AN42" s="3812">
        <v>4417.55</v>
      </c>
      <c r="AO42" s="3812">
        <v>20883</v>
      </c>
      <c r="AP42" s="3814">
        <v>24696</v>
      </c>
      <c r="AQ42" s="3812" t="s">
        <v>3461</v>
      </c>
      <c r="AR42" s="3812" t="s">
        <v>3461</v>
      </c>
      <c r="AS42" s="3812">
        <v>18.260000000000002</v>
      </c>
      <c r="AT42" s="3812" t="s">
        <v>3606</v>
      </c>
      <c r="AU42" s="3812" t="s">
        <v>3463</v>
      </c>
      <c r="AV42" s="3812" t="s">
        <v>3461</v>
      </c>
      <c r="AW42" s="3812" t="s">
        <v>3463</v>
      </c>
      <c r="AX42" s="3812" t="s">
        <v>3461</v>
      </c>
      <c r="AY42" s="3812" t="s">
        <v>3461</v>
      </c>
      <c r="AZ42" s="3812" t="s">
        <v>3461</v>
      </c>
    </row>
    <row r="43" spans="1:52" hidden="1">
      <c r="A43" s="3812" t="s">
        <v>3844</v>
      </c>
      <c r="B43" s="3812" t="s">
        <v>3378</v>
      </c>
      <c r="C43" s="3812" t="s">
        <v>3843</v>
      </c>
      <c r="D43" s="3812" t="s">
        <v>3579</v>
      </c>
      <c r="E43" s="3812" t="s">
        <v>3718</v>
      </c>
      <c r="F43" s="3812" t="s">
        <v>3842</v>
      </c>
      <c r="G43" s="3812" t="s">
        <v>3841</v>
      </c>
      <c r="H43" s="3812" t="s">
        <v>3422</v>
      </c>
      <c r="I43" s="3812">
        <v>47054</v>
      </c>
      <c r="J43" s="3812">
        <v>112930</v>
      </c>
      <c r="K43" s="3812" t="s">
        <v>3840</v>
      </c>
      <c r="L43" s="3812" t="s">
        <v>3423</v>
      </c>
      <c r="M43" s="3812" t="s">
        <v>3611</v>
      </c>
      <c r="N43" s="3812" t="s">
        <v>3425</v>
      </c>
      <c r="O43" s="3812" t="s">
        <v>3463</v>
      </c>
      <c r="P43" s="3812" t="s">
        <v>3573</v>
      </c>
      <c r="Q43" s="3812" t="s">
        <v>3773</v>
      </c>
      <c r="R43" s="3812" t="s">
        <v>3624</v>
      </c>
      <c r="S43" s="3812" t="s">
        <v>3623</v>
      </c>
      <c r="T43" s="3812" t="s">
        <v>3461</v>
      </c>
      <c r="U43" s="3812" t="s">
        <v>3461</v>
      </c>
      <c r="V43" s="3812">
        <v>0</v>
      </c>
      <c r="W43" s="3812">
        <v>0</v>
      </c>
      <c r="X43" s="3812">
        <v>0</v>
      </c>
      <c r="Y43" s="3812">
        <v>0</v>
      </c>
      <c r="Z43" s="3815">
        <v>43992.000497685185</v>
      </c>
      <c r="AA43" s="3815">
        <v>44012.000497685185</v>
      </c>
      <c r="AB43" s="3815">
        <v>44026.000497685185</v>
      </c>
      <c r="AC43" s="3813">
        <v>44026.000497685185</v>
      </c>
      <c r="AD43" s="3812" t="s">
        <v>3839</v>
      </c>
      <c r="AE43" s="3812" t="s">
        <v>3426</v>
      </c>
      <c r="AF43" s="3812" t="s">
        <v>3597</v>
      </c>
      <c r="AG43" s="3812" t="s">
        <v>3596</v>
      </c>
      <c r="AH43" s="3812" t="s">
        <v>3595</v>
      </c>
      <c r="AI43" s="3812">
        <v>283000</v>
      </c>
      <c r="AJ43" s="3812">
        <v>56600</v>
      </c>
      <c r="AK43" s="3812" t="s">
        <v>3838</v>
      </c>
      <c r="AL43" s="3812">
        <v>400000</v>
      </c>
      <c r="AM43" s="3812">
        <v>4009.58</v>
      </c>
      <c r="AN43" s="3812">
        <v>5667.25</v>
      </c>
      <c r="AO43" s="3812">
        <v>25060</v>
      </c>
      <c r="AP43" s="3814">
        <v>35420</v>
      </c>
      <c r="AQ43" s="3812" t="s">
        <v>3461</v>
      </c>
      <c r="AR43" s="3812" t="s">
        <v>3461</v>
      </c>
      <c r="AS43" s="3812">
        <v>41.34</v>
      </c>
      <c r="AT43" s="3812" t="s">
        <v>3786</v>
      </c>
      <c r="AU43" s="3812" t="s">
        <v>3463</v>
      </c>
      <c r="AV43" s="3812" t="s">
        <v>3461</v>
      </c>
      <c r="AW43" s="3812" t="s">
        <v>3463</v>
      </c>
      <c r="AX43" s="3812" t="s">
        <v>3461</v>
      </c>
      <c r="AY43" s="3812" t="s">
        <v>3461</v>
      </c>
      <c r="AZ43" s="3812" t="s">
        <v>3461</v>
      </c>
    </row>
    <row r="44" spans="1:52" hidden="1">
      <c r="A44" s="3812" t="s">
        <v>3837</v>
      </c>
      <c r="B44" s="3812" t="s">
        <v>3378</v>
      </c>
      <c r="C44" s="3812" t="s">
        <v>3836</v>
      </c>
      <c r="D44" s="3812" t="s">
        <v>3579</v>
      </c>
      <c r="E44" s="3812" t="s">
        <v>3578</v>
      </c>
      <c r="F44" s="3812" t="s">
        <v>3655</v>
      </c>
      <c r="G44" s="3812" t="s">
        <v>3810</v>
      </c>
      <c r="H44" s="3812" t="s">
        <v>3422</v>
      </c>
      <c r="I44" s="3812">
        <v>17831.97</v>
      </c>
      <c r="J44" s="3812">
        <v>55141</v>
      </c>
      <c r="K44" s="3812" t="s">
        <v>3697</v>
      </c>
      <c r="L44" s="3812" t="s">
        <v>3423</v>
      </c>
      <c r="M44" s="3812" t="s">
        <v>3611</v>
      </c>
      <c r="N44" s="3812" t="s">
        <v>3425</v>
      </c>
      <c r="O44" s="3812" t="s">
        <v>3463</v>
      </c>
      <c r="P44" s="3812" t="s">
        <v>3461</v>
      </c>
      <c r="Q44" s="3812" t="s">
        <v>3625</v>
      </c>
      <c r="R44" s="3812" t="s">
        <v>3624</v>
      </c>
      <c r="S44" s="3812" t="s">
        <v>3623</v>
      </c>
      <c r="T44" s="3812" t="s">
        <v>3461</v>
      </c>
      <c r="U44" s="3812" t="s">
        <v>3461</v>
      </c>
      <c r="V44" s="3812">
        <v>0</v>
      </c>
      <c r="W44" s="3812">
        <v>0</v>
      </c>
      <c r="X44" s="3812">
        <v>0</v>
      </c>
      <c r="Y44" s="3812">
        <v>0</v>
      </c>
      <c r="Z44" s="3815">
        <v>43936.000497685185</v>
      </c>
      <c r="AA44" s="3815">
        <v>43957.000497685185</v>
      </c>
      <c r="AB44" s="3815">
        <v>43970.000497685185</v>
      </c>
      <c r="AC44" s="3813">
        <v>43970.000497685185</v>
      </c>
      <c r="AD44" s="3812" t="s">
        <v>3835</v>
      </c>
      <c r="AE44" s="3812" t="s">
        <v>3426</v>
      </c>
      <c r="AF44" s="3812" t="s">
        <v>3834</v>
      </c>
      <c r="AG44" s="3812" t="s">
        <v>3807</v>
      </c>
      <c r="AH44" s="3812" t="s">
        <v>3615</v>
      </c>
      <c r="AI44" s="3812">
        <v>295600</v>
      </c>
      <c r="AJ44" s="3812">
        <v>59200</v>
      </c>
      <c r="AK44" s="3812" t="s">
        <v>3822</v>
      </c>
      <c r="AL44" s="3812">
        <v>420000</v>
      </c>
      <c r="AM44" s="3812">
        <v>11051.31</v>
      </c>
      <c r="AN44" s="3812">
        <v>15702.13</v>
      </c>
      <c r="AO44" s="3812">
        <v>53608</v>
      </c>
      <c r="AP44" s="3814">
        <v>76168</v>
      </c>
      <c r="AQ44" s="3812" t="s">
        <v>3461</v>
      </c>
      <c r="AR44" s="3812" t="s">
        <v>3461</v>
      </c>
      <c r="AS44" s="3812">
        <v>42.08</v>
      </c>
      <c r="AT44" s="3812" t="s">
        <v>3786</v>
      </c>
      <c r="AU44" s="3812" t="s">
        <v>3463</v>
      </c>
      <c r="AV44" s="3812" t="s">
        <v>3461</v>
      </c>
      <c r="AW44" s="3812" t="s">
        <v>3463</v>
      </c>
      <c r="AX44" s="3812" t="s">
        <v>3461</v>
      </c>
      <c r="AY44" s="3812" t="s">
        <v>3461</v>
      </c>
      <c r="AZ44" s="3812" t="s">
        <v>3461</v>
      </c>
    </row>
    <row r="45" spans="1:52" hidden="1">
      <c r="A45" s="3812" t="s">
        <v>3833</v>
      </c>
      <c r="B45" s="3812" t="s">
        <v>3378</v>
      </c>
      <c r="C45" s="3812" t="s">
        <v>3832</v>
      </c>
      <c r="D45" s="3812" t="s">
        <v>3579</v>
      </c>
      <c r="E45" s="3812" t="s">
        <v>3578</v>
      </c>
      <c r="F45" s="3812" t="s">
        <v>3655</v>
      </c>
      <c r="G45" s="3812" t="s">
        <v>3810</v>
      </c>
      <c r="H45" s="3812" t="s">
        <v>3422</v>
      </c>
      <c r="I45" s="3812">
        <v>29750.73</v>
      </c>
      <c r="J45" s="3812">
        <v>88484</v>
      </c>
      <c r="K45" s="3812" t="s">
        <v>3697</v>
      </c>
      <c r="L45" s="3812" t="s">
        <v>3423</v>
      </c>
      <c r="M45" s="3812" t="s">
        <v>3611</v>
      </c>
      <c r="N45" s="3812" t="s">
        <v>3425</v>
      </c>
      <c r="O45" s="3812" t="s">
        <v>3463</v>
      </c>
      <c r="P45" s="3812" t="s">
        <v>3461</v>
      </c>
      <c r="Q45" s="3812" t="s">
        <v>3625</v>
      </c>
      <c r="R45" s="3812" t="s">
        <v>3624</v>
      </c>
      <c r="S45" s="3812" t="s">
        <v>3623</v>
      </c>
      <c r="T45" s="3812" t="s">
        <v>3461</v>
      </c>
      <c r="U45" s="3812" t="s">
        <v>3461</v>
      </c>
      <c r="V45" s="3812">
        <v>0</v>
      </c>
      <c r="W45" s="3812">
        <v>0</v>
      </c>
      <c r="X45" s="3812">
        <v>0</v>
      </c>
      <c r="Y45" s="3812">
        <v>0</v>
      </c>
      <c r="Z45" s="3815">
        <v>43936.000497685185</v>
      </c>
      <c r="AA45" s="3815">
        <v>43957.000497685185</v>
      </c>
      <c r="AB45" s="3815">
        <v>43970.000497685185</v>
      </c>
      <c r="AC45" s="3813">
        <v>43970.000497685185</v>
      </c>
      <c r="AD45" s="3812" t="s">
        <v>3831</v>
      </c>
      <c r="AE45" s="3812" t="s">
        <v>3426</v>
      </c>
      <c r="AF45" s="3812" t="s">
        <v>3830</v>
      </c>
      <c r="AG45" s="3812" t="s">
        <v>3807</v>
      </c>
      <c r="AH45" s="3812" t="s">
        <v>3615</v>
      </c>
      <c r="AI45" s="3812">
        <v>474400</v>
      </c>
      <c r="AJ45" s="3812">
        <v>95000</v>
      </c>
      <c r="AK45" s="3812" t="s">
        <v>3822</v>
      </c>
      <c r="AL45" s="3812">
        <v>654000</v>
      </c>
      <c r="AM45" s="3812">
        <v>10630.55</v>
      </c>
      <c r="AN45" s="3812">
        <v>14655.1</v>
      </c>
      <c r="AO45" s="3812">
        <v>53614</v>
      </c>
      <c r="AP45" s="3814">
        <v>73912</v>
      </c>
      <c r="AQ45" s="3812" t="s">
        <v>3461</v>
      </c>
      <c r="AR45" s="3812" t="s">
        <v>3461</v>
      </c>
      <c r="AS45" s="3812">
        <v>37.86</v>
      </c>
      <c r="AT45" s="3812" t="s">
        <v>3786</v>
      </c>
      <c r="AU45" s="3812" t="s">
        <v>3463</v>
      </c>
      <c r="AV45" s="3812" t="s">
        <v>3461</v>
      </c>
      <c r="AW45" s="3812" t="s">
        <v>3463</v>
      </c>
      <c r="AX45" s="3812" t="s">
        <v>3461</v>
      </c>
      <c r="AY45" s="3812" t="s">
        <v>3461</v>
      </c>
      <c r="AZ45" s="3812" t="s">
        <v>3461</v>
      </c>
    </row>
    <row r="46" spans="1:52" hidden="1">
      <c r="A46" s="3812" t="s">
        <v>3829</v>
      </c>
      <c r="B46" s="3812" t="s">
        <v>3378</v>
      </c>
      <c r="C46" s="3812" t="s">
        <v>3828</v>
      </c>
      <c r="D46" s="3812" t="s">
        <v>3579</v>
      </c>
      <c r="E46" s="3812" t="s">
        <v>3718</v>
      </c>
      <c r="F46" s="3812" t="s">
        <v>3717</v>
      </c>
      <c r="G46" s="3812" t="s">
        <v>3716</v>
      </c>
      <c r="H46" s="3812" t="s">
        <v>3422</v>
      </c>
      <c r="I46" s="3812">
        <v>87651.29</v>
      </c>
      <c r="J46" s="3812">
        <v>140242</v>
      </c>
      <c r="K46" s="3812" t="s">
        <v>3827</v>
      </c>
      <c r="L46" s="3812" t="s">
        <v>3423</v>
      </c>
      <c r="M46" s="3812" t="s">
        <v>3611</v>
      </c>
      <c r="N46" s="3812" t="s">
        <v>3425</v>
      </c>
      <c r="O46" s="3812" t="s">
        <v>3463</v>
      </c>
      <c r="P46" s="3812" t="s">
        <v>3573</v>
      </c>
      <c r="Q46" s="3812" t="s">
        <v>3826</v>
      </c>
      <c r="R46" s="3812" t="s">
        <v>3571</v>
      </c>
      <c r="S46" s="3812" t="s">
        <v>3570</v>
      </c>
      <c r="T46" s="3812" t="s">
        <v>3643</v>
      </c>
      <c r="U46" s="3812" t="s">
        <v>3461</v>
      </c>
      <c r="V46" s="3812">
        <v>0</v>
      </c>
      <c r="W46" s="3812">
        <v>0</v>
      </c>
      <c r="X46" s="3812">
        <v>31882</v>
      </c>
      <c r="Y46" s="3812">
        <v>31882</v>
      </c>
      <c r="Z46" s="3815">
        <v>43934.000497685185</v>
      </c>
      <c r="AA46" s="3815">
        <v>43957.000497685185</v>
      </c>
      <c r="AB46" s="3815">
        <v>43970.000497685185</v>
      </c>
      <c r="AC46" s="3813">
        <v>43970.000497685185</v>
      </c>
      <c r="AD46" s="3812" t="s">
        <v>3825</v>
      </c>
      <c r="AE46" s="3812" t="s">
        <v>3426</v>
      </c>
      <c r="AF46" s="3812" t="s">
        <v>3824</v>
      </c>
      <c r="AG46" s="3812" t="s">
        <v>3823</v>
      </c>
      <c r="AH46" s="3812" t="s">
        <v>3595</v>
      </c>
      <c r="AI46" s="3812">
        <v>201600</v>
      </c>
      <c r="AJ46" s="3812">
        <v>41000</v>
      </c>
      <c r="AK46" s="3812" t="s">
        <v>3822</v>
      </c>
      <c r="AL46" s="3812">
        <v>265000</v>
      </c>
      <c r="AM46" s="3812">
        <v>1533.35</v>
      </c>
      <c r="AN46" s="3812">
        <v>2015.56</v>
      </c>
      <c r="AO46" s="3812">
        <v>14375</v>
      </c>
      <c r="AP46" s="3814">
        <v>18896</v>
      </c>
      <c r="AQ46" s="3812" t="s">
        <v>3461</v>
      </c>
      <c r="AR46" s="3812" t="s">
        <v>3461</v>
      </c>
      <c r="AS46" s="3812">
        <v>31.45</v>
      </c>
      <c r="AT46" s="3812" t="s">
        <v>3786</v>
      </c>
      <c r="AU46" s="3812" t="s">
        <v>3463</v>
      </c>
      <c r="AV46" s="3812" t="s">
        <v>3461</v>
      </c>
      <c r="AW46" s="3812">
        <v>28000</v>
      </c>
      <c r="AX46" s="3812" t="s">
        <v>3461</v>
      </c>
      <c r="AY46" s="3812" t="s">
        <v>3461</v>
      </c>
      <c r="AZ46" s="3812">
        <v>13625</v>
      </c>
    </row>
    <row r="47" spans="1:52" hidden="1">
      <c r="A47" s="3812" t="s">
        <v>3821</v>
      </c>
      <c r="B47" s="3812" t="s">
        <v>3378</v>
      </c>
      <c r="C47" s="3812" t="s">
        <v>3820</v>
      </c>
      <c r="D47" s="3812" t="s">
        <v>3579</v>
      </c>
      <c r="E47" s="3812" t="s">
        <v>3592</v>
      </c>
      <c r="F47" s="3812" t="s">
        <v>3756</v>
      </c>
      <c r="G47" s="3812" t="s">
        <v>3755</v>
      </c>
      <c r="H47" s="3812" t="s">
        <v>3439</v>
      </c>
      <c r="I47" s="3812">
        <v>76997.05</v>
      </c>
      <c r="J47" s="3812">
        <v>79371.899999999994</v>
      </c>
      <c r="K47" s="3812" t="s">
        <v>3819</v>
      </c>
      <c r="L47" s="3812" t="s">
        <v>3423</v>
      </c>
      <c r="M47" s="3812" t="s">
        <v>3818</v>
      </c>
      <c r="N47" s="3812" t="s">
        <v>3425</v>
      </c>
      <c r="O47" s="3812" t="s">
        <v>3463</v>
      </c>
      <c r="P47" s="3812" t="s">
        <v>3573</v>
      </c>
      <c r="Q47" s="3812" t="s">
        <v>3817</v>
      </c>
      <c r="R47" s="3812" t="s">
        <v>3624</v>
      </c>
      <c r="S47" s="3812" t="s">
        <v>3623</v>
      </c>
      <c r="T47" s="3812" t="s">
        <v>3461</v>
      </c>
      <c r="U47" s="3812" t="s">
        <v>3461</v>
      </c>
      <c r="V47" s="3812">
        <v>0</v>
      </c>
      <c r="W47" s="3812">
        <v>0</v>
      </c>
      <c r="X47" s="3812">
        <v>0</v>
      </c>
      <c r="Y47" s="3812">
        <v>0</v>
      </c>
      <c r="Z47" s="3815">
        <v>43920.000497685185</v>
      </c>
      <c r="AA47" s="3815">
        <v>43950.000497685185</v>
      </c>
      <c r="AB47" s="3815">
        <v>43966.000497685185</v>
      </c>
      <c r="AC47" s="3813">
        <v>43966.000497685185</v>
      </c>
      <c r="AD47" s="3812" t="s">
        <v>3816</v>
      </c>
      <c r="AE47" s="3812" t="s">
        <v>3426</v>
      </c>
      <c r="AF47" s="3812" t="s">
        <v>3815</v>
      </c>
      <c r="AG47" s="3812" t="s">
        <v>3814</v>
      </c>
      <c r="AH47" s="3812" t="s">
        <v>3615</v>
      </c>
      <c r="AI47" s="3812">
        <v>98500</v>
      </c>
      <c r="AJ47" s="3812">
        <v>19800</v>
      </c>
      <c r="AK47" s="3812" t="s">
        <v>3813</v>
      </c>
      <c r="AL47" s="3812">
        <v>130000</v>
      </c>
      <c r="AM47" s="3812">
        <v>852.85</v>
      </c>
      <c r="AN47" s="3812">
        <v>1125.58</v>
      </c>
      <c r="AO47" s="3812">
        <v>12410</v>
      </c>
      <c r="AP47" s="3814">
        <v>16379</v>
      </c>
      <c r="AQ47" s="3812" t="s">
        <v>3461</v>
      </c>
      <c r="AR47" s="3812" t="s">
        <v>3461</v>
      </c>
      <c r="AS47" s="3812">
        <v>31.98</v>
      </c>
      <c r="AT47" s="3812" t="s">
        <v>3606</v>
      </c>
      <c r="AU47" s="3812" t="s">
        <v>3463</v>
      </c>
      <c r="AV47" s="3812" t="s">
        <v>3461</v>
      </c>
      <c r="AW47" s="3812" t="s">
        <v>3463</v>
      </c>
      <c r="AX47" s="3812" t="s">
        <v>3461</v>
      </c>
      <c r="AY47" s="3812" t="s">
        <v>3461</v>
      </c>
      <c r="AZ47" s="3812" t="s">
        <v>3461</v>
      </c>
    </row>
    <row r="48" spans="1:52" hidden="1">
      <c r="A48" s="3812" t="s">
        <v>3812</v>
      </c>
      <c r="B48" s="3812" t="s">
        <v>3378</v>
      </c>
      <c r="C48" s="3812" t="s">
        <v>3811</v>
      </c>
      <c r="D48" s="3812" t="s">
        <v>3579</v>
      </c>
      <c r="E48" s="3812" t="s">
        <v>3578</v>
      </c>
      <c r="F48" s="3812" t="s">
        <v>3655</v>
      </c>
      <c r="G48" s="3812" t="s">
        <v>3810</v>
      </c>
      <c r="H48" s="3812" t="s">
        <v>3422</v>
      </c>
      <c r="I48" s="3812">
        <v>33194.400000000001</v>
      </c>
      <c r="J48" s="3812">
        <v>107437</v>
      </c>
      <c r="K48" s="3812" t="s">
        <v>3697</v>
      </c>
      <c r="L48" s="3812" t="s">
        <v>3423</v>
      </c>
      <c r="M48" s="3812" t="s">
        <v>3611</v>
      </c>
      <c r="N48" s="3812" t="s">
        <v>3425</v>
      </c>
      <c r="O48" s="3812" t="s">
        <v>3463</v>
      </c>
      <c r="P48" s="3812" t="s">
        <v>3573</v>
      </c>
      <c r="Q48" s="3812" t="s">
        <v>3625</v>
      </c>
      <c r="R48" s="3812" t="s">
        <v>3624</v>
      </c>
      <c r="S48" s="3812" t="s">
        <v>3623</v>
      </c>
      <c r="T48" s="3812" t="s">
        <v>3461</v>
      </c>
      <c r="U48" s="3812" t="s">
        <v>3461</v>
      </c>
      <c r="V48" s="3812">
        <v>0</v>
      </c>
      <c r="W48" s="3812">
        <v>0</v>
      </c>
      <c r="X48" s="3812">
        <v>0</v>
      </c>
      <c r="Y48" s="3812">
        <v>0</v>
      </c>
      <c r="Z48" s="3815">
        <v>43917.000497685185</v>
      </c>
      <c r="AA48" s="3815">
        <v>43944.000497685185</v>
      </c>
      <c r="AB48" s="3815">
        <v>43960.000497685185</v>
      </c>
      <c r="AC48" s="3813">
        <v>43960.000497685185</v>
      </c>
      <c r="AD48" s="3812" t="s">
        <v>3809</v>
      </c>
      <c r="AE48" s="3812" t="s">
        <v>3426</v>
      </c>
      <c r="AF48" s="3812" t="s">
        <v>3808</v>
      </c>
      <c r="AG48" s="3812" t="s">
        <v>3807</v>
      </c>
      <c r="AH48" s="3812" t="s">
        <v>3615</v>
      </c>
      <c r="AI48" s="3812">
        <v>571900</v>
      </c>
      <c r="AJ48" s="3812">
        <v>114400</v>
      </c>
      <c r="AK48" s="3812" t="s">
        <v>3806</v>
      </c>
      <c r="AL48" s="3812">
        <v>722000</v>
      </c>
      <c r="AM48" s="3812">
        <v>11485.87</v>
      </c>
      <c r="AN48" s="3812">
        <v>14500.44</v>
      </c>
      <c r="AO48" s="3812">
        <v>53231</v>
      </c>
      <c r="AP48" s="3814">
        <v>67202</v>
      </c>
      <c r="AQ48" s="3812" t="s">
        <v>3461</v>
      </c>
      <c r="AR48" s="3812" t="s">
        <v>3461</v>
      </c>
      <c r="AS48" s="3812">
        <v>26.25</v>
      </c>
      <c r="AT48" s="3812" t="s">
        <v>3786</v>
      </c>
      <c r="AU48" s="3812" t="s">
        <v>3463</v>
      </c>
      <c r="AV48" s="3812" t="s">
        <v>3461</v>
      </c>
      <c r="AW48" s="3812" t="s">
        <v>3463</v>
      </c>
      <c r="AX48" s="3812" t="s">
        <v>3461</v>
      </c>
      <c r="AY48" s="3812" t="s">
        <v>3461</v>
      </c>
      <c r="AZ48" s="3812" t="s">
        <v>3461</v>
      </c>
    </row>
    <row r="49" spans="1:52" hidden="1">
      <c r="A49" s="3812" t="s">
        <v>3805</v>
      </c>
      <c r="B49" s="3812" t="s">
        <v>3378</v>
      </c>
      <c r="C49" s="3812" t="s">
        <v>3804</v>
      </c>
      <c r="D49" s="3812" t="s">
        <v>3579</v>
      </c>
      <c r="E49" s="3812" t="s">
        <v>3592</v>
      </c>
      <c r="F49" s="3812" t="s">
        <v>3796</v>
      </c>
      <c r="G49" s="3812" t="s">
        <v>3795</v>
      </c>
      <c r="H49" s="3812" t="s">
        <v>3422</v>
      </c>
      <c r="I49" s="3812">
        <v>45081.99</v>
      </c>
      <c r="J49" s="3812">
        <v>94672</v>
      </c>
      <c r="K49" s="3812" t="s">
        <v>3803</v>
      </c>
      <c r="L49" s="3812" t="s">
        <v>3423</v>
      </c>
      <c r="M49" s="3812" t="s">
        <v>3611</v>
      </c>
      <c r="N49" s="3812" t="s">
        <v>3425</v>
      </c>
      <c r="O49" s="3812" t="s">
        <v>3463</v>
      </c>
      <c r="P49" s="3812" t="s">
        <v>3573</v>
      </c>
      <c r="Q49" s="3812" t="s">
        <v>3725</v>
      </c>
      <c r="R49" s="3812" t="s">
        <v>3587</v>
      </c>
      <c r="S49" s="3812" t="s">
        <v>3586</v>
      </c>
      <c r="T49" s="3812" t="s">
        <v>3461</v>
      </c>
      <c r="U49" s="3812" t="s">
        <v>3461</v>
      </c>
      <c r="V49" s="3812">
        <v>0</v>
      </c>
      <c r="W49" s="3812">
        <v>0</v>
      </c>
      <c r="X49" s="3812">
        <v>0</v>
      </c>
      <c r="Y49" s="3812">
        <v>0</v>
      </c>
      <c r="Z49" s="3815">
        <v>43917.000497685185</v>
      </c>
      <c r="AA49" s="3815">
        <v>43937.000497685185</v>
      </c>
      <c r="AB49" s="3815">
        <v>43950.000497685185</v>
      </c>
      <c r="AC49" s="3813">
        <v>43950.000497685185</v>
      </c>
      <c r="AD49" s="3812" t="s">
        <v>3802</v>
      </c>
      <c r="AE49" s="3812" t="s">
        <v>3426</v>
      </c>
      <c r="AF49" s="3812" t="s">
        <v>3801</v>
      </c>
      <c r="AG49" s="3812" t="s">
        <v>3800</v>
      </c>
      <c r="AH49" s="3812" t="s">
        <v>3799</v>
      </c>
      <c r="AI49" s="3812">
        <v>363000</v>
      </c>
      <c r="AJ49" s="3812">
        <v>72600</v>
      </c>
      <c r="AK49" s="3812" t="s">
        <v>3787</v>
      </c>
      <c r="AL49" s="3812">
        <v>374000</v>
      </c>
      <c r="AM49" s="3812">
        <v>5368</v>
      </c>
      <c r="AN49" s="3812">
        <v>5530.66</v>
      </c>
      <c r="AO49" s="3812">
        <v>38343</v>
      </c>
      <c r="AP49" s="3814">
        <v>39505</v>
      </c>
      <c r="AQ49" s="3812" t="s">
        <v>3461</v>
      </c>
      <c r="AR49" s="3812" t="s">
        <v>3461</v>
      </c>
      <c r="AS49" s="3812">
        <v>3.03</v>
      </c>
      <c r="AT49" s="3812" t="s">
        <v>3786</v>
      </c>
      <c r="AU49" s="3812" t="s">
        <v>3463</v>
      </c>
      <c r="AV49" s="3812" t="s">
        <v>3461</v>
      </c>
      <c r="AW49" s="3812">
        <v>64400</v>
      </c>
      <c r="AX49" s="3812" t="s">
        <v>3461</v>
      </c>
      <c r="AY49" s="3812" t="s">
        <v>3461</v>
      </c>
      <c r="AZ49" s="3812">
        <v>26057</v>
      </c>
    </row>
    <row r="50" spans="1:52" hidden="1">
      <c r="A50" s="3812" t="s">
        <v>3798</v>
      </c>
      <c r="B50" s="3812" t="s">
        <v>3378</v>
      </c>
      <c r="C50" s="3812" t="s">
        <v>3797</v>
      </c>
      <c r="D50" s="3812" t="s">
        <v>3579</v>
      </c>
      <c r="E50" s="3812" t="s">
        <v>3592</v>
      </c>
      <c r="F50" s="3812" t="s">
        <v>3796</v>
      </c>
      <c r="G50" s="3812" t="s">
        <v>3795</v>
      </c>
      <c r="H50" s="3812" t="s">
        <v>3439</v>
      </c>
      <c r="I50" s="3812">
        <v>60977.68</v>
      </c>
      <c r="J50" s="3812">
        <v>128053</v>
      </c>
      <c r="K50" s="3812" t="s">
        <v>3794</v>
      </c>
      <c r="L50" s="3812" t="s">
        <v>3423</v>
      </c>
      <c r="M50" s="3812" t="s">
        <v>3793</v>
      </c>
      <c r="N50" s="3812" t="s">
        <v>3425</v>
      </c>
      <c r="O50" s="3812" t="s">
        <v>3463</v>
      </c>
      <c r="P50" s="3812" t="s">
        <v>3573</v>
      </c>
      <c r="Q50" s="3812" t="s">
        <v>3725</v>
      </c>
      <c r="R50" s="3812" t="s">
        <v>3792</v>
      </c>
      <c r="S50" s="3812" t="s">
        <v>3791</v>
      </c>
      <c r="T50" s="3812" t="s">
        <v>3461</v>
      </c>
      <c r="U50" s="3812" t="s">
        <v>3461</v>
      </c>
      <c r="V50" s="3812">
        <v>52520</v>
      </c>
      <c r="W50" s="3812">
        <v>52520</v>
      </c>
      <c r="X50" s="3812">
        <v>0</v>
      </c>
      <c r="Y50" s="3812">
        <v>0</v>
      </c>
      <c r="Z50" s="3815">
        <v>43917.000497685185</v>
      </c>
      <c r="AA50" s="3815">
        <v>43937.000497685185</v>
      </c>
      <c r="AB50" s="3815">
        <v>43950.000497685185</v>
      </c>
      <c r="AC50" s="3813">
        <v>43950.000497685185</v>
      </c>
      <c r="AD50" s="3812" t="s">
        <v>3790</v>
      </c>
      <c r="AE50" s="3812" t="s">
        <v>3426</v>
      </c>
      <c r="AF50" s="3812" t="s">
        <v>3789</v>
      </c>
      <c r="AG50" s="3812" t="s">
        <v>3788</v>
      </c>
      <c r="AH50" s="3812" t="s">
        <v>3615</v>
      </c>
      <c r="AI50" s="3812">
        <v>273800</v>
      </c>
      <c r="AJ50" s="3812">
        <v>55000</v>
      </c>
      <c r="AK50" s="3812" t="s">
        <v>3787</v>
      </c>
      <c r="AL50" s="3812">
        <v>294000</v>
      </c>
      <c r="AM50" s="3812">
        <v>2993.45</v>
      </c>
      <c r="AN50" s="3812">
        <v>3214.29</v>
      </c>
      <c r="AO50" s="3812">
        <v>21382</v>
      </c>
      <c r="AP50" s="3814">
        <v>22959</v>
      </c>
      <c r="AQ50" s="3812">
        <v>36249</v>
      </c>
      <c r="AR50" s="3812">
        <v>38923</v>
      </c>
      <c r="AS50" s="3812">
        <v>7.38</v>
      </c>
      <c r="AT50" s="3812" t="s">
        <v>3786</v>
      </c>
      <c r="AU50" s="3812" t="s">
        <v>3463</v>
      </c>
      <c r="AV50" s="3812" t="s">
        <v>3461</v>
      </c>
      <c r="AW50" s="3812">
        <v>64400</v>
      </c>
      <c r="AX50" s="3812" t="s">
        <v>3461</v>
      </c>
      <c r="AY50" s="3812" t="s">
        <v>3461</v>
      </c>
      <c r="AZ50" s="3812">
        <v>43018</v>
      </c>
    </row>
    <row r="51" spans="1:52" hidden="1">
      <c r="A51" s="3812" t="s">
        <v>3785</v>
      </c>
      <c r="B51" s="3812" t="s">
        <v>3378</v>
      </c>
      <c r="C51" s="3812" t="s">
        <v>3784</v>
      </c>
      <c r="D51" s="3812" t="s">
        <v>3579</v>
      </c>
      <c r="E51" s="3812" t="s">
        <v>3718</v>
      </c>
      <c r="F51" s="3812" t="s">
        <v>3740</v>
      </c>
      <c r="G51" s="3812" t="s">
        <v>3739</v>
      </c>
      <c r="H51" s="3812" t="s">
        <v>3439</v>
      </c>
      <c r="I51" s="3812">
        <v>56727.74</v>
      </c>
      <c r="J51" s="3812">
        <v>133882</v>
      </c>
      <c r="K51" s="3812" t="s">
        <v>3783</v>
      </c>
      <c r="L51" s="3812" t="s">
        <v>3423</v>
      </c>
      <c r="M51" s="3812" t="s">
        <v>3782</v>
      </c>
      <c r="N51" s="3812" t="s">
        <v>3425</v>
      </c>
      <c r="O51" s="3812" t="s">
        <v>3463</v>
      </c>
      <c r="P51" s="3812" t="s">
        <v>3781</v>
      </c>
      <c r="Q51" s="3812" t="s">
        <v>3780</v>
      </c>
      <c r="R51" s="3812" t="s">
        <v>3587</v>
      </c>
      <c r="S51" s="3812" t="s">
        <v>3586</v>
      </c>
      <c r="T51" s="3812" t="s">
        <v>3461</v>
      </c>
      <c r="U51" s="3812" t="s">
        <v>3461</v>
      </c>
      <c r="V51" s="3812">
        <v>0</v>
      </c>
      <c r="W51" s="3812">
        <v>0</v>
      </c>
      <c r="X51" s="3812">
        <v>0</v>
      </c>
      <c r="Y51" s="3812">
        <v>0</v>
      </c>
      <c r="Z51" s="3815">
        <v>43910.000497685185</v>
      </c>
      <c r="AA51" s="3815">
        <v>43930.000497685185</v>
      </c>
      <c r="AB51" s="3815">
        <v>43944.000497685185</v>
      </c>
      <c r="AC51" s="3813">
        <v>43944.000497685185</v>
      </c>
      <c r="AD51" s="3812" t="s">
        <v>3779</v>
      </c>
      <c r="AE51" s="3812" t="s">
        <v>3426</v>
      </c>
      <c r="AF51" s="3812" t="s">
        <v>3778</v>
      </c>
      <c r="AG51" s="3812" t="s">
        <v>3777</v>
      </c>
      <c r="AH51" s="3812" t="s">
        <v>3615</v>
      </c>
      <c r="AI51" s="3812">
        <v>139000</v>
      </c>
      <c r="AJ51" s="3812">
        <v>28000</v>
      </c>
      <c r="AK51" s="3812" t="s">
        <v>3776</v>
      </c>
      <c r="AL51" s="3812">
        <v>185000</v>
      </c>
      <c r="AM51" s="3812">
        <v>1633.53</v>
      </c>
      <c r="AN51" s="3812">
        <v>2174.13</v>
      </c>
      <c r="AO51" s="3812">
        <v>10382</v>
      </c>
      <c r="AP51" s="3814">
        <v>13818</v>
      </c>
      <c r="AQ51" s="3812" t="s">
        <v>3461</v>
      </c>
      <c r="AR51" s="3812" t="s">
        <v>3461</v>
      </c>
      <c r="AS51" s="3812">
        <v>33.090000000000003</v>
      </c>
      <c r="AT51" s="3812" t="s">
        <v>3606</v>
      </c>
      <c r="AU51" s="3812" t="s">
        <v>3463</v>
      </c>
      <c r="AV51" s="3812" t="s">
        <v>3461</v>
      </c>
      <c r="AW51" s="3812">
        <v>35344</v>
      </c>
      <c r="AX51" s="3812" t="s">
        <v>3461</v>
      </c>
      <c r="AY51" s="3812" t="s">
        <v>3461</v>
      </c>
      <c r="AZ51" s="3812">
        <v>24962</v>
      </c>
    </row>
    <row r="52" spans="1:52" hidden="1">
      <c r="A52" s="3478" t="s">
        <v>3775</v>
      </c>
      <c r="B52" s="3478" t="s">
        <v>3378</v>
      </c>
      <c r="C52" s="3478" t="s">
        <v>3774</v>
      </c>
      <c r="D52" s="3478" t="s">
        <v>3579</v>
      </c>
      <c r="E52" s="3478" t="s">
        <v>3592</v>
      </c>
      <c r="F52" s="3478" t="s">
        <v>3756</v>
      </c>
      <c r="G52" s="3478" t="s">
        <v>3755</v>
      </c>
      <c r="H52" s="3478" t="s">
        <v>3422</v>
      </c>
      <c r="I52" s="3478">
        <v>20403.86</v>
      </c>
      <c r="J52" s="3478">
        <v>51009</v>
      </c>
      <c r="K52" s="3478" t="s">
        <v>3455</v>
      </c>
      <c r="L52" s="3478" t="s">
        <v>3423</v>
      </c>
      <c r="M52" s="3478" t="s">
        <v>3611</v>
      </c>
      <c r="N52" s="3478" t="s">
        <v>3425</v>
      </c>
      <c r="O52" s="3478" t="s">
        <v>3463</v>
      </c>
      <c r="P52" s="3478" t="s">
        <v>3573</v>
      </c>
      <c r="Q52" s="3478" t="s">
        <v>3773</v>
      </c>
      <c r="R52" s="3478" t="s">
        <v>3624</v>
      </c>
      <c r="S52" s="3478" t="s">
        <v>3623</v>
      </c>
      <c r="T52" s="3478" t="s">
        <v>3461</v>
      </c>
      <c r="U52" s="3478" t="s">
        <v>3461</v>
      </c>
      <c r="V52" s="3478">
        <v>0</v>
      </c>
      <c r="W52" s="3478">
        <v>0</v>
      </c>
      <c r="X52" s="3478">
        <v>0</v>
      </c>
      <c r="Y52" s="3478">
        <v>0</v>
      </c>
      <c r="Z52" s="3481">
        <v>43830.000497685185</v>
      </c>
      <c r="AA52" s="3481">
        <v>43865.000497685185</v>
      </c>
      <c r="AB52" s="3481">
        <v>43879.000497685185</v>
      </c>
      <c r="AC52" s="3480">
        <v>43879.000497685185</v>
      </c>
      <c r="AD52" s="3478" t="s">
        <v>3772</v>
      </c>
      <c r="AE52" s="3478" t="s">
        <v>3426</v>
      </c>
      <c r="AF52" s="3478" t="s">
        <v>3771</v>
      </c>
      <c r="AG52" s="3478" t="s">
        <v>3770</v>
      </c>
      <c r="AH52" s="3478" t="s">
        <v>3769</v>
      </c>
      <c r="AI52" s="3478">
        <v>65600</v>
      </c>
      <c r="AJ52" s="3478">
        <v>13200</v>
      </c>
      <c r="AK52" s="3478" t="s">
        <v>3759</v>
      </c>
      <c r="AL52" s="3478">
        <v>65600</v>
      </c>
      <c r="AM52" s="3478">
        <v>2143.39</v>
      </c>
      <c r="AN52" s="3478">
        <v>2143.39</v>
      </c>
      <c r="AO52" s="3478">
        <v>12860</v>
      </c>
      <c r="AP52" s="3479">
        <v>12860</v>
      </c>
      <c r="AQ52" s="3478" t="s">
        <v>3461</v>
      </c>
      <c r="AR52" s="3478" t="s">
        <v>3461</v>
      </c>
      <c r="AS52" s="3478">
        <v>0</v>
      </c>
      <c r="AT52" s="3478" t="s">
        <v>3606</v>
      </c>
      <c r="AU52" s="3478" t="s">
        <v>3463</v>
      </c>
      <c r="AV52" s="3478" t="s">
        <v>3461</v>
      </c>
      <c r="AW52" s="3478" t="s">
        <v>3463</v>
      </c>
      <c r="AX52" s="3478" t="s">
        <v>3461</v>
      </c>
      <c r="AY52" s="3478" t="s">
        <v>3461</v>
      </c>
      <c r="AZ52" s="3478" t="s">
        <v>3461</v>
      </c>
    </row>
    <row r="53" spans="1:52" hidden="1">
      <c r="A53" s="3478" t="s">
        <v>3768</v>
      </c>
      <c r="B53" s="3478" t="s">
        <v>3378</v>
      </c>
      <c r="C53" s="3478" t="s">
        <v>3767</v>
      </c>
      <c r="D53" s="3478" t="s">
        <v>3579</v>
      </c>
      <c r="E53" s="3478" t="s">
        <v>3592</v>
      </c>
      <c r="F53" s="3478" t="s">
        <v>3681</v>
      </c>
      <c r="G53" s="3478" t="s">
        <v>3680</v>
      </c>
      <c r="H53" s="3478" t="s">
        <v>3439</v>
      </c>
      <c r="I53" s="3478">
        <v>78681.47</v>
      </c>
      <c r="J53" s="3478">
        <v>188033.66</v>
      </c>
      <c r="K53" s="3478" t="s">
        <v>3766</v>
      </c>
      <c r="L53" s="3478" t="s">
        <v>3423</v>
      </c>
      <c r="M53" s="3478" t="s">
        <v>3765</v>
      </c>
      <c r="N53" s="3478" t="s">
        <v>3425</v>
      </c>
      <c r="O53" s="3478" t="s">
        <v>3463</v>
      </c>
      <c r="P53" s="3478" t="s">
        <v>3573</v>
      </c>
      <c r="Q53" s="3478" t="s">
        <v>3764</v>
      </c>
      <c r="R53" s="3478" t="s">
        <v>3624</v>
      </c>
      <c r="S53" s="3478" t="s">
        <v>3623</v>
      </c>
      <c r="T53" s="3478" t="s">
        <v>3461</v>
      </c>
      <c r="U53" s="3478" t="s">
        <v>3461</v>
      </c>
      <c r="V53" s="3478">
        <v>0</v>
      </c>
      <c r="W53" s="3478">
        <v>0</v>
      </c>
      <c r="X53" s="3478">
        <v>0</v>
      </c>
      <c r="Y53" s="3478">
        <v>0</v>
      </c>
      <c r="Z53" s="3481">
        <v>43830.000497685185</v>
      </c>
      <c r="AA53" s="3481">
        <v>43865.000497685185</v>
      </c>
      <c r="AB53" s="3481">
        <v>43879.000497685185</v>
      </c>
      <c r="AC53" s="3480">
        <v>43879.000497685185</v>
      </c>
      <c r="AD53" s="3478" t="s">
        <v>3763</v>
      </c>
      <c r="AE53" s="3478" t="s">
        <v>3426</v>
      </c>
      <c r="AF53" s="3478" t="s">
        <v>3762</v>
      </c>
      <c r="AG53" s="3478" t="s">
        <v>3761</v>
      </c>
      <c r="AH53" s="3478" t="s">
        <v>3760</v>
      </c>
      <c r="AI53" s="3478">
        <v>500000</v>
      </c>
      <c r="AJ53" s="3478">
        <v>100000</v>
      </c>
      <c r="AK53" s="3478" t="s">
        <v>3759</v>
      </c>
      <c r="AL53" s="3478">
        <v>670000</v>
      </c>
      <c r="AM53" s="3478">
        <v>4236.49</v>
      </c>
      <c r="AN53" s="3478">
        <v>5676.9</v>
      </c>
      <c r="AO53" s="3478">
        <v>26591</v>
      </c>
      <c r="AP53" s="3479">
        <v>35632</v>
      </c>
      <c r="AQ53" s="3478" t="s">
        <v>3461</v>
      </c>
      <c r="AR53" s="3478" t="s">
        <v>3461</v>
      </c>
      <c r="AS53" s="3478">
        <v>34</v>
      </c>
      <c r="AT53" s="3478" t="s">
        <v>3606</v>
      </c>
      <c r="AU53" s="3478" t="s">
        <v>3463</v>
      </c>
      <c r="AV53" s="3478" t="s">
        <v>3461</v>
      </c>
      <c r="AW53" s="3478" t="s">
        <v>3463</v>
      </c>
      <c r="AX53" s="3478" t="s">
        <v>3461</v>
      </c>
      <c r="AY53" s="3478" t="s">
        <v>3461</v>
      </c>
      <c r="AZ53" s="3478" t="s">
        <v>3461</v>
      </c>
    </row>
    <row r="54" spans="1:52" hidden="1">
      <c r="A54" s="3478" t="s">
        <v>3758</v>
      </c>
      <c r="B54" s="3478" t="s">
        <v>3378</v>
      </c>
      <c r="C54" s="3478" t="s">
        <v>3757</v>
      </c>
      <c r="D54" s="3478" t="s">
        <v>3579</v>
      </c>
      <c r="E54" s="3478" t="s">
        <v>3592</v>
      </c>
      <c r="F54" s="3478" t="s">
        <v>3756</v>
      </c>
      <c r="G54" s="3478" t="s">
        <v>3755</v>
      </c>
      <c r="H54" s="3478" t="s">
        <v>3422</v>
      </c>
      <c r="I54" s="3478">
        <v>20796</v>
      </c>
      <c r="J54" s="3478">
        <v>21836</v>
      </c>
      <c r="K54" s="3478" t="s">
        <v>3754</v>
      </c>
      <c r="L54" s="3478" t="s">
        <v>3423</v>
      </c>
      <c r="M54" s="3478" t="s">
        <v>3611</v>
      </c>
      <c r="N54" s="3478" t="s">
        <v>3425</v>
      </c>
      <c r="O54" s="3478" t="s">
        <v>3463</v>
      </c>
      <c r="P54" s="3478" t="s">
        <v>3573</v>
      </c>
      <c r="Q54" s="3478" t="s">
        <v>3725</v>
      </c>
      <c r="R54" s="3478" t="s">
        <v>3624</v>
      </c>
      <c r="S54" s="3478" t="s">
        <v>3623</v>
      </c>
      <c r="T54" s="3478" t="s">
        <v>3461</v>
      </c>
      <c r="U54" s="3478" t="s">
        <v>3461</v>
      </c>
      <c r="V54" s="3478">
        <v>0</v>
      </c>
      <c r="W54" s="3478">
        <v>0</v>
      </c>
      <c r="X54" s="3478">
        <v>0</v>
      </c>
      <c r="Y54" s="3478">
        <v>0</v>
      </c>
      <c r="Z54" s="3481">
        <v>43830.000497685185</v>
      </c>
      <c r="AA54" s="3481">
        <v>43852.000497685185</v>
      </c>
      <c r="AB54" s="3481">
        <v>43872.000497685185</v>
      </c>
      <c r="AC54" s="3480">
        <v>43872.000497685185</v>
      </c>
      <c r="AD54" s="3478" t="s">
        <v>3753</v>
      </c>
      <c r="AE54" s="3478" t="s">
        <v>3426</v>
      </c>
      <c r="AF54" s="3478" t="s">
        <v>3752</v>
      </c>
      <c r="AG54" s="3478" t="s">
        <v>3751</v>
      </c>
      <c r="AH54" s="3478" t="s">
        <v>3633</v>
      </c>
      <c r="AI54" s="3478">
        <v>28800</v>
      </c>
      <c r="AJ54" s="3478">
        <v>5800</v>
      </c>
      <c r="AK54" s="3478" t="s">
        <v>3750</v>
      </c>
      <c r="AL54" s="3478">
        <v>36000</v>
      </c>
      <c r="AM54" s="3478">
        <v>923.25</v>
      </c>
      <c r="AN54" s="3478">
        <v>1154.07</v>
      </c>
      <c r="AO54" s="3478">
        <v>13189</v>
      </c>
      <c r="AP54" s="3479">
        <v>16487</v>
      </c>
      <c r="AQ54" s="3478" t="s">
        <v>3461</v>
      </c>
      <c r="AR54" s="3478" t="s">
        <v>3461</v>
      </c>
      <c r="AS54" s="3478">
        <v>25</v>
      </c>
      <c r="AT54" s="3478" t="s">
        <v>3606</v>
      </c>
      <c r="AU54" s="3478" t="s">
        <v>3463</v>
      </c>
      <c r="AV54" s="3478" t="s">
        <v>3461</v>
      </c>
      <c r="AW54" s="3478" t="s">
        <v>3463</v>
      </c>
      <c r="AX54" s="3478" t="s">
        <v>3461</v>
      </c>
      <c r="AY54" s="3478" t="s">
        <v>3461</v>
      </c>
      <c r="AZ54" s="3478" t="s">
        <v>3461</v>
      </c>
    </row>
    <row r="55" spans="1:52" hidden="1">
      <c r="A55" s="3478" t="s">
        <v>3749</v>
      </c>
      <c r="B55" s="3478" t="s">
        <v>3378</v>
      </c>
      <c r="C55" s="3478" t="s">
        <v>3748</v>
      </c>
      <c r="D55" s="3478" t="s">
        <v>3579</v>
      </c>
      <c r="E55" s="3478" t="s">
        <v>3578</v>
      </c>
      <c r="F55" s="3478" t="s">
        <v>3728</v>
      </c>
      <c r="G55" s="3478" t="s">
        <v>3747</v>
      </c>
      <c r="H55" s="3478" t="s">
        <v>3422</v>
      </c>
      <c r="I55" s="3478">
        <v>62168.34</v>
      </c>
      <c r="J55" s="3478">
        <v>186162</v>
      </c>
      <c r="K55" s="3478" t="s">
        <v>3653</v>
      </c>
      <c r="L55" s="3478" t="s">
        <v>3746</v>
      </c>
      <c r="M55" s="3478" t="s">
        <v>3611</v>
      </c>
      <c r="N55" s="3478" t="s">
        <v>3425</v>
      </c>
      <c r="O55" s="3478" t="s">
        <v>3463</v>
      </c>
      <c r="P55" s="3478" t="s">
        <v>3573</v>
      </c>
      <c r="Q55" s="3478" t="s">
        <v>3625</v>
      </c>
      <c r="R55" s="3478" t="s">
        <v>3461</v>
      </c>
      <c r="S55" s="3478" t="s">
        <v>3638</v>
      </c>
      <c r="T55" s="3478" t="s">
        <v>3643</v>
      </c>
      <c r="U55" s="3478" t="s">
        <v>3461</v>
      </c>
      <c r="V55" s="3478">
        <v>0</v>
      </c>
      <c r="W55" s="3478">
        <v>0</v>
      </c>
      <c r="X55" s="3478">
        <v>186162</v>
      </c>
      <c r="Y55" s="3478">
        <v>186162</v>
      </c>
      <c r="Z55" s="3481">
        <v>43784.000497685185</v>
      </c>
      <c r="AA55" s="3481">
        <v>43812.000497685185</v>
      </c>
      <c r="AB55" s="3481">
        <v>43812.000497685185</v>
      </c>
      <c r="AC55" s="3480">
        <v>43812.000497685185</v>
      </c>
      <c r="AD55" s="3478" t="s">
        <v>3745</v>
      </c>
      <c r="AE55" s="3478" t="s">
        <v>3426</v>
      </c>
      <c r="AF55" s="3478" t="s">
        <v>3744</v>
      </c>
      <c r="AG55" s="3478" t="s">
        <v>3743</v>
      </c>
      <c r="AH55" s="3478" t="s">
        <v>3633</v>
      </c>
      <c r="AI55" s="3478" t="s">
        <v>3461</v>
      </c>
      <c r="AJ55" s="3478">
        <v>86800</v>
      </c>
      <c r="AK55" s="3478" t="s">
        <v>633</v>
      </c>
      <c r="AL55" s="3478">
        <v>434800</v>
      </c>
      <c r="AM55" s="3478" t="s">
        <v>3461</v>
      </c>
      <c r="AN55" s="3478">
        <v>4662.6099999999997</v>
      </c>
      <c r="AO55" s="3478" t="s">
        <v>3461</v>
      </c>
      <c r="AP55" s="3479">
        <v>23356</v>
      </c>
      <c r="AQ55" s="3478" t="s">
        <v>3461</v>
      </c>
      <c r="AR55" s="3478" t="s">
        <v>3461</v>
      </c>
      <c r="AS55" s="3478">
        <v>0</v>
      </c>
      <c r="AT55" s="3478" t="s">
        <v>3606</v>
      </c>
      <c r="AU55" s="3478" t="s">
        <v>3463</v>
      </c>
      <c r="AV55" s="3478" t="s">
        <v>3461</v>
      </c>
      <c r="AW55" s="3478">
        <v>38000</v>
      </c>
      <c r="AX55" s="3478" t="s">
        <v>3461</v>
      </c>
      <c r="AY55" s="3478" t="s">
        <v>3461</v>
      </c>
      <c r="AZ55" s="3478" t="s">
        <v>3461</v>
      </c>
    </row>
    <row r="56" spans="1:52" hidden="1">
      <c r="A56" s="3478" t="s">
        <v>3742</v>
      </c>
      <c r="B56" s="3478" t="s">
        <v>3378</v>
      </c>
      <c r="C56" s="3478" t="s">
        <v>3741</v>
      </c>
      <c r="D56" s="3478" t="s">
        <v>3579</v>
      </c>
      <c r="E56" s="3478" t="s">
        <v>3718</v>
      </c>
      <c r="F56" s="3478" t="s">
        <v>3740</v>
      </c>
      <c r="G56" s="3478" t="s">
        <v>3739</v>
      </c>
      <c r="H56" s="3478" t="s">
        <v>3439</v>
      </c>
      <c r="I56" s="3478">
        <v>165793.17000000001</v>
      </c>
      <c r="J56" s="3478">
        <v>381104</v>
      </c>
      <c r="K56" s="3478" t="s">
        <v>3738</v>
      </c>
      <c r="L56" s="3478" t="s">
        <v>3423</v>
      </c>
      <c r="M56" s="3478" t="s">
        <v>3737</v>
      </c>
      <c r="N56" s="3478" t="s">
        <v>3425</v>
      </c>
      <c r="O56" s="3478" t="s">
        <v>3463</v>
      </c>
      <c r="P56" s="3478" t="s">
        <v>3736</v>
      </c>
      <c r="Q56" s="3478" t="s">
        <v>3735</v>
      </c>
      <c r="R56" s="3478" t="s">
        <v>3587</v>
      </c>
      <c r="S56" s="3478" t="s">
        <v>3586</v>
      </c>
      <c r="T56" s="3478" t="s">
        <v>3461</v>
      </c>
      <c r="U56" s="3478" t="s">
        <v>3461</v>
      </c>
      <c r="V56" s="3478">
        <v>0</v>
      </c>
      <c r="W56" s="3478">
        <v>0</v>
      </c>
      <c r="X56" s="3478">
        <v>0</v>
      </c>
      <c r="Y56" s="3478">
        <v>0</v>
      </c>
      <c r="Z56" s="3481">
        <v>43777.000497685185</v>
      </c>
      <c r="AA56" s="3481">
        <v>43797.000497685185</v>
      </c>
      <c r="AB56" s="3481">
        <v>43811.000497685185</v>
      </c>
      <c r="AC56" s="3480">
        <v>43811.000497685185</v>
      </c>
      <c r="AD56" s="3478" t="s">
        <v>3734</v>
      </c>
      <c r="AE56" s="3478" t="s">
        <v>3426</v>
      </c>
      <c r="AF56" s="3478" t="s">
        <v>3733</v>
      </c>
      <c r="AG56" s="3478" t="s">
        <v>3732</v>
      </c>
      <c r="AH56" s="3478" t="s">
        <v>3615</v>
      </c>
      <c r="AI56" s="3478">
        <v>420000</v>
      </c>
      <c r="AJ56" s="3478">
        <v>84000</v>
      </c>
      <c r="AK56" s="3478" t="s">
        <v>3731</v>
      </c>
      <c r="AL56" s="3478">
        <v>420000</v>
      </c>
      <c r="AM56" s="3478">
        <v>1688.85</v>
      </c>
      <c r="AN56" s="3478">
        <v>1688.85</v>
      </c>
      <c r="AO56" s="3478">
        <v>11021</v>
      </c>
      <c r="AP56" s="3479">
        <v>11021</v>
      </c>
      <c r="AQ56" s="3478" t="s">
        <v>3461</v>
      </c>
      <c r="AR56" s="3478" t="s">
        <v>3461</v>
      </c>
      <c r="AS56" s="3478">
        <v>0</v>
      </c>
      <c r="AT56" s="3478" t="s">
        <v>3606</v>
      </c>
      <c r="AU56" s="3478" t="s">
        <v>3463</v>
      </c>
      <c r="AV56" s="3478" t="s">
        <v>3461</v>
      </c>
      <c r="AW56" s="3478">
        <v>35344</v>
      </c>
      <c r="AX56" s="3478" t="s">
        <v>3461</v>
      </c>
      <c r="AY56" s="3478" t="s">
        <v>3461</v>
      </c>
      <c r="AZ56" s="3478">
        <v>24323</v>
      </c>
    </row>
    <row r="57" spans="1:52" hidden="1">
      <c r="A57" s="3478" t="s">
        <v>3730</v>
      </c>
      <c r="B57" s="3478" t="s">
        <v>3378</v>
      </c>
      <c r="C57" s="3478" t="s">
        <v>3729</v>
      </c>
      <c r="D57" s="3478" t="s">
        <v>3579</v>
      </c>
      <c r="E57" s="3478" t="s">
        <v>3578</v>
      </c>
      <c r="F57" s="3478" t="s">
        <v>3728</v>
      </c>
      <c r="G57" s="3478" t="s">
        <v>3727</v>
      </c>
      <c r="H57" s="3478" t="s">
        <v>3422</v>
      </c>
      <c r="I57" s="3478">
        <v>74642.399999999994</v>
      </c>
      <c r="J57" s="3478">
        <v>82107</v>
      </c>
      <c r="K57" s="3478" t="s">
        <v>3726</v>
      </c>
      <c r="L57" s="3478" t="s">
        <v>3423</v>
      </c>
      <c r="M57" s="3478" t="s">
        <v>3611</v>
      </c>
      <c r="N57" s="3478" t="s">
        <v>3425</v>
      </c>
      <c r="O57" s="3478" t="s">
        <v>3463</v>
      </c>
      <c r="P57" s="3478" t="s">
        <v>3573</v>
      </c>
      <c r="Q57" s="3478" t="s">
        <v>3725</v>
      </c>
      <c r="R57" s="3478" t="s">
        <v>3624</v>
      </c>
      <c r="S57" s="3478" t="s">
        <v>3623</v>
      </c>
      <c r="T57" s="3478" t="s">
        <v>3461</v>
      </c>
      <c r="U57" s="3478" t="s">
        <v>3461</v>
      </c>
      <c r="V57" s="3478">
        <v>0</v>
      </c>
      <c r="W57" s="3478">
        <v>0</v>
      </c>
      <c r="X57" s="3478">
        <v>0</v>
      </c>
      <c r="Y57" s="3478">
        <v>0</v>
      </c>
      <c r="Z57" s="3481">
        <v>43770.000497685185</v>
      </c>
      <c r="AA57" s="3481">
        <v>43790.000497685185</v>
      </c>
      <c r="AB57" s="3481">
        <v>43804.000497685185</v>
      </c>
      <c r="AC57" s="3480">
        <v>43804.000497685185</v>
      </c>
      <c r="AD57" s="3478" t="s">
        <v>3724</v>
      </c>
      <c r="AE57" s="3478" t="s">
        <v>3426</v>
      </c>
      <c r="AF57" s="3478" t="s">
        <v>3723</v>
      </c>
      <c r="AG57" s="3478" t="s">
        <v>3722</v>
      </c>
      <c r="AH57" s="3478" t="s">
        <v>3673</v>
      </c>
      <c r="AI57" s="3478">
        <v>260000</v>
      </c>
      <c r="AJ57" s="3478">
        <v>52000</v>
      </c>
      <c r="AK57" s="3478" t="s">
        <v>3721</v>
      </c>
      <c r="AL57" s="3478">
        <v>260000</v>
      </c>
      <c r="AM57" s="3478">
        <v>2322.1799999999998</v>
      </c>
      <c r="AN57" s="3478">
        <v>2322.1799999999998</v>
      </c>
      <c r="AO57" s="3478">
        <v>31666</v>
      </c>
      <c r="AP57" s="3479">
        <v>31666</v>
      </c>
      <c r="AQ57" s="3478" t="s">
        <v>3461</v>
      </c>
      <c r="AR57" s="3478" t="s">
        <v>3461</v>
      </c>
      <c r="AS57" s="3478">
        <v>0</v>
      </c>
      <c r="AT57" s="3478" t="s">
        <v>3606</v>
      </c>
      <c r="AU57" s="3478" t="s">
        <v>3463</v>
      </c>
      <c r="AV57" s="3478" t="s">
        <v>3461</v>
      </c>
      <c r="AW57" s="3478" t="s">
        <v>3463</v>
      </c>
      <c r="AX57" s="3478" t="s">
        <v>3461</v>
      </c>
      <c r="AY57" s="3478" t="s">
        <v>3461</v>
      </c>
      <c r="AZ57" s="3478" t="s">
        <v>3461</v>
      </c>
    </row>
    <row r="58" spans="1:52" hidden="1">
      <c r="A58" s="3478" t="s">
        <v>3720</v>
      </c>
      <c r="B58" s="3478" t="s">
        <v>3378</v>
      </c>
      <c r="C58" s="3478" t="s">
        <v>3719</v>
      </c>
      <c r="D58" s="3478" t="s">
        <v>3579</v>
      </c>
      <c r="E58" s="3478" t="s">
        <v>3718</v>
      </c>
      <c r="F58" s="3478" t="s">
        <v>3717</v>
      </c>
      <c r="G58" s="3478" t="s">
        <v>3716</v>
      </c>
      <c r="H58" s="3478" t="s">
        <v>3439</v>
      </c>
      <c r="I58" s="3478">
        <v>35805</v>
      </c>
      <c r="J58" s="3478">
        <v>71581</v>
      </c>
      <c r="K58" s="3478" t="s">
        <v>3715</v>
      </c>
      <c r="L58" s="3478" t="s">
        <v>3423</v>
      </c>
      <c r="M58" s="3478" t="s">
        <v>3574</v>
      </c>
      <c r="N58" s="3478" t="s">
        <v>3425</v>
      </c>
      <c r="O58" s="3478" t="s">
        <v>3463</v>
      </c>
      <c r="P58" s="3478" t="s">
        <v>3573</v>
      </c>
      <c r="Q58" s="3478" t="s">
        <v>3714</v>
      </c>
      <c r="R58" s="3478" t="s">
        <v>3638</v>
      </c>
      <c r="S58" s="3478" t="s">
        <v>3638</v>
      </c>
      <c r="T58" s="3478" t="s">
        <v>3643</v>
      </c>
      <c r="U58" s="3478" t="s">
        <v>3461</v>
      </c>
      <c r="V58" s="3478">
        <v>0</v>
      </c>
      <c r="W58" s="3478">
        <v>0</v>
      </c>
      <c r="X58" s="3478">
        <v>68381</v>
      </c>
      <c r="Y58" s="3478">
        <v>68381</v>
      </c>
      <c r="Z58" s="3481">
        <v>43753.000497685185</v>
      </c>
      <c r="AA58" s="3481">
        <v>43773.000497685185</v>
      </c>
      <c r="AB58" s="3481">
        <v>43787.000497685185</v>
      </c>
      <c r="AC58" s="3480">
        <v>43787.000497685185</v>
      </c>
      <c r="AD58" s="3478" t="s">
        <v>3713</v>
      </c>
      <c r="AE58" s="3478" t="s">
        <v>3426</v>
      </c>
      <c r="AF58" s="3478" t="s">
        <v>3712</v>
      </c>
      <c r="AG58" s="3478" t="s">
        <v>3711</v>
      </c>
      <c r="AH58" s="3478" t="s">
        <v>3615</v>
      </c>
      <c r="AI58" s="3478">
        <v>77000</v>
      </c>
      <c r="AJ58" s="3478">
        <v>15400</v>
      </c>
      <c r="AK58" s="3478" t="s">
        <v>3710</v>
      </c>
      <c r="AL58" s="3478">
        <v>85000</v>
      </c>
      <c r="AM58" s="3478">
        <v>1433.69</v>
      </c>
      <c r="AN58" s="3478">
        <v>1582.65</v>
      </c>
      <c r="AO58" s="3478">
        <v>10757</v>
      </c>
      <c r="AP58" s="3479">
        <v>11875</v>
      </c>
      <c r="AQ58" s="3478" t="s">
        <v>3461</v>
      </c>
      <c r="AR58" s="3478" t="s">
        <v>3461</v>
      </c>
      <c r="AS58" s="3478">
        <v>10.39</v>
      </c>
      <c r="AT58" s="3478" t="s">
        <v>3606</v>
      </c>
      <c r="AU58" s="3478" t="s">
        <v>3463</v>
      </c>
      <c r="AV58" s="3478" t="s">
        <v>3461</v>
      </c>
      <c r="AW58" s="3478">
        <v>29000</v>
      </c>
      <c r="AX58" s="3478" t="s">
        <v>3461</v>
      </c>
      <c r="AY58" s="3478" t="s">
        <v>3461</v>
      </c>
      <c r="AZ58" s="3478">
        <v>18243</v>
      </c>
    </row>
    <row r="59" spans="1:52" hidden="1">
      <c r="A59" s="3478" t="s">
        <v>3709</v>
      </c>
      <c r="B59" s="3478" t="s">
        <v>3378</v>
      </c>
      <c r="C59" s="3478" t="s">
        <v>3708</v>
      </c>
      <c r="D59" s="3478" t="s">
        <v>3579</v>
      </c>
      <c r="E59" s="3478" t="s">
        <v>3592</v>
      </c>
      <c r="F59" s="3478" t="s">
        <v>3699</v>
      </c>
      <c r="G59" s="3478" t="s">
        <v>3707</v>
      </c>
      <c r="H59" s="3478" t="s">
        <v>3439</v>
      </c>
      <c r="I59" s="3478">
        <v>42541.4</v>
      </c>
      <c r="J59" s="3478">
        <v>108921.52</v>
      </c>
      <c r="K59" s="3478" t="s">
        <v>3706</v>
      </c>
      <c r="L59" s="3478" t="s">
        <v>3423</v>
      </c>
      <c r="M59" s="3478" t="s">
        <v>3574</v>
      </c>
      <c r="N59" s="3478" t="s">
        <v>3425</v>
      </c>
      <c r="O59" s="3478" t="s">
        <v>3463</v>
      </c>
      <c r="P59" s="3478" t="s">
        <v>3573</v>
      </c>
      <c r="Q59" s="3478" t="s">
        <v>3705</v>
      </c>
      <c r="R59" s="3478" t="s">
        <v>3587</v>
      </c>
      <c r="S59" s="3478" t="s">
        <v>3586</v>
      </c>
      <c r="T59" s="3478" t="s">
        <v>3461</v>
      </c>
      <c r="U59" s="3478" t="s">
        <v>3461</v>
      </c>
      <c r="V59" s="3478">
        <v>0</v>
      </c>
      <c r="W59" s="3478">
        <v>0</v>
      </c>
      <c r="X59" s="3478">
        <v>0</v>
      </c>
      <c r="Y59" s="3478">
        <v>0</v>
      </c>
      <c r="Z59" s="3481">
        <v>43748.000497685185</v>
      </c>
      <c r="AA59" s="3481">
        <v>43768.000497685185</v>
      </c>
      <c r="AB59" s="3481">
        <v>43782.000497685185</v>
      </c>
      <c r="AC59" s="3480">
        <v>43782.000497685185</v>
      </c>
      <c r="AD59" s="3478" t="s">
        <v>3704</v>
      </c>
      <c r="AE59" s="3478" t="s">
        <v>3426</v>
      </c>
      <c r="AF59" s="3478" t="s">
        <v>3703</v>
      </c>
      <c r="AG59" s="3478" t="s">
        <v>3702</v>
      </c>
      <c r="AH59" s="3478" t="s">
        <v>3633</v>
      </c>
      <c r="AI59" s="3478">
        <v>292000</v>
      </c>
      <c r="AJ59" s="3478">
        <v>58400</v>
      </c>
      <c r="AK59" s="3478" t="s">
        <v>3693</v>
      </c>
      <c r="AL59" s="3478">
        <v>307000</v>
      </c>
      <c r="AM59" s="3478">
        <v>4575.93</v>
      </c>
      <c r="AN59" s="3478">
        <v>4811</v>
      </c>
      <c r="AO59" s="3478">
        <v>26808</v>
      </c>
      <c r="AP59" s="3479">
        <v>28185</v>
      </c>
      <c r="AQ59" s="3478" t="s">
        <v>3461</v>
      </c>
      <c r="AR59" s="3478" t="s">
        <v>3461</v>
      </c>
      <c r="AS59" s="3478">
        <v>5.14</v>
      </c>
      <c r="AT59" s="3478" t="s">
        <v>3606</v>
      </c>
      <c r="AU59" s="3478" t="s">
        <v>3463</v>
      </c>
      <c r="AV59" s="3478" t="s">
        <v>3461</v>
      </c>
      <c r="AW59" s="3478" t="s">
        <v>3463</v>
      </c>
      <c r="AX59" s="3478" t="s">
        <v>3461</v>
      </c>
      <c r="AY59" s="3478" t="s">
        <v>3461</v>
      </c>
      <c r="AZ59" s="3478" t="s">
        <v>3461</v>
      </c>
    </row>
    <row r="60" spans="1:52" hidden="1">
      <c r="A60" s="3478" t="s">
        <v>3701</v>
      </c>
      <c r="B60" s="3478" t="s">
        <v>3378</v>
      </c>
      <c r="C60" s="3478" t="s">
        <v>3700</v>
      </c>
      <c r="D60" s="3478" t="s">
        <v>3579</v>
      </c>
      <c r="E60" s="3478" t="s">
        <v>3592</v>
      </c>
      <c r="F60" s="3478" t="s">
        <v>3699</v>
      </c>
      <c r="G60" s="3478" t="s">
        <v>3698</v>
      </c>
      <c r="H60" s="3478" t="s">
        <v>3422</v>
      </c>
      <c r="I60" s="3478">
        <v>54735.8</v>
      </c>
      <c r="J60" s="3478">
        <v>153260.24</v>
      </c>
      <c r="K60" s="3478" t="s">
        <v>3697</v>
      </c>
      <c r="L60" s="3478" t="s">
        <v>3423</v>
      </c>
      <c r="M60" s="3478" t="s">
        <v>3611</v>
      </c>
      <c r="N60" s="3478" t="s">
        <v>3425</v>
      </c>
      <c r="O60" s="3478" t="s">
        <v>3463</v>
      </c>
      <c r="P60" s="3478" t="s">
        <v>3573</v>
      </c>
      <c r="Q60" s="3478" t="s">
        <v>3625</v>
      </c>
      <c r="R60" s="3478" t="s">
        <v>3587</v>
      </c>
      <c r="S60" s="3478" t="s">
        <v>3586</v>
      </c>
      <c r="T60" s="3478" t="s">
        <v>3461</v>
      </c>
      <c r="U60" s="3478" t="s">
        <v>3461</v>
      </c>
      <c r="V60" s="3478">
        <v>0</v>
      </c>
      <c r="W60" s="3478">
        <v>0</v>
      </c>
      <c r="X60" s="3478">
        <v>0</v>
      </c>
      <c r="Y60" s="3478">
        <v>0</v>
      </c>
      <c r="Z60" s="3481">
        <v>43748.000497685185</v>
      </c>
      <c r="AA60" s="3481">
        <v>43768.000497685185</v>
      </c>
      <c r="AB60" s="3481">
        <v>43782.000497685185</v>
      </c>
      <c r="AC60" s="3480">
        <v>43782.000497685185</v>
      </c>
      <c r="AD60" s="3478" t="s">
        <v>3696</v>
      </c>
      <c r="AE60" s="3478" t="s">
        <v>3426</v>
      </c>
      <c r="AF60" s="3478" t="s">
        <v>3695</v>
      </c>
      <c r="AG60" s="3478" t="s">
        <v>3694</v>
      </c>
      <c r="AH60" s="3478" t="s">
        <v>3595</v>
      </c>
      <c r="AI60" s="3478">
        <v>426000</v>
      </c>
      <c r="AJ60" s="3478">
        <v>85200</v>
      </c>
      <c r="AK60" s="3478" t="s">
        <v>3693</v>
      </c>
      <c r="AL60" s="3478">
        <v>428150</v>
      </c>
      <c r="AM60" s="3478">
        <v>5188.5600000000004</v>
      </c>
      <c r="AN60" s="3478">
        <v>5214.75</v>
      </c>
      <c r="AO60" s="3478">
        <v>27796</v>
      </c>
      <c r="AP60" s="3479">
        <v>27936</v>
      </c>
      <c r="AQ60" s="3478" t="s">
        <v>3461</v>
      </c>
      <c r="AR60" s="3478" t="s">
        <v>3461</v>
      </c>
      <c r="AS60" s="3478">
        <v>0.5</v>
      </c>
      <c r="AT60" s="3478" t="s">
        <v>3606</v>
      </c>
      <c r="AU60" s="3478" t="s">
        <v>3463</v>
      </c>
      <c r="AV60" s="3478" t="s">
        <v>3461</v>
      </c>
      <c r="AW60" s="3478">
        <v>52695</v>
      </c>
      <c r="AX60" s="3478" t="s">
        <v>3461</v>
      </c>
      <c r="AY60" s="3478" t="s">
        <v>3461</v>
      </c>
      <c r="AZ60" s="3478">
        <v>24899</v>
      </c>
    </row>
    <row r="61" spans="1:52" hidden="1">
      <c r="A61" s="3478" t="s">
        <v>3692</v>
      </c>
      <c r="B61" s="3478" t="s">
        <v>3378</v>
      </c>
      <c r="C61" s="3478" t="s">
        <v>3691</v>
      </c>
      <c r="D61" s="3478" t="s">
        <v>3579</v>
      </c>
      <c r="E61" s="3478" t="s">
        <v>3592</v>
      </c>
      <c r="F61" s="3478" t="s">
        <v>3690</v>
      </c>
      <c r="G61" s="3478" t="s">
        <v>3689</v>
      </c>
      <c r="H61" s="3478" t="s">
        <v>3439</v>
      </c>
      <c r="I61" s="3478">
        <v>58822.99</v>
      </c>
      <c r="J61" s="3478">
        <v>97871</v>
      </c>
      <c r="K61" s="3478" t="s">
        <v>3688</v>
      </c>
      <c r="L61" s="3478" t="s">
        <v>3423</v>
      </c>
      <c r="M61" s="3478" t="s">
        <v>3574</v>
      </c>
      <c r="N61" s="3478" t="s">
        <v>3425</v>
      </c>
      <c r="O61" s="3478" t="s">
        <v>3463</v>
      </c>
      <c r="P61" s="3478" t="s">
        <v>3573</v>
      </c>
      <c r="Q61" s="3478" t="s">
        <v>3687</v>
      </c>
      <c r="R61" s="3478" t="s">
        <v>3587</v>
      </c>
      <c r="S61" s="3478" t="s">
        <v>3586</v>
      </c>
      <c r="T61" s="3478" t="s">
        <v>3461</v>
      </c>
      <c r="U61" s="3478" t="s">
        <v>3461</v>
      </c>
      <c r="V61" s="3478">
        <v>0</v>
      </c>
      <c r="W61" s="3478">
        <v>0</v>
      </c>
      <c r="X61" s="3478">
        <v>0</v>
      </c>
      <c r="Y61" s="3478">
        <v>0</v>
      </c>
      <c r="Z61" s="3481">
        <v>43705.000497685185</v>
      </c>
      <c r="AA61" s="3481">
        <v>43734.000497685185</v>
      </c>
      <c r="AB61" s="3481">
        <v>43753.000497685185</v>
      </c>
      <c r="AC61" s="3480">
        <v>43753.000497685185</v>
      </c>
      <c r="AD61" s="3478" t="s">
        <v>3686</v>
      </c>
      <c r="AE61" s="3478" t="s">
        <v>3426</v>
      </c>
      <c r="AF61" s="3478" t="s">
        <v>3685</v>
      </c>
      <c r="AG61" s="3478" t="s">
        <v>3684</v>
      </c>
      <c r="AH61" s="3478" t="s">
        <v>3615</v>
      </c>
      <c r="AI61" s="3478">
        <v>181000</v>
      </c>
      <c r="AJ61" s="3478">
        <v>36500</v>
      </c>
      <c r="AK61" s="3478" t="s">
        <v>3672</v>
      </c>
      <c r="AL61" s="3478">
        <v>203000</v>
      </c>
      <c r="AM61" s="3478">
        <v>2051.35</v>
      </c>
      <c r="AN61" s="3478">
        <v>2300.69</v>
      </c>
      <c r="AO61" s="3478">
        <v>18494</v>
      </c>
      <c r="AP61" s="3479">
        <v>20742</v>
      </c>
      <c r="AQ61" s="3478" t="s">
        <v>3461</v>
      </c>
      <c r="AR61" s="3478" t="s">
        <v>3461</v>
      </c>
      <c r="AS61" s="3478">
        <v>12.15</v>
      </c>
      <c r="AT61" s="3478" t="s">
        <v>3606</v>
      </c>
      <c r="AU61" s="3478" t="s">
        <v>3463</v>
      </c>
      <c r="AV61" s="3478" t="s">
        <v>3461</v>
      </c>
      <c r="AW61" s="3478">
        <v>42672</v>
      </c>
      <c r="AX61" s="3478" t="s">
        <v>3461</v>
      </c>
      <c r="AY61" s="3478" t="s">
        <v>3461</v>
      </c>
      <c r="AZ61" s="3478">
        <v>24178</v>
      </c>
    </row>
    <row r="62" spans="1:52" hidden="1">
      <c r="A62" s="3478" t="s">
        <v>3683</v>
      </c>
      <c r="B62" s="3478" t="s">
        <v>3378</v>
      </c>
      <c r="C62" s="3478" t="s">
        <v>3682</v>
      </c>
      <c r="D62" s="3478" t="s">
        <v>3579</v>
      </c>
      <c r="E62" s="3478" t="s">
        <v>3592</v>
      </c>
      <c r="F62" s="3478" t="s">
        <v>3681</v>
      </c>
      <c r="G62" s="3478" t="s">
        <v>3680</v>
      </c>
      <c r="H62" s="3478" t="s">
        <v>3439</v>
      </c>
      <c r="I62" s="3478">
        <v>56722.42</v>
      </c>
      <c r="J62" s="3478">
        <v>124449</v>
      </c>
      <c r="K62" s="3478" t="s">
        <v>3679</v>
      </c>
      <c r="L62" s="3478" t="s">
        <v>3423</v>
      </c>
      <c r="M62" s="3478" t="s">
        <v>3678</v>
      </c>
      <c r="N62" s="3478" t="s">
        <v>3425</v>
      </c>
      <c r="O62" s="3478" t="s">
        <v>3463</v>
      </c>
      <c r="P62" s="3478" t="s">
        <v>3573</v>
      </c>
      <c r="Q62" s="3478" t="s">
        <v>3677</v>
      </c>
      <c r="R62" s="3478" t="s">
        <v>3587</v>
      </c>
      <c r="S62" s="3478" t="s">
        <v>3586</v>
      </c>
      <c r="T62" s="3478" t="s">
        <v>3461</v>
      </c>
      <c r="U62" s="3478" t="s">
        <v>3461</v>
      </c>
      <c r="V62" s="3478">
        <v>0</v>
      </c>
      <c r="W62" s="3478">
        <v>0</v>
      </c>
      <c r="X62" s="3478">
        <v>0</v>
      </c>
      <c r="Y62" s="3478">
        <v>0</v>
      </c>
      <c r="Z62" s="3481">
        <v>43705.000497685185</v>
      </c>
      <c r="AA62" s="3481">
        <v>43734.000497685185</v>
      </c>
      <c r="AB62" s="3481">
        <v>43753.000497685185</v>
      </c>
      <c r="AC62" s="3480">
        <v>43753.000497685185</v>
      </c>
      <c r="AD62" s="3478" t="s">
        <v>3676</v>
      </c>
      <c r="AE62" s="3478" t="s">
        <v>3426</v>
      </c>
      <c r="AF62" s="3478" t="s">
        <v>3675</v>
      </c>
      <c r="AG62" s="3478" t="s">
        <v>3674</v>
      </c>
      <c r="AH62" s="3478" t="s">
        <v>3673</v>
      </c>
      <c r="AI62" s="3478">
        <v>330000</v>
      </c>
      <c r="AJ62" s="3478">
        <v>66000</v>
      </c>
      <c r="AK62" s="3478" t="s">
        <v>3672</v>
      </c>
      <c r="AL62" s="3478">
        <v>443000</v>
      </c>
      <c r="AM62" s="3478">
        <v>3878.54</v>
      </c>
      <c r="AN62" s="3478">
        <v>5206.6400000000003</v>
      </c>
      <c r="AO62" s="3478">
        <v>26517</v>
      </c>
      <c r="AP62" s="3479">
        <v>35597</v>
      </c>
      <c r="AQ62" s="3478" t="s">
        <v>3461</v>
      </c>
      <c r="AR62" s="3478" t="s">
        <v>3461</v>
      </c>
      <c r="AS62" s="3478">
        <v>34.24</v>
      </c>
      <c r="AT62" s="3478" t="s">
        <v>3606</v>
      </c>
      <c r="AU62" s="3478" t="s">
        <v>3463</v>
      </c>
      <c r="AV62" s="3478" t="s">
        <v>3461</v>
      </c>
      <c r="AW62" s="3478">
        <v>54715</v>
      </c>
      <c r="AX62" s="3478" t="s">
        <v>3461</v>
      </c>
      <c r="AY62" s="3478" t="s">
        <v>3461</v>
      </c>
      <c r="AZ62" s="3478">
        <v>28198</v>
      </c>
    </row>
    <row r="63" spans="1:52" hidden="1">
      <c r="A63" s="3478" t="s">
        <v>3671</v>
      </c>
      <c r="B63" s="3478" t="s">
        <v>3378</v>
      </c>
      <c r="C63" s="3478" t="s">
        <v>3670</v>
      </c>
      <c r="D63" s="3478" t="s">
        <v>3579</v>
      </c>
      <c r="E63" s="3478" t="s">
        <v>3592</v>
      </c>
      <c r="F63" s="3478" t="s">
        <v>3669</v>
      </c>
      <c r="G63" s="3478" t="s">
        <v>3668</v>
      </c>
      <c r="H63" s="3478" t="s">
        <v>3439</v>
      </c>
      <c r="I63" s="3478">
        <v>88404.4</v>
      </c>
      <c r="J63" s="3478">
        <v>173209</v>
      </c>
      <c r="K63" s="3478" t="s">
        <v>3667</v>
      </c>
      <c r="L63" s="3478" t="s">
        <v>3423</v>
      </c>
      <c r="M63" s="3478" t="s">
        <v>3574</v>
      </c>
      <c r="N63" s="3478" t="s">
        <v>3425</v>
      </c>
      <c r="O63" s="3478" t="s">
        <v>3463</v>
      </c>
      <c r="P63" s="3478" t="s">
        <v>3573</v>
      </c>
      <c r="Q63" s="3478" t="s">
        <v>3666</v>
      </c>
      <c r="R63" s="3478" t="s">
        <v>3587</v>
      </c>
      <c r="S63" s="3478" t="s">
        <v>3665</v>
      </c>
      <c r="T63" s="3478" t="s">
        <v>3461</v>
      </c>
      <c r="U63" s="3478" t="s">
        <v>3461</v>
      </c>
      <c r="V63" s="3478">
        <v>0</v>
      </c>
      <c r="W63" s="3478">
        <v>0</v>
      </c>
      <c r="X63" s="3478">
        <v>0</v>
      </c>
      <c r="Y63" s="3478">
        <v>0</v>
      </c>
      <c r="Z63" s="3481">
        <v>43698.000497685185</v>
      </c>
      <c r="AA63" s="3481">
        <v>43718.000497685185</v>
      </c>
      <c r="AB63" s="3481">
        <v>43733.000497685185</v>
      </c>
      <c r="AC63" s="3480">
        <v>43733.000497685185</v>
      </c>
      <c r="AD63" s="3478" t="s">
        <v>3664</v>
      </c>
      <c r="AE63" s="3478" t="s">
        <v>3426</v>
      </c>
      <c r="AF63" s="3478" t="s">
        <v>3663</v>
      </c>
      <c r="AG63" s="3478" t="s">
        <v>3662</v>
      </c>
      <c r="AH63" s="3478" t="s">
        <v>3595</v>
      </c>
      <c r="AI63" s="3478">
        <v>330000</v>
      </c>
      <c r="AJ63" s="3478">
        <v>66000</v>
      </c>
      <c r="AK63" s="3478" t="s">
        <v>3647</v>
      </c>
      <c r="AL63" s="3478">
        <v>330000</v>
      </c>
      <c r="AM63" s="3478">
        <v>2488.56</v>
      </c>
      <c r="AN63" s="3478">
        <v>2488.56</v>
      </c>
      <c r="AO63" s="3478">
        <v>19052</v>
      </c>
      <c r="AP63" s="3479">
        <v>19052</v>
      </c>
      <c r="AQ63" s="3478" t="s">
        <v>3461</v>
      </c>
      <c r="AR63" s="3478" t="s">
        <v>3461</v>
      </c>
      <c r="AS63" s="3478">
        <v>0</v>
      </c>
      <c r="AT63" s="3478" t="s">
        <v>3606</v>
      </c>
      <c r="AU63" s="3478" t="s">
        <v>3463</v>
      </c>
      <c r="AV63" s="3478" t="s">
        <v>3461</v>
      </c>
      <c r="AW63" s="3478">
        <v>42158</v>
      </c>
      <c r="AX63" s="3478" t="s">
        <v>3461</v>
      </c>
      <c r="AY63" s="3478" t="s">
        <v>3461</v>
      </c>
      <c r="AZ63" s="3478">
        <v>23106</v>
      </c>
    </row>
    <row r="64" spans="1:52" hidden="1">
      <c r="A64" s="3478" t="s">
        <v>3661</v>
      </c>
      <c r="B64" s="3478" t="s">
        <v>3378</v>
      </c>
      <c r="C64" s="3478" t="s">
        <v>3660</v>
      </c>
      <c r="D64" s="3478" t="s">
        <v>3579</v>
      </c>
      <c r="E64" s="3478" t="s">
        <v>3592</v>
      </c>
      <c r="F64" s="3478" t="s">
        <v>3603</v>
      </c>
      <c r="G64" s="3478" t="s">
        <v>3602</v>
      </c>
      <c r="H64" s="3478" t="s">
        <v>3422</v>
      </c>
      <c r="I64" s="3478">
        <v>45889.5</v>
      </c>
      <c r="J64" s="3478">
        <v>100957</v>
      </c>
      <c r="K64" s="3478" t="s">
        <v>3432</v>
      </c>
      <c r="L64" s="3478" t="s">
        <v>3423</v>
      </c>
      <c r="M64" s="3478" t="s">
        <v>3611</v>
      </c>
      <c r="N64" s="3478" t="s">
        <v>3425</v>
      </c>
      <c r="O64" s="3478" t="s">
        <v>3463</v>
      </c>
      <c r="P64" s="3478" t="s">
        <v>3573</v>
      </c>
      <c r="Q64" s="3478" t="s">
        <v>3659</v>
      </c>
      <c r="R64" s="3478" t="s">
        <v>3587</v>
      </c>
      <c r="S64" s="3478" t="s">
        <v>3586</v>
      </c>
      <c r="T64" s="3478" t="s">
        <v>3461</v>
      </c>
      <c r="U64" s="3478" t="s">
        <v>3461</v>
      </c>
      <c r="V64" s="3478">
        <v>0</v>
      </c>
      <c r="W64" s="3478">
        <v>0</v>
      </c>
      <c r="X64" s="3478">
        <v>0</v>
      </c>
      <c r="Y64" s="3478">
        <v>0</v>
      </c>
      <c r="Z64" s="3481">
        <v>43698.000497685185</v>
      </c>
      <c r="AA64" s="3481">
        <v>43718.000497685185</v>
      </c>
      <c r="AB64" s="3481">
        <v>43733.000497685185</v>
      </c>
      <c r="AC64" s="3480">
        <v>43733.000497685185</v>
      </c>
      <c r="AD64" s="3478" t="s">
        <v>3658</v>
      </c>
      <c r="AE64" s="3478" t="s">
        <v>3426</v>
      </c>
      <c r="AF64" s="3478" t="s">
        <v>3597</v>
      </c>
      <c r="AG64" s="3478" t="s">
        <v>3596</v>
      </c>
      <c r="AH64" s="3478" t="s">
        <v>3595</v>
      </c>
      <c r="AI64" s="3478">
        <v>260000</v>
      </c>
      <c r="AJ64" s="3478">
        <v>52000</v>
      </c>
      <c r="AK64" s="3478" t="s">
        <v>3647</v>
      </c>
      <c r="AL64" s="3478">
        <v>327000</v>
      </c>
      <c r="AM64" s="3478">
        <v>3777.19</v>
      </c>
      <c r="AN64" s="3478">
        <v>4750.54</v>
      </c>
      <c r="AO64" s="3478">
        <v>25754</v>
      </c>
      <c r="AP64" s="3479">
        <v>32390</v>
      </c>
      <c r="AQ64" s="3478" t="s">
        <v>3461</v>
      </c>
      <c r="AR64" s="3478" t="s">
        <v>3461</v>
      </c>
      <c r="AS64" s="3478">
        <v>25.77</v>
      </c>
      <c r="AT64" s="3478" t="s">
        <v>3606</v>
      </c>
      <c r="AU64" s="3478" t="s">
        <v>3463</v>
      </c>
      <c r="AV64" s="3478" t="s">
        <v>3461</v>
      </c>
      <c r="AW64" s="3478">
        <v>52449</v>
      </c>
      <c r="AX64" s="3478" t="s">
        <v>3461</v>
      </c>
      <c r="AY64" s="3478" t="s">
        <v>3461</v>
      </c>
      <c r="AZ64" s="3478">
        <v>26695</v>
      </c>
    </row>
    <row r="65" spans="1:52" hidden="1">
      <c r="A65" s="3478" t="s">
        <v>3657</v>
      </c>
      <c r="B65" s="3478" t="s">
        <v>3378</v>
      </c>
      <c r="C65" s="3478" t="s">
        <v>3656</v>
      </c>
      <c r="D65" s="3478" t="s">
        <v>3579</v>
      </c>
      <c r="E65" s="3478" t="s">
        <v>3578</v>
      </c>
      <c r="F65" s="3478" t="s">
        <v>3655</v>
      </c>
      <c r="G65" s="3478" t="s">
        <v>3654</v>
      </c>
      <c r="H65" s="3478" t="s">
        <v>3439</v>
      </c>
      <c r="I65" s="3478">
        <v>21023.4</v>
      </c>
      <c r="J65" s="3478">
        <v>63070</v>
      </c>
      <c r="K65" s="3478" t="s">
        <v>3653</v>
      </c>
      <c r="L65" s="3478" t="s">
        <v>3423</v>
      </c>
      <c r="M65" s="3478" t="s">
        <v>3589</v>
      </c>
      <c r="N65" s="3478" t="s">
        <v>3425</v>
      </c>
      <c r="O65" s="3478" t="s">
        <v>3463</v>
      </c>
      <c r="P65" s="3478" t="s">
        <v>3652</v>
      </c>
      <c r="Q65" s="3478" t="s">
        <v>3625</v>
      </c>
      <c r="R65" s="3478" t="s">
        <v>3624</v>
      </c>
      <c r="S65" s="3478" t="s">
        <v>3623</v>
      </c>
      <c r="T65" s="3478" t="s">
        <v>3461</v>
      </c>
      <c r="U65" s="3478" t="s">
        <v>3461</v>
      </c>
      <c r="V65" s="3478">
        <v>0</v>
      </c>
      <c r="W65" s="3478">
        <v>0</v>
      </c>
      <c r="X65" s="3478">
        <v>0</v>
      </c>
      <c r="Y65" s="3478">
        <v>0</v>
      </c>
      <c r="Z65" s="3481">
        <v>43698.000497685185</v>
      </c>
      <c r="AA65" s="3481">
        <v>43718.000497685185</v>
      </c>
      <c r="AB65" s="3481">
        <v>43733.000497685185</v>
      </c>
      <c r="AC65" s="3480">
        <v>43733.000497685185</v>
      </c>
      <c r="AD65" s="3478" t="s">
        <v>3651</v>
      </c>
      <c r="AE65" s="3478" t="s">
        <v>3426</v>
      </c>
      <c r="AF65" s="3478" t="s">
        <v>3650</v>
      </c>
      <c r="AG65" s="3478" t="s">
        <v>3649</v>
      </c>
      <c r="AH65" s="3478" t="s">
        <v>3648</v>
      </c>
      <c r="AI65" s="3478">
        <v>266900</v>
      </c>
      <c r="AJ65" s="3478">
        <v>53500</v>
      </c>
      <c r="AK65" s="3478" t="s">
        <v>3647</v>
      </c>
      <c r="AL65" s="3478">
        <v>282000</v>
      </c>
      <c r="AM65" s="3478">
        <v>8463.58</v>
      </c>
      <c r="AN65" s="3478">
        <v>8942.42</v>
      </c>
      <c r="AO65" s="3478">
        <v>42318</v>
      </c>
      <c r="AP65" s="3479">
        <v>44712</v>
      </c>
      <c r="AQ65" s="3478" t="s">
        <v>3461</v>
      </c>
      <c r="AR65" s="3478" t="s">
        <v>3461</v>
      </c>
      <c r="AS65" s="3478">
        <v>5.66</v>
      </c>
      <c r="AT65" s="3478" t="s">
        <v>3606</v>
      </c>
      <c r="AU65" s="3478" t="s">
        <v>3463</v>
      </c>
      <c r="AV65" s="3478" t="s">
        <v>3461</v>
      </c>
      <c r="AW65" s="3478" t="s">
        <v>3463</v>
      </c>
      <c r="AX65" s="3478" t="s">
        <v>3461</v>
      </c>
      <c r="AY65" s="3478" t="s">
        <v>3461</v>
      </c>
      <c r="AZ65" s="3478" t="s">
        <v>3461</v>
      </c>
    </row>
    <row r="66" spans="1:52" s="3482" customFormat="1">
      <c r="A66" s="3482" t="s">
        <v>3477</v>
      </c>
      <c r="B66" s="3478" t="s">
        <v>3378</v>
      </c>
      <c r="C66" s="3478" t="s">
        <v>3466</v>
      </c>
      <c r="D66" s="3478" t="s">
        <v>3579</v>
      </c>
      <c r="E66" s="3478" t="s">
        <v>3592</v>
      </c>
      <c r="F66" s="3482" t="s">
        <v>3603</v>
      </c>
      <c r="G66" s="3482" t="s">
        <v>3602</v>
      </c>
      <c r="H66" s="3482" t="s">
        <v>3439</v>
      </c>
      <c r="I66" s="3482">
        <v>47891.78</v>
      </c>
      <c r="J66" s="3482">
        <v>108059</v>
      </c>
      <c r="K66" s="3482" t="s">
        <v>3440</v>
      </c>
      <c r="L66" s="3482" t="s">
        <v>3423</v>
      </c>
      <c r="M66" s="3482" t="s">
        <v>3639</v>
      </c>
      <c r="N66" s="3482" t="s">
        <v>3425</v>
      </c>
      <c r="O66" s="3482" t="s">
        <v>3463</v>
      </c>
      <c r="P66" s="3482" t="s">
        <v>3461</v>
      </c>
      <c r="Q66" s="3482" t="s">
        <v>3461</v>
      </c>
      <c r="R66" s="3482" t="s">
        <v>3638</v>
      </c>
      <c r="S66" s="3482" t="s">
        <v>3638</v>
      </c>
      <c r="T66" s="3482" t="s">
        <v>3643</v>
      </c>
      <c r="U66" s="3482" t="s">
        <v>3461</v>
      </c>
      <c r="V66" s="3482">
        <v>0</v>
      </c>
      <c r="W66" s="3482">
        <v>0</v>
      </c>
      <c r="X66" s="3482">
        <v>103979</v>
      </c>
      <c r="Y66" s="3482">
        <v>103979</v>
      </c>
      <c r="Z66" s="3485">
        <v>43678.000497685185</v>
      </c>
      <c r="AA66" s="3485">
        <v>43699.000497685185</v>
      </c>
      <c r="AB66" s="3485">
        <v>43720.000497685185</v>
      </c>
      <c r="AC66" s="3484">
        <v>43720.000497685185</v>
      </c>
      <c r="AD66" s="3482" t="s">
        <v>3646</v>
      </c>
      <c r="AE66" s="3482" t="s">
        <v>3426</v>
      </c>
      <c r="AF66" s="3482" t="s">
        <v>3645</v>
      </c>
      <c r="AG66" s="3482" t="s">
        <v>3644</v>
      </c>
      <c r="AH66" s="3482" t="s">
        <v>3615</v>
      </c>
      <c r="AI66" s="3482">
        <v>151283</v>
      </c>
      <c r="AJ66" s="3482">
        <v>50000</v>
      </c>
      <c r="AK66" s="3482" t="s">
        <v>633</v>
      </c>
      <c r="AL66" s="3482">
        <v>151283</v>
      </c>
      <c r="AM66" s="3482">
        <v>2105.9</v>
      </c>
      <c r="AN66" s="3482">
        <v>2105.9</v>
      </c>
      <c r="AO66" s="3482">
        <v>14000</v>
      </c>
      <c r="AP66" s="3483">
        <v>14000</v>
      </c>
      <c r="AQ66" s="3482" t="s">
        <v>3461</v>
      </c>
      <c r="AR66" s="3482" t="s">
        <v>3461</v>
      </c>
      <c r="AS66" s="3482">
        <v>0</v>
      </c>
      <c r="AT66" s="3482" t="s">
        <v>3606</v>
      </c>
      <c r="AU66" s="3482" t="s">
        <v>3463</v>
      </c>
      <c r="AV66" s="3482" t="s">
        <v>3461</v>
      </c>
      <c r="AW66" s="3482">
        <v>29000</v>
      </c>
      <c r="AX66" s="3482" t="s">
        <v>3461</v>
      </c>
      <c r="AY66" s="3482" t="s">
        <v>3461</v>
      </c>
      <c r="AZ66" s="3482">
        <v>15000</v>
      </c>
    </row>
    <row r="67" spans="1:52" s="3482" customFormat="1">
      <c r="A67" s="3482" t="s">
        <v>3473</v>
      </c>
      <c r="B67" s="3482" t="s">
        <v>3378</v>
      </c>
      <c r="C67" s="3482" t="s">
        <v>3438</v>
      </c>
      <c r="D67" s="3482" t="s">
        <v>3579</v>
      </c>
      <c r="E67" s="3482" t="s">
        <v>3592</v>
      </c>
      <c r="F67" s="3482" t="s">
        <v>3603</v>
      </c>
      <c r="G67" s="3482" t="s">
        <v>3602</v>
      </c>
      <c r="H67" s="3482" t="s">
        <v>3439</v>
      </c>
      <c r="I67" s="3482">
        <v>41000.75</v>
      </c>
      <c r="J67" s="3482">
        <v>102502</v>
      </c>
      <c r="K67" s="3482" t="s">
        <v>3440</v>
      </c>
      <c r="L67" s="3482" t="s">
        <v>3423</v>
      </c>
      <c r="M67" s="3482" t="s">
        <v>3433</v>
      </c>
      <c r="N67" s="3482" t="s">
        <v>3425</v>
      </c>
      <c r="O67" s="3482" t="s">
        <v>3463</v>
      </c>
      <c r="P67" s="3482" t="s">
        <v>3461</v>
      </c>
      <c r="Q67" s="3482" t="s">
        <v>3461</v>
      </c>
      <c r="R67" s="3482" t="s">
        <v>3638</v>
      </c>
      <c r="S67" s="3482" t="s">
        <v>3638</v>
      </c>
      <c r="T67" s="3482" t="s">
        <v>3643</v>
      </c>
      <c r="U67" s="3482" t="s">
        <v>3461</v>
      </c>
      <c r="V67" s="3482">
        <v>0</v>
      </c>
      <c r="W67" s="3482">
        <v>0</v>
      </c>
      <c r="X67" s="3482">
        <v>102502</v>
      </c>
      <c r="Y67" s="3482">
        <v>102502</v>
      </c>
      <c r="Z67" s="3485">
        <v>43678.000497685185</v>
      </c>
      <c r="AA67" s="3485">
        <v>44224.000497685185</v>
      </c>
      <c r="AB67" s="3485">
        <v>44236.000497685185</v>
      </c>
      <c r="AC67" s="3484">
        <v>44237.000497685185</v>
      </c>
      <c r="AD67" s="3482" t="s">
        <v>3642</v>
      </c>
      <c r="AE67" s="3482" t="s">
        <v>3426</v>
      </c>
      <c r="AF67" s="3482" t="s">
        <v>3641</v>
      </c>
      <c r="AG67" s="3482" t="s">
        <v>3640</v>
      </c>
      <c r="AH67" s="3482" t="s">
        <v>3633</v>
      </c>
      <c r="AI67" s="3482">
        <v>146578</v>
      </c>
      <c r="AJ67" s="3482">
        <v>45000</v>
      </c>
      <c r="AK67" s="3482" t="s">
        <v>633</v>
      </c>
      <c r="AL67" s="3482">
        <v>146578</v>
      </c>
      <c r="AM67" s="3482">
        <v>2383.34</v>
      </c>
      <c r="AN67" s="3482">
        <v>2383.34</v>
      </c>
      <c r="AO67" s="3482">
        <v>14300</v>
      </c>
      <c r="AP67" s="3483">
        <v>14300</v>
      </c>
      <c r="AQ67" s="3482" t="s">
        <v>3461</v>
      </c>
      <c r="AR67" s="3482" t="s">
        <v>3461</v>
      </c>
      <c r="AS67" s="3482">
        <v>0</v>
      </c>
      <c r="AT67" s="3482" t="s">
        <v>3606</v>
      </c>
      <c r="AU67" s="3482" t="s">
        <v>3463</v>
      </c>
      <c r="AV67" s="3482" t="s">
        <v>3461</v>
      </c>
      <c r="AW67" s="3482" t="s">
        <v>3463</v>
      </c>
      <c r="AX67" s="3482" t="s">
        <v>3461</v>
      </c>
      <c r="AY67" s="3482" t="s">
        <v>3461</v>
      </c>
      <c r="AZ67" s="3482" t="s">
        <v>3461</v>
      </c>
    </row>
    <row r="68" spans="1:52" s="3482" customFormat="1">
      <c r="A68" s="3482" t="s">
        <v>3479</v>
      </c>
      <c r="B68" s="3482" t="s">
        <v>3378</v>
      </c>
      <c r="C68" s="3482" t="s">
        <v>3443</v>
      </c>
      <c r="D68" s="3482" t="s">
        <v>3579</v>
      </c>
      <c r="E68" s="3482" t="s">
        <v>3592</v>
      </c>
      <c r="F68" s="3482" t="s">
        <v>3603</v>
      </c>
      <c r="G68" s="3482" t="s">
        <v>3602</v>
      </c>
      <c r="H68" s="3482" t="s">
        <v>3439</v>
      </c>
      <c r="I68" s="3482">
        <v>62136.68</v>
      </c>
      <c r="J68" s="3482">
        <v>147241</v>
      </c>
      <c r="K68" s="3482" t="s">
        <v>3440</v>
      </c>
      <c r="L68" s="3482" t="s">
        <v>3423</v>
      </c>
      <c r="M68" s="3482" t="s">
        <v>3639</v>
      </c>
      <c r="N68" s="3482" t="s">
        <v>3425</v>
      </c>
      <c r="O68" s="3482" t="s">
        <v>3463</v>
      </c>
      <c r="P68" s="3482" t="s">
        <v>3461</v>
      </c>
      <c r="Q68" s="3482" t="s">
        <v>3461</v>
      </c>
      <c r="R68" s="3482" t="s">
        <v>3638</v>
      </c>
      <c r="S68" s="3482" t="s">
        <v>3638</v>
      </c>
      <c r="T68" s="3482" t="s">
        <v>3637</v>
      </c>
      <c r="U68" s="3482" t="s">
        <v>3461</v>
      </c>
      <c r="V68" s="3482">
        <v>0</v>
      </c>
      <c r="W68" s="3482">
        <v>0</v>
      </c>
      <c r="X68" s="3482">
        <v>141841</v>
      </c>
      <c r="Y68" s="3482">
        <v>141841</v>
      </c>
      <c r="Z68" s="3485">
        <v>43678.000497685185</v>
      </c>
      <c r="AA68" s="3485">
        <v>44176.000497685185</v>
      </c>
      <c r="AB68" s="3485">
        <v>44190.000497685185</v>
      </c>
      <c r="AC68" s="3484">
        <v>44190.000497685185</v>
      </c>
      <c r="AD68" s="3482" t="s">
        <v>3636</v>
      </c>
      <c r="AE68" s="3482" t="s">
        <v>3426</v>
      </c>
      <c r="AF68" s="3482" t="s">
        <v>3635</v>
      </c>
      <c r="AG68" s="3482" t="s">
        <v>3634</v>
      </c>
      <c r="AH68" s="3482" t="s">
        <v>3633</v>
      </c>
      <c r="AI68" s="3482">
        <v>206138</v>
      </c>
      <c r="AJ68" s="3482">
        <v>62000</v>
      </c>
      <c r="AK68" s="3482" t="s">
        <v>3446</v>
      </c>
      <c r="AL68" s="3482">
        <v>206138</v>
      </c>
      <c r="AM68" s="3482">
        <v>2211.66</v>
      </c>
      <c r="AN68" s="3482">
        <v>2211.66</v>
      </c>
      <c r="AO68" s="3482">
        <v>14000</v>
      </c>
      <c r="AP68" s="3483">
        <v>14000</v>
      </c>
      <c r="AQ68" s="3482" t="s">
        <v>3461</v>
      </c>
      <c r="AR68" s="3482" t="s">
        <v>3461</v>
      </c>
      <c r="AS68" s="3482">
        <v>0</v>
      </c>
      <c r="AT68" s="3482" t="s">
        <v>3606</v>
      </c>
      <c r="AU68" s="3482" t="s">
        <v>3463</v>
      </c>
      <c r="AV68" s="3482" t="s">
        <v>3461</v>
      </c>
      <c r="AW68" s="3482">
        <v>29000</v>
      </c>
      <c r="AX68" s="3482" t="s">
        <v>3461</v>
      </c>
      <c r="AY68" s="3482" t="s">
        <v>3461</v>
      </c>
      <c r="AZ68" s="3482">
        <v>15000</v>
      </c>
    </row>
    <row r="69" spans="1:52" hidden="1">
      <c r="A69" s="3478" t="s">
        <v>3632</v>
      </c>
      <c r="B69" s="3478" t="s">
        <v>3378</v>
      </c>
      <c r="C69" s="3478" t="s">
        <v>3631</v>
      </c>
      <c r="D69" s="3478" t="s">
        <v>3579</v>
      </c>
      <c r="E69" s="3478" t="s">
        <v>3578</v>
      </c>
      <c r="F69" s="3478" t="s">
        <v>3630</v>
      </c>
      <c r="G69" s="3478" t="s">
        <v>3629</v>
      </c>
      <c r="H69" s="3478" t="s">
        <v>3439</v>
      </c>
      <c r="I69" s="3478">
        <v>59111.519999999997</v>
      </c>
      <c r="J69" s="3478">
        <v>216452</v>
      </c>
      <c r="K69" s="3478" t="s">
        <v>3628</v>
      </c>
      <c r="L69" s="3478" t="s">
        <v>3423</v>
      </c>
      <c r="M69" s="3478" t="s">
        <v>3627</v>
      </c>
      <c r="N69" s="3478" t="s">
        <v>3425</v>
      </c>
      <c r="O69" s="3478" t="s">
        <v>3463</v>
      </c>
      <c r="P69" s="3478" t="s">
        <v>3626</v>
      </c>
      <c r="Q69" s="3478" t="s">
        <v>3625</v>
      </c>
      <c r="R69" s="3478" t="s">
        <v>3624</v>
      </c>
      <c r="S69" s="3478" t="s">
        <v>3623</v>
      </c>
      <c r="T69" s="3478" t="s">
        <v>3461</v>
      </c>
      <c r="U69" s="3478" t="s">
        <v>3461</v>
      </c>
      <c r="V69" s="3478">
        <v>0</v>
      </c>
      <c r="W69" s="3478">
        <v>0</v>
      </c>
      <c r="X69" s="3478">
        <v>0</v>
      </c>
      <c r="Y69" s="3478">
        <v>0</v>
      </c>
      <c r="Z69" s="3481">
        <v>43627.000497685185</v>
      </c>
      <c r="AA69" s="3481">
        <v>43647.000497685185</v>
      </c>
      <c r="AB69" s="3481">
        <v>43661.000497685185</v>
      </c>
      <c r="AC69" s="3480">
        <v>43661.000497685185</v>
      </c>
      <c r="AD69" s="3478" t="s">
        <v>3622</v>
      </c>
      <c r="AE69" s="3478" t="s">
        <v>3426</v>
      </c>
      <c r="AF69" s="3478" t="s">
        <v>3597</v>
      </c>
      <c r="AG69" s="3478" t="s">
        <v>3596</v>
      </c>
      <c r="AH69" s="3478" t="s">
        <v>3595</v>
      </c>
      <c r="AI69" s="3478">
        <v>668400</v>
      </c>
      <c r="AJ69" s="3478">
        <v>133680</v>
      </c>
      <c r="AK69" s="3478" t="s">
        <v>633</v>
      </c>
      <c r="AL69" s="3478">
        <v>794000</v>
      </c>
      <c r="AM69" s="3478">
        <v>7538.29</v>
      </c>
      <c r="AN69" s="3478">
        <v>8954.83</v>
      </c>
      <c r="AO69" s="3478">
        <v>30880</v>
      </c>
      <c r="AP69" s="3479">
        <v>36683</v>
      </c>
      <c r="AQ69" s="3478" t="s">
        <v>3461</v>
      </c>
      <c r="AR69" s="3478" t="s">
        <v>3461</v>
      </c>
      <c r="AS69" s="3478">
        <v>18.79</v>
      </c>
      <c r="AT69" s="3478" t="s">
        <v>3606</v>
      </c>
      <c r="AU69" s="3478" t="s">
        <v>3463</v>
      </c>
      <c r="AV69" s="3478" t="s">
        <v>3461</v>
      </c>
      <c r="AW69" s="3478" t="s">
        <v>3463</v>
      </c>
      <c r="AX69" s="3478" t="s">
        <v>3461</v>
      </c>
      <c r="AY69" s="3478" t="s">
        <v>3461</v>
      </c>
      <c r="AZ69" s="3478" t="s">
        <v>3461</v>
      </c>
    </row>
    <row r="70" spans="1:52" hidden="1">
      <c r="A70" s="3478" t="s">
        <v>3621</v>
      </c>
      <c r="B70" s="3478" t="s">
        <v>3378</v>
      </c>
      <c r="C70" s="3478" t="s">
        <v>3620</v>
      </c>
      <c r="D70" s="3478" t="s">
        <v>3579</v>
      </c>
      <c r="E70" s="3478" t="s">
        <v>3592</v>
      </c>
      <c r="F70" s="3478" t="s">
        <v>3603</v>
      </c>
      <c r="G70" s="3478" t="s">
        <v>3619</v>
      </c>
      <c r="H70" s="3478" t="s">
        <v>3422</v>
      </c>
      <c r="I70" s="3478">
        <v>36478.1</v>
      </c>
      <c r="J70" s="3478">
        <v>80251.820000000007</v>
      </c>
      <c r="K70" s="3478" t="s">
        <v>3432</v>
      </c>
      <c r="L70" s="3478" t="s">
        <v>3423</v>
      </c>
      <c r="M70" s="3478" t="s">
        <v>3611</v>
      </c>
      <c r="N70" s="3478" t="s">
        <v>3425</v>
      </c>
      <c r="O70" s="3478" t="s">
        <v>3463</v>
      </c>
      <c r="P70" s="3478" t="s">
        <v>3573</v>
      </c>
      <c r="Q70" s="3478" t="s">
        <v>3610</v>
      </c>
      <c r="R70" s="3478" t="s">
        <v>3587</v>
      </c>
      <c r="S70" s="3478" t="s">
        <v>3586</v>
      </c>
      <c r="T70" s="3478" t="s">
        <v>3461</v>
      </c>
      <c r="U70" s="3478" t="s">
        <v>3461</v>
      </c>
      <c r="V70" s="3478">
        <v>0</v>
      </c>
      <c r="W70" s="3478">
        <v>0</v>
      </c>
      <c r="X70" s="3478">
        <v>0</v>
      </c>
      <c r="Y70" s="3478">
        <v>0</v>
      </c>
      <c r="Z70" s="3481">
        <v>43602.000497685185</v>
      </c>
      <c r="AA70" s="3481">
        <v>43622.000497685185</v>
      </c>
      <c r="AB70" s="3481">
        <v>43637.000497685185</v>
      </c>
      <c r="AC70" s="3480">
        <v>43637.000497685185</v>
      </c>
      <c r="AD70" s="3478" t="s">
        <v>3618</v>
      </c>
      <c r="AE70" s="3478" t="s">
        <v>3426</v>
      </c>
      <c r="AF70" s="3478" t="s">
        <v>3617</v>
      </c>
      <c r="AG70" s="3478" t="s">
        <v>3616</v>
      </c>
      <c r="AH70" s="3478" t="s">
        <v>3615</v>
      </c>
      <c r="AI70" s="3478">
        <v>225000</v>
      </c>
      <c r="AJ70" s="3478">
        <v>45000</v>
      </c>
      <c r="AK70" s="3478" t="s">
        <v>633</v>
      </c>
      <c r="AL70" s="3478">
        <v>318000</v>
      </c>
      <c r="AM70" s="3478">
        <v>4112.0600000000004</v>
      </c>
      <c r="AN70" s="3478">
        <v>5811.71</v>
      </c>
      <c r="AO70" s="3478">
        <v>28037</v>
      </c>
      <c r="AP70" s="3479">
        <v>39625</v>
      </c>
      <c r="AQ70" s="3478" t="s">
        <v>3461</v>
      </c>
      <c r="AR70" s="3478" t="s">
        <v>3461</v>
      </c>
      <c r="AS70" s="3478">
        <v>41.33</v>
      </c>
      <c r="AT70" s="3478" t="s">
        <v>3606</v>
      </c>
      <c r="AU70" s="3478" t="s">
        <v>3463</v>
      </c>
      <c r="AV70" s="3478" t="s">
        <v>3461</v>
      </c>
      <c r="AW70" s="3478">
        <v>54160</v>
      </c>
      <c r="AX70" s="3478" t="s">
        <v>3461</v>
      </c>
      <c r="AY70" s="3478" t="s">
        <v>3461</v>
      </c>
      <c r="AZ70" s="3478">
        <v>26123</v>
      </c>
    </row>
    <row r="71" spans="1:52" hidden="1">
      <c r="A71" s="3478" t="s">
        <v>3614</v>
      </c>
      <c r="B71" s="3478" t="s">
        <v>3378</v>
      </c>
      <c r="C71" s="3478" t="s">
        <v>3613</v>
      </c>
      <c r="D71" s="3478" t="s">
        <v>3579</v>
      </c>
      <c r="E71" s="3478" t="s">
        <v>3592</v>
      </c>
      <c r="F71" s="3478" t="s">
        <v>3603</v>
      </c>
      <c r="G71" s="3478" t="s">
        <v>3612</v>
      </c>
      <c r="H71" s="3478" t="s">
        <v>3422</v>
      </c>
      <c r="I71" s="3478">
        <v>35704</v>
      </c>
      <c r="J71" s="3478">
        <v>78548.800000000003</v>
      </c>
      <c r="K71" s="3478" t="s">
        <v>3432</v>
      </c>
      <c r="L71" s="3478" t="s">
        <v>3423</v>
      </c>
      <c r="M71" s="3478" t="s">
        <v>3611</v>
      </c>
      <c r="N71" s="3478" t="s">
        <v>3425</v>
      </c>
      <c r="O71" s="3478" t="s">
        <v>3463</v>
      </c>
      <c r="P71" s="3478" t="s">
        <v>3573</v>
      </c>
      <c r="Q71" s="3478" t="s">
        <v>3610</v>
      </c>
      <c r="R71" s="3478" t="s">
        <v>3587</v>
      </c>
      <c r="S71" s="3478" t="s">
        <v>3586</v>
      </c>
      <c r="T71" s="3478" t="s">
        <v>3461</v>
      </c>
      <c r="U71" s="3478" t="s">
        <v>3461</v>
      </c>
      <c r="V71" s="3478">
        <v>0</v>
      </c>
      <c r="W71" s="3478">
        <v>0</v>
      </c>
      <c r="X71" s="3478">
        <v>0</v>
      </c>
      <c r="Y71" s="3478">
        <v>0</v>
      </c>
      <c r="Z71" s="3481">
        <v>43602.000497685185</v>
      </c>
      <c r="AA71" s="3481">
        <v>43622.000497685185</v>
      </c>
      <c r="AB71" s="3481">
        <v>43637.000497685185</v>
      </c>
      <c r="AC71" s="3480">
        <v>43637.000497685185</v>
      </c>
      <c r="AD71" s="3478" t="s">
        <v>3609</v>
      </c>
      <c r="AE71" s="3478" t="s">
        <v>3426</v>
      </c>
      <c r="AF71" s="3478" t="s">
        <v>3608</v>
      </c>
      <c r="AG71" s="3478" t="s">
        <v>3607</v>
      </c>
      <c r="AH71" s="3478" t="s">
        <v>3595</v>
      </c>
      <c r="AI71" s="3478">
        <v>220000</v>
      </c>
      <c r="AJ71" s="3478">
        <v>44000</v>
      </c>
      <c r="AK71" s="3478" t="s">
        <v>633</v>
      </c>
      <c r="AL71" s="3478">
        <v>306000</v>
      </c>
      <c r="AM71" s="3478">
        <v>4107.8500000000004</v>
      </c>
      <c r="AN71" s="3478">
        <v>5713.65</v>
      </c>
      <c r="AO71" s="3478">
        <v>28008</v>
      </c>
      <c r="AP71" s="3479">
        <v>38957</v>
      </c>
      <c r="AQ71" s="3478" t="s">
        <v>3461</v>
      </c>
      <c r="AR71" s="3478" t="s">
        <v>3461</v>
      </c>
      <c r="AS71" s="3478">
        <v>39.090000000000003</v>
      </c>
      <c r="AT71" s="3478" t="s">
        <v>3606</v>
      </c>
      <c r="AU71" s="3478" t="s">
        <v>3463</v>
      </c>
      <c r="AV71" s="3478" t="s">
        <v>3461</v>
      </c>
      <c r="AW71" s="3478">
        <v>54160</v>
      </c>
      <c r="AX71" s="3478" t="s">
        <v>3461</v>
      </c>
      <c r="AY71" s="3478" t="s">
        <v>3461</v>
      </c>
      <c r="AZ71" s="3478">
        <v>26152</v>
      </c>
    </row>
    <row r="72" spans="1:52">
      <c r="A72" s="3478" t="s">
        <v>3605</v>
      </c>
      <c r="B72" s="3478" t="s">
        <v>3378</v>
      </c>
      <c r="C72" s="3478" t="s">
        <v>3604</v>
      </c>
      <c r="D72" s="3478" t="s">
        <v>3579</v>
      </c>
      <c r="E72" s="3478" t="s">
        <v>3592</v>
      </c>
      <c r="F72" s="3478" t="s">
        <v>3603</v>
      </c>
      <c r="G72" s="3478" t="s">
        <v>3602</v>
      </c>
      <c r="H72" s="3478" t="s">
        <v>3439</v>
      </c>
      <c r="I72" s="3478">
        <v>79276.91</v>
      </c>
      <c r="J72" s="3478">
        <v>177023</v>
      </c>
      <c r="K72" s="3478" t="s">
        <v>3601</v>
      </c>
      <c r="L72" s="3478" t="s">
        <v>3423</v>
      </c>
      <c r="M72" s="3478" t="s">
        <v>3600</v>
      </c>
      <c r="N72" s="3478" t="s">
        <v>3425</v>
      </c>
      <c r="O72" s="3478" t="s">
        <v>3463</v>
      </c>
      <c r="P72" s="3478" t="s">
        <v>3573</v>
      </c>
      <c r="Q72" s="3478" t="s">
        <v>3599</v>
      </c>
      <c r="R72" s="3478" t="s">
        <v>3587</v>
      </c>
      <c r="S72" s="3478" t="s">
        <v>3586</v>
      </c>
      <c r="T72" s="3478" t="s">
        <v>3461</v>
      </c>
      <c r="U72" s="3478" t="s">
        <v>3461</v>
      </c>
      <c r="V72" s="3478">
        <v>0</v>
      </c>
      <c r="W72" s="3478">
        <v>0</v>
      </c>
      <c r="X72" s="3478">
        <v>0</v>
      </c>
      <c r="Y72" s="3478">
        <v>0</v>
      </c>
      <c r="Z72" s="3481">
        <v>43482.000497685185</v>
      </c>
      <c r="AA72" s="3481">
        <v>43507.000497685185</v>
      </c>
      <c r="AB72" s="3481">
        <v>43521.000497685185</v>
      </c>
      <c r="AC72" s="3480">
        <v>43521.000497685185</v>
      </c>
      <c r="AD72" s="3478" t="s">
        <v>3598</v>
      </c>
      <c r="AE72" s="3478" t="s">
        <v>3426</v>
      </c>
      <c r="AF72" s="3478" t="s">
        <v>3597</v>
      </c>
      <c r="AG72" s="3478" t="s">
        <v>3596</v>
      </c>
      <c r="AH72" s="3478" t="s">
        <v>3595</v>
      </c>
      <c r="AI72" s="3478">
        <v>365000</v>
      </c>
      <c r="AJ72" s="3478">
        <v>73000</v>
      </c>
      <c r="AK72" s="3478" t="s">
        <v>633</v>
      </c>
      <c r="AL72" s="3478">
        <v>444000</v>
      </c>
      <c r="AM72" s="3478">
        <v>3069.41</v>
      </c>
      <c r="AN72" s="3478">
        <v>3733.75</v>
      </c>
      <c r="AO72" s="3478">
        <v>20619</v>
      </c>
      <c r="AP72" s="3479">
        <v>25081</v>
      </c>
      <c r="AQ72" s="3478" t="s">
        <v>3461</v>
      </c>
      <c r="AR72" s="3478" t="s">
        <v>3461</v>
      </c>
      <c r="AS72" s="3478">
        <v>21.64</v>
      </c>
      <c r="AT72" s="3478" t="s">
        <v>3582</v>
      </c>
      <c r="AU72" s="3478" t="s">
        <v>3463</v>
      </c>
      <c r="AV72" s="3478" t="s">
        <v>3461</v>
      </c>
      <c r="AW72" s="3478">
        <v>55128</v>
      </c>
      <c r="AX72" s="3478" t="s">
        <v>3461</v>
      </c>
      <c r="AY72" s="3478" t="s">
        <v>3461</v>
      </c>
      <c r="AZ72" s="3478">
        <v>34509</v>
      </c>
    </row>
    <row r="73" spans="1:52">
      <c r="A73" s="3478" t="s">
        <v>3594</v>
      </c>
      <c r="B73" s="3478" t="s">
        <v>3378</v>
      </c>
      <c r="C73" s="3478" t="s">
        <v>3593</v>
      </c>
      <c r="D73" s="3478" t="s">
        <v>3579</v>
      </c>
      <c r="E73" s="3478" t="s">
        <v>3592</v>
      </c>
      <c r="F73" s="3478" t="s">
        <v>3591</v>
      </c>
      <c r="G73" s="3478" t="s">
        <v>3590</v>
      </c>
      <c r="H73" s="3478" t="s">
        <v>3439</v>
      </c>
      <c r="I73" s="3478">
        <v>34940.019999999997</v>
      </c>
      <c r="J73" s="3478">
        <v>94338</v>
      </c>
      <c r="K73" s="3478">
        <v>2.7</v>
      </c>
      <c r="L73" s="3478" t="s">
        <v>3423</v>
      </c>
      <c r="M73" s="3478" t="s">
        <v>3589</v>
      </c>
      <c r="N73" s="3478" t="s">
        <v>3425</v>
      </c>
      <c r="O73" s="3478" t="s">
        <v>3463</v>
      </c>
      <c r="P73" s="3478" t="s">
        <v>3573</v>
      </c>
      <c r="Q73" s="3478" t="s">
        <v>3588</v>
      </c>
      <c r="R73" s="3478" t="s">
        <v>3587</v>
      </c>
      <c r="S73" s="3478" t="s">
        <v>3586</v>
      </c>
      <c r="T73" s="3478" t="s">
        <v>3461</v>
      </c>
      <c r="U73" s="3478" t="s">
        <v>3461</v>
      </c>
      <c r="V73" s="3478">
        <v>0</v>
      </c>
      <c r="W73" s="3478">
        <v>0</v>
      </c>
      <c r="X73" s="3478">
        <v>0</v>
      </c>
      <c r="Y73" s="3478">
        <v>0</v>
      </c>
      <c r="Z73" s="3481">
        <v>43482.000497685185</v>
      </c>
      <c r="AA73" s="3481">
        <v>43507.000497685185</v>
      </c>
      <c r="AB73" s="3481">
        <v>43521.000497685185</v>
      </c>
      <c r="AC73" s="3480">
        <v>43521.000497685185</v>
      </c>
      <c r="AD73" s="3478" t="s">
        <v>3585</v>
      </c>
      <c r="AE73" s="3478" t="s">
        <v>3426</v>
      </c>
      <c r="AF73" s="3478" t="s">
        <v>3584</v>
      </c>
      <c r="AG73" s="3478" t="s">
        <v>3583</v>
      </c>
      <c r="AH73" s="3478" t="s">
        <v>3566</v>
      </c>
      <c r="AI73" s="3478">
        <v>210000</v>
      </c>
      <c r="AJ73" s="3478">
        <v>42000</v>
      </c>
      <c r="AK73" s="3478" t="s">
        <v>633</v>
      </c>
      <c r="AL73" s="3478">
        <v>246000</v>
      </c>
      <c r="AM73" s="3478">
        <v>4006.87</v>
      </c>
      <c r="AN73" s="3478">
        <v>4693.76</v>
      </c>
      <c r="AO73" s="3478">
        <v>22260</v>
      </c>
      <c r="AP73" s="3479">
        <v>26076</v>
      </c>
      <c r="AQ73" s="3478" t="s">
        <v>3461</v>
      </c>
      <c r="AR73" s="3478" t="s">
        <v>3461</v>
      </c>
      <c r="AS73" s="3478">
        <v>17.14</v>
      </c>
      <c r="AT73" s="3478" t="s">
        <v>3582</v>
      </c>
      <c r="AU73" s="3478" t="s">
        <v>3463</v>
      </c>
      <c r="AV73" s="3478" t="s">
        <v>3461</v>
      </c>
      <c r="AW73" s="3478">
        <v>55800</v>
      </c>
      <c r="AX73" s="3478" t="s">
        <v>3461</v>
      </c>
      <c r="AY73" s="3478" t="s">
        <v>3461</v>
      </c>
      <c r="AZ73" s="3478">
        <v>33540</v>
      </c>
    </row>
    <row r="74" spans="1:52" hidden="1">
      <c r="A74" s="3478" t="s">
        <v>3581</v>
      </c>
      <c r="B74" s="3478" t="s">
        <v>3378</v>
      </c>
      <c r="C74" s="3478" t="s">
        <v>3580</v>
      </c>
      <c r="D74" s="3478" t="s">
        <v>3579</v>
      </c>
      <c r="E74" s="3478" t="s">
        <v>3578</v>
      </c>
      <c r="F74" s="3478" t="s">
        <v>3577</v>
      </c>
      <c r="G74" s="3478" t="s">
        <v>3576</v>
      </c>
      <c r="H74" s="3478" t="s">
        <v>3439</v>
      </c>
      <c r="I74" s="3478">
        <v>168662.9</v>
      </c>
      <c r="J74" s="3478">
        <v>184119</v>
      </c>
      <c r="K74" s="3478" t="s">
        <v>3575</v>
      </c>
      <c r="L74" s="3478" t="s">
        <v>3423</v>
      </c>
      <c r="M74" s="3478" t="s">
        <v>3574</v>
      </c>
      <c r="N74" s="3478" t="s">
        <v>3425</v>
      </c>
      <c r="O74" s="3478" t="s">
        <v>3463</v>
      </c>
      <c r="P74" s="3478" t="s">
        <v>3573</v>
      </c>
      <c r="Q74" s="3478" t="s">
        <v>3572</v>
      </c>
      <c r="R74" s="3478" t="s">
        <v>3571</v>
      </c>
      <c r="S74" s="3478" t="s">
        <v>3570</v>
      </c>
      <c r="T74" s="3478" t="s">
        <v>3461</v>
      </c>
      <c r="U74" s="3478" t="s">
        <v>3461</v>
      </c>
      <c r="V74" s="3478">
        <v>0</v>
      </c>
      <c r="W74" s="3478">
        <v>0</v>
      </c>
      <c r="X74" s="3478">
        <v>0</v>
      </c>
      <c r="Y74" s="3478">
        <v>0</v>
      </c>
      <c r="Z74" s="3481">
        <v>43463.000497685185</v>
      </c>
      <c r="AA74" s="3481">
        <v>43486.000497685185</v>
      </c>
      <c r="AB74" s="3481">
        <v>43498.000497685185</v>
      </c>
      <c r="AC74" s="3480">
        <v>43498.000497685185</v>
      </c>
      <c r="AD74" s="3478" t="s">
        <v>3569</v>
      </c>
      <c r="AE74" s="3478" t="s">
        <v>3426</v>
      </c>
      <c r="AF74" s="3478" t="s">
        <v>3568</v>
      </c>
      <c r="AG74" s="3478" t="s">
        <v>3567</v>
      </c>
      <c r="AH74" s="3478" t="s">
        <v>3566</v>
      </c>
      <c r="AI74" s="3478">
        <v>405000</v>
      </c>
      <c r="AJ74" s="3478">
        <v>81000</v>
      </c>
      <c r="AK74" s="3478" t="s">
        <v>633</v>
      </c>
      <c r="AL74" s="3478">
        <v>430000</v>
      </c>
      <c r="AM74" s="3478">
        <v>1600.83</v>
      </c>
      <c r="AN74" s="3478">
        <v>1699.64</v>
      </c>
      <c r="AO74" s="3478">
        <v>21997</v>
      </c>
      <c r="AP74" s="3479">
        <v>23354</v>
      </c>
      <c r="AQ74" s="3478" t="s">
        <v>3461</v>
      </c>
      <c r="AR74" s="3478" t="s">
        <v>3461</v>
      </c>
      <c r="AS74" s="3478">
        <v>6.17</v>
      </c>
      <c r="AT74" s="3478" t="s">
        <v>3565</v>
      </c>
      <c r="AU74" s="3478" t="s">
        <v>3463</v>
      </c>
      <c r="AV74" s="3478" t="s">
        <v>3461</v>
      </c>
      <c r="AW74" s="3478">
        <v>42289</v>
      </c>
      <c r="AX74" s="3478" t="s">
        <v>3461</v>
      </c>
      <c r="AY74" s="3478" t="s">
        <v>3461</v>
      </c>
      <c r="AZ74" s="3478">
        <v>20292</v>
      </c>
    </row>
  </sheetData>
  <autoFilter ref="A1:AZ74">
    <filterColumn colId="4">
      <filters>
        <filter val="大兴区"/>
      </filters>
    </filterColumn>
    <filterColumn colId="12">
      <filters>
        <filter val="F1住宅混合公建用地"/>
        <filter val="F1住宅混合公建用地、A33基础教育用地、S32公交场站设施用地"/>
        <filter val="F81绿隔产业用地"/>
        <filter val="F81绿隔产业用地(建设共有产权房)"/>
        <filter val="F81绿隔产业用地(建设人才公寓)"/>
      </filters>
    </filterColumn>
  </autoFilter>
  <mergeCells count="2652">
    <mergeCell ref="G1"/>
    <mergeCell ref="H1"/>
    <mergeCell ref="I1"/>
    <mergeCell ref="J1"/>
    <mergeCell ref="K1"/>
    <mergeCell ref="L1"/>
    <mergeCell ref="A1"/>
    <mergeCell ref="B1"/>
    <mergeCell ref="C1"/>
    <mergeCell ref="D1"/>
    <mergeCell ref="E1"/>
    <mergeCell ref="F1"/>
    <mergeCell ref="AW1"/>
    <mergeCell ref="AX1"/>
    <mergeCell ref="AY1"/>
    <mergeCell ref="R1"/>
    <mergeCell ref="S1"/>
    <mergeCell ref="T1"/>
    <mergeCell ref="U1"/>
    <mergeCell ref="V1"/>
    <mergeCell ref="W1"/>
    <mergeCell ref="X1"/>
    <mergeCell ref="AQ1"/>
    <mergeCell ref="AR1"/>
    <mergeCell ref="AS1"/>
    <mergeCell ref="AT1"/>
    <mergeCell ref="AU1"/>
    <mergeCell ref="AV1"/>
    <mergeCell ref="AK1"/>
    <mergeCell ref="AL1"/>
    <mergeCell ref="AM1"/>
    <mergeCell ref="AN1"/>
    <mergeCell ref="AO1"/>
    <mergeCell ref="AP1"/>
    <mergeCell ref="AG1"/>
    <mergeCell ref="AH1"/>
    <mergeCell ref="R2"/>
    <mergeCell ref="S2"/>
    <mergeCell ref="T2"/>
    <mergeCell ref="U2"/>
    <mergeCell ref="V2"/>
    <mergeCell ref="W2"/>
    <mergeCell ref="L2"/>
    <mergeCell ref="M2"/>
    <mergeCell ref="N2"/>
    <mergeCell ref="O2"/>
    <mergeCell ref="P2"/>
    <mergeCell ref="Q2"/>
    <mergeCell ref="Y1"/>
    <mergeCell ref="Z1"/>
    <mergeCell ref="AA1"/>
    <mergeCell ref="AB1"/>
    <mergeCell ref="AC1"/>
    <mergeCell ref="AD1"/>
    <mergeCell ref="M1"/>
    <mergeCell ref="N1"/>
    <mergeCell ref="O1"/>
    <mergeCell ref="P1"/>
    <mergeCell ref="Q1"/>
    <mergeCell ref="J2"/>
    <mergeCell ref="K2"/>
    <mergeCell ref="AS2"/>
    <mergeCell ref="AT2"/>
    <mergeCell ref="AU2"/>
    <mergeCell ref="AV2"/>
    <mergeCell ref="AZ1"/>
    <mergeCell ref="A2"/>
    <mergeCell ref="B2"/>
    <mergeCell ref="C2"/>
    <mergeCell ref="D2"/>
    <mergeCell ref="E2"/>
    <mergeCell ref="AM2"/>
    <mergeCell ref="AN2"/>
    <mergeCell ref="AO2"/>
    <mergeCell ref="AP2"/>
    <mergeCell ref="AQ2"/>
    <mergeCell ref="AR2"/>
    <mergeCell ref="AG2"/>
    <mergeCell ref="AH2"/>
    <mergeCell ref="AI2"/>
    <mergeCell ref="AJ2"/>
    <mergeCell ref="AK2"/>
    <mergeCell ref="AL2"/>
    <mergeCell ref="AB2"/>
    <mergeCell ref="AC2"/>
    <mergeCell ref="AD2"/>
    <mergeCell ref="AE2"/>
    <mergeCell ref="AI1"/>
    <mergeCell ref="AJ1"/>
    <mergeCell ref="AE1"/>
    <mergeCell ref="AF1"/>
    <mergeCell ref="A3"/>
    <mergeCell ref="B3"/>
    <mergeCell ref="C3"/>
    <mergeCell ref="D3"/>
    <mergeCell ref="E3"/>
    <mergeCell ref="AI3"/>
    <mergeCell ref="AJ3"/>
    <mergeCell ref="AK3"/>
    <mergeCell ref="AL3"/>
    <mergeCell ref="AM3"/>
    <mergeCell ref="AN3"/>
    <mergeCell ref="AC3"/>
    <mergeCell ref="AD3"/>
    <mergeCell ref="AE3"/>
    <mergeCell ref="AF3"/>
    <mergeCell ref="AG3"/>
    <mergeCell ref="AH3"/>
    <mergeCell ref="X3"/>
    <mergeCell ref="Y3"/>
    <mergeCell ref="Z3"/>
    <mergeCell ref="AA3"/>
    <mergeCell ref="AB3"/>
    <mergeCell ref="R3"/>
    <mergeCell ref="S3"/>
    <mergeCell ref="T3"/>
    <mergeCell ref="U3"/>
    <mergeCell ref="V3"/>
    <mergeCell ref="W3"/>
    <mergeCell ref="L3"/>
    <mergeCell ref="M3"/>
    <mergeCell ref="N3"/>
    <mergeCell ref="O3"/>
    <mergeCell ref="F4"/>
    <mergeCell ref="G4"/>
    <mergeCell ref="H4"/>
    <mergeCell ref="I4"/>
    <mergeCell ref="J4"/>
    <mergeCell ref="K4"/>
    <mergeCell ref="F3"/>
    <mergeCell ref="G3"/>
    <mergeCell ref="H3"/>
    <mergeCell ref="I3"/>
    <mergeCell ref="J3"/>
    <mergeCell ref="K3"/>
    <mergeCell ref="AS3"/>
    <mergeCell ref="AW2"/>
    <mergeCell ref="AX2"/>
    <mergeCell ref="AY2"/>
    <mergeCell ref="AZ2"/>
    <mergeCell ref="AV3"/>
    <mergeCell ref="AW3"/>
    <mergeCell ref="AX3"/>
    <mergeCell ref="AY3"/>
    <mergeCell ref="AF2"/>
    <mergeCell ref="X2"/>
    <mergeCell ref="Y2"/>
    <mergeCell ref="Z2"/>
    <mergeCell ref="AA2"/>
    <mergeCell ref="P3"/>
    <mergeCell ref="Q3"/>
    <mergeCell ref="F2"/>
    <mergeCell ref="G2"/>
    <mergeCell ref="H2"/>
    <mergeCell ref="I2"/>
    <mergeCell ref="AZ3"/>
    <mergeCell ref="A4"/>
    <mergeCell ref="B4"/>
    <mergeCell ref="C4"/>
    <mergeCell ref="D4"/>
    <mergeCell ref="E4"/>
    <mergeCell ref="AM4"/>
    <mergeCell ref="AN4"/>
    <mergeCell ref="AO4"/>
    <mergeCell ref="AP4"/>
    <mergeCell ref="AT3"/>
    <mergeCell ref="AU3"/>
    <mergeCell ref="AO3"/>
    <mergeCell ref="AP3"/>
    <mergeCell ref="AQ3"/>
    <mergeCell ref="AR3"/>
    <mergeCell ref="AC4"/>
    <mergeCell ref="AD4"/>
    <mergeCell ref="AE4"/>
    <mergeCell ref="AF4"/>
    <mergeCell ref="AG4"/>
    <mergeCell ref="AH4"/>
    <mergeCell ref="AX4"/>
    <mergeCell ref="AY4"/>
    <mergeCell ref="AZ4"/>
    <mergeCell ref="R4"/>
    <mergeCell ref="S4"/>
    <mergeCell ref="T4"/>
    <mergeCell ref="U4"/>
    <mergeCell ref="V4"/>
    <mergeCell ref="W4"/>
    <mergeCell ref="L4"/>
    <mergeCell ref="V5"/>
    <mergeCell ref="Z4"/>
    <mergeCell ref="AA4"/>
    <mergeCell ref="AB4"/>
    <mergeCell ref="X4"/>
    <mergeCell ref="Y4"/>
    <mergeCell ref="N5"/>
    <mergeCell ref="O5"/>
    <mergeCell ref="P5"/>
    <mergeCell ref="Q5"/>
    <mergeCell ref="R5"/>
    <mergeCell ref="S5"/>
    <mergeCell ref="H5"/>
    <mergeCell ref="I5"/>
    <mergeCell ref="J5"/>
    <mergeCell ref="K5"/>
    <mergeCell ref="L5"/>
    <mergeCell ref="M5"/>
    <mergeCell ref="Z5"/>
    <mergeCell ref="AA5"/>
    <mergeCell ref="AB5"/>
    <mergeCell ref="M4"/>
    <mergeCell ref="N4"/>
    <mergeCell ref="O4"/>
    <mergeCell ref="P4"/>
    <mergeCell ref="Q4"/>
    <mergeCell ref="C5"/>
    <mergeCell ref="D5"/>
    <mergeCell ref="E5"/>
    <mergeCell ref="F5"/>
    <mergeCell ref="G5"/>
    <mergeCell ref="AR4"/>
    <mergeCell ref="AS4"/>
    <mergeCell ref="AT4"/>
    <mergeCell ref="AU4"/>
    <mergeCell ref="AV4"/>
    <mergeCell ref="AW4"/>
    <mergeCell ref="AI5"/>
    <mergeCell ref="AJ5"/>
    <mergeCell ref="AK5"/>
    <mergeCell ref="AL5"/>
    <mergeCell ref="AM5"/>
    <mergeCell ref="AQ4"/>
    <mergeCell ref="AI4"/>
    <mergeCell ref="AJ4"/>
    <mergeCell ref="AK4"/>
    <mergeCell ref="AL4"/>
    <mergeCell ref="AC5"/>
    <mergeCell ref="AD5"/>
    <mergeCell ref="AE5"/>
    <mergeCell ref="AF5"/>
    <mergeCell ref="AG5"/>
    <mergeCell ref="AH5"/>
    <mergeCell ref="W5"/>
    <mergeCell ref="X5"/>
    <mergeCell ref="Y5"/>
    <mergeCell ref="T5"/>
    <mergeCell ref="U5"/>
    <mergeCell ref="L6"/>
    <mergeCell ref="M6"/>
    <mergeCell ref="N6"/>
    <mergeCell ref="O6"/>
    <mergeCell ref="AZ5"/>
    <mergeCell ref="A6"/>
    <mergeCell ref="B6"/>
    <mergeCell ref="C6"/>
    <mergeCell ref="D6"/>
    <mergeCell ref="E6"/>
    <mergeCell ref="F6"/>
    <mergeCell ref="G6"/>
    <mergeCell ref="H6"/>
    <mergeCell ref="I6"/>
    <mergeCell ref="AT5"/>
    <mergeCell ref="AU5"/>
    <mergeCell ref="AV5"/>
    <mergeCell ref="AW5"/>
    <mergeCell ref="AX5"/>
    <mergeCell ref="AY5"/>
    <mergeCell ref="AN5"/>
    <mergeCell ref="AO5"/>
    <mergeCell ref="AP5"/>
    <mergeCell ref="AQ5"/>
    <mergeCell ref="AR5"/>
    <mergeCell ref="AS5"/>
    <mergeCell ref="AA6"/>
    <mergeCell ref="AB6"/>
    <mergeCell ref="AC6"/>
    <mergeCell ref="AD6"/>
    <mergeCell ref="A5"/>
    <mergeCell ref="B5"/>
    <mergeCell ref="A7"/>
    <mergeCell ref="B7"/>
    <mergeCell ref="C7"/>
    <mergeCell ref="D7"/>
    <mergeCell ref="E7"/>
    <mergeCell ref="AP6"/>
    <mergeCell ref="AQ6"/>
    <mergeCell ref="AR6"/>
    <mergeCell ref="AS6"/>
    <mergeCell ref="AT6"/>
    <mergeCell ref="AU6"/>
    <mergeCell ref="AG7"/>
    <mergeCell ref="AK6"/>
    <mergeCell ref="AL6"/>
    <mergeCell ref="AM6"/>
    <mergeCell ref="AN6"/>
    <mergeCell ref="AO6"/>
    <mergeCell ref="AG6"/>
    <mergeCell ref="AH6"/>
    <mergeCell ref="AI6"/>
    <mergeCell ref="AJ6"/>
    <mergeCell ref="AE6"/>
    <mergeCell ref="AF6"/>
    <mergeCell ref="U6"/>
    <mergeCell ref="V6"/>
    <mergeCell ref="W6"/>
    <mergeCell ref="X6"/>
    <mergeCell ref="Y6"/>
    <mergeCell ref="Z6"/>
    <mergeCell ref="L7"/>
    <mergeCell ref="M7"/>
    <mergeCell ref="N7"/>
    <mergeCell ref="AN7"/>
    <mergeCell ref="AH7"/>
    <mergeCell ref="AC7"/>
    <mergeCell ref="AD7"/>
    <mergeCell ref="AE7"/>
    <mergeCell ref="AF7"/>
    <mergeCell ref="F7"/>
    <mergeCell ref="G7"/>
    <mergeCell ref="H7"/>
    <mergeCell ref="I7"/>
    <mergeCell ref="J7"/>
    <mergeCell ref="K7"/>
    <mergeCell ref="AV6"/>
    <mergeCell ref="AW6"/>
    <mergeCell ref="AX6"/>
    <mergeCell ref="AY6"/>
    <mergeCell ref="AZ6"/>
    <mergeCell ref="O7"/>
    <mergeCell ref="P7"/>
    <mergeCell ref="T6"/>
    <mergeCell ref="P6"/>
    <mergeCell ref="Q6"/>
    <mergeCell ref="R6"/>
    <mergeCell ref="S6"/>
    <mergeCell ref="W7"/>
    <mergeCell ref="X7"/>
    <mergeCell ref="Y7"/>
    <mergeCell ref="Z7"/>
    <mergeCell ref="AA7"/>
    <mergeCell ref="AB7"/>
    <mergeCell ref="J6"/>
    <mergeCell ref="K6"/>
    <mergeCell ref="O8"/>
    <mergeCell ref="P8"/>
    <mergeCell ref="Q8"/>
    <mergeCell ref="R8"/>
    <mergeCell ref="S8"/>
    <mergeCell ref="H8"/>
    <mergeCell ref="I8"/>
    <mergeCell ref="J8"/>
    <mergeCell ref="K8"/>
    <mergeCell ref="L8"/>
    <mergeCell ref="M8"/>
    <mergeCell ref="AU7"/>
    <mergeCell ref="AV7"/>
    <mergeCell ref="AW7"/>
    <mergeCell ref="AX7"/>
    <mergeCell ref="Q7"/>
    <mergeCell ref="R7"/>
    <mergeCell ref="S7"/>
    <mergeCell ref="T7"/>
    <mergeCell ref="U7"/>
    <mergeCell ref="V7"/>
    <mergeCell ref="AO7"/>
    <mergeCell ref="AP7"/>
    <mergeCell ref="AQ7"/>
    <mergeCell ref="AR7"/>
    <mergeCell ref="AS7"/>
    <mergeCell ref="AT7"/>
    <mergeCell ref="AI7"/>
    <mergeCell ref="AJ7"/>
    <mergeCell ref="AK7"/>
    <mergeCell ref="AL7"/>
    <mergeCell ref="AM7"/>
    <mergeCell ref="AY7"/>
    <mergeCell ref="AZ7"/>
    <mergeCell ref="A8"/>
    <mergeCell ref="B8"/>
    <mergeCell ref="C8"/>
    <mergeCell ref="D8"/>
    <mergeCell ref="E8"/>
    <mergeCell ref="F8"/>
    <mergeCell ref="G8"/>
    <mergeCell ref="AK8"/>
    <mergeCell ref="AL8"/>
    <mergeCell ref="AM8"/>
    <mergeCell ref="AN8"/>
    <mergeCell ref="AO8"/>
    <mergeCell ref="AP8"/>
    <mergeCell ref="AE8"/>
    <mergeCell ref="AF8"/>
    <mergeCell ref="AG8"/>
    <mergeCell ref="AH8"/>
    <mergeCell ref="AI8"/>
    <mergeCell ref="AJ8"/>
    <mergeCell ref="AX8"/>
    <mergeCell ref="AY8"/>
    <mergeCell ref="AZ8"/>
    <mergeCell ref="Z8"/>
    <mergeCell ref="T8"/>
    <mergeCell ref="U8"/>
    <mergeCell ref="V8"/>
    <mergeCell ref="W8"/>
    <mergeCell ref="X8"/>
    <mergeCell ref="Y8"/>
    <mergeCell ref="N8"/>
    <mergeCell ref="AO9"/>
    <mergeCell ref="AP9"/>
    <mergeCell ref="AQ9"/>
    <mergeCell ref="AR9"/>
    <mergeCell ref="AV8"/>
    <mergeCell ref="AW8"/>
    <mergeCell ref="AQ8"/>
    <mergeCell ref="AR8"/>
    <mergeCell ref="AS8"/>
    <mergeCell ref="AT8"/>
    <mergeCell ref="AE9"/>
    <mergeCell ref="AF9"/>
    <mergeCell ref="AG9"/>
    <mergeCell ref="AH9"/>
    <mergeCell ref="AI9"/>
    <mergeCell ref="AJ9"/>
    <mergeCell ref="T9"/>
    <mergeCell ref="U9"/>
    <mergeCell ref="V9"/>
    <mergeCell ref="W9"/>
    <mergeCell ref="X9"/>
    <mergeCell ref="Y9"/>
    <mergeCell ref="AA8"/>
    <mergeCell ref="AB8"/>
    <mergeCell ref="AC8"/>
    <mergeCell ref="AD8"/>
    <mergeCell ref="AN9"/>
    <mergeCell ref="AU8"/>
    <mergeCell ref="AB9"/>
    <mergeCell ref="AC9"/>
    <mergeCell ref="AD9"/>
    <mergeCell ref="Z9"/>
    <mergeCell ref="A9"/>
    <mergeCell ref="B9"/>
    <mergeCell ref="C9"/>
    <mergeCell ref="D9"/>
    <mergeCell ref="E9"/>
    <mergeCell ref="F9"/>
    <mergeCell ref="G9"/>
    <mergeCell ref="N9"/>
    <mergeCell ref="O9"/>
    <mergeCell ref="P9"/>
    <mergeCell ref="Q9"/>
    <mergeCell ref="R9"/>
    <mergeCell ref="S9"/>
    <mergeCell ref="H9"/>
    <mergeCell ref="I9"/>
    <mergeCell ref="J9"/>
    <mergeCell ref="K9"/>
    <mergeCell ref="L9"/>
    <mergeCell ref="M9"/>
    <mergeCell ref="AA9"/>
    <mergeCell ref="P10"/>
    <mergeCell ref="Q10"/>
    <mergeCell ref="R10"/>
    <mergeCell ref="S10"/>
    <mergeCell ref="T10"/>
    <mergeCell ref="U10"/>
    <mergeCell ref="J10"/>
    <mergeCell ref="K10"/>
    <mergeCell ref="L10"/>
    <mergeCell ref="M10"/>
    <mergeCell ref="N10"/>
    <mergeCell ref="O10"/>
    <mergeCell ref="Y10"/>
    <mergeCell ref="Z10"/>
    <mergeCell ref="AA10"/>
    <mergeCell ref="AB10"/>
    <mergeCell ref="X10"/>
    <mergeCell ref="AC10"/>
    <mergeCell ref="AD10"/>
    <mergeCell ref="AV10"/>
    <mergeCell ref="AW10"/>
    <mergeCell ref="AX10"/>
    <mergeCell ref="AY10"/>
    <mergeCell ref="AZ10"/>
    <mergeCell ref="AY11"/>
    <mergeCell ref="AZ11"/>
    <mergeCell ref="AZ9"/>
    <mergeCell ref="A10"/>
    <mergeCell ref="B10"/>
    <mergeCell ref="C10"/>
    <mergeCell ref="D10"/>
    <mergeCell ref="E10"/>
    <mergeCell ref="F10"/>
    <mergeCell ref="G10"/>
    <mergeCell ref="H10"/>
    <mergeCell ref="I10"/>
    <mergeCell ref="AT9"/>
    <mergeCell ref="AU9"/>
    <mergeCell ref="AV9"/>
    <mergeCell ref="AW9"/>
    <mergeCell ref="AX9"/>
    <mergeCell ref="AY9"/>
    <mergeCell ref="AK10"/>
    <mergeCell ref="AL10"/>
    <mergeCell ref="AM10"/>
    <mergeCell ref="AN10"/>
    <mergeCell ref="AO10"/>
    <mergeCell ref="AS9"/>
    <mergeCell ref="AK9"/>
    <mergeCell ref="AL9"/>
    <mergeCell ref="AM9"/>
    <mergeCell ref="C12"/>
    <mergeCell ref="D12"/>
    <mergeCell ref="E12"/>
    <mergeCell ref="F12"/>
    <mergeCell ref="AP10"/>
    <mergeCell ref="AQ10"/>
    <mergeCell ref="AR10"/>
    <mergeCell ref="AS10"/>
    <mergeCell ref="AT10"/>
    <mergeCell ref="AU10"/>
    <mergeCell ref="AC11"/>
    <mergeCell ref="AD11"/>
    <mergeCell ref="AE11"/>
    <mergeCell ref="AF11"/>
    <mergeCell ref="AG11"/>
    <mergeCell ref="AH11"/>
    <mergeCell ref="W11"/>
    <mergeCell ref="X11"/>
    <mergeCell ref="Y11"/>
    <mergeCell ref="Z11"/>
    <mergeCell ref="AA11"/>
    <mergeCell ref="AB11"/>
    <mergeCell ref="AE10"/>
    <mergeCell ref="AF10"/>
    <mergeCell ref="AG10"/>
    <mergeCell ref="AH10"/>
    <mergeCell ref="AI10"/>
    <mergeCell ref="AJ10"/>
    <mergeCell ref="V10"/>
    <mergeCell ref="W10"/>
    <mergeCell ref="V11"/>
    <mergeCell ref="R11"/>
    <mergeCell ref="S11"/>
    <mergeCell ref="T11"/>
    <mergeCell ref="U11"/>
    <mergeCell ref="H12"/>
    <mergeCell ref="I12"/>
    <mergeCell ref="J12"/>
    <mergeCell ref="K12"/>
    <mergeCell ref="L12"/>
    <mergeCell ref="M12"/>
    <mergeCell ref="AX11"/>
    <mergeCell ref="AX12"/>
    <mergeCell ref="A11"/>
    <mergeCell ref="B11"/>
    <mergeCell ref="C11"/>
    <mergeCell ref="D11"/>
    <mergeCell ref="E11"/>
    <mergeCell ref="L11"/>
    <mergeCell ref="M11"/>
    <mergeCell ref="N11"/>
    <mergeCell ref="O11"/>
    <mergeCell ref="P11"/>
    <mergeCell ref="Q11"/>
    <mergeCell ref="F11"/>
    <mergeCell ref="G11"/>
    <mergeCell ref="H11"/>
    <mergeCell ref="I11"/>
    <mergeCell ref="J11"/>
    <mergeCell ref="K11"/>
    <mergeCell ref="A12"/>
    <mergeCell ref="B12"/>
    <mergeCell ref="AR11"/>
    <mergeCell ref="AS11"/>
    <mergeCell ref="AT11"/>
    <mergeCell ref="AU11"/>
    <mergeCell ref="AV11"/>
    <mergeCell ref="AW11"/>
    <mergeCell ref="AI12"/>
    <mergeCell ref="AM11"/>
    <mergeCell ref="AN11"/>
    <mergeCell ref="AO11"/>
    <mergeCell ref="AP11"/>
    <mergeCell ref="AQ11"/>
    <mergeCell ref="AI11"/>
    <mergeCell ref="AJ11"/>
    <mergeCell ref="AK11"/>
    <mergeCell ref="AL11"/>
    <mergeCell ref="AC12"/>
    <mergeCell ref="AD12"/>
    <mergeCell ref="AE12"/>
    <mergeCell ref="AF12"/>
    <mergeCell ref="AG12"/>
    <mergeCell ref="AH12"/>
    <mergeCell ref="AW12"/>
    <mergeCell ref="A13"/>
    <mergeCell ref="B13"/>
    <mergeCell ref="C13"/>
    <mergeCell ref="D13"/>
    <mergeCell ref="E13"/>
    <mergeCell ref="F13"/>
    <mergeCell ref="Y13"/>
    <mergeCell ref="Z13"/>
    <mergeCell ref="AA13"/>
    <mergeCell ref="AB13"/>
    <mergeCell ref="AC13"/>
    <mergeCell ref="AD13"/>
    <mergeCell ref="AY12"/>
    <mergeCell ref="AZ12"/>
    <mergeCell ref="S12"/>
    <mergeCell ref="T12"/>
    <mergeCell ref="U12"/>
    <mergeCell ref="V12"/>
    <mergeCell ref="W12"/>
    <mergeCell ref="X12"/>
    <mergeCell ref="AQ12"/>
    <mergeCell ref="AR12"/>
    <mergeCell ref="AS12"/>
    <mergeCell ref="AT12"/>
    <mergeCell ref="AU12"/>
    <mergeCell ref="AV12"/>
    <mergeCell ref="AK12"/>
    <mergeCell ref="AL12"/>
    <mergeCell ref="AM12"/>
    <mergeCell ref="AN12"/>
    <mergeCell ref="AO12"/>
    <mergeCell ref="AP12"/>
    <mergeCell ref="AO13"/>
    <mergeCell ref="AP13"/>
    <mergeCell ref="M13"/>
    <mergeCell ref="N13"/>
    <mergeCell ref="O13"/>
    <mergeCell ref="P13"/>
    <mergeCell ref="Q13"/>
    <mergeCell ref="AJ12"/>
    <mergeCell ref="Y12"/>
    <mergeCell ref="Z12"/>
    <mergeCell ref="AA12"/>
    <mergeCell ref="AB12"/>
    <mergeCell ref="G13"/>
    <mergeCell ref="H13"/>
    <mergeCell ref="I13"/>
    <mergeCell ref="J13"/>
    <mergeCell ref="K13"/>
    <mergeCell ref="L13"/>
    <mergeCell ref="P12"/>
    <mergeCell ref="Q12"/>
    <mergeCell ref="R12"/>
    <mergeCell ref="AG13"/>
    <mergeCell ref="AH13"/>
    <mergeCell ref="G12"/>
    <mergeCell ref="N12"/>
    <mergeCell ref="O12"/>
    <mergeCell ref="R14"/>
    <mergeCell ref="S14"/>
    <mergeCell ref="T14"/>
    <mergeCell ref="U14"/>
    <mergeCell ref="V14"/>
    <mergeCell ref="W14"/>
    <mergeCell ref="L14"/>
    <mergeCell ref="M14"/>
    <mergeCell ref="N14"/>
    <mergeCell ref="O14"/>
    <mergeCell ref="P14"/>
    <mergeCell ref="Q14"/>
    <mergeCell ref="AW13"/>
    <mergeCell ref="AX13"/>
    <mergeCell ref="AY13"/>
    <mergeCell ref="R13"/>
    <mergeCell ref="S13"/>
    <mergeCell ref="T13"/>
    <mergeCell ref="U13"/>
    <mergeCell ref="V13"/>
    <mergeCell ref="W13"/>
    <mergeCell ref="X13"/>
    <mergeCell ref="AQ13"/>
    <mergeCell ref="AR13"/>
    <mergeCell ref="AS13"/>
    <mergeCell ref="AT13"/>
    <mergeCell ref="AU13"/>
    <mergeCell ref="AV13"/>
    <mergeCell ref="AK13"/>
    <mergeCell ref="AL13"/>
    <mergeCell ref="AM13"/>
    <mergeCell ref="AN13"/>
    <mergeCell ref="J14"/>
    <mergeCell ref="K14"/>
    <mergeCell ref="AS14"/>
    <mergeCell ref="AT14"/>
    <mergeCell ref="AU14"/>
    <mergeCell ref="AV14"/>
    <mergeCell ref="AZ13"/>
    <mergeCell ref="A14"/>
    <mergeCell ref="B14"/>
    <mergeCell ref="C14"/>
    <mergeCell ref="D14"/>
    <mergeCell ref="E14"/>
    <mergeCell ref="AM14"/>
    <mergeCell ref="AN14"/>
    <mergeCell ref="AO14"/>
    <mergeCell ref="AP14"/>
    <mergeCell ref="AQ14"/>
    <mergeCell ref="AR14"/>
    <mergeCell ref="AG14"/>
    <mergeCell ref="AH14"/>
    <mergeCell ref="AI14"/>
    <mergeCell ref="AJ14"/>
    <mergeCell ref="AK14"/>
    <mergeCell ref="AL14"/>
    <mergeCell ref="AB14"/>
    <mergeCell ref="AC14"/>
    <mergeCell ref="AD14"/>
    <mergeCell ref="AE14"/>
    <mergeCell ref="AI13"/>
    <mergeCell ref="AJ13"/>
    <mergeCell ref="AE13"/>
    <mergeCell ref="AF13"/>
    <mergeCell ref="A15"/>
    <mergeCell ref="B15"/>
    <mergeCell ref="C15"/>
    <mergeCell ref="D15"/>
    <mergeCell ref="E15"/>
    <mergeCell ref="AI15"/>
    <mergeCell ref="AJ15"/>
    <mergeCell ref="AK15"/>
    <mergeCell ref="AL15"/>
    <mergeCell ref="AM15"/>
    <mergeCell ref="AN15"/>
    <mergeCell ref="AC15"/>
    <mergeCell ref="AD15"/>
    <mergeCell ref="AE15"/>
    <mergeCell ref="AF15"/>
    <mergeCell ref="AG15"/>
    <mergeCell ref="AH15"/>
    <mergeCell ref="X15"/>
    <mergeCell ref="Y15"/>
    <mergeCell ref="Z15"/>
    <mergeCell ref="AA15"/>
    <mergeCell ref="AB15"/>
    <mergeCell ref="R15"/>
    <mergeCell ref="S15"/>
    <mergeCell ref="T15"/>
    <mergeCell ref="U15"/>
    <mergeCell ref="V15"/>
    <mergeCell ref="W15"/>
    <mergeCell ref="L15"/>
    <mergeCell ref="M15"/>
    <mergeCell ref="N15"/>
    <mergeCell ref="O15"/>
    <mergeCell ref="F16"/>
    <mergeCell ref="G16"/>
    <mergeCell ref="H16"/>
    <mergeCell ref="I16"/>
    <mergeCell ref="J16"/>
    <mergeCell ref="K16"/>
    <mergeCell ref="F15"/>
    <mergeCell ref="G15"/>
    <mergeCell ref="H15"/>
    <mergeCell ref="I15"/>
    <mergeCell ref="J15"/>
    <mergeCell ref="K15"/>
    <mergeCell ref="AS15"/>
    <mergeCell ref="AW14"/>
    <mergeCell ref="AX14"/>
    <mergeCell ref="AY14"/>
    <mergeCell ref="AZ14"/>
    <mergeCell ref="AV15"/>
    <mergeCell ref="AW15"/>
    <mergeCell ref="AX15"/>
    <mergeCell ref="AY15"/>
    <mergeCell ref="AF14"/>
    <mergeCell ref="X14"/>
    <mergeCell ref="Y14"/>
    <mergeCell ref="Z14"/>
    <mergeCell ref="AA14"/>
    <mergeCell ref="P15"/>
    <mergeCell ref="Q15"/>
    <mergeCell ref="F14"/>
    <mergeCell ref="G14"/>
    <mergeCell ref="H14"/>
    <mergeCell ref="I14"/>
    <mergeCell ref="AZ15"/>
    <mergeCell ref="A16"/>
    <mergeCell ref="B16"/>
    <mergeCell ref="C16"/>
    <mergeCell ref="D16"/>
    <mergeCell ref="E16"/>
    <mergeCell ref="AM16"/>
    <mergeCell ref="AN16"/>
    <mergeCell ref="AO16"/>
    <mergeCell ref="AP16"/>
    <mergeCell ref="AT15"/>
    <mergeCell ref="AU15"/>
    <mergeCell ref="AO15"/>
    <mergeCell ref="AP15"/>
    <mergeCell ref="AQ15"/>
    <mergeCell ref="AR15"/>
    <mergeCell ref="AC16"/>
    <mergeCell ref="AD16"/>
    <mergeCell ref="AE16"/>
    <mergeCell ref="AF16"/>
    <mergeCell ref="AG16"/>
    <mergeCell ref="AH16"/>
    <mergeCell ref="AX16"/>
    <mergeCell ref="AY16"/>
    <mergeCell ref="AZ16"/>
    <mergeCell ref="R16"/>
    <mergeCell ref="S16"/>
    <mergeCell ref="T16"/>
    <mergeCell ref="U16"/>
    <mergeCell ref="V16"/>
    <mergeCell ref="W16"/>
    <mergeCell ref="L16"/>
    <mergeCell ref="V17"/>
    <mergeCell ref="Z16"/>
    <mergeCell ref="AA16"/>
    <mergeCell ref="AB16"/>
    <mergeCell ref="X16"/>
    <mergeCell ref="Y16"/>
    <mergeCell ref="N17"/>
    <mergeCell ref="O17"/>
    <mergeCell ref="P17"/>
    <mergeCell ref="Q17"/>
    <mergeCell ref="R17"/>
    <mergeCell ref="S17"/>
    <mergeCell ref="H17"/>
    <mergeCell ref="I17"/>
    <mergeCell ref="J17"/>
    <mergeCell ref="K17"/>
    <mergeCell ref="L17"/>
    <mergeCell ref="M17"/>
    <mergeCell ref="Z17"/>
    <mergeCell ref="AA17"/>
    <mergeCell ref="AB17"/>
    <mergeCell ref="M16"/>
    <mergeCell ref="N16"/>
    <mergeCell ref="O16"/>
    <mergeCell ref="P16"/>
    <mergeCell ref="Q16"/>
    <mergeCell ref="C17"/>
    <mergeCell ref="D17"/>
    <mergeCell ref="E17"/>
    <mergeCell ref="F17"/>
    <mergeCell ref="G17"/>
    <mergeCell ref="AR16"/>
    <mergeCell ref="AS16"/>
    <mergeCell ref="AT16"/>
    <mergeCell ref="AU16"/>
    <mergeCell ref="AV16"/>
    <mergeCell ref="AW16"/>
    <mergeCell ref="AI17"/>
    <mergeCell ref="AJ17"/>
    <mergeCell ref="AK17"/>
    <mergeCell ref="AL17"/>
    <mergeCell ref="AM17"/>
    <mergeCell ref="AQ16"/>
    <mergeCell ref="AI16"/>
    <mergeCell ref="AJ16"/>
    <mergeCell ref="AK16"/>
    <mergeCell ref="AL16"/>
    <mergeCell ref="AC17"/>
    <mergeCell ref="AD17"/>
    <mergeCell ref="AE17"/>
    <mergeCell ref="AF17"/>
    <mergeCell ref="AG17"/>
    <mergeCell ref="AH17"/>
    <mergeCell ref="W17"/>
    <mergeCell ref="X17"/>
    <mergeCell ref="Y17"/>
    <mergeCell ref="T17"/>
    <mergeCell ref="U17"/>
    <mergeCell ref="L18"/>
    <mergeCell ref="M18"/>
    <mergeCell ref="N18"/>
    <mergeCell ref="O18"/>
    <mergeCell ref="AZ17"/>
    <mergeCell ref="A18"/>
    <mergeCell ref="B18"/>
    <mergeCell ref="C18"/>
    <mergeCell ref="D18"/>
    <mergeCell ref="E18"/>
    <mergeCell ref="F18"/>
    <mergeCell ref="G18"/>
    <mergeCell ref="H18"/>
    <mergeCell ref="I18"/>
    <mergeCell ref="AT17"/>
    <mergeCell ref="AU17"/>
    <mergeCell ref="AV17"/>
    <mergeCell ref="AW17"/>
    <mergeCell ref="AX17"/>
    <mergeCell ref="AY17"/>
    <mergeCell ref="AN17"/>
    <mergeCell ref="AO17"/>
    <mergeCell ref="AP17"/>
    <mergeCell ref="AQ17"/>
    <mergeCell ref="AR17"/>
    <mergeCell ref="AS17"/>
    <mergeCell ref="AA18"/>
    <mergeCell ref="AB18"/>
    <mergeCell ref="AC18"/>
    <mergeCell ref="AD18"/>
    <mergeCell ref="A17"/>
    <mergeCell ref="B17"/>
    <mergeCell ref="A19"/>
    <mergeCell ref="B19"/>
    <mergeCell ref="C19"/>
    <mergeCell ref="D19"/>
    <mergeCell ref="E19"/>
    <mergeCell ref="AP18"/>
    <mergeCell ref="AQ18"/>
    <mergeCell ref="AR18"/>
    <mergeCell ref="AS18"/>
    <mergeCell ref="AT18"/>
    <mergeCell ref="AU18"/>
    <mergeCell ref="AG19"/>
    <mergeCell ref="AK18"/>
    <mergeCell ref="AL18"/>
    <mergeCell ref="AM18"/>
    <mergeCell ref="AN18"/>
    <mergeCell ref="AO18"/>
    <mergeCell ref="AG18"/>
    <mergeCell ref="AH18"/>
    <mergeCell ref="AI18"/>
    <mergeCell ref="AJ18"/>
    <mergeCell ref="AE18"/>
    <mergeCell ref="AF18"/>
    <mergeCell ref="U18"/>
    <mergeCell ref="V18"/>
    <mergeCell ref="W18"/>
    <mergeCell ref="X18"/>
    <mergeCell ref="Y18"/>
    <mergeCell ref="Z18"/>
    <mergeCell ref="L19"/>
    <mergeCell ref="M19"/>
    <mergeCell ref="N19"/>
    <mergeCell ref="AN19"/>
    <mergeCell ref="AH19"/>
    <mergeCell ref="AC19"/>
    <mergeCell ref="AD19"/>
    <mergeCell ref="AE19"/>
    <mergeCell ref="AF19"/>
    <mergeCell ref="F19"/>
    <mergeCell ref="G19"/>
    <mergeCell ref="H19"/>
    <mergeCell ref="I19"/>
    <mergeCell ref="J19"/>
    <mergeCell ref="K19"/>
    <mergeCell ref="AV18"/>
    <mergeCell ref="AW18"/>
    <mergeCell ref="AX18"/>
    <mergeCell ref="AY18"/>
    <mergeCell ref="AZ18"/>
    <mergeCell ref="O19"/>
    <mergeCell ref="P19"/>
    <mergeCell ref="T18"/>
    <mergeCell ref="P18"/>
    <mergeCell ref="Q18"/>
    <mergeCell ref="R18"/>
    <mergeCell ref="S18"/>
    <mergeCell ref="W19"/>
    <mergeCell ref="X19"/>
    <mergeCell ref="Y19"/>
    <mergeCell ref="Z19"/>
    <mergeCell ref="AA19"/>
    <mergeCell ref="AB19"/>
    <mergeCell ref="J18"/>
    <mergeCell ref="K18"/>
    <mergeCell ref="O20"/>
    <mergeCell ref="P20"/>
    <mergeCell ref="Q20"/>
    <mergeCell ref="R20"/>
    <mergeCell ref="S20"/>
    <mergeCell ref="H20"/>
    <mergeCell ref="I20"/>
    <mergeCell ref="J20"/>
    <mergeCell ref="K20"/>
    <mergeCell ref="L20"/>
    <mergeCell ref="M20"/>
    <mergeCell ref="AU19"/>
    <mergeCell ref="AV19"/>
    <mergeCell ref="AW19"/>
    <mergeCell ref="AX19"/>
    <mergeCell ref="Q19"/>
    <mergeCell ref="R19"/>
    <mergeCell ref="S19"/>
    <mergeCell ref="T19"/>
    <mergeCell ref="U19"/>
    <mergeCell ref="V19"/>
    <mergeCell ref="AO19"/>
    <mergeCell ref="AP19"/>
    <mergeCell ref="AQ19"/>
    <mergeCell ref="AR19"/>
    <mergeCell ref="AS19"/>
    <mergeCell ref="AT19"/>
    <mergeCell ref="AI19"/>
    <mergeCell ref="AJ19"/>
    <mergeCell ref="AK19"/>
    <mergeCell ref="AL19"/>
    <mergeCell ref="AM19"/>
    <mergeCell ref="AY19"/>
    <mergeCell ref="AZ19"/>
    <mergeCell ref="A20"/>
    <mergeCell ref="B20"/>
    <mergeCell ref="C20"/>
    <mergeCell ref="D20"/>
    <mergeCell ref="E20"/>
    <mergeCell ref="F20"/>
    <mergeCell ref="G20"/>
    <mergeCell ref="AK20"/>
    <mergeCell ref="AL20"/>
    <mergeCell ref="AM20"/>
    <mergeCell ref="AN20"/>
    <mergeCell ref="AO20"/>
    <mergeCell ref="AP20"/>
    <mergeCell ref="AE20"/>
    <mergeCell ref="AF20"/>
    <mergeCell ref="AG20"/>
    <mergeCell ref="AH20"/>
    <mergeCell ref="AI20"/>
    <mergeCell ref="AJ20"/>
    <mergeCell ref="AX20"/>
    <mergeCell ref="AY20"/>
    <mergeCell ref="AZ20"/>
    <mergeCell ref="Z20"/>
    <mergeCell ref="T20"/>
    <mergeCell ref="U20"/>
    <mergeCell ref="V20"/>
    <mergeCell ref="W20"/>
    <mergeCell ref="X20"/>
    <mergeCell ref="Y20"/>
    <mergeCell ref="N20"/>
    <mergeCell ref="AO21"/>
    <mergeCell ref="AP21"/>
    <mergeCell ref="AQ21"/>
    <mergeCell ref="AR21"/>
    <mergeCell ref="AV20"/>
    <mergeCell ref="AW20"/>
    <mergeCell ref="AQ20"/>
    <mergeCell ref="AR20"/>
    <mergeCell ref="AS20"/>
    <mergeCell ref="AT20"/>
    <mergeCell ref="AE21"/>
    <mergeCell ref="AF21"/>
    <mergeCell ref="AG21"/>
    <mergeCell ref="AH21"/>
    <mergeCell ref="AI21"/>
    <mergeCell ref="AJ21"/>
    <mergeCell ref="T21"/>
    <mergeCell ref="U21"/>
    <mergeCell ref="V21"/>
    <mergeCell ref="W21"/>
    <mergeCell ref="X21"/>
    <mergeCell ref="Y21"/>
    <mergeCell ref="AA20"/>
    <mergeCell ref="AB20"/>
    <mergeCell ref="AC20"/>
    <mergeCell ref="AD20"/>
    <mergeCell ref="AN21"/>
    <mergeCell ref="AU20"/>
    <mergeCell ref="AB21"/>
    <mergeCell ref="AC21"/>
    <mergeCell ref="AD21"/>
    <mergeCell ref="Z21"/>
    <mergeCell ref="A21"/>
    <mergeCell ref="B21"/>
    <mergeCell ref="C21"/>
    <mergeCell ref="D21"/>
    <mergeCell ref="E21"/>
    <mergeCell ref="F21"/>
    <mergeCell ref="G21"/>
    <mergeCell ref="N21"/>
    <mergeCell ref="O21"/>
    <mergeCell ref="P21"/>
    <mergeCell ref="Q21"/>
    <mergeCell ref="R21"/>
    <mergeCell ref="S21"/>
    <mergeCell ref="H21"/>
    <mergeCell ref="I21"/>
    <mergeCell ref="J21"/>
    <mergeCell ref="K21"/>
    <mergeCell ref="L21"/>
    <mergeCell ref="M21"/>
    <mergeCell ref="AA21"/>
    <mergeCell ref="P22"/>
    <mergeCell ref="Q22"/>
    <mergeCell ref="R22"/>
    <mergeCell ref="S22"/>
    <mergeCell ref="T22"/>
    <mergeCell ref="U22"/>
    <mergeCell ref="J22"/>
    <mergeCell ref="K22"/>
    <mergeCell ref="L22"/>
    <mergeCell ref="M22"/>
    <mergeCell ref="N22"/>
    <mergeCell ref="O22"/>
    <mergeCell ref="Y22"/>
    <mergeCell ref="Z22"/>
    <mergeCell ref="AA22"/>
    <mergeCell ref="AB22"/>
    <mergeCell ref="X22"/>
    <mergeCell ref="AC22"/>
    <mergeCell ref="AD22"/>
    <mergeCell ref="AV22"/>
    <mergeCell ref="AW22"/>
    <mergeCell ref="AX22"/>
    <mergeCell ref="AY22"/>
    <mergeCell ref="AZ22"/>
    <mergeCell ref="AY23"/>
    <mergeCell ref="AZ23"/>
    <mergeCell ref="AZ21"/>
    <mergeCell ref="A22"/>
    <mergeCell ref="B22"/>
    <mergeCell ref="C22"/>
    <mergeCell ref="D22"/>
    <mergeCell ref="E22"/>
    <mergeCell ref="F22"/>
    <mergeCell ref="G22"/>
    <mergeCell ref="H22"/>
    <mergeCell ref="I22"/>
    <mergeCell ref="AT21"/>
    <mergeCell ref="AU21"/>
    <mergeCell ref="AV21"/>
    <mergeCell ref="AW21"/>
    <mergeCell ref="AX21"/>
    <mergeCell ref="AY21"/>
    <mergeCell ref="AK22"/>
    <mergeCell ref="AL22"/>
    <mergeCell ref="AM22"/>
    <mergeCell ref="AN22"/>
    <mergeCell ref="AO22"/>
    <mergeCell ref="AS21"/>
    <mergeCell ref="AK21"/>
    <mergeCell ref="AL21"/>
    <mergeCell ref="AM21"/>
    <mergeCell ref="C24"/>
    <mergeCell ref="D24"/>
    <mergeCell ref="E24"/>
    <mergeCell ref="F24"/>
    <mergeCell ref="AP22"/>
    <mergeCell ref="AQ22"/>
    <mergeCell ref="AR22"/>
    <mergeCell ref="AS22"/>
    <mergeCell ref="AT22"/>
    <mergeCell ref="AU22"/>
    <mergeCell ref="AC23"/>
    <mergeCell ref="AD23"/>
    <mergeCell ref="AE23"/>
    <mergeCell ref="AF23"/>
    <mergeCell ref="AG23"/>
    <mergeCell ref="AH23"/>
    <mergeCell ref="W23"/>
    <mergeCell ref="X23"/>
    <mergeCell ref="Y23"/>
    <mergeCell ref="Z23"/>
    <mergeCell ref="AA23"/>
    <mergeCell ref="AB23"/>
    <mergeCell ref="AE22"/>
    <mergeCell ref="AF22"/>
    <mergeCell ref="AG22"/>
    <mergeCell ref="AH22"/>
    <mergeCell ref="AI22"/>
    <mergeCell ref="AJ22"/>
    <mergeCell ref="V22"/>
    <mergeCell ref="W22"/>
    <mergeCell ref="V23"/>
    <mergeCell ref="R23"/>
    <mergeCell ref="S23"/>
    <mergeCell ref="T23"/>
    <mergeCell ref="U23"/>
    <mergeCell ref="H24"/>
    <mergeCell ref="I24"/>
    <mergeCell ref="J24"/>
    <mergeCell ref="K24"/>
    <mergeCell ref="L24"/>
    <mergeCell ref="M24"/>
    <mergeCell ref="AX23"/>
    <mergeCell ref="AX24"/>
    <mergeCell ref="A23"/>
    <mergeCell ref="B23"/>
    <mergeCell ref="C23"/>
    <mergeCell ref="D23"/>
    <mergeCell ref="E23"/>
    <mergeCell ref="L23"/>
    <mergeCell ref="M23"/>
    <mergeCell ref="N23"/>
    <mergeCell ref="O23"/>
    <mergeCell ref="P23"/>
    <mergeCell ref="Q23"/>
    <mergeCell ref="F23"/>
    <mergeCell ref="G23"/>
    <mergeCell ref="H23"/>
    <mergeCell ref="I23"/>
    <mergeCell ref="J23"/>
    <mergeCell ref="K23"/>
    <mergeCell ref="A24"/>
    <mergeCell ref="B24"/>
    <mergeCell ref="AR23"/>
    <mergeCell ref="AS23"/>
    <mergeCell ref="AT23"/>
    <mergeCell ref="AU23"/>
    <mergeCell ref="AV23"/>
    <mergeCell ref="AW23"/>
    <mergeCell ref="AI24"/>
    <mergeCell ref="AM23"/>
    <mergeCell ref="AN23"/>
    <mergeCell ref="AO23"/>
    <mergeCell ref="AP23"/>
    <mergeCell ref="AQ23"/>
    <mergeCell ref="AI23"/>
    <mergeCell ref="AJ23"/>
    <mergeCell ref="AK23"/>
    <mergeCell ref="AL23"/>
    <mergeCell ref="AC24"/>
    <mergeCell ref="AD24"/>
    <mergeCell ref="AE24"/>
    <mergeCell ref="AF24"/>
    <mergeCell ref="AG24"/>
    <mergeCell ref="AH24"/>
    <mergeCell ref="AW24"/>
    <mergeCell ref="A25"/>
    <mergeCell ref="B25"/>
    <mergeCell ref="C25"/>
    <mergeCell ref="D25"/>
    <mergeCell ref="E25"/>
    <mergeCell ref="F25"/>
    <mergeCell ref="Y25"/>
    <mergeCell ref="Z25"/>
    <mergeCell ref="AA25"/>
    <mergeCell ref="AB25"/>
    <mergeCell ref="AC25"/>
    <mergeCell ref="AD25"/>
    <mergeCell ref="AY24"/>
    <mergeCell ref="AZ24"/>
    <mergeCell ref="S24"/>
    <mergeCell ref="T24"/>
    <mergeCell ref="U24"/>
    <mergeCell ref="V24"/>
    <mergeCell ref="W24"/>
    <mergeCell ref="X24"/>
    <mergeCell ref="AQ24"/>
    <mergeCell ref="AR24"/>
    <mergeCell ref="AS24"/>
    <mergeCell ref="AT24"/>
    <mergeCell ref="AU24"/>
    <mergeCell ref="AV24"/>
    <mergeCell ref="AK24"/>
    <mergeCell ref="AL24"/>
    <mergeCell ref="AM24"/>
    <mergeCell ref="AN24"/>
    <mergeCell ref="AO24"/>
    <mergeCell ref="AP24"/>
    <mergeCell ref="AO25"/>
    <mergeCell ref="AP25"/>
    <mergeCell ref="M25"/>
    <mergeCell ref="N25"/>
    <mergeCell ref="O25"/>
    <mergeCell ref="P25"/>
    <mergeCell ref="Q25"/>
    <mergeCell ref="AJ24"/>
    <mergeCell ref="Y24"/>
    <mergeCell ref="Z24"/>
    <mergeCell ref="AA24"/>
    <mergeCell ref="AB24"/>
    <mergeCell ref="G25"/>
    <mergeCell ref="H25"/>
    <mergeCell ref="I25"/>
    <mergeCell ref="J25"/>
    <mergeCell ref="K25"/>
    <mergeCell ref="L25"/>
    <mergeCell ref="P24"/>
    <mergeCell ref="Q24"/>
    <mergeCell ref="R24"/>
    <mergeCell ref="AG25"/>
    <mergeCell ref="AH25"/>
    <mergeCell ref="G24"/>
    <mergeCell ref="N24"/>
    <mergeCell ref="O24"/>
    <mergeCell ref="R26"/>
    <mergeCell ref="S26"/>
    <mergeCell ref="T26"/>
    <mergeCell ref="U26"/>
    <mergeCell ref="V26"/>
    <mergeCell ref="W26"/>
    <mergeCell ref="L26"/>
    <mergeCell ref="M26"/>
    <mergeCell ref="N26"/>
    <mergeCell ref="O26"/>
    <mergeCell ref="P26"/>
    <mergeCell ref="Q26"/>
    <mergeCell ref="AW25"/>
    <mergeCell ref="AX25"/>
    <mergeCell ref="AY25"/>
    <mergeCell ref="R25"/>
    <mergeCell ref="S25"/>
    <mergeCell ref="T25"/>
    <mergeCell ref="U25"/>
    <mergeCell ref="V25"/>
    <mergeCell ref="W25"/>
    <mergeCell ref="X25"/>
    <mergeCell ref="AQ25"/>
    <mergeCell ref="AR25"/>
    <mergeCell ref="AS25"/>
    <mergeCell ref="AT25"/>
    <mergeCell ref="AU25"/>
    <mergeCell ref="AV25"/>
    <mergeCell ref="AK25"/>
    <mergeCell ref="AL25"/>
    <mergeCell ref="AM25"/>
    <mergeCell ref="AN25"/>
    <mergeCell ref="J26"/>
    <mergeCell ref="K26"/>
    <mergeCell ref="AS26"/>
    <mergeCell ref="AT26"/>
    <mergeCell ref="AU26"/>
    <mergeCell ref="AV26"/>
    <mergeCell ref="AZ25"/>
    <mergeCell ref="A26"/>
    <mergeCell ref="B26"/>
    <mergeCell ref="C26"/>
    <mergeCell ref="D26"/>
    <mergeCell ref="E26"/>
    <mergeCell ref="AM26"/>
    <mergeCell ref="AN26"/>
    <mergeCell ref="AO26"/>
    <mergeCell ref="AP26"/>
    <mergeCell ref="AQ26"/>
    <mergeCell ref="AR26"/>
    <mergeCell ref="AG26"/>
    <mergeCell ref="AH26"/>
    <mergeCell ref="AI26"/>
    <mergeCell ref="AJ26"/>
    <mergeCell ref="AK26"/>
    <mergeCell ref="AL26"/>
    <mergeCell ref="AB26"/>
    <mergeCell ref="AC26"/>
    <mergeCell ref="AD26"/>
    <mergeCell ref="AE26"/>
    <mergeCell ref="AI25"/>
    <mergeCell ref="AJ25"/>
    <mergeCell ref="AE25"/>
    <mergeCell ref="AF25"/>
    <mergeCell ref="A27"/>
    <mergeCell ref="B27"/>
    <mergeCell ref="C27"/>
    <mergeCell ref="D27"/>
    <mergeCell ref="E27"/>
    <mergeCell ref="AI27"/>
    <mergeCell ref="AJ27"/>
    <mergeCell ref="AK27"/>
    <mergeCell ref="AL27"/>
    <mergeCell ref="AM27"/>
    <mergeCell ref="AN27"/>
    <mergeCell ref="AC27"/>
    <mergeCell ref="AD27"/>
    <mergeCell ref="AE27"/>
    <mergeCell ref="AF27"/>
    <mergeCell ref="AG27"/>
    <mergeCell ref="AH27"/>
    <mergeCell ref="X27"/>
    <mergeCell ref="Y27"/>
    <mergeCell ref="Z27"/>
    <mergeCell ref="AA27"/>
    <mergeCell ref="AB27"/>
    <mergeCell ref="R27"/>
    <mergeCell ref="S27"/>
    <mergeCell ref="T27"/>
    <mergeCell ref="U27"/>
    <mergeCell ref="V27"/>
    <mergeCell ref="W27"/>
    <mergeCell ref="L27"/>
    <mergeCell ref="M27"/>
    <mergeCell ref="N27"/>
    <mergeCell ref="O27"/>
    <mergeCell ref="F28"/>
    <mergeCell ref="G28"/>
    <mergeCell ref="H28"/>
    <mergeCell ref="I28"/>
    <mergeCell ref="J28"/>
    <mergeCell ref="K28"/>
    <mergeCell ref="F27"/>
    <mergeCell ref="G27"/>
    <mergeCell ref="H27"/>
    <mergeCell ref="I27"/>
    <mergeCell ref="J27"/>
    <mergeCell ref="K27"/>
    <mergeCell ref="AS27"/>
    <mergeCell ref="AW26"/>
    <mergeCell ref="AX26"/>
    <mergeCell ref="AY26"/>
    <mergeCell ref="AZ26"/>
    <mergeCell ref="AV27"/>
    <mergeCell ref="AW27"/>
    <mergeCell ref="AX27"/>
    <mergeCell ref="AY27"/>
    <mergeCell ref="AF26"/>
    <mergeCell ref="X26"/>
    <mergeCell ref="Y26"/>
    <mergeCell ref="Z26"/>
    <mergeCell ref="AA26"/>
    <mergeCell ref="P27"/>
    <mergeCell ref="Q27"/>
    <mergeCell ref="F26"/>
    <mergeCell ref="G26"/>
    <mergeCell ref="H26"/>
    <mergeCell ref="I26"/>
    <mergeCell ref="AZ27"/>
    <mergeCell ref="A28"/>
    <mergeCell ref="B28"/>
    <mergeCell ref="C28"/>
    <mergeCell ref="D28"/>
    <mergeCell ref="E28"/>
    <mergeCell ref="AM28"/>
    <mergeCell ref="AN28"/>
    <mergeCell ref="AO28"/>
    <mergeCell ref="AP28"/>
    <mergeCell ref="AT27"/>
    <mergeCell ref="AU27"/>
    <mergeCell ref="AO27"/>
    <mergeCell ref="AP27"/>
    <mergeCell ref="AQ27"/>
    <mergeCell ref="AR27"/>
    <mergeCell ref="AC28"/>
    <mergeCell ref="AD28"/>
    <mergeCell ref="AE28"/>
    <mergeCell ref="AF28"/>
    <mergeCell ref="AG28"/>
    <mergeCell ref="AH28"/>
    <mergeCell ref="AX28"/>
    <mergeCell ref="AY28"/>
    <mergeCell ref="AZ28"/>
    <mergeCell ref="R28"/>
    <mergeCell ref="S28"/>
    <mergeCell ref="T28"/>
    <mergeCell ref="U28"/>
    <mergeCell ref="V28"/>
    <mergeCell ref="W28"/>
    <mergeCell ref="L28"/>
    <mergeCell ref="V29"/>
    <mergeCell ref="Z28"/>
    <mergeCell ref="AA28"/>
    <mergeCell ref="AB28"/>
    <mergeCell ref="X28"/>
    <mergeCell ref="Y28"/>
    <mergeCell ref="N29"/>
    <mergeCell ref="O29"/>
    <mergeCell ref="P29"/>
    <mergeCell ref="Q29"/>
    <mergeCell ref="R29"/>
    <mergeCell ref="S29"/>
    <mergeCell ref="H29"/>
    <mergeCell ref="I29"/>
    <mergeCell ref="J29"/>
    <mergeCell ref="K29"/>
    <mergeCell ref="L29"/>
    <mergeCell ref="M29"/>
    <mergeCell ref="Z29"/>
    <mergeCell ref="AA29"/>
    <mergeCell ref="AB29"/>
    <mergeCell ref="M28"/>
    <mergeCell ref="N28"/>
    <mergeCell ref="O28"/>
    <mergeCell ref="P28"/>
    <mergeCell ref="Q28"/>
    <mergeCell ref="C29"/>
    <mergeCell ref="D29"/>
    <mergeCell ref="E29"/>
    <mergeCell ref="F29"/>
    <mergeCell ref="G29"/>
    <mergeCell ref="AR28"/>
    <mergeCell ref="AS28"/>
    <mergeCell ref="AT28"/>
    <mergeCell ref="AU28"/>
    <mergeCell ref="AV28"/>
    <mergeCell ref="AW28"/>
    <mergeCell ref="AI29"/>
    <mergeCell ref="AJ29"/>
    <mergeCell ref="AK29"/>
    <mergeCell ref="AL29"/>
    <mergeCell ref="AM29"/>
    <mergeCell ref="AQ28"/>
    <mergeCell ref="AI28"/>
    <mergeCell ref="AJ28"/>
    <mergeCell ref="AK28"/>
    <mergeCell ref="AL28"/>
    <mergeCell ref="AC29"/>
    <mergeCell ref="AD29"/>
    <mergeCell ref="AE29"/>
    <mergeCell ref="AF29"/>
    <mergeCell ref="AG29"/>
    <mergeCell ref="AH29"/>
    <mergeCell ref="W29"/>
    <mergeCell ref="X29"/>
    <mergeCell ref="Y29"/>
    <mergeCell ref="T29"/>
    <mergeCell ref="U29"/>
    <mergeCell ref="L30"/>
    <mergeCell ref="M30"/>
    <mergeCell ref="N30"/>
    <mergeCell ref="O30"/>
    <mergeCell ref="AZ29"/>
    <mergeCell ref="A30"/>
    <mergeCell ref="B30"/>
    <mergeCell ref="C30"/>
    <mergeCell ref="D30"/>
    <mergeCell ref="E30"/>
    <mergeCell ref="F30"/>
    <mergeCell ref="G30"/>
    <mergeCell ref="H30"/>
    <mergeCell ref="I30"/>
    <mergeCell ref="AT29"/>
    <mergeCell ref="AU29"/>
    <mergeCell ref="AV29"/>
    <mergeCell ref="AW29"/>
    <mergeCell ref="AX29"/>
    <mergeCell ref="AY29"/>
    <mergeCell ref="AN29"/>
    <mergeCell ref="AO29"/>
    <mergeCell ref="AP29"/>
    <mergeCell ref="AQ29"/>
    <mergeCell ref="AR29"/>
    <mergeCell ref="AS29"/>
    <mergeCell ref="AA30"/>
    <mergeCell ref="AB30"/>
    <mergeCell ref="AC30"/>
    <mergeCell ref="AD30"/>
    <mergeCell ref="A29"/>
    <mergeCell ref="B29"/>
    <mergeCell ref="A31"/>
    <mergeCell ref="B31"/>
    <mergeCell ref="C31"/>
    <mergeCell ref="D31"/>
    <mergeCell ref="E31"/>
    <mergeCell ref="AP30"/>
    <mergeCell ref="AQ30"/>
    <mergeCell ref="AR30"/>
    <mergeCell ref="AS30"/>
    <mergeCell ref="AT30"/>
    <mergeCell ref="AU30"/>
    <mergeCell ref="AG31"/>
    <mergeCell ref="AK30"/>
    <mergeCell ref="AL30"/>
    <mergeCell ref="AM30"/>
    <mergeCell ref="AN30"/>
    <mergeCell ref="AO30"/>
    <mergeCell ref="AG30"/>
    <mergeCell ref="AH30"/>
    <mergeCell ref="AI30"/>
    <mergeCell ref="AJ30"/>
    <mergeCell ref="AE30"/>
    <mergeCell ref="AF30"/>
    <mergeCell ref="U30"/>
    <mergeCell ref="V30"/>
    <mergeCell ref="W30"/>
    <mergeCell ref="X30"/>
    <mergeCell ref="Y30"/>
    <mergeCell ref="Z30"/>
    <mergeCell ref="L31"/>
    <mergeCell ref="M31"/>
    <mergeCell ref="N31"/>
    <mergeCell ref="AN31"/>
    <mergeCell ref="AH31"/>
    <mergeCell ref="AC31"/>
    <mergeCell ref="AD31"/>
    <mergeCell ref="AE31"/>
    <mergeCell ref="AF31"/>
    <mergeCell ref="F31"/>
    <mergeCell ref="G31"/>
    <mergeCell ref="H31"/>
    <mergeCell ref="I31"/>
    <mergeCell ref="J31"/>
    <mergeCell ref="K31"/>
    <mergeCell ref="AV30"/>
    <mergeCell ref="AW30"/>
    <mergeCell ref="AX30"/>
    <mergeCell ref="AY30"/>
    <mergeCell ref="AZ30"/>
    <mergeCell ref="O31"/>
    <mergeCell ref="P31"/>
    <mergeCell ref="T30"/>
    <mergeCell ref="P30"/>
    <mergeCell ref="Q30"/>
    <mergeCell ref="R30"/>
    <mergeCell ref="S30"/>
    <mergeCell ref="W31"/>
    <mergeCell ref="X31"/>
    <mergeCell ref="Y31"/>
    <mergeCell ref="Z31"/>
    <mergeCell ref="AA31"/>
    <mergeCell ref="AB31"/>
    <mergeCell ref="J30"/>
    <mergeCell ref="K30"/>
    <mergeCell ref="O32"/>
    <mergeCell ref="P32"/>
    <mergeCell ref="Q32"/>
    <mergeCell ref="R32"/>
    <mergeCell ref="S32"/>
    <mergeCell ref="H32"/>
    <mergeCell ref="I32"/>
    <mergeCell ref="J32"/>
    <mergeCell ref="K32"/>
    <mergeCell ref="L32"/>
    <mergeCell ref="M32"/>
    <mergeCell ref="AU31"/>
    <mergeCell ref="AV31"/>
    <mergeCell ref="AW31"/>
    <mergeCell ref="AX31"/>
    <mergeCell ref="Q31"/>
    <mergeCell ref="R31"/>
    <mergeCell ref="S31"/>
    <mergeCell ref="T31"/>
    <mergeCell ref="U31"/>
    <mergeCell ref="V31"/>
    <mergeCell ref="AO31"/>
    <mergeCell ref="AP31"/>
    <mergeCell ref="AQ31"/>
    <mergeCell ref="AR31"/>
    <mergeCell ref="AS31"/>
    <mergeCell ref="AT31"/>
    <mergeCell ref="AI31"/>
    <mergeCell ref="AJ31"/>
    <mergeCell ref="AK31"/>
    <mergeCell ref="AL31"/>
    <mergeCell ref="AM31"/>
    <mergeCell ref="AY31"/>
    <mergeCell ref="AZ31"/>
    <mergeCell ref="A32"/>
    <mergeCell ref="B32"/>
    <mergeCell ref="C32"/>
    <mergeCell ref="D32"/>
    <mergeCell ref="E32"/>
    <mergeCell ref="F32"/>
    <mergeCell ref="G32"/>
    <mergeCell ref="AK32"/>
    <mergeCell ref="AL32"/>
    <mergeCell ref="AM32"/>
    <mergeCell ref="AN32"/>
    <mergeCell ref="AO32"/>
    <mergeCell ref="AP32"/>
    <mergeCell ref="AE32"/>
    <mergeCell ref="AF32"/>
    <mergeCell ref="AG32"/>
    <mergeCell ref="AH32"/>
    <mergeCell ref="AI32"/>
    <mergeCell ref="AJ32"/>
    <mergeCell ref="AX32"/>
    <mergeCell ref="AY32"/>
    <mergeCell ref="AZ32"/>
    <mergeCell ref="Z32"/>
    <mergeCell ref="T32"/>
    <mergeCell ref="U32"/>
    <mergeCell ref="V32"/>
    <mergeCell ref="W32"/>
    <mergeCell ref="X32"/>
    <mergeCell ref="Y32"/>
    <mergeCell ref="N32"/>
    <mergeCell ref="AO33"/>
    <mergeCell ref="AP33"/>
    <mergeCell ref="AQ33"/>
    <mergeCell ref="AR33"/>
    <mergeCell ref="AV32"/>
    <mergeCell ref="AW32"/>
    <mergeCell ref="AQ32"/>
    <mergeCell ref="AR32"/>
    <mergeCell ref="AS32"/>
    <mergeCell ref="AT32"/>
    <mergeCell ref="AE33"/>
    <mergeCell ref="AF33"/>
    <mergeCell ref="AG33"/>
    <mergeCell ref="AH33"/>
    <mergeCell ref="AI33"/>
    <mergeCell ref="AJ33"/>
    <mergeCell ref="T33"/>
    <mergeCell ref="U33"/>
    <mergeCell ref="V33"/>
    <mergeCell ref="W33"/>
    <mergeCell ref="X33"/>
    <mergeCell ref="Y33"/>
    <mergeCell ref="AA32"/>
    <mergeCell ref="AB32"/>
    <mergeCell ref="AC32"/>
    <mergeCell ref="AD32"/>
    <mergeCell ref="AN33"/>
    <mergeCell ref="AU32"/>
    <mergeCell ref="AB33"/>
    <mergeCell ref="AC33"/>
    <mergeCell ref="AD33"/>
    <mergeCell ref="Z33"/>
    <mergeCell ref="A33"/>
    <mergeCell ref="B33"/>
    <mergeCell ref="C33"/>
    <mergeCell ref="D33"/>
    <mergeCell ref="E33"/>
    <mergeCell ref="F33"/>
    <mergeCell ref="G33"/>
    <mergeCell ref="N33"/>
    <mergeCell ref="O33"/>
    <mergeCell ref="P33"/>
    <mergeCell ref="Q33"/>
    <mergeCell ref="R33"/>
    <mergeCell ref="S33"/>
    <mergeCell ref="H33"/>
    <mergeCell ref="I33"/>
    <mergeCell ref="J33"/>
    <mergeCell ref="K33"/>
    <mergeCell ref="L33"/>
    <mergeCell ref="M33"/>
    <mergeCell ref="AA33"/>
    <mergeCell ref="P34"/>
    <mergeCell ref="Q34"/>
    <mergeCell ref="R34"/>
    <mergeCell ref="S34"/>
    <mergeCell ref="T34"/>
    <mergeCell ref="U34"/>
    <mergeCell ref="J34"/>
    <mergeCell ref="K34"/>
    <mergeCell ref="L34"/>
    <mergeCell ref="M34"/>
    <mergeCell ref="N34"/>
    <mergeCell ref="O34"/>
    <mergeCell ref="Y34"/>
    <mergeCell ref="Z34"/>
    <mergeCell ref="AA34"/>
    <mergeCell ref="AB34"/>
    <mergeCell ref="X34"/>
    <mergeCell ref="AC34"/>
    <mergeCell ref="AD34"/>
    <mergeCell ref="AV34"/>
    <mergeCell ref="AW34"/>
    <mergeCell ref="AX34"/>
    <mergeCell ref="AY34"/>
    <mergeCell ref="AZ34"/>
    <mergeCell ref="AY35"/>
    <mergeCell ref="AZ35"/>
    <mergeCell ref="AZ33"/>
    <mergeCell ref="A34"/>
    <mergeCell ref="B34"/>
    <mergeCell ref="C34"/>
    <mergeCell ref="D34"/>
    <mergeCell ref="E34"/>
    <mergeCell ref="F34"/>
    <mergeCell ref="G34"/>
    <mergeCell ref="H34"/>
    <mergeCell ref="I34"/>
    <mergeCell ref="AT33"/>
    <mergeCell ref="AU33"/>
    <mergeCell ref="AV33"/>
    <mergeCell ref="AW33"/>
    <mergeCell ref="AX33"/>
    <mergeCell ref="AY33"/>
    <mergeCell ref="AK34"/>
    <mergeCell ref="AL34"/>
    <mergeCell ref="AM34"/>
    <mergeCell ref="AN34"/>
    <mergeCell ref="AO34"/>
    <mergeCell ref="AS33"/>
    <mergeCell ref="AK33"/>
    <mergeCell ref="AL33"/>
    <mergeCell ref="AM33"/>
    <mergeCell ref="C36"/>
    <mergeCell ref="D36"/>
    <mergeCell ref="E36"/>
    <mergeCell ref="F36"/>
    <mergeCell ref="AP34"/>
    <mergeCell ref="AQ34"/>
    <mergeCell ref="AR34"/>
    <mergeCell ref="AS34"/>
    <mergeCell ref="AT34"/>
    <mergeCell ref="AU34"/>
    <mergeCell ref="AC35"/>
    <mergeCell ref="AD35"/>
    <mergeCell ref="AE35"/>
    <mergeCell ref="AF35"/>
    <mergeCell ref="AG35"/>
    <mergeCell ref="AH35"/>
    <mergeCell ref="W35"/>
    <mergeCell ref="X35"/>
    <mergeCell ref="Y35"/>
    <mergeCell ref="Z35"/>
    <mergeCell ref="AA35"/>
    <mergeCell ref="AB35"/>
    <mergeCell ref="AE34"/>
    <mergeCell ref="AF34"/>
    <mergeCell ref="AG34"/>
    <mergeCell ref="AH34"/>
    <mergeCell ref="AI34"/>
    <mergeCell ref="AJ34"/>
    <mergeCell ref="V34"/>
    <mergeCell ref="W34"/>
    <mergeCell ref="V35"/>
    <mergeCell ref="R35"/>
    <mergeCell ref="S35"/>
    <mergeCell ref="T35"/>
    <mergeCell ref="U35"/>
    <mergeCell ref="H36"/>
    <mergeCell ref="I36"/>
    <mergeCell ref="J36"/>
    <mergeCell ref="K36"/>
    <mergeCell ref="L36"/>
    <mergeCell ref="M36"/>
    <mergeCell ref="AX35"/>
    <mergeCell ref="AX36"/>
    <mergeCell ref="A35"/>
    <mergeCell ref="B35"/>
    <mergeCell ref="C35"/>
    <mergeCell ref="D35"/>
    <mergeCell ref="E35"/>
    <mergeCell ref="L35"/>
    <mergeCell ref="M35"/>
    <mergeCell ref="N35"/>
    <mergeCell ref="O35"/>
    <mergeCell ref="P35"/>
    <mergeCell ref="Q35"/>
    <mergeCell ref="F35"/>
    <mergeCell ref="G35"/>
    <mergeCell ref="H35"/>
    <mergeCell ref="I35"/>
    <mergeCell ref="J35"/>
    <mergeCell ref="K35"/>
    <mergeCell ref="A36"/>
    <mergeCell ref="B36"/>
    <mergeCell ref="AR35"/>
    <mergeCell ref="AS35"/>
    <mergeCell ref="AT35"/>
    <mergeCell ref="AU35"/>
    <mergeCell ref="AV35"/>
    <mergeCell ref="AW35"/>
    <mergeCell ref="AI36"/>
    <mergeCell ref="AM35"/>
    <mergeCell ref="AN35"/>
    <mergeCell ref="AO35"/>
    <mergeCell ref="AP35"/>
    <mergeCell ref="AQ35"/>
    <mergeCell ref="AI35"/>
    <mergeCell ref="AJ35"/>
    <mergeCell ref="AK35"/>
    <mergeCell ref="AL35"/>
    <mergeCell ref="AC36"/>
    <mergeCell ref="AD36"/>
    <mergeCell ref="AE36"/>
    <mergeCell ref="AF36"/>
    <mergeCell ref="AG36"/>
    <mergeCell ref="AH36"/>
    <mergeCell ref="AW36"/>
    <mergeCell ref="A37"/>
    <mergeCell ref="B37"/>
    <mergeCell ref="C37"/>
    <mergeCell ref="D37"/>
    <mergeCell ref="E37"/>
    <mergeCell ref="F37"/>
    <mergeCell ref="Y37"/>
    <mergeCell ref="Z37"/>
    <mergeCell ref="AA37"/>
    <mergeCell ref="AB37"/>
    <mergeCell ref="AC37"/>
    <mergeCell ref="AD37"/>
    <mergeCell ref="AY36"/>
    <mergeCell ref="AZ36"/>
    <mergeCell ref="S36"/>
    <mergeCell ref="T36"/>
    <mergeCell ref="U36"/>
    <mergeCell ref="V36"/>
    <mergeCell ref="W36"/>
    <mergeCell ref="X36"/>
    <mergeCell ref="AQ36"/>
    <mergeCell ref="AR36"/>
    <mergeCell ref="AS36"/>
    <mergeCell ref="AT36"/>
    <mergeCell ref="AU36"/>
    <mergeCell ref="AV36"/>
    <mergeCell ref="AK36"/>
    <mergeCell ref="AL36"/>
    <mergeCell ref="AM36"/>
    <mergeCell ref="AN36"/>
    <mergeCell ref="AO36"/>
    <mergeCell ref="AP36"/>
    <mergeCell ref="AO37"/>
    <mergeCell ref="AP37"/>
    <mergeCell ref="M37"/>
    <mergeCell ref="N37"/>
    <mergeCell ref="O37"/>
    <mergeCell ref="P37"/>
    <mergeCell ref="Q37"/>
    <mergeCell ref="AJ36"/>
    <mergeCell ref="Y36"/>
    <mergeCell ref="Z36"/>
    <mergeCell ref="AA36"/>
    <mergeCell ref="AB36"/>
    <mergeCell ref="G37"/>
    <mergeCell ref="H37"/>
    <mergeCell ref="I37"/>
    <mergeCell ref="J37"/>
    <mergeCell ref="K37"/>
    <mergeCell ref="L37"/>
    <mergeCell ref="P36"/>
    <mergeCell ref="Q36"/>
    <mergeCell ref="R36"/>
    <mergeCell ref="AG37"/>
    <mergeCell ref="AH37"/>
    <mergeCell ref="G36"/>
    <mergeCell ref="N36"/>
    <mergeCell ref="O36"/>
    <mergeCell ref="R38"/>
    <mergeCell ref="S38"/>
    <mergeCell ref="T38"/>
    <mergeCell ref="U38"/>
    <mergeCell ref="V38"/>
    <mergeCell ref="W38"/>
    <mergeCell ref="L38"/>
    <mergeCell ref="M38"/>
    <mergeCell ref="N38"/>
    <mergeCell ref="O38"/>
    <mergeCell ref="P38"/>
    <mergeCell ref="Q38"/>
    <mergeCell ref="AW37"/>
    <mergeCell ref="AX37"/>
    <mergeCell ref="AY37"/>
    <mergeCell ref="R37"/>
    <mergeCell ref="S37"/>
    <mergeCell ref="T37"/>
    <mergeCell ref="U37"/>
    <mergeCell ref="V37"/>
    <mergeCell ref="W37"/>
    <mergeCell ref="X37"/>
    <mergeCell ref="AQ37"/>
    <mergeCell ref="AR37"/>
    <mergeCell ref="AS37"/>
    <mergeCell ref="AT37"/>
    <mergeCell ref="AU37"/>
    <mergeCell ref="AV37"/>
    <mergeCell ref="AK37"/>
    <mergeCell ref="AL37"/>
    <mergeCell ref="AM37"/>
    <mergeCell ref="AN37"/>
    <mergeCell ref="J38"/>
    <mergeCell ref="K38"/>
    <mergeCell ref="AS38"/>
    <mergeCell ref="AT38"/>
    <mergeCell ref="AU38"/>
    <mergeCell ref="AV38"/>
    <mergeCell ref="AZ37"/>
    <mergeCell ref="A38"/>
    <mergeCell ref="B38"/>
    <mergeCell ref="C38"/>
    <mergeCell ref="D38"/>
    <mergeCell ref="E38"/>
    <mergeCell ref="AM38"/>
    <mergeCell ref="AN38"/>
    <mergeCell ref="AO38"/>
    <mergeCell ref="AP38"/>
    <mergeCell ref="AQ38"/>
    <mergeCell ref="AR38"/>
    <mergeCell ref="AG38"/>
    <mergeCell ref="AH38"/>
    <mergeCell ref="AI38"/>
    <mergeCell ref="AJ38"/>
    <mergeCell ref="AK38"/>
    <mergeCell ref="AL38"/>
    <mergeCell ref="AB38"/>
    <mergeCell ref="AC38"/>
    <mergeCell ref="AD38"/>
    <mergeCell ref="AE38"/>
    <mergeCell ref="AI37"/>
    <mergeCell ref="AJ37"/>
    <mergeCell ref="AE37"/>
    <mergeCell ref="AF37"/>
    <mergeCell ref="A39"/>
    <mergeCell ref="B39"/>
    <mergeCell ref="C39"/>
    <mergeCell ref="D39"/>
    <mergeCell ref="E39"/>
    <mergeCell ref="AI39"/>
    <mergeCell ref="AJ39"/>
    <mergeCell ref="AK39"/>
    <mergeCell ref="AL39"/>
    <mergeCell ref="AM39"/>
    <mergeCell ref="AN39"/>
    <mergeCell ref="AC39"/>
    <mergeCell ref="AD39"/>
    <mergeCell ref="AE39"/>
    <mergeCell ref="AF39"/>
    <mergeCell ref="AG39"/>
    <mergeCell ref="AH39"/>
    <mergeCell ref="X39"/>
    <mergeCell ref="Y39"/>
    <mergeCell ref="Z39"/>
    <mergeCell ref="AA39"/>
    <mergeCell ref="AB39"/>
    <mergeCell ref="R39"/>
    <mergeCell ref="S39"/>
    <mergeCell ref="T39"/>
    <mergeCell ref="U39"/>
    <mergeCell ref="V39"/>
    <mergeCell ref="W39"/>
    <mergeCell ref="L39"/>
    <mergeCell ref="M39"/>
    <mergeCell ref="N39"/>
    <mergeCell ref="O39"/>
    <mergeCell ref="F40"/>
    <mergeCell ref="G40"/>
    <mergeCell ref="H40"/>
    <mergeCell ref="I40"/>
    <mergeCell ref="J40"/>
    <mergeCell ref="K40"/>
    <mergeCell ref="F39"/>
    <mergeCell ref="G39"/>
    <mergeCell ref="H39"/>
    <mergeCell ref="I39"/>
    <mergeCell ref="J39"/>
    <mergeCell ref="K39"/>
    <mergeCell ref="AS39"/>
    <mergeCell ref="AW38"/>
    <mergeCell ref="AX38"/>
    <mergeCell ref="AY38"/>
    <mergeCell ref="AZ38"/>
    <mergeCell ref="AV39"/>
    <mergeCell ref="AW39"/>
    <mergeCell ref="AX39"/>
    <mergeCell ref="AY39"/>
    <mergeCell ref="AF38"/>
    <mergeCell ref="X38"/>
    <mergeCell ref="Y38"/>
    <mergeCell ref="Z38"/>
    <mergeCell ref="AA38"/>
    <mergeCell ref="P39"/>
    <mergeCell ref="Q39"/>
    <mergeCell ref="F38"/>
    <mergeCell ref="G38"/>
    <mergeCell ref="H38"/>
    <mergeCell ref="I38"/>
    <mergeCell ref="AZ39"/>
    <mergeCell ref="A40"/>
    <mergeCell ref="B40"/>
    <mergeCell ref="C40"/>
    <mergeCell ref="D40"/>
    <mergeCell ref="E40"/>
    <mergeCell ref="AM40"/>
    <mergeCell ref="AN40"/>
    <mergeCell ref="AO40"/>
    <mergeCell ref="AP40"/>
    <mergeCell ref="AT39"/>
    <mergeCell ref="AU39"/>
    <mergeCell ref="AO39"/>
    <mergeCell ref="AP39"/>
    <mergeCell ref="AQ39"/>
    <mergeCell ref="AR39"/>
    <mergeCell ref="AC40"/>
    <mergeCell ref="AD40"/>
    <mergeCell ref="AE40"/>
    <mergeCell ref="AF40"/>
    <mergeCell ref="AG40"/>
    <mergeCell ref="AH40"/>
    <mergeCell ref="AX40"/>
    <mergeCell ref="AY40"/>
    <mergeCell ref="AZ40"/>
    <mergeCell ref="R40"/>
    <mergeCell ref="S40"/>
    <mergeCell ref="T40"/>
    <mergeCell ref="U40"/>
    <mergeCell ref="V40"/>
    <mergeCell ref="W40"/>
    <mergeCell ref="L40"/>
    <mergeCell ref="V41"/>
    <mergeCell ref="Z40"/>
    <mergeCell ref="AA40"/>
    <mergeCell ref="AB40"/>
    <mergeCell ref="X40"/>
    <mergeCell ref="Y40"/>
    <mergeCell ref="N41"/>
    <mergeCell ref="O41"/>
    <mergeCell ref="P41"/>
    <mergeCell ref="Q41"/>
    <mergeCell ref="R41"/>
    <mergeCell ref="S41"/>
    <mergeCell ref="H41"/>
    <mergeCell ref="I41"/>
    <mergeCell ref="J41"/>
    <mergeCell ref="K41"/>
    <mergeCell ref="L41"/>
    <mergeCell ref="M41"/>
    <mergeCell ref="Z41"/>
    <mergeCell ref="AA41"/>
    <mergeCell ref="AB41"/>
    <mergeCell ref="M40"/>
    <mergeCell ref="N40"/>
    <mergeCell ref="O40"/>
    <mergeCell ref="P40"/>
    <mergeCell ref="Q40"/>
    <mergeCell ref="C41"/>
    <mergeCell ref="D41"/>
    <mergeCell ref="E41"/>
    <mergeCell ref="F41"/>
    <mergeCell ref="G41"/>
    <mergeCell ref="AR40"/>
    <mergeCell ref="AS40"/>
    <mergeCell ref="AT40"/>
    <mergeCell ref="AU40"/>
    <mergeCell ref="AV40"/>
    <mergeCell ref="AW40"/>
    <mergeCell ref="AI41"/>
    <mergeCell ref="AJ41"/>
    <mergeCell ref="AK41"/>
    <mergeCell ref="AL41"/>
    <mergeCell ref="AM41"/>
    <mergeCell ref="AQ40"/>
    <mergeCell ref="AI40"/>
    <mergeCell ref="AJ40"/>
    <mergeCell ref="AK40"/>
    <mergeCell ref="AL40"/>
    <mergeCell ref="AC41"/>
    <mergeCell ref="AD41"/>
    <mergeCell ref="AE41"/>
    <mergeCell ref="AF41"/>
    <mergeCell ref="AG41"/>
    <mergeCell ref="AH41"/>
    <mergeCell ref="W41"/>
    <mergeCell ref="X41"/>
    <mergeCell ref="Y41"/>
    <mergeCell ref="T41"/>
    <mergeCell ref="U41"/>
    <mergeCell ref="L42"/>
    <mergeCell ref="M42"/>
    <mergeCell ref="N42"/>
    <mergeCell ref="O42"/>
    <mergeCell ref="AZ41"/>
    <mergeCell ref="A42"/>
    <mergeCell ref="B42"/>
    <mergeCell ref="C42"/>
    <mergeCell ref="D42"/>
    <mergeCell ref="E42"/>
    <mergeCell ref="F42"/>
    <mergeCell ref="G42"/>
    <mergeCell ref="H42"/>
    <mergeCell ref="I42"/>
    <mergeCell ref="AT41"/>
    <mergeCell ref="AU41"/>
    <mergeCell ref="AV41"/>
    <mergeCell ref="AW41"/>
    <mergeCell ref="AX41"/>
    <mergeCell ref="AY41"/>
    <mergeCell ref="AN41"/>
    <mergeCell ref="AO41"/>
    <mergeCell ref="AP41"/>
    <mergeCell ref="AQ41"/>
    <mergeCell ref="AR41"/>
    <mergeCell ref="AS41"/>
    <mergeCell ref="AA42"/>
    <mergeCell ref="AB42"/>
    <mergeCell ref="AC42"/>
    <mergeCell ref="AD42"/>
    <mergeCell ref="A41"/>
    <mergeCell ref="B41"/>
    <mergeCell ref="A43"/>
    <mergeCell ref="B43"/>
    <mergeCell ref="C43"/>
    <mergeCell ref="D43"/>
    <mergeCell ref="E43"/>
    <mergeCell ref="AP42"/>
    <mergeCell ref="AQ42"/>
    <mergeCell ref="AR42"/>
    <mergeCell ref="AS42"/>
    <mergeCell ref="AT42"/>
    <mergeCell ref="AU42"/>
    <mergeCell ref="AG43"/>
    <mergeCell ref="AK42"/>
    <mergeCell ref="AL42"/>
    <mergeCell ref="AM42"/>
    <mergeCell ref="AN42"/>
    <mergeCell ref="AO42"/>
    <mergeCell ref="AG42"/>
    <mergeCell ref="AH42"/>
    <mergeCell ref="AI42"/>
    <mergeCell ref="AJ42"/>
    <mergeCell ref="AE42"/>
    <mergeCell ref="AF42"/>
    <mergeCell ref="U42"/>
    <mergeCell ref="V42"/>
    <mergeCell ref="W42"/>
    <mergeCell ref="X42"/>
    <mergeCell ref="Y42"/>
    <mergeCell ref="Z42"/>
    <mergeCell ref="L43"/>
    <mergeCell ref="M43"/>
    <mergeCell ref="N43"/>
    <mergeCell ref="AN43"/>
    <mergeCell ref="AH43"/>
    <mergeCell ref="AC43"/>
    <mergeCell ref="AD43"/>
    <mergeCell ref="AE43"/>
    <mergeCell ref="AF43"/>
    <mergeCell ref="F43"/>
    <mergeCell ref="G43"/>
    <mergeCell ref="H43"/>
    <mergeCell ref="I43"/>
    <mergeCell ref="J43"/>
    <mergeCell ref="K43"/>
    <mergeCell ref="AV42"/>
    <mergeCell ref="AW42"/>
    <mergeCell ref="AX42"/>
    <mergeCell ref="AY42"/>
    <mergeCell ref="AZ42"/>
    <mergeCell ref="O43"/>
    <mergeCell ref="P43"/>
    <mergeCell ref="T42"/>
    <mergeCell ref="P42"/>
    <mergeCell ref="Q42"/>
    <mergeCell ref="R42"/>
    <mergeCell ref="S42"/>
    <mergeCell ref="W43"/>
    <mergeCell ref="X43"/>
    <mergeCell ref="Y43"/>
    <mergeCell ref="Z43"/>
    <mergeCell ref="AA43"/>
    <mergeCell ref="AB43"/>
    <mergeCell ref="J42"/>
    <mergeCell ref="K42"/>
    <mergeCell ref="O44"/>
    <mergeCell ref="P44"/>
    <mergeCell ref="Q44"/>
    <mergeCell ref="R44"/>
    <mergeCell ref="S44"/>
    <mergeCell ref="H44"/>
    <mergeCell ref="I44"/>
    <mergeCell ref="J44"/>
    <mergeCell ref="K44"/>
    <mergeCell ref="L44"/>
    <mergeCell ref="M44"/>
    <mergeCell ref="AU43"/>
    <mergeCell ref="AV43"/>
    <mergeCell ref="AW43"/>
    <mergeCell ref="AX43"/>
    <mergeCell ref="Q43"/>
    <mergeCell ref="R43"/>
    <mergeCell ref="S43"/>
    <mergeCell ref="T43"/>
    <mergeCell ref="U43"/>
    <mergeCell ref="V43"/>
    <mergeCell ref="AO43"/>
    <mergeCell ref="AP43"/>
    <mergeCell ref="AQ43"/>
    <mergeCell ref="AR43"/>
    <mergeCell ref="AS43"/>
    <mergeCell ref="AT43"/>
    <mergeCell ref="AI43"/>
    <mergeCell ref="AJ43"/>
    <mergeCell ref="AK43"/>
    <mergeCell ref="AL43"/>
    <mergeCell ref="AM43"/>
    <mergeCell ref="AY43"/>
    <mergeCell ref="AZ43"/>
    <mergeCell ref="A44"/>
    <mergeCell ref="B44"/>
    <mergeCell ref="C44"/>
    <mergeCell ref="D44"/>
    <mergeCell ref="E44"/>
    <mergeCell ref="F44"/>
    <mergeCell ref="G44"/>
    <mergeCell ref="AK44"/>
    <mergeCell ref="AL44"/>
    <mergeCell ref="AM44"/>
    <mergeCell ref="AN44"/>
    <mergeCell ref="AO44"/>
    <mergeCell ref="AP44"/>
    <mergeCell ref="AE44"/>
    <mergeCell ref="AF44"/>
    <mergeCell ref="AG44"/>
    <mergeCell ref="AH44"/>
    <mergeCell ref="AI44"/>
    <mergeCell ref="AJ44"/>
    <mergeCell ref="AX44"/>
    <mergeCell ref="AY44"/>
    <mergeCell ref="AZ44"/>
    <mergeCell ref="Z44"/>
    <mergeCell ref="T44"/>
    <mergeCell ref="U44"/>
    <mergeCell ref="V44"/>
    <mergeCell ref="W44"/>
    <mergeCell ref="X44"/>
    <mergeCell ref="Y44"/>
    <mergeCell ref="N44"/>
    <mergeCell ref="AO45"/>
    <mergeCell ref="AP45"/>
    <mergeCell ref="AQ45"/>
    <mergeCell ref="AR45"/>
    <mergeCell ref="AV44"/>
    <mergeCell ref="AW44"/>
    <mergeCell ref="AQ44"/>
    <mergeCell ref="AR44"/>
    <mergeCell ref="AS44"/>
    <mergeCell ref="AT44"/>
    <mergeCell ref="AE45"/>
    <mergeCell ref="AF45"/>
    <mergeCell ref="AG45"/>
    <mergeCell ref="AH45"/>
    <mergeCell ref="AI45"/>
    <mergeCell ref="AJ45"/>
    <mergeCell ref="T45"/>
    <mergeCell ref="U45"/>
    <mergeCell ref="V45"/>
    <mergeCell ref="W45"/>
    <mergeCell ref="X45"/>
    <mergeCell ref="Y45"/>
    <mergeCell ref="AA44"/>
    <mergeCell ref="AB44"/>
    <mergeCell ref="AC44"/>
    <mergeCell ref="AD44"/>
    <mergeCell ref="AN45"/>
    <mergeCell ref="AU44"/>
    <mergeCell ref="A45"/>
    <mergeCell ref="B45"/>
    <mergeCell ref="C45"/>
    <mergeCell ref="D45"/>
    <mergeCell ref="E45"/>
    <mergeCell ref="F45"/>
    <mergeCell ref="G45"/>
    <mergeCell ref="N45"/>
    <mergeCell ref="O45"/>
    <mergeCell ref="P45"/>
    <mergeCell ref="Q45"/>
    <mergeCell ref="R45"/>
    <mergeCell ref="S45"/>
    <mergeCell ref="H45"/>
    <mergeCell ref="I45"/>
    <mergeCell ref="J45"/>
    <mergeCell ref="K45"/>
    <mergeCell ref="L45"/>
    <mergeCell ref="M45"/>
    <mergeCell ref="V46"/>
    <mergeCell ref="W46"/>
    <mergeCell ref="X46"/>
    <mergeCell ref="AB45"/>
    <mergeCell ref="AC45"/>
    <mergeCell ref="AD45"/>
    <mergeCell ref="Z45"/>
    <mergeCell ref="AA45"/>
    <mergeCell ref="P46"/>
    <mergeCell ref="Q46"/>
    <mergeCell ref="R46"/>
    <mergeCell ref="S46"/>
    <mergeCell ref="T46"/>
    <mergeCell ref="U46"/>
    <mergeCell ref="J46"/>
    <mergeCell ref="K46"/>
    <mergeCell ref="L46"/>
    <mergeCell ref="M46"/>
    <mergeCell ref="N46"/>
    <mergeCell ref="O46"/>
    <mergeCell ref="Y46"/>
    <mergeCell ref="Z46"/>
    <mergeCell ref="AA46"/>
    <mergeCell ref="AB46"/>
    <mergeCell ref="AC46"/>
    <mergeCell ref="AD46"/>
    <mergeCell ref="AV46"/>
    <mergeCell ref="AW46"/>
    <mergeCell ref="AX46"/>
    <mergeCell ref="AY46"/>
    <mergeCell ref="AZ46"/>
    <mergeCell ref="AY47"/>
    <mergeCell ref="AZ47"/>
    <mergeCell ref="AZ45"/>
    <mergeCell ref="A46"/>
    <mergeCell ref="B46"/>
    <mergeCell ref="C46"/>
    <mergeCell ref="D46"/>
    <mergeCell ref="E46"/>
    <mergeCell ref="F46"/>
    <mergeCell ref="G46"/>
    <mergeCell ref="H46"/>
    <mergeCell ref="I46"/>
    <mergeCell ref="AT45"/>
    <mergeCell ref="AU45"/>
    <mergeCell ref="AV45"/>
    <mergeCell ref="AW45"/>
    <mergeCell ref="AX45"/>
    <mergeCell ref="AY45"/>
    <mergeCell ref="AK46"/>
    <mergeCell ref="AL46"/>
    <mergeCell ref="AM46"/>
    <mergeCell ref="AN46"/>
    <mergeCell ref="AO46"/>
    <mergeCell ref="AS45"/>
    <mergeCell ref="AK45"/>
    <mergeCell ref="AL45"/>
    <mergeCell ref="AM45"/>
    <mergeCell ref="AP46"/>
    <mergeCell ref="AQ46"/>
    <mergeCell ref="AR46"/>
    <mergeCell ref="AS46"/>
    <mergeCell ref="AT46"/>
    <mergeCell ref="AU46"/>
    <mergeCell ref="AC47"/>
    <mergeCell ref="AD47"/>
    <mergeCell ref="AE47"/>
    <mergeCell ref="AF47"/>
    <mergeCell ref="AG47"/>
    <mergeCell ref="AH47"/>
    <mergeCell ref="W47"/>
    <mergeCell ref="X47"/>
    <mergeCell ref="Y47"/>
    <mergeCell ref="Z47"/>
    <mergeCell ref="AA47"/>
    <mergeCell ref="AB47"/>
    <mergeCell ref="AT47"/>
    <mergeCell ref="AU47"/>
    <mergeCell ref="AE46"/>
    <mergeCell ref="AF46"/>
    <mergeCell ref="AG46"/>
    <mergeCell ref="AH46"/>
    <mergeCell ref="AI46"/>
    <mergeCell ref="AJ46"/>
    <mergeCell ref="V47"/>
    <mergeCell ref="R47"/>
    <mergeCell ref="S47"/>
    <mergeCell ref="T47"/>
    <mergeCell ref="U47"/>
    <mergeCell ref="H48"/>
    <mergeCell ref="I48"/>
    <mergeCell ref="J48"/>
    <mergeCell ref="K48"/>
    <mergeCell ref="L48"/>
    <mergeCell ref="M48"/>
    <mergeCell ref="AX47"/>
    <mergeCell ref="AX48"/>
    <mergeCell ref="A47"/>
    <mergeCell ref="B47"/>
    <mergeCell ref="C47"/>
    <mergeCell ref="D47"/>
    <mergeCell ref="E47"/>
    <mergeCell ref="L47"/>
    <mergeCell ref="M47"/>
    <mergeCell ref="N47"/>
    <mergeCell ref="O47"/>
    <mergeCell ref="P47"/>
    <mergeCell ref="Q47"/>
    <mergeCell ref="F47"/>
    <mergeCell ref="G47"/>
    <mergeCell ref="H47"/>
    <mergeCell ref="I47"/>
    <mergeCell ref="J47"/>
    <mergeCell ref="K47"/>
    <mergeCell ref="AR47"/>
    <mergeCell ref="AS47"/>
    <mergeCell ref="AV47"/>
    <mergeCell ref="AW47"/>
    <mergeCell ref="AI48"/>
    <mergeCell ref="AM47"/>
    <mergeCell ref="AN47"/>
    <mergeCell ref="AO47"/>
    <mergeCell ref="AP47"/>
    <mergeCell ref="AQ47"/>
    <mergeCell ref="AI47"/>
    <mergeCell ref="AJ47"/>
    <mergeCell ref="AK47"/>
    <mergeCell ref="AL47"/>
    <mergeCell ref="AC48"/>
    <mergeCell ref="AD48"/>
    <mergeCell ref="AE48"/>
    <mergeCell ref="AF48"/>
    <mergeCell ref="AG48"/>
    <mergeCell ref="AH48"/>
    <mergeCell ref="AW48"/>
    <mergeCell ref="AZ48"/>
    <mergeCell ref="S48"/>
    <mergeCell ref="T48"/>
    <mergeCell ref="U48"/>
    <mergeCell ref="V48"/>
    <mergeCell ref="W48"/>
    <mergeCell ref="X48"/>
    <mergeCell ref="AQ48"/>
    <mergeCell ref="AR48"/>
    <mergeCell ref="AS48"/>
    <mergeCell ref="AT48"/>
    <mergeCell ref="AU48"/>
    <mergeCell ref="AV48"/>
    <mergeCell ref="AK48"/>
    <mergeCell ref="AL48"/>
    <mergeCell ref="AM48"/>
    <mergeCell ref="AN48"/>
    <mergeCell ref="AO48"/>
    <mergeCell ref="AP48"/>
    <mergeCell ref="A49"/>
    <mergeCell ref="B49"/>
    <mergeCell ref="C49"/>
    <mergeCell ref="D49"/>
    <mergeCell ref="E49"/>
    <mergeCell ref="F49"/>
    <mergeCell ref="AC49"/>
    <mergeCell ref="AD49"/>
    <mergeCell ref="AE49"/>
    <mergeCell ref="AF49"/>
    <mergeCell ref="AG49"/>
    <mergeCell ref="AH49"/>
    <mergeCell ref="W49"/>
    <mergeCell ref="X49"/>
    <mergeCell ref="Y49"/>
    <mergeCell ref="Z49"/>
    <mergeCell ref="AY48"/>
    <mergeCell ref="A48"/>
    <mergeCell ref="B48"/>
    <mergeCell ref="C48"/>
    <mergeCell ref="D48"/>
    <mergeCell ref="E48"/>
    <mergeCell ref="F48"/>
    <mergeCell ref="G48"/>
    <mergeCell ref="N48"/>
    <mergeCell ref="O48"/>
    <mergeCell ref="P48"/>
    <mergeCell ref="Q48"/>
    <mergeCell ref="R48"/>
    <mergeCell ref="AN49"/>
    <mergeCell ref="M49"/>
    <mergeCell ref="N49"/>
    <mergeCell ref="O49"/>
    <mergeCell ref="P49"/>
    <mergeCell ref="Q49"/>
    <mergeCell ref="AJ48"/>
    <mergeCell ref="Y48"/>
    <mergeCell ref="Z48"/>
    <mergeCell ref="AA48"/>
    <mergeCell ref="AB48"/>
    <mergeCell ref="G49"/>
    <mergeCell ref="H49"/>
    <mergeCell ref="I49"/>
    <mergeCell ref="J49"/>
    <mergeCell ref="K49"/>
    <mergeCell ref="L49"/>
    <mergeCell ref="S50"/>
    <mergeCell ref="T50"/>
    <mergeCell ref="U50"/>
    <mergeCell ref="J50"/>
    <mergeCell ref="K50"/>
    <mergeCell ref="L50"/>
    <mergeCell ref="M50"/>
    <mergeCell ref="N50"/>
    <mergeCell ref="O50"/>
    <mergeCell ref="AA49"/>
    <mergeCell ref="AB49"/>
    <mergeCell ref="AU49"/>
    <mergeCell ref="AV49"/>
    <mergeCell ref="AW49"/>
    <mergeCell ref="AX49"/>
    <mergeCell ref="AY49"/>
    <mergeCell ref="R49"/>
    <mergeCell ref="S49"/>
    <mergeCell ref="T49"/>
    <mergeCell ref="U49"/>
    <mergeCell ref="V49"/>
    <mergeCell ref="AO49"/>
    <mergeCell ref="AP49"/>
    <mergeCell ref="AQ49"/>
    <mergeCell ref="AR49"/>
    <mergeCell ref="AS49"/>
    <mergeCell ref="AT49"/>
    <mergeCell ref="AI49"/>
    <mergeCell ref="AJ49"/>
    <mergeCell ref="AK49"/>
    <mergeCell ref="AL49"/>
    <mergeCell ref="AM49"/>
    <mergeCell ref="AZ49"/>
    <mergeCell ref="A50"/>
    <mergeCell ref="B50"/>
    <mergeCell ref="C50"/>
    <mergeCell ref="D50"/>
    <mergeCell ref="E50"/>
    <mergeCell ref="F50"/>
    <mergeCell ref="G50"/>
    <mergeCell ref="H50"/>
    <mergeCell ref="I50"/>
    <mergeCell ref="AN50"/>
    <mergeCell ref="AO50"/>
    <mergeCell ref="AP50"/>
    <mergeCell ref="AQ50"/>
    <mergeCell ref="AR50"/>
    <mergeCell ref="AS50"/>
    <mergeCell ref="AH50"/>
    <mergeCell ref="AI50"/>
    <mergeCell ref="AJ50"/>
    <mergeCell ref="AK50"/>
    <mergeCell ref="AL50"/>
    <mergeCell ref="AM50"/>
    <mergeCell ref="AZ50"/>
    <mergeCell ref="V50"/>
    <mergeCell ref="W50"/>
    <mergeCell ref="X50"/>
    <mergeCell ref="Y50"/>
    <mergeCell ref="Z50"/>
    <mergeCell ref="AA50"/>
    <mergeCell ref="P50"/>
    <mergeCell ref="Q50"/>
    <mergeCell ref="R50"/>
    <mergeCell ref="A51"/>
    <mergeCell ref="B51"/>
    <mergeCell ref="C51"/>
    <mergeCell ref="D51"/>
    <mergeCell ref="E51"/>
    <mergeCell ref="F51"/>
    <mergeCell ref="AR51"/>
    <mergeCell ref="AS51"/>
    <mergeCell ref="AW50"/>
    <mergeCell ref="AX50"/>
    <mergeCell ref="AY50"/>
    <mergeCell ref="AT50"/>
    <mergeCell ref="AU50"/>
    <mergeCell ref="AV50"/>
    <mergeCell ref="AL51"/>
    <mergeCell ref="AM51"/>
    <mergeCell ref="AN51"/>
    <mergeCell ref="AO51"/>
    <mergeCell ref="AP51"/>
    <mergeCell ref="AQ51"/>
    <mergeCell ref="Y51"/>
    <mergeCell ref="Z51"/>
    <mergeCell ref="AA51"/>
    <mergeCell ref="AB51"/>
    <mergeCell ref="AF50"/>
    <mergeCell ref="AG50"/>
    <mergeCell ref="AB50"/>
    <mergeCell ref="AC50"/>
    <mergeCell ref="AD50"/>
    <mergeCell ref="AE50"/>
    <mergeCell ref="S51"/>
    <mergeCell ref="T51"/>
    <mergeCell ref="AZ51"/>
    <mergeCell ref="AC51"/>
    <mergeCell ref="AD51"/>
    <mergeCell ref="AE51"/>
    <mergeCell ref="AF51"/>
    <mergeCell ref="AG51"/>
    <mergeCell ref="AH51"/>
    <mergeCell ref="AI51"/>
    <mergeCell ref="AJ51"/>
    <mergeCell ref="AK51"/>
    <mergeCell ref="AT51"/>
    <mergeCell ref="AU51"/>
    <mergeCell ref="AV51"/>
    <mergeCell ref="AW51"/>
    <mergeCell ref="AX51"/>
    <mergeCell ref="AY51"/>
    <mergeCell ref="G51"/>
    <mergeCell ref="H51"/>
    <mergeCell ref="I51"/>
    <mergeCell ref="J51"/>
    <mergeCell ref="K51"/>
    <mergeCell ref="L51"/>
    <mergeCell ref="U51"/>
    <mergeCell ref="V51"/>
    <mergeCell ref="W51"/>
    <mergeCell ref="X51"/>
    <mergeCell ref="M51"/>
    <mergeCell ref="N51"/>
    <mergeCell ref="O51"/>
    <mergeCell ref="P51"/>
    <mergeCell ref="Q51"/>
    <mergeCell ref="R51"/>
  </mergeCells>
  <phoneticPr fontId="273"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E1" sqref="E1"/>
    </sheetView>
  </sheetViews>
  <sheetFormatPr defaultColWidth="9" defaultRowHeight="14.25"/>
  <cols>
    <col min="1" max="1" width="10.5" style="354" customWidth="1"/>
    <col min="2" max="2" width="15.875" style="354" customWidth="1"/>
    <col min="3" max="3" width="15.125" style="354" customWidth="1"/>
    <col min="4" max="4" width="12.125" style="354" customWidth="1"/>
    <col min="5" max="5" width="14.375" style="354" customWidth="1"/>
    <col min="6" max="6" width="12.125" style="354" customWidth="1"/>
    <col min="7" max="7" width="14.5" style="354" customWidth="1"/>
    <col min="8" max="8" width="12.125" style="354" customWidth="1"/>
    <col min="9" max="9" width="14.5" style="354" customWidth="1"/>
    <col min="10" max="10" width="12.125" style="354" customWidth="1"/>
    <col min="11" max="11" width="12.125" style="441" customWidth="1"/>
    <col min="12" max="12" width="12.125" style="442" customWidth="1"/>
    <col min="13" max="15" width="12.125" style="354" customWidth="1"/>
    <col min="16" max="16" width="4.875" style="1909" customWidth="1"/>
    <col min="17" max="17" width="19.5" style="354" customWidth="1"/>
    <col min="18" max="22" width="6.125" style="354" customWidth="1"/>
    <col min="23" max="23" width="5.875" style="354" customWidth="1"/>
    <col min="24" max="24" width="4.125" style="354" customWidth="1"/>
    <col min="25" max="25" width="3.5" style="354" customWidth="1"/>
    <col min="26" max="26" width="19.875" style="354" customWidth="1"/>
    <col min="27" max="28" width="9.375" style="354" customWidth="1"/>
    <col min="29" max="16384" width="9" style="354"/>
  </cols>
  <sheetData>
    <row r="1" spans="1:29" s="1229" customFormat="1" ht="28.5" customHeight="1" thickBot="1">
      <c r="A1" s="1218" t="s">
        <v>1660</v>
      </c>
      <c r="B1" s="1874" t="s">
        <v>1766</v>
      </c>
      <c r="C1" s="1234" t="s">
        <v>1662</v>
      </c>
      <c r="D1" s="1221"/>
      <c r="E1" s="3418"/>
      <c r="F1" s="1875"/>
      <c r="G1" s="1231" t="s">
        <v>1767</v>
      </c>
      <c r="H1" s="1230"/>
      <c r="I1" s="1230"/>
      <c r="J1" s="1230"/>
      <c r="K1" s="1232"/>
      <c r="L1" s="1233"/>
      <c r="M1" s="1234"/>
      <c r="N1" s="1234"/>
      <c r="O1" s="1234"/>
      <c r="P1" s="1942"/>
      <c r="Q1" s="1943"/>
      <c r="R1" s="1943"/>
      <c r="S1" s="1943"/>
      <c r="T1" s="1943"/>
      <c r="U1" s="1943"/>
      <c r="V1" s="1943"/>
      <c r="W1" s="1943"/>
      <c r="X1" s="1943"/>
      <c r="Y1" s="1943"/>
      <c r="Z1" s="1943"/>
      <c r="AA1" s="1943"/>
      <c r="AB1" s="1943"/>
      <c r="AC1" s="1944"/>
    </row>
    <row r="2" spans="1:29" s="349" customFormat="1" ht="28.5" customHeight="1" thickTop="1">
      <c r="A2" s="1217" t="s">
        <v>1462</v>
      </c>
      <c r="B2" s="1160" t="b">
        <f>IF(E1="项目模式",IF(C2="——",ROUND(C49*D3/10000,0),ROUND(C49*D3/10000,0)-D2),IF(E1="单套模式",IF(C2="——",ROUND(C49*D3/10000,4),ROUND(C49*D3/10000,4)-D2)))</f>
        <v>0</v>
      </c>
      <c r="C2" s="1877"/>
      <c r="D2" s="1111" t="e">
        <f ca="1">IF(E1="项目模式",SUMIF(INDIRECT("'"&amp;F2&amp;"'"&amp;"!A:A"),"承租人权益价值",INDIRECT("'"&amp;F2&amp;"'"&amp;"!c:c")),SUMIF(INDIRECT("'"&amp;F2&amp;"'"&amp;"!A:A"),"承租人权益价值（单套）",INDIRECT("'"&amp;F2&amp;"'"&amp;"!c:c")))</f>
        <v>#REF!</v>
      </c>
      <c r="E2" s="1878" t="s">
        <v>1463</v>
      </c>
      <c r="F2" s="1879"/>
      <c r="G2" s="904"/>
      <c r="H2" s="904"/>
      <c r="I2" s="904"/>
      <c r="J2" s="904"/>
      <c r="K2" s="904"/>
      <c r="L2" s="2726"/>
      <c r="M2" s="2727"/>
      <c r="N2" s="2727"/>
      <c r="O2" s="2727"/>
      <c r="P2" s="1945"/>
      <c r="Q2" s="908"/>
      <c r="R2" s="908"/>
      <c r="S2" s="908"/>
      <c r="T2" s="908"/>
      <c r="U2" s="908"/>
      <c r="V2" s="908"/>
      <c r="W2" s="908"/>
      <c r="X2" s="908"/>
      <c r="Y2" s="908"/>
      <c r="Z2" s="908"/>
      <c r="AA2" s="908"/>
      <c r="AB2" s="908"/>
      <c r="AC2" s="1946"/>
    </row>
    <row r="3" spans="1:29" s="349" customFormat="1" ht="28.5" customHeight="1" thickBot="1">
      <c r="A3" s="200" t="s">
        <v>1464</v>
      </c>
      <c r="B3" s="555">
        <f>IF(C2="——",C49,ROUND(B2*10000/D3,0))</f>
        <v>0</v>
      </c>
      <c r="C3" s="351" t="s">
        <v>1768</v>
      </c>
      <c r="D3" s="350">
        <f>IF(D1="",'数据-汇总表'!E3,SUMIF('数据-汇总表'!$C19:$C33,D1,'数据-汇总表'!$E19:$E33))</f>
        <v>1</v>
      </c>
      <c r="E3" s="1947"/>
      <c r="F3" s="905"/>
      <c r="G3" s="904"/>
      <c r="H3" s="904"/>
      <c r="I3" s="904"/>
      <c r="J3" s="904"/>
      <c r="K3" s="906"/>
      <c r="L3" s="2726"/>
      <c r="M3" s="2727"/>
      <c r="N3" s="2727"/>
      <c r="O3" s="2727"/>
      <c r="P3" s="1945"/>
      <c r="Q3" s="908"/>
      <c r="R3" s="908"/>
      <c r="S3" s="908"/>
      <c r="T3" s="908"/>
      <c r="U3" s="908"/>
      <c r="V3" s="908"/>
      <c r="W3" s="908"/>
      <c r="X3" s="908"/>
      <c r="Y3" s="908"/>
      <c r="Z3" s="908"/>
      <c r="AA3" s="908"/>
      <c r="AB3" s="908"/>
      <c r="AC3" s="1947"/>
    </row>
    <row r="4" spans="1:29" ht="15">
      <c r="A4" s="352" t="s">
        <v>1769</v>
      </c>
      <c r="B4" s="353"/>
      <c r="C4" s="3738" t="s">
        <v>1770</v>
      </c>
      <c r="D4" s="3739"/>
      <c r="E4" s="3740" t="s">
        <v>1771</v>
      </c>
      <c r="F4" s="3741"/>
      <c r="G4" s="3738" t="s">
        <v>1772</v>
      </c>
      <c r="H4" s="3739"/>
      <c r="I4" s="3738" t="s">
        <v>1773</v>
      </c>
      <c r="J4" s="3739"/>
      <c r="K4" s="556" t="s">
        <v>1774</v>
      </c>
      <c r="L4" s="2707"/>
      <c r="M4" s="2708"/>
      <c r="N4" s="2708"/>
      <c r="O4" s="2708"/>
      <c r="P4" s="3742" t="s">
        <v>1775</v>
      </c>
      <c r="Q4" s="3743"/>
      <c r="R4" s="3722" t="s">
        <v>1771</v>
      </c>
      <c r="S4" s="3723"/>
      <c r="T4" s="3722" t="s">
        <v>1772</v>
      </c>
      <c r="U4" s="3723"/>
      <c r="V4" s="3750" t="s">
        <v>1773</v>
      </c>
      <c r="W4" s="3750"/>
      <c r="X4" s="1351"/>
      <c r="Y4" s="3722" t="s">
        <v>1775</v>
      </c>
      <c r="Z4" s="3723"/>
      <c r="AA4" s="3717" t="s">
        <v>1771</v>
      </c>
      <c r="AB4" s="3750" t="s">
        <v>1772</v>
      </c>
      <c r="AC4" s="3717" t="s">
        <v>1773</v>
      </c>
    </row>
    <row r="5" spans="1:29" ht="15">
      <c r="A5" s="355"/>
      <c r="B5" s="356"/>
      <c r="C5" s="3822" t="s">
        <v>1673</v>
      </c>
      <c r="D5" s="3823"/>
      <c r="E5" s="3820" t="s">
        <v>1674</v>
      </c>
      <c r="F5" s="3821"/>
      <c r="G5" s="3822" t="s">
        <v>1675</v>
      </c>
      <c r="H5" s="3823"/>
      <c r="I5" s="3822" t="s">
        <v>1676</v>
      </c>
      <c r="J5" s="3823"/>
      <c r="K5" s="556"/>
      <c r="L5" s="2707"/>
      <c r="M5" s="2708"/>
      <c r="N5" s="2708"/>
      <c r="O5" s="2708"/>
      <c r="P5" s="3744"/>
      <c r="Q5" s="3745"/>
      <c r="R5" s="3724"/>
      <c r="S5" s="3725"/>
      <c r="T5" s="3724"/>
      <c r="U5" s="3725"/>
      <c r="V5" s="3750"/>
      <c r="W5" s="3750"/>
      <c r="X5" s="1351"/>
      <c r="Y5" s="3724"/>
      <c r="Z5" s="3725"/>
      <c r="AA5" s="3718"/>
      <c r="AB5" s="3750"/>
      <c r="AC5" s="3718"/>
    </row>
    <row r="6" spans="1:29" ht="15.75" thickBot="1">
      <c r="A6" s="357"/>
      <c r="B6" s="358"/>
      <c r="C6" s="3730" t="s">
        <v>1677</v>
      </c>
      <c r="D6" s="3731"/>
      <c r="E6" s="3824" t="s">
        <v>1677</v>
      </c>
      <c r="F6" s="3825"/>
      <c r="G6" s="3730" t="s">
        <v>1677</v>
      </c>
      <c r="H6" s="3731"/>
      <c r="I6" s="3730" t="s">
        <v>1677</v>
      </c>
      <c r="J6" s="3731"/>
      <c r="K6" s="556" t="s">
        <v>1678</v>
      </c>
      <c r="L6" s="2707"/>
      <c r="M6" s="2708"/>
      <c r="N6" s="2708"/>
      <c r="O6" s="2708"/>
      <c r="P6" s="3746"/>
      <c r="Q6" s="3747"/>
      <c r="R6" s="3724"/>
      <c r="S6" s="3725"/>
      <c r="T6" s="3748"/>
      <c r="U6" s="3749"/>
      <c r="V6" s="3750"/>
      <c r="W6" s="3750"/>
      <c r="X6" s="1351"/>
      <c r="Y6" s="3748"/>
      <c r="Z6" s="3749"/>
      <c r="AA6" s="3719"/>
      <c r="AB6" s="3750"/>
      <c r="AC6" s="3719"/>
    </row>
    <row r="7" spans="1:29" s="108" customFormat="1" ht="15.75" thickBot="1">
      <c r="A7" s="359" t="s">
        <v>1679</v>
      </c>
      <c r="B7" s="360"/>
      <c r="C7" s="361">
        <f>'数据-取费表'!B2</f>
        <v>45114</v>
      </c>
      <c r="D7" s="362">
        <v>100</v>
      </c>
      <c r="E7" s="363"/>
      <c r="F7" s="364">
        <f>SUMIF(58:58,YEAR(E7)&amp;"-"&amp;MONTH(E7),59:59)</f>
        <v>0</v>
      </c>
      <c r="G7" s="363"/>
      <c r="H7" s="362">
        <f>SUMIF(58:58,YEAR(G7)&amp;"-"&amp;MONTH(G7),59:59)</f>
        <v>0</v>
      </c>
      <c r="I7" s="363"/>
      <c r="J7" s="362">
        <f>SUMIF(58:58,YEAR(I7)&amp;"-"&amp;MONTH(I7),59:59)</f>
        <v>0</v>
      </c>
      <c r="K7" s="557"/>
      <c r="L7" s="2709"/>
      <c r="M7" s="2710"/>
      <c r="N7" s="2710"/>
      <c r="O7" s="2710"/>
      <c r="P7" s="3720" t="s">
        <v>1680</v>
      </c>
      <c r="Q7" s="3751"/>
      <c r="R7" s="697" t="s">
        <v>14</v>
      </c>
      <c r="S7" s="698">
        <f t="shared" ref="S7:S15" si="0">F7</f>
        <v>0</v>
      </c>
      <c r="T7" s="697" t="s">
        <v>14</v>
      </c>
      <c r="U7" s="698">
        <f t="shared" ref="U7:U15" si="1">H7</f>
        <v>0</v>
      </c>
      <c r="V7" s="697" t="s">
        <v>14</v>
      </c>
      <c r="W7" s="698">
        <f t="shared" ref="W7:W15" si="2">J7</f>
        <v>0</v>
      </c>
      <c r="X7" s="699"/>
      <c r="Y7" s="3720" t="s">
        <v>1680</v>
      </c>
      <c r="Z7" s="3721"/>
      <c r="AA7" s="700" t="e">
        <f>D7/F7</f>
        <v>#DIV/0!</v>
      </c>
      <c r="AB7" s="700" t="e">
        <f>D7/H7</f>
        <v>#DIV/0!</v>
      </c>
      <c r="AC7" s="700" t="e">
        <f>D7/J7</f>
        <v>#DIV/0!</v>
      </c>
    </row>
    <row r="8" spans="1:29" s="108" customFormat="1" ht="15.75" thickBot="1">
      <c r="A8" s="359" t="s">
        <v>1681</v>
      </c>
      <c r="B8" s="360"/>
      <c r="C8" s="365"/>
      <c r="D8" s="362">
        <v>100</v>
      </c>
      <c r="E8" s="365"/>
      <c r="F8" s="364">
        <f>SUMIF(61:61,E8,62:62)-SUMIF(61:61,C8,62:62)+100</f>
        <v>100</v>
      </c>
      <c r="G8" s="365"/>
      <c r="H8" s="362">
        <f>SUMIF(61:61,G8,62:62)-SUMIF(61:61,C8,62:62)+100</f>
        <v>100</v>
      </c>
      <c r="I8" s="365"/>
      <c r="J8" s="362">
        <f>SUMIF(61:61,I8,62:62)-SUMIF(61:61,C8,62:62)+100</f>
        <v>100</v>
      </c>
      <c r="K8" s="557"/>
      <c r="L8" s="2709"/>
      <c r="M8" s="2710"/>
      <c r="N8" s="2710"/>
      <c r="O8" s="2710"/>
      <c r="P8" s="3720" t="s">
        <v>1683</v>
      </c>
      <c r="Q8" s="3721"/>
      <c r="R8" s="697" t="s">
        <v>14</v>
      </c>
      <c r="S8" s="698">
        <f t="shared" si="0"/>
        <v>100</v>
      </c>
      <c r="T8" s="697" t="s">
        <v>14</v>
      </c>
      <c r="U8" s="698">
        <f t="shared" si="1"/>
        <v>100</v>
      </c>
      <c r="V8" s="697" t="s">
        <v>14</v>
      </c>
      <c r="W8" s="698">
        <f t="shared" si="2"/>
        <v>100</v>
      </c>
      <c r="X8" s="699"/>
      <c r="Y8" s="3720" t="s">
        <v>1683</v>
      </c>
      <c r="Z8" s="3721"/>
      <c r="AA8" s="700">
        <f t="shared" ref="AA8:AA46" si="3">D8/F8</f>
        <v>1</v>
      </c>
      <c r="AB8" s="700">
        <f t="shared" ref="AB8:AB46" si="4">D8/H8</f>
        <v>1</v>
      </c>
      <c r="AC8" s="700">
        <f t="shared" ref="AC8:AC46" si="5">D8/J8</f>
        <v>1</v>
      </c>
    </row>
    <row r="9" spans="1:29" s="108" customFormat="1">
      <c r="A9" s="366" t="s">
        <v>1684</v>
      </c>
      <c r="B9" s="63" t="s">
        <v>1685</v>
      </c>
      <c r="C9" s="367"/>
      <c r="D9" s="124">
        <v>100</v>
      </c>
      <c r="E9" s="368"/>
      <c r="F9" s="369">
        <f>SUMIF(63:63,E9,64:64)-SUMIF(63:63,C9,64:64)+100</f>
        <v>100</v>
      </c>
      <c r="G9" s="368"/>
      <c r="H9" s="124">
        <f>SUMIF(63:63,G9,64:64)-SUMIF(63:63,C9,64:64)+100</f>
        <v>100</v>
      </c>
      <c r="I9" s="368"/>
      <c r="J9" s="124">
        <f>SUMIF(63:63,I9,64:64)-SUMIF(63:63,C9,64:64)+100</f>
        <v>100</v>
      </c>
      <c r="K9" s="557"/>
      <c r="L9" s="2709"/>
      <c r="M9" s="2710"/>
      <c r="N9" s="2710"/>
      <c r="O9" s="2710"/>
      <c r="P9" s="3761" t="s">
        <v>1686</v>
      </c>
      <c r="Q9" s="1339" t="str">
        <f t="shared" ref="Q9:Q15" si="6">B9</f>
        <v>用途</v>
      </c>
      <c r="R9" s="697" t="s">
        <v>14</v>
      </c>
      <c r="S9" s="698">
        <f t="shared" si="0"/>
        <v>100</v>
      </c>
      <c r="T9" s="697" t="s">
        <v>14</v>
      </c>
      <c r="U9" s="698">
        <f t="shared" si="1"/>
        <v>100</v>
      </c>
      <c r="V9" s="697" t="s">
        <v>14</v>
      </c>
      <c r="W9" s="698">
        <f t="shared" si="2"/>
        <v>100</v>
      </c>
      <c r="X9" s="699"/>
      <c r="Y9" s="3685" t="s">
        <v>1687</v>
      </c>
      <c r="Z9" s="52" t="str">
        <f t="shared" ref="Z9:Z15" si="7">Q9</f>
        <v>用途</v>
      </c>
      <c r="AA9" s="700">
        <f t="shared" si="3"/>
        <v>1</v>
      </c>
      <c r="AB9" s="700">
        <f t="shared" si="4"/>
        <v>1</v>
      </c>
      <c r="AC9" s="700">
        <f t="shared" si="5"/>
        <v>1</v>
      </c>
    </row>
    <row r="10" spans="1:29" s="375" customFormat="1" ht="27">
      <c r="A10" s="371"/>
      <c r="B10" s="372" t="s">
        <v>1688</v>
      </c>
      <c r="C10" s="3426"/>
      <c r="D10" s="125">
        <v>100</v>
      </c>
      <c r="E10" s="3427"/>
      <c r="F10" s="373">
        <f>SUMIF(65:65,E10,66:66)-SUMIF(65:65,C10,66:66)+100</f>
        <v>100</v>
      </c>
      <c r="G10" s="3426"/>
      <c r="H10" s="125">
        <f>SUMIF(65:65,G10,66:66)-SUMIF(65:65,C10,66:66)+100</f>
        <v>100</v>
      </c>
      <c r="I10" s="3426"/>
      <c r="J10" s="125">
        <f>SUMIF(65:65,I10,66:66)-SUMIF(65:65,C10,66:66)+100</f>
        <v>100</v>
      </c>
      <c r="K10" s="557"/>
      <c r="L10" s="2711"/>
      <c r="M10" s="2712"/>
      <c r="N10" s="2712"/>
      <c r="O10" s="2712"/>
      <c r="P10" s="3761"/>
      <c r="Q10" s="1339" t="str">
        <f t="shared" si="6"/>
        <v>土地使用年限（年）</v>
      </c>
      <c r="R10" s="697" t="s">
        <v>14</v>
      </c>
      <c r="S10" s="698">
        <f t="shared" si="0"/>
        <v>100</v>
      </c>
      <c r="T10" s="697" t="s">
        <v>14</v>
      </c>
      <c r="U10" s="698">
        <f t="shared" si="1"/>
        <v>100</v>
      </c>
      <c r="V10" s="697" t="s">
        <v>14</v>
      </c>
      <c r="W10" s="698">
        <f t="shared" si="2"/>
        <v>100</v>
      </c>
      <c r="X10" s="699"/>
      <c r="Y10" s="3685"/>
      <c r="Z10" s="52" t="str">
        <f t="shared" si="7"/>
        <v>土地使用年限（年）</v>
      </c>
      <c r="AA10" s="700">
        <f t="shared" si="3"/>
        <v>1</v>
      </c>
      <c r="AB10" s="700">
        <f t="shared" si="4"/>
        <v>1</v>
      </c>
      <c r="AC10" s="700">
        <f t="shared" si="5"/>
        <v>1</v>
      </c>
    </row>
    <row r="11" spans="1:29" ht="15">
      <c r="A11" s="376"/>
      <c r="B11" s="372" t="s">
        <v>1689</v>
      </c>
      <c r="C11" s="377"/>
      <c r="D11" s="125">
        <v>100</v>
      </c>
      <c r="E11" s="378"/>
      <c r="F11" s="373" t="e">
        <f>LOOKUP(E11,68:68,69:69)-LOOKUP(C11,68:68,69:69)+100</f>
        <v>#N/A</v>
      </c>
      <c r="G11" s="377"/>
      <c r="H11" s="125" t="e">
        <f>LOOKUP(G11,68:68,69:69)-LOOKUP(C11,68:68,69:69)+100</f>
        <v>#N/A</v>
      </c>
      <c r="I11" s="377"/>
      <c r="J11" s="125" t="e">
        <f>LOOKUP(I11,68:68,69:69)-LOOKUP(C11,68:68,69:69)+100</f>
        <v>#N/A</v>
      </c>
      <c r="K11" s="558"/>
      <c r="L11" s="2713"/>
      <c r="M11" s="2708"/>
      <c r="N11" s="2708"/>
      <c r="O11" s="2708"/>
      <c r="P11" s="3761"/>
      <c r="Q11" s="1339" t="str">
        <f t="shared" si="6"/>
        <v>容积率</v>
      </c>
      <c r="R11" s="697" t="s">
        <v>14</v>
      </c>
      <c r="S11" s="698" t="e">
        <f t="shared" si="0"/>
        <v>#N/A</v>
      </c>
      <c r="T11" s="697" t="s">
        <v>14</v>
      </c>
      <c r="U11" s="698" t="e">
        <f t="shared" si="1"/>
        <v>#N/A</v>
      </c>
      <c r="V11" s="697" t="s">
        <v>14</v>
      </c>
      <c r="W11" s="698" t="e">
        <f t="shared" si="2"/>
        <v>#N/A</v>
      </c>
      <c r="X11" s="699"/>
      <c r="Y11" s="3685"/>
      <c r="Z11" s="52" t="str">
        <f t="shared" si="7"/>
        <v>容积率</v>
      </c>
      <c r="AA11" s="700" t="e">
        <f t="shared" si="3"/>
        <v>#N/A</v>
      </c>
      <c r="AB11" s="700" t="e">
        <f t="shared" si="4"/>
        <v>#N/A</v>
      </c>
      <c r="AC11" s="700" t="e">
        <f t="shared" si="5"/>
        <v>#N/A</v>
      </c>
    </row>
    <row r="12" spans="1:29" s="108" customFormat="1" ht="15">
      <c r="A12" s="379"/>
      <c r="B12" s="1888">
        <v>111</v>
      </c>
      <c r="C12" s="380"/>
      <c r="D12" s="381">
        <v>100</v>
      </c>
      <c r="E12" s="382"/>
      <c r="F12" s="373">
        <f>SUMIF(70:70,E12,71:71)-SUMIF(70:70,C12,71:71)+100</f>
        <v>100</v>
      </c>
      <c r="G12" s="382"/>
      <c r="H12" s="125">
        <f>SUMIF(70:70,G12,71:71)-SUMIF(70:70,C12,71:71)+100</f>
        <v>100</v>
      </c>
      <c r="I12" s="382"/>
      <c r="J12" s="125">
        <f>SUMIF(70:70,I12,71:71)-SUMIF(70:70,C12,71:71)+100</f>
        <v>100</v>
      </c>
      <c r="K12" s="559"/>
      <c r="L12" s="2709"/>
      <c r="M12" s="2710"/>
      <c r="N12" s="2710"/>
      <c r="O12" s="2710"/>
      <c r="P12" s="3761"/>
      <c r="Q12" s="1339">
        <f t="shared" si="6"/>
        <v>111</v>
      </c>
      <c r="R12" s="697" t="s">
        <v>14</v>
      </c>
      <c r="S12" s="698">
        <f t="shared" si="0"/>
        <v>100</v>
      </c>
      <c r="T12" s="697" t="s">
        <v>14</v>
      </c>
      <c r="U12" s="698">
        <f t="shared" si="1"/>
        <v>100</v>
      </c>
      <c r="V12" s="697" t="s">
        <v>14</v>
      </c>
      <c r="W12" s="698">
        <f t="shared" si="2"/>
        <v>100</v>
      </c>
      <c r="X12" s="699"/>
      <c r="Y12" s="3685"/>
      <c r="Z12" s="52">
        <f t="shared" si="7"/>
        <v>111</v>
      </c>
      <c r="AA12" s="700">
        <f>D12/F12</f>
        <v>1</v>
      </c>
      <c r="AB12" s="700">
        <f>D12/H12</f>
        <v>1</v>
      </c>
      <c r="AC12" s="700">
        <f>D12/J12</f>
        <v>1</v>
      </c>
    </row>
    <row r="13" spans="1:29" ht="15">
      <c r="A13" s="376"/>
      <c r="B13" s="1888">
        <v>111</v>
      </c>
      <c r="C13" s="382"/>
      <c r="D13" s="383">
        <v>100</v>
      </c>
      <c r="E13" s="382"/>
      <c r="F13" s="373">
        <f>SUMIF(72:72,E13,73:73)-SUMIF(72:72,C13,73:73)+100</f>
        <v>100</v>
      </c>
      <c r="G13" s="382"/>
      <c r="H13" s="383">
        <f>SUMIF(72:72,G13,73:73)-SUMIF(72:72,C13,73:73)+100</f>
        <v>100</v>
      </c>
      <c r="I13" s="382"/>
      <c r="J13" s="383">
        <f>SUMIF(72:72,I13,73:73)-SUMIF(72:72,C13,73:73)+100</f>
        <v>100</v>
      </c>
      <c r="K13" s="559"/>
      <c r="L13" s="2714"/>
      <c r="M13" s="2708"/>
      <c r="N13" s="2708"/>
      <c r="O13" s="2708"/>
      <c r="P13" s="3761"/>
      <c r="Q13" s="1339">
        <f t="shared" si="6"/>
        <v>111</v>
      </c>
      <c r="R13" s="697" t="s">
        <v>14</v>
      </c>
      <c r="S13" s="698">
        <f t="shared" si="0"/>
        <v>100</v>
      </c>
      <c r="T13" s="697" t="s">
        <v>14</v>
      </c>
      <c r="U13" s="698">
        <f t="shared" si="1"/>
        <v>100</v>
      </c>
      <c r="V13" s="697" t="s">
        <v>14</v>
      </c>
      <c r="W13" s="698">
        <f t="shared" si="2"/>
        <v>100</v>
      </c>
      <c r="X13" s="699"/>
      <c r="Y13" s="3685"/>
      <c r="Z13" s="52">
        <f t="shared" si="7"/>
        <v>111</v>
      </c>
      <c r="AA13" s="700">
        <f t="shared" si="3"/>
        <v>1</v>
      </c>
      <c r="AB13" s="700">
        <f t="shared" si="4"/>
        <v>1</v>
      </c>
      <c r="AC13" s="700">
        <f t="shared" si="5"/>
        <v>1</v>
      </c>
    </row>
    <row r="14" spans="1:29" ht="15.75" thickBot="1">
      <c r="A14" s="384"/>
      <c r="B14" s="1890">
        <v>111</v>
      </c>
      <c r="C14" s="385"/>
      <c r="D14" s="386">
        <v>100</v>
      </c>
      <c r="E14" s="382"/>
      <c r="F14" s="387">
        <f>SUMIF(74:74,E14,75:75)-SUMIF(74:74,C14,75:75)+100</f>
        <v>100</v>
      </c>
      <c r="G14" s="382"/>
      <c r="H14" s="386">
        <f>SUMIF(74:74,G14,75:75)-SUMIF(74:74,C14,75:75)+100</f>
        <v>100</v>
      </c>
      <c r="I14" s="382"/>
      <c r="J14" s="386">
        <f>SUMIF(74:74,I14,75:75)-SUMIF(74:74,C14,75:75)+100</f>
        <v>100</v>
      </c>
      <c r="K14" s="559"/>
      <c r="L14" s="2714"/>
      <c r="M14" s="2708"/>
      <c r="N14" s="2708"/>
      <c r="O14" s="2708"/>
      <c r="P14" s="3761"/>
      <c r="Q14" s="1339">
        <f t="shared" si="6"/>
        <v>111</v>
      </c>
      <c r="R14" s="697" t="s">
        <v>14</v>
      </c>
      <c r="S14" s="698">
        <f t="shared" si="0"/>
        <v>100</v>
      </c>
      <c r="T14" s="697" t="s">
        <v>14</v>
      </c>
      <c r="U14" s="698">
        <f t="shared" si="1"/>
        <v>100</v>
      </c>
      <c r="V14" s="697" t="s">
        <v>14</v>
      </c>
      <c r="W14" s="698">
        <f t="shared" si="2"/>
        <v>100</v>
      </c>
      <c r="X14" s="699"/>
      <c r="Y14" s="3685"/>
      <c r="Z14" s="52">
        <f t="shared" si="7"/>
        <v>111</v>
      </c>
      <c r="AA14" s="700">
        <f t="shared" si="3"/>
        <v>1</v>
      </c>
      <c r="AB14" s="700">
        <f t="shared" si="4"/>
        <v>1</v>
      </c>
      <c r="AC14" s="700">
        <f t="shared" si="5"/>
        <v>1</v>
      </c>
    </row>
    <row r="15" spans="1:29" ht="71.25">
      <c r="A15" s="388" t="s">
        <v>1690</v>
      </c>
      <c r="B15" s="61" t="s">
        <v>1777</v>
      </c>
      <c r="C15" s="1891" t="str">
        <f>估价对象房地状况!C4</f>
        <v>估价对象位于XX商圈，周边商业氛围成熟，人流量大，商业繁华度好</v>
      </c>
      <c r="D15" s="389">
        <v>100</v>
      </c>
      <c r="E15" s="390"/>
      <c r="F15" s="391">
        <f>SUMIF(76:76,E16,77:77)-SUMIF(76:76,C16,77:77)+100</f>
        <v>100</v>
      </c>
      <c r="G15" s="392"/>
      <c r="H15" s="389">
        <f>SUMIF(76:76,G16,77:77)-SUMIF(76:76,C16,77:77)+100</f>
        <v>100</v>
      </c>
      <c r="I15" s="390"/>
      <c r="J15" s="389">
        <f>SUMIF(76:76,I16,77:77)-SUMIF(76:76,C16,77:77)+100</f>
        <v>100</v>
      </c>
      <c r="K15" s="560"/>
      <c r="L15" s="2714"/>
      <c r="M15" s="2708"/>
      <c r="N15" s="2708"/>
      <c r="O15" s="2708"/>
      <c r="P15" s="3810" t="s">
        <v>1691</v>
      </c>
      <c r="Q15" s="1348" t="str">
        <f t="shared" si="6"/>
        <v>商业繁华度</v>
      </c>
      <c r="R15" s="701" t="s">
        <v>14</v>
      </c>
      <c r="S15" s="702">
        <f t="shared" si="0"/>
        <v>100</v>
      </c>
      <c r="T15" s="701" t="s">
        <v>14</v>
      </c>
      <c r="U15" s="702">
        <f t="shared" si="1"/>
        <v>100</v>
      </c>
      <c r="V15" s="701" t="s">
        <v>14</v>
      </c>
      <c r="W15" s="702">
        <f t="shared" si="2"/>
        <v>100</v>
      </c>
      <c r="X15" s="1351"/>
      <c r="Y15" s="3752" t="s">
        <v>1691</v>
      </c>
      <c r="Z15" s="1352" t="str">
        <f t="shared" si="7"/>
        <v>商业繁华度</v>
      </c>
      <c r="AA15" s="1349">
        <f t="shared" si="3"/>
        <v>1</v>
      </c>
      <c r="AB15" s="1349">
        <f t="shared" si="4"/>
        <v>1</v>
      </c>
      <c r="AC15" s="1349">
        <f t="shared" si="5"/>
        <v>1</v>
      </c>
    </row>
    <row r="16" spans="1:29" ht="15">
      <c r="A16" s="376"/>
      <c r="B16" s="394"/>
      <c r="C16" s="395"/>
      <c r="D16" s="396"/>
      <c r="E16" s="395"/>
      <c r="F16" s="397"/>
      <c r="G16" s="395"/>
      <c r="H16" s="398"/>
      <c r="I16" s="395"/>
      <c r="J16" s="396"/>
      <c r="K16" s="561"/>
      <c r="L16" s="2714"/>
      <c r="M16" s="2708"/>
      <c r="N16" s="2708"/>
      <c r="O16" s="2708"/>
      <c r="P16" s="3811"/>
      <c r="Q16" s="1348"/>
      <c r="R16" s="701"/>
      <c r="S16" s="702"/>
      <c r="T16" s="701"/>
      <c r="U16" s="702"/>
      <c r="V16" s="701"/>
      <c r="W16" s="702"/>
      <c r="X16" s="1351"/>
      <c r="Y16" s="3753"/>
      <c r="Z16" s="1352"/>
      <c r="AA16" s="1349">
        <v>1</v>
      </c>
      <c r="AB16" s="1349">
        <v>1</v>
      </c>
      <c r="AC16" s="1349">
        <v>1</v>
      </c>
    </row>
    <row r="17" spans="1:29" ht="156.75">
      <c r="A17" s="376"/>
      <c r="B17" s="399" t="s">
        <v>1259</v>
      </c>
      <c r="C17" s="1895" t="str">
        <f>估价对象房地状况!C6</f>
        <v>估价对象邻近城市高速路-京台高速，附近有兴16路、兴38路、专83路等公交线路，周边道路状况、公共交通通达情况、停车便捷程度，综合评价交通便捷度较好</v>
      </c>
      <c r="D17" s="398">
        <v>100</v>
      </c>
      <c r="E17" s="400"/>
      <c r="F17" s="401">
        <f>SUMIF(78:78,E18,79:79)-SUMIF(78:78,C18,79:79)+100</f>
        <v>100</v>
      </c>
      <c r="G17" s="402"/>
      <c r="H17" s="403">
        <f>SUMIF(78:78,G18,79:79)-SUMIF(78:78,C18,79:79)+100</f>
        <v>100</v>
      </c>
      <c r="I17" s="400"/>
      <c r="J17" s="403">
        <f>SUMIF(78:78,I18,79:79)-SUMIF(78:78,C18,79:79)+100</f>
        <v>100</v>
      </c>
      <c r="K17" s="560"/>
      <c r="L17" s="2714"/>
      <c r="M17" s="2708"/>
      <c r="N17" s="2708"/>
      <c r="O17" s="2708"/>
      <c r="P17" s="3811"/>
      <c r="Q17" s="1348" t="str">
        <f>B17</f>
        <v>交通便捷度</v>
      </c>
      <c r="R17" s="701" t="s">
        <v>14</v>
      </c>
      <c r="S17" s="702">
        <f>F17</f>
        <v>100</v>
      </c>
      <c r="T17" s="701" t="s">
        <v>14</v>
      </c>
      <c r="U17" s="702">
        <f>H17</f>
        <v>100</v>
      </c>
      <c r="V17" s="701" t="s">
        <v>14</v>
      </c>
      <c r="W17" s="702">
        <f>J17</f>
        <v>100</v>
      </c>
      <c r="X17" s="1351"/>
      <c r="Y17" s="3753"/>
      <c r="Z17" s="1352" t="str">
        <f>Q17</f>
        <v>交通便捷度</v>
      </c>
      <c r="AA17" s="1349">
        <f t="shared" si="3"/>
        <v>1</v>
      </c>
      <c r="AB17" s="1349">
        <f t="shared" si="4"/>
        <v>1</v>
      </c>
      <c r="AC17" s="1349">
        <f t="shared" si="5"/>
        <v>1</v>
      </c>
    </row>
    <row r="18" spans="1:29" ht="15">
      <c r="A18" s="376"/>
      <c r="B18" s="404"/>
      <c r="C18" s="1896"/>
      <c r="D18" s="398"/>
      <c r="E18" s="1898"/>
      <c r="F18" s="401"/>
      <c r="G18" s="1897"/>
      <c r="H18" s="396"/>
      <c r="I18" s="1898"/>
      <c r="J18" s="396"/>
      <c r="K18" s="561"/>
      <c r="L18" s="2714"/>
      <c r="M18" s="2708"/>
      <c r="N18" s="2708"/>
      <c r="O18" s="2708"/>
      <c r="P18" s="3811"/>
      <c r="Q18" s="1348"/>
      <c r="R18" s="701"/>
      <c r="S18" s="702"/>
      <c r="T18" s="701"/>
      <c r="U18" s="702"/>
      <c r="V18" s="701"/>
      <c r="W18" s="702"/>
      <c r="X18" s="1351"/>
      <c r="Y18" s="3753"/>
      <c r="Z18" s="1352"/>
      <c r="AA18" s="1349">
        <v>1</v>
      </c>
      <c r="AB18" s="1349">
        <v>1</v>
      </c>
      <c r="AC18" s="1349">
        <v>1</v>
      </c>
    </row>
    <row r="19" spans="1:29" ht="142.5">
      <c r="A19" s="376"/>
      <c r="B19" s="399" t="s">
        <v>1778</v>
      </c>
      <c r="C19" s="1895" t="str">
        <f>估价对象房地状况!C7</f>
        <v>估价对象周边有红星中学、瀛海镇第一中心小学、瀛海一幼幼儿园等教育机构，有肃宁正骨医院医疗设施，有北京农商银行等金融机构，公共配套设施状况一般</v>
      </c>
      <c r="D19" s="403">
        <v>100</v>
      </c>
      <c r="E19" s="405"/>
      <c r="F19" s="406">
        <f>SUMIF(80:80,E20,81:81)-SUMIF(80:80,C20,81:81)+100</f>
        <v>100</v>
      </c>
      <c r="G19" s="407"/>
      <c r="H19" s="398">
        <f>SUMIF(80:80,G20,81:81)-SUMIF(80:80,C20,81:81)+100</f>
        <v>100</v>
      </c>
      <c r="I19" s="405"/>
      <c r="J19" s="398">
        <f>SUMIF(80:80,I20,81:81)-SUMIF(80:80,C20,81:81)+100</f>
        <v>100</v>
      </c>
      <c r="K19" s="560"/>
      <c r="L19" s="2714"/>
      <c r="M19" s="2708"/>
      <c r="N19" s="2708"/>
      <c r="O19" s="2708"/>
      <c r="P19" s="3811"/>
      <c r="Q19" s="1348" t="str">
        <f>B19</f>
        <v>公共配套设施</v>
      </c>
      <c r="R19" s="701" t="s">
        <v>14</v>
      </c>
      <c r="S19" s="702">
        <f>F19</f>
        <v>100</v>
      </c>
      <c r="T19" s="701" t="s">
        <v>14</v>
      </c>
      <c r="U19" s="702">
        <f>H19</f>
        <v>100</v>
      </c>
      <c r="V19" s="701" t="s">
        <v>14</v>
      </c>
      <c r="W19" s="702">
        <f>J19</f>
        <v>100</v>
      </c>
      <c r="X19" s="1351"/>
      <c r="Y19" s="3753"/>
      <c r="Z19" s="1352" t="str">
        <f>Q19</f>
        <v>公共配套设施</v>
      </c>
      <c r="AA19" s="1349">
        <f t="shared" si="3"/>
        <v>1</v>
      </c>
      <c r="AB19" s="1349">
        <f t="shared" si="4"/>
        <v>1</v>
      </c>
      <c r="AC19" s="1349">
        <f t="shared" si="5"/>
        <v>1</v>
      </c>
    </row>
    <row r="20" spans="1:29" ht="15">
      <c r="A20" s="376"/>
      <c r="B20" s="404"/>
      <c r="C20" s="395"/>
      <c r="D20" s="396"/>
      <c r="E20" s="1893"/>
      <c r="F20" s="397"/>
      <c r="G20" s="1892"/>
      <c r="H20" s="396"/>
      <c r="I20" s="1893"/>
      <c r="J20" s="396"/>
      <c r="K20" s="561"/>
      <c r="L20" s="2714"/>
      <c r="M20" s="2708"/>
      <c r="N20" s="2708"/>
      <c r="O20" s="2708"/>
      <c r="P20" s="3811"/>
      <c r="Q20" s="1348"/>
      <c r="R20" s="701"/>
      <c r="S20" s="702"/>
      <c r="T20" s="701"/>
      <c r="U20" s="702"/>
      <c r="V20" s="701"/>
      <c r="W20" s="702"/>
      <c r="X20" s="1351"/>
      <c r="Y20" s="3753"/>
      <c r="Z20" s="1352"/>
      <c r="AA20" s="1349">
        <v>1</v>
      </c>
      <c r="AB20" s="1349">
        <v>1</v>
      </c>
      <c r="AC20" s="1349">
        <v>1</v>
      </c>
    </row>
    <row r="21" spans="1:29" ht="42.75">
      <c r="A21" s="376"/>
      <c r="B21" s="1127" t="s">
        <v>1779</v>
      </c>
      <c r="C21" s="1895" t="str">
        <f>估价对象房地状况!C8</f>
        <v>估价对象所在区域基础设施水平-六通</v>
      </c>
      <c r="D21" s="403">
        <v>100</v>
      </c>
      <c r="E21" s="405"/>
      <c r="F21" s="406">
        <f>SUMIF(82:82,E22,83:83)-SUMIF(82:82,C22,83:83)+100</f>
        <v>100</v>
      </c>
      <c r="G21" s="407"/>
      <c r="H21" s="398">
        <f>SUMIF(82:82,G22,83:83)-SUMIF(82:82,C22,83:83)+100</f>
        <v>100</v>
      </c>
      <c r="I21" s="405"/>
      <c r="J21" s="398">
        <f>SUMIF(82:82,I22,83:83)-SUMIF(82:82,C22,83:83)+100</f>
        <v>100</v>
      </c>
      <c r="K21" s="560"/>
      <c r="L21" s="2714"/>
      <c r="M21" s="2708"/>
      <c r="N21" s="2708"/>
      <c r="O21" s="2708"/>
      <c r="P21" s="3811"/>
      <c r="Q21" s="1348" t="str">
        <f>B21</f>
        <v>基础设施水平</v>
      </c>
      <c r="R21" s="701" t="s">
        <v>14</v>
      </c>
      <c r="S21" s="702">
        <f>F21</f>
        <v>100</v>
      </c>
      <c r="T21" s="701" t="s">
        <v>14</v>
      </c>
      <c r="U21" s="702">
        <f>H21</f>
        <v>100</v>
      </c>
      <c r="V21" s="701" t="s">
        <v>14</v>
      </c>
      <c r="W21" s="702">
        <f>J21</f>
        <v>100</v>
      </c>
      <c r="X21" s="1351"/>
      <c r="Y21" s="3753"/>
      <c r="Z21" s="1352" t="str">
        <f>Q21</f>
        <v>基础设施水平</v>
      </c>
      <c r="AA21" s="1349">
        <f t="shared" ref="AA21" si="8">D21/F21</f>
        <v>1</v>
      </c>
      <c r="AB21" s="1349">
        <f t="shared" ref="AB21" si="9">D21/H21</f>
        <v>1</v>
      </c>
      <c r="AC21" s="1349">
        <f t="shared" ref="AC21" si="10">D21/J21</f>
        <v>1</v>
      </c>
    </row>
    <row r="22" spans="1:29" ht="15">
      <c r="A22" s="376"/>
      <c r="B22" s="1127"/>
      <c r="C22" s="1896"/>
      <c r="D22" s="396"/>
      <c r="E22" s="395"/>
      <c r="F22" s="397"/>
      <c r="G22" s="395"/>
      <c r="H22" s="396"/>
      <c r="I22" s="395"/>
      <c r="J22" s="396"/>
      <c r="K22" s="1126"/>
      <c r="L22" s="2714"/>
      <c r="M22" s="2708"/>
      <c r="N22" s="2708"/>
      <c r="O22" s="2708"/>
      <c r="P22" s="3811"/>
      <c r="Q22" s="1348"/>
      <c r="R22" s="701"/>
      <c r="S22" s="702"/>
      <c r="T22" s="701"/>
      <c r="U22" s="702"/>
      <c r="V22" s="701"/>
      <c r="W22" s="702"/>
      <c r="X22" s="1351"/>
      <c r="Y22" s="3753"/>
      <c r="Z22" s="1352"/>
      <c r="AA22" s="1349">
        <v>1</v>
      </c>
      <c r="AB22" s="1349">
        <v>1</v>
      </c>
      <c r="AC22" s="1349">
        <v>1</v>
      </c>
    </row>
    <row r="23" spans="1:29" ht="85.5">
      <c r="A23" s="376"/>
      <c r="B23" s="399" t="s">
        <v>1261</v>
      </c>
      <c r="C23" s="1948" t="str">
        <f>估价对象房地状况!C9</f>
        <v>周边1公里范围内有南海子公园、志远庄公园等自然景观，人文景观较少，综合评价环境状况一般</v>
      </c>
      <c r="D23" s="398">
        <v>100</v>
      </c>
      <c r="E23" s="400"/>
      <c r="F23" s="401">
        <f>SUMIF(84:84,E24,85:85)-SUMIF(84:84,C24,85:85)+100</f>
        <v>100</v>
      </c>
      <c r="G23" s="402"/>
      <c r="H23" s="398">
        <f>SUMIF(84:84,G24,85:85)-SUMIF(84:84,C24,85:85)+100</f>
        <v>100</v>
      </c>
      <c r="I23" s="400"/>
      <c r="J23" s="398">
        <f>SUMIF(84:84,I24,85:85)-SUMIF(84:84,C24,85:85)+100</f>
        <v>100</v>
      </c>
      <c r="K23" s="560"/>
      <c r="L23" s="2714"/>
      <c r="M23" s="2708"/>
      <c r="N23" s="2708"/>
      <c r="O23" s="2708"/>
      <c r="P23" s="3811"/>
      <c r="Q23" s="1348" t="str">
        <f>B23</f>
        <v>自然及人文环境</v>
      </c>
      <c r="R23" s="701" t="s">
        <v>14</v>
      </c>
      <c r="S23" s="702">
        <f>F23</f>
        <v>100</v>
      </c>
      <c r="T23" s="701" t="s">
        <v>14</v>
      </c>
      <c r="U23" s="702">
        <f>H23</f>
        <v>100</v>
      </c>
      <c r="V23" s="701" t="s">
        <v>14</v>
      </c>
      <c r="W23" s="702">
        <f>J23</f>
        <v>100</v>
      </c>
      <c r="X23" s="1351"/>
      <c r="Y23" s="3753"/>
      <c r="Z23" s="1352" t="str">
        <f>Q23</f>
        <v>自然及人文环境</v>
      </c>
      <c r="AA23" s="1349">
        <f t="shared" si="3"/>
        <v>1</v>
      </c>
      <c r="AB23" s="1349">
        <f t="shared" si="4"/>
        <v>1</v>
      </c>
      <c r="AC23" s="1349">
        <f t="shared" si="5"/>
        <v>1</v>
      </c>
    </row>
    <row r="24" spans="1:29" ht="15">
      <c r="A24" s="376"/>
      <c r="B24" s="404"/>
      <c r="C24" s="395"/>
      <c r="D24" s="396"/>
      <c r="E24" s="1893"/>
      <c r="F24" s="397"/>
      <c r="G24" s="1892"/>
      <c r="H24" s="396"/>
      <c r="I24" s="1893"/>
      <c r="J24" s="396"/>
      <c r="K24" s="561"/>
      <c r="L24" s="2714"/>
      <c r="M24" s="2708"/>
      <c r="N24" s="2708"/>
      <c r="O24" s="2708"/>
      <c r="P24" s="3811"/>
      <c r="Q24" s="1348"/>
      <c r="R24" s="701"/>
      <c r="S24" s="702"/>
      <c r="T24" s="701"/>
      <c r="U24" s="702"/>
      <c r="V24" s="701"/>
      <c r="W24" s="702"/>
      <c r="X24" s="1351"/>
      <c r="Y24" s="3753"/>
      <c r="Z24" s="1352"/>
      <c r="AA24" s="1349">
        <v>1</v>
      </c>
      <c r="AB24" s="1349">
        <v>1</v>
      </c>
      <c r="AC24" s="1349">
        <v>1</v>
      </c>
    </row>
    <row r="25" spans="1:29" ht="15">
      <c r="A25" s="376"/>
      <c r="B25" s="372" t="s">
        <v>1780</v>
      </c>
      <c r="C25" s="562"/>
      <c r="D25" s="383">
        <v>100</v>
      </c>
      <c r="E25" s="562"/>
      <c r="F25" s="409">
        <f>SUMIF(86:86,E25,87:87)-SUMIF(86:86,C25,87:87)+100</f>
        <v>100</v>
      </c>
      <c r="G25" s="562"/>
      <c r="H25" s="383">
        <f>SUMIF(86:86,G25,87:87)-SUMIF(86:86,C25,87:87)+100</f>
        <v>100</v>
      </c>
      <c r="I25" s="562"/>
      <c r="J25" s="383">
        <f>SUMIF(86:86,I25,87:87)-SUMIF(86:86,C25,87:87)+100</f>
        <v>100</v>
      </c>
      <c r="K25" s="558"/>
      <c r="L25" s="2714"/>
      <c r="M25" s="2708"/>
      <c r="N25" s="2708"/>
      <c r="O25" s="2708"/>
      <c r="P25" s="3811"/>
      <c r="Q25" s="1348" t="str">
        <f t="shared" ref="Q25:Q46" si="11">B25</f>
        <v>临街状况</v>
      </c>
      <c r="R25" s="701" t="s">
        <v>14</v>
      </c>
      <c r="S25" s="702">
        <f>F25</f>
        <v>100</v>
      </c>
      <c r="T25" s="701" t="s">
        <v>14</v>
      </c>
      <c r="U25" s="702">
        <f>H25</f>
        <v>100</v>
      </c>
      <c r="V25" s="701" t="s">
        <v>14</v>
      </c>
      <c r="W25" s="702">
        <f>J25</f>
        <v>100</v>
      </c>
      <c r="X25" s="1351"/>
      <c r="Y25" s="3753"/>
      <c r="Z25" s="1352" t="str">
        <f>Q25</f>
        <v>临街状况</v>
      </c>
      <c r="AA25" s="1349">
        <f t="shared" si="3"/>
        <v>1</v>
      </c>
      <c r="AB25" s="1349">
        <f t="shared" si="4"/>
        <v>1</v>
      </c>
      <c r="AC25" s="1349">
        <f t="shared" si="5"/>
        <v>1</v>
      </c>
    </row>
    <row r="26" spans="1:29" ht="15">
      <c r="A26" s="376"/>
      <c r="B26" s="1129" t="s">
        <v>1781</v>
      </c>
      <c r="C26" s="382"/>
      <c r="D26" s="383">
        <v>100</v>
      </c>
      <c r="E26" s="382"/>
      <c r="F26" s="409">
        <f>SUMIF(88:88,E26,89:89)-SUMIF(88:88,C26,89:89)+100</f>
        <v>100</v>
      </c>
      <c r="G26" s="382"/>
      <c r="H26" s="383">
        <f>SUMIF(88:88,G26,89:89)-SUMIF(88:88,C26,89:89)+100</f>
        <v>100</v>
      </c>
      <c r="I26" s="382"/>
      <c r="J26" s="383">
        <f>SUMIF(88:88,I26,89:89)-SUMIF(88:88,C26,89:89)+100</f>
        <v>100</v>
      </c>
      <c r="K26" s="559"/>
      <c r="L26" s="2714"/>
      <c r="M26" s="2708"/>
      <c r="N26" s="2708"/>
      <c r="O26" s="2708"/>
      <c r="P26" s="3811"/>
      <c r="Q26" s="1348" t="str">
        <f t="shared" si="11"/>
        <v>平面位置/可视性</v>
      </c>
      <c r="R26" s="701" t="s">
        <v>14</v>
      </c>
      <c r="S26" s="702">
        <f>F26</f>
        <v>100</v>
      </c>
      <c r="T26" s="701" t="s">
        <v>14</v>
      </c>
      <c r="U26" s="702">
        <f>H26</f>
        <v>100</v>
      </c>
      <c r="V26" s="701" t="s">
        <v>14</v>
      </c>
      <c r="W26" s="702">
        <f>J26</f>
        <v>100</v>
      </c>
      <c r="X26" s="1351"/>
      <c r="Y26" s="3753"/>
      <c r="Z26" s="1352" t="str">
        <f>Q26</f>
        <v>平面位置/可视性</v>
      </c>
      <c r="AA26" s="1349">
        <f t="shared" si="3"/>
        <v>1</v>
      </c>
      <c r="AB26" s="1349">
        <f t="shared" si="4"/>
        <v>1</v>
      </c>
      <c r="AC26" s="1349">
        <f t="shared" si="5"/>
        <v>1</v>
      </c>
    </row>
    <row r="27" spans="1:29" s="108" customFormat="1" ht="15">
      <c r="A27" s="379"/>
      <c r="B27" s="399" t="s">
        <v>1782</v>
      </c>
      <c r="C27" s="1949"/>
      <c r="D27" s="410">
        <v>100</v>
      </c>
      <c r="E27" s="1949"/>
      <c r="F27" s="412">
        <f>SUMIF(90:90,E27,91:91)-SUMIF(90:90,C27,91:91)+100</f>
        <v>100</v>
      </c>
      <c r="G27" s="1949"/>
      <c r="H27" s="410">
        <f>SUMIF(90:90,G27,91:91)-SUMIF(90:90,C27,91:91)+100</f>
        <v>100</v>
      </c>
      <c r="I27" s="1949"/>
      <c r="J27" s="410">
        <f>SUMIF(90:90,I27,91:91)-SUMIF(90:90,C27,91:91)+100</f>
        <v>100</v>
      </c>
      <c r="K27" s="558"/>
      <c r="L27" s="2709"/>
      <c r="M27" s="2710"/>
      <c r="N27" s="2710"/>
      <c r="O27" s="2710"/>
      <c r="P27" s="3811"/>
      <c r="Q27" s="1339" t="str">
        <f t="shared" si="11"/>
        <v>人流量</v>
      </c>
      <c r="R27" s="697" t="s">
        <v>14</v>
      </c>
      <c r="S27" s="698">
        <f>F27</f>
        <v>100</v>
      </c>
      <c r="T27" s="697" t="s">
        <v>14</v>
      </c>
      <c r="U27" s="698">
        <f>H27</f>
        <v>100</v>
      </c>
      <c r="V27" s="697" t="s">
        <v>14</v>
      </c>
      <c r="W27" s="698">
        <f>J27</f>
        <v>100</v>
      </c>
      <c r="X27" s="699"/>
      <c r="Y27" s="3753"/>
      <c r="Z27" s="52" t="str">
        <f>Q27</f>
        <v>人流量</v>
      </c>
      <c r="AA27" s="1349">
        <f>D27/F27</f>
        <v>1</v>
      </c>
      <c r="AB27" s="1349">
        <f>D27/H27</f>
        <v>1</v>
      </c>
      <c r="AC27" s="1349">
        <f>D27/J27</f>
        <v>1</v>
      </c>
    </row>
    <row r="28" spans="1:29" ht="15">
      <c r="A28" s="376"/>
      <c r="B28" s="372" t="s">
        <v>1783</v>
      </c>
      <c r="C28" s="562"/>
      <c r="D28" s="383">
        <v>100</v>
      </c>
      <c r="E28" s="562"/>
      <c r="F28" s="409">
        <f>SUMIF(92:92,E28,93:93)-SUMIF(92:92,C28,93:93)+100</f>
        <v>100</v>
      </c>
      <c r="G28" s="562"/>
      <c r="H28" s="383">
        <f>SUMIF(92:92,G28,93:93)-SUMIF(92:92,C28,93:93)+100</f>
        <v>100</v>
      </c>
      <c r="I28" s="562"/>
      <c r="J28" s="383">
        <f>SUMIF(92:92,I28,93:93)-SUMIF(92:92,C28,93:93)+100</f>
        <v>100</v>
      </c>
      <c r="K28" s="559"/>
      <c r="L28" s="2714"/>
      <c r="M28" s="2708"/>
      <c r="N28" s="2708"/>
      <c r="O28" s="2708"/>
      <c r="P28" s="3811"/>
      <c r="Q28" s="1348" t="str">
        <f t="shared" si="11"/>
        <v>楼层</v>
      </c>
      <c r="R28" s="701" t="s">
        <v>14</v>
      </c>
      <c r="S28" s="702">
        <f t="shared" ref="S28:S46" si="12">F28</f>
        <v>100</v>
      </c>
      <c r="T28" s="701" t="s">
        <v>14</v>
      </c>
      <c r="U28" s="702">
        <f t="shared" ref="U28:U46" si="13">H28</f>
        <v>100</v>
      </c>
      <c r="V28" s="701" t="s">
        <v>14</v>
      </c>
      <c r="W28" s="702">
        <f t="shared" ref="W28:W46" si="14">J28</f>
        <v>100</v>
      </c>
      <c r="X28" s="1351"/>
      <c r="Y28" s="3753"/>
      <c r="Z28" s="1352" t="str">
        <f t="shared" ref="Z28:Z46" si="15">Q28</f>
        <v>楼层</v>
      </c>
      <c r="AA28" s="1349">
        <f t="shared" si="3"/>
        <v>1</v>
      </c>
      <c r="AB28" s="1349">
        <f t="shared" si="4"/>
        <v>1</v>
      </c>
      <c r="AC28" s="1349">
        <f t="shared" si="5"/>
        <v>1</v>
      </c>
    </row>
    <row r="29" spans="1:29" ht="15">
      <c r="A29" s="376"/>
      <c r="B29" s="1129">
        <v>111</v>
      </c>
      <c r="C29" s="382"/>
      <c r="D29" s="383">
        <v>100</v>
      </c>
      <c r="E29" s="382"/>
      <c r="F29" s="409">
        <f>SUMIF(94:94,E29,95:95)-SUMIF(94:94,C29,95:95)+100</f>
        <v>100</v>
      </c>
      <c r="G29" s="382"/>
      <c r="H29" s="383">
        <f>SUMIF(94:94,G29,95:95)-SUMIF(94:94,C29,95:95)+100</f>
        <v>100</v>
      </c>
      <c r="I29" s="382"/>
      <c r="J29" s="383">
        <f>SUMIF(94:94,I29,95:95)-SUMIF(94:94,C29,95:95)+100</f>
        <v>100</v>
      </c>
      <c r="K29" s="559"/>
      <c r="L29" s="2714"/>
      <c r="M29" s="2708"/>
      <c r="N29" s="2708"/>
      <c r="O29" s="2708"/>
      <c r="P29" s="3811"/>
      <c r="Q29" s="1348">
        <f t="shared" si="11"/>
        <v>111</v>
      </c>
      <c r="R29" s="701" t="s">
        <v>14</v>
      </c>
      <c r="S29" s="702">
        <f t="shared" si="12"/>
        <v>100</v>
      </c>
      <c r="T29" s="701" t="s">
        <v>14</v>
      </c>
      <c r="U29" s="702">
        <f t="shared" si="13"/>
        <v>100</v>
      </c>
      <c r="V29" s="701" t="s">
        <v>14</v>
      </c>
      <c r="W29" s="702">
        <f t="shared" si="14"/>
        <v>100</v>
      </c>
      <c r="X29" s="1351"/>
      <c r="Y29" s="3753"/>
      <c r="Z29" s="1352">
        <f t="shared" si="15"/>
        <v>111</v>
      </c>
      <c r="AA29" s="1349">
        <f t="shared" si="3"/>
        <v>1</v>
      </c>
      <c r="AB29" s="1349">
        <f t="shared" si="4"/>
        <v>1</v>
      </c>
      <c r="AC29" s="1349">
        <f t="shared" si="5"/>
        <v>1</v>
      </c>
    </row>
    <row r="30" spans="1:29" ht="15">
      <c r="A30" s="376"/>
      <c r="B30" s="1129">
        <v>111</v>
      </c>
      <c r="C30" s="382"/>
      <c r="D30" s="383">
        <v>100</v>
      </c>
      <c r="E30" s="382"/>
      <c r="F30" s="409">
        <f>SUMIF(96:96,E30,97:97)-SUMIF(96:96,C30,97:97)+100</f>
        <v>100</v>
      </c>
      <c r="G30" s="382"/>
      <c r="H30" s="383">
        <f>SUMIF(96:96,G30,97:97)-SUMIF(96:96,C30,97:97)+100</f>
        <v>100</v>
      </c>
      <c r="I30" s="382"/>
      <c r="J30" s="383">
        <f>SUMIF(96:96,I30,97:97)-SUMIF(96:96,C30,97:97)+100</f>
        <v>100</v>
      </c>
      <c r="K30" s="559"/>
      <c r="L30" s="2714"/>
      <c r="M30" s="2708"/>
      <c r="N30" s="2708"/>
      <c r="O30" s="2708"/>
      <c r="P30" s="3811"/>
      <c r="Q30" s="1348">
        <f t="shared" si="11"/>
        <v>111</v>
      </c>
      <c r="R30" s="701" t="s">
        <v>14</v>
      </c>
      <c r="S30" s="702">
        <f t="shared" si="12"/>
        <v>100</v>
      </c>
      <c r="T30" s="701" t="s">
        <v>14</v>
      </c>
      <c r="U30" s="702">
        <f t="shared" si="13"/>
        <v>100</v>
      </c>
      <c r="V30" s="701" t="s">
        <v>14</v>
      </c>
      <c r="W30" s="702">
        <f t="shared" si="14"/>
        <v>100</v>
      </c>
      <c r="X30" s="1351"/>
      <c r="Y30" s="3753"/>
      <c r="Z30" s="1352">
        <f t="shared" si="15"/>
        <v>111</v>
      </c>
      <c r="AA30" s="1349">
        <f t="shared" si="3"/>
        <v>1</v>
      </c>
      <c r="AB30" s="1349">
        <f t="shared" si="4"/>
        <v>1</v>
      </c>
      <c r="AC30" s="1349">
        <f t="shared" si="5"/>
        <v>1</v>
      </c>
    </row>
    <row r="31" spans="1:29" ht="15.75" thickBot="1">
      <c r="A31" s="384"/>
      <c r="B31" s="1129">
        <v>111</v>
      </c>
      <c r="C31" s="385"/>
      <c r="D31" s="386">
        <v>100</v>
      </c>
      <c r="E31" s="382"/>
      <c r="F31" s="387">
        <f>SUMIF(98:98,E31,99:99)-SUMIF(98:98,C31,99:99)+100</f>
        <v>100</v>
      </c>
      <c r="G31" s="382"/>
      <c r="H31" s="386">
        <f>SUMIF(98:98,G31,99:99)-SUMIF(98:98,C31,99:99)+100</f>
        <v>100</v>
      </c>
      <c r="I31" s="382"/>
      <c r="J31" s="386">
        <f>SUMIF(98:98,I31,99:99)-SUMIF(98:98,C31,99:99)+100</f>
        <v>100</v>
      </c>
      <c r="K31" s="559"/>
      <c r="L31" s="2714"/>
      <c r="M31" s="2708"/>
      <c r="N31" s="2708"/>
      <c r="O31" s="2708"/>
      <c r="P31" s="3811"/>
      <c r="Q31" s="1348">
        <f t="shared" si="11"/>
        <v>111</v>
      </c>
      <c r="R31" s="701" t="s">
        <v>14</v>
      </c>
      <c r="S31" s="702">
        <f t="shared" si="12"/>
        <v>100</v>
      </c>
      <c r="T31" s="701" t="s">
        <v>14</v>
      </c>
      <c r="U31" s="702">
        <f t="shared" si="13"/>
        <v>100</v>
      </c>
      <c r="V31" s="701" t="s">
        <v>14</v>
      </c>
      <c r="W31" s="702">
        <f t="shared" si="14"/>
        <v>100</v>
      </c>
      <c r="X31" s="1351"/>
      <c r="Y31" s="3753"/>
      <c r="Z31" s="1352">
        <f t="shared" si="15"/>
        <v>111</v>
      </c>
      <c r="AA31" s="1349">
        <f t="shared" si="3"/>
        <v>1</v>
      </c>
      <c r="AB31" s="1349">
        <f t="shared" si="4"/>
        <v>1</v>
      </c>
      <c r="AC31" s="1349">
        <f t="shared" si="5"/>
        <v>1</v>
      </c>
    </row>
    <row r="32" spans="1:29" ht="15">
      <c r="A32" s="388" t="s">
        <v>1694</v>
      </c>
      <c r="B32" s="63" t="s">
        <v>1784</v>
      </c>
      <c r="C32" s="1905"/>
      <c r="D32" s="415">
        <v>100</v>
      </c>
      <c r="E32" s="1905"/>
      <c r="F32" s="409">
        <f>SUMIF(100:100,E32,101:101)-SUMIF(100:100,C32,101:101)+100</f>
        <v>100</v>
      </c>
      <c r="G32" s="1905"/>
      <c r="H32" s="383">
        <f>SUMIF(100:100,G32,101:101)-SUMIF(100:100,C32,101:101)+100</f>
        <v>100</v>
      </c>
      <c r="I32" s="1905"/>
      <c r="J32" s="415">
        <f>SUMIF(100:100,I32,101:101)-SUMIF(100:100,C32,101:101)+100</f>
        <v>100</v>
      </c>
      <c r="K32" s="558"/>
      <c r="L32" s="2714"/>
      <c r="M32" s="2708"/>
      <c r="N32" s="2708"/>
      <c r="O32" s="2708"/>
      <c r="P32" s="3806" t="s">
        <v>1696</v>
      </c>
      <c r="Q32" s="1348" t="str">
        <f t="shared" si="11"/>
        <v>商业类型</v>
      </c>
      <c r="R32" s="701" t="s">
        <v>14</v>
      </c>
      <c r="S32" s="702">
        <f t="shared" si="12"/>
        <v>100</v>
      </c>
      <c r="T32" s="701" t="s">
        <v>14</v>
      </c>
      <c r="U32" s="702">
        <f t="shared" si="13"/>
        <v>100</v>
      </c>
      <c r="V32" s="701" t="s">
        <v>14</v>
      </c>
      <c r="W32" s="702">
        <f t="shared" si="14"/>
        <v>100</v>
      </c>
      <c r="X32" s="1351"/>
      <c r="Y32" s="3755" t="s">
        <v>1696</v>
      </c>
      <c r="Z32" s="1352" t="str">
        <f t="shared" si="15"/>
        <v>商业类型</v>
      </c>
      <c r="AA32" s="1349">
        <f t="shared" si="3"/>
        <v>1</v>
      </c>
      <c r="AB32" s="1349">
        <f t="shared" si="4"/>
        <v>1</v>
      </c>
      <c r="AC32" s="1349">
        <f t="shared" si="5"/>
        <v>1</v>
      </c>
    </row>
    <row r="33" spans="1:29" s="419" customFormat="1" ht="15">
      <c r="A33" s="416"/>
      <c r="B33" s="372" t="s">
        <v>1697</v>
      </c>
      <c r="C33" s="417"/>
      <c r="D33" s="125">
        <v>100</v>
      </c>
      <c r="E33" s="378"/>
      <c r="F33" s="373" t="e">
        <f>LOOKUP(E33,103:103,104:104)-LOOKUP(C33,103:103,104:104)+100</f>
        <v>#N/A</v>
      </c>
      <c r="G33" s="377"/>
      <c r="H33" s="125" t="e">
        <f>LOOKUP(G33,103:103,104:104)-LOOKUP(C33,103:103,104:104)+100</f>
        <v>#N/A</v>
      </c>
      <c r="I33" s="377"/>
      <c r="J33" s="125" t="e">
        <f>LOOKUP(I33,103:103,104:104)-LOOKUP(C33,103:103,104:104)+100</f>
        <v>#N/A</v>
      </c>
      <c r="K33" s="559"/>
      <c r="L33" s="2713"/>
      <c r="M33" s="2715"/>
      <c r="N33" s="2715"/>
      <c r="O33" s="2715"/>
      <c r="P33" s="3807"/>
      <c r="Q33" s="703" t="str">
        <f t="shared" si="11"/>
        <v>项目建筑规模</v>
      </c>
      <c r="R33" s="704" t="s">
        <v>14</v>
      </c>
      <c r="S33" s="705" t="e">
        <f t="shared" si="12"/>
        <v>#N/A</v>
      </c>
      <c r="T33" s="704" t="s">
        <v>14</v>
      </c>
      <c r="U33" s="705" t="e">
        <f t="shared" si="13"/>
        <v>#N/A</v>
      </c>
      <c r="V33" s="704" t="s">
        <v>14</v>
      </c>
      <c r="W33" s="705" t="e">
        <f t="shared" si="14"/>
        <v>#N/A</v>
      </c>
      <c r="X33" s="706"/>
      <c r="Y33" s="3755"/>
      <c r="Z33" s="707" t="str">
        <f t="shared" si="15"/>
        <v>项目建筑规模</v>
      </c>
      <c r="AA33" s="1349" t="e">
        <f t="shared" si="3"/>
        <v>#N/A</v>
      </c>
      <c r="AB33" s="1349" t="e">
        <f t="shared" si="4"/>
        <v>#N/A</v>
      </c>
      <c r="AC33" s="1349" t="e">
        <f t="shared" si="5"/>
        <v>#N/A</v>
      </c>
    </row>
    <row r="34" spans="1:29" ht="15">
      <c r="A34" s="420"/>
      <c r="B34" s="372" t="s">
        <v>1698</v>
      </c>
      <c r="C34" s="1906"/>
      <c r="D34" s="383">
        <v>100</v>
      </c>
      <c r="E34" s="1906"/>
      <c r="F34" s="409">
        <f>SUMIF(105:105,E34,106:106)-SUMIF(105:105,C34,106:106)+100</f>
        <v>100</v>
      </c>
      <c r="G34" s="1906"/>
      <c r="H34" s="383">
        <f>SUMIF(105:105,G34,106:106)-SUMIF(105:105,C34,106:106)+100</f>
        <v>100</v>
      </c>
      <c r="I34" s="1906"/>
      <c r="J34" s="383">
        <f>SUMIF(105:105,I34,106:106)-SUMIF(105:105,C34,106:106)+100</f>
        <v>100</v>
      </c>
      <c r="K34" s="558"/>
      <c r="L34" s="2714"/>
      <c r="M34" s="2708"/>
      <c r="N34" s="2708"/>
      <c r="O34" s="2708"/>
      <c r="P34" s="3807"/>
      <c r="Q34" s="1348" t="str">
        <f t="shared" si="11"/>
        <v>建筑结构</v>
      </c>
      <c r="R34" s="701" t="s">
        <v>14</v>
      </c>
      <c r="S34" s="702">
        <f t="shared" si="12"/>
        <v>100</v>
      </c>
      <c r="T34" s="701" t="s">
        <v>14</v>
      </c>
      <c r="U34" s="702">
        <f t="shared" si="13"/>
        <v>100</v>
      </c>
      <c r="V34" s="701" t="s">
        <v>14</v>
      </c>
      <c r="W34" s="702">
        <f t="shared" si="14"/>
        <v>100</v>
      </c>
      <c r="X34" s="1351"/>
      <c r="Y34" s="3755"/>
      <c r="Z34" s="1352" t="str">
        <f t="shared" si="15"/>
        <v>建筑结构</v>
      </c>
      <c r="AA34" s="1349">
        <f t="shared" si="3"/>
        <v>1</v>
      </c>
      <c r="AB34" s="1349">
        <f t="shared" si="4"/>
        <v>1</v>
      </c>
      <c r="AC34" s="1349">
        <f t="shared" si="5"/>
        <v>1</v>
      </c>
    </row>
    <row r="35" spans="1:29" ht="15">
      <c r="A35" s="420"/>
      <c r="B35" s="372" t="s">
        <v>1785</v>
      </c>
      <c r="C35" s="1901"/>
      <c r="D35" s="383">
        <v>100</v>
      </c>
      <c r="E35" s="1901"/>
      <c r="F35" s="409">
        <f>SUMIF(107:107,E35,108:108)-SUMIF(107:107,C35,108:108)+100</f>
        <v>100</v>
      </c>
      <c r="G35" s="1901"/>
      <c r="H35" s="383">
        <f>SUMIF(107:107,G35,108:108)-SUMIF(107:107,C35,108:108)+100</f>
        <v>100</v>
      </c>
      <c r="I35" s="1901"/>
      <c r="J35" s="383">
        <f>SUMIF(107:107,I35,108:108)-SUMIF(107:107,C35,108:108)+100</f>
        <v>100</v>
      </c>
      <c r="K35" s="558"/>
      <c r="L35" s="2714"/>
      <c r="M35" s="2708"/>
      <c r="N35" s="2708"/>
      <c r="O35" s="2708"/>
      <c r="P35" s="3807"/>
      <c r="Q35" s="1348" t="str">
        <f t="shared" si="11"/>
        <v>公共部分装修</v>
      </c>
      <c r="R35" s="701" t="s">
        <v>14</v>
      </c>
      <c r="S35" s="702">
        <f t="shared" si="12"/>
        <v>100</v>
      </c>
      <c r="T35" s="701" t="s">
        <v>14</v>
      </c>
      <c r="U35" s="702">
        <f t="shared" si="13"/>
        <v>100</v>
      </c>
      <c r="V35" s="701" t="s">
        <v>14</v>
      </c>
      <c r="W35" s="702">
        <f t="shared" si="14"/>
        <v>100</v>
      </c>
      <c r="X35" s="1351"/>
      <c r="Y35" s="3755"/>
      <c r="Z35" s="1352" t="str">
        <f t="shared" si="15"/>
        <v>公共部分装修</v>
      </c>
      <c r="AA35" s="1349">
        <f t="shared" si="3"/>
        <v>1</v>
      </c>
      <c r="AB35" s="1349">
        <f t="shared" si="4"/>
        <v>1</v>
      </c>
      <c r="AC35" s="1349">
        <f t="shared" si="5"/>
        <v>1</v>
      </c>
    </row>
    <row r="36" spans="1:29" ht="15">
      <c r="A36" s="420"/>
      <c r="B36" s="372" t="s">
        <v>1786</v>
      </c>
      <c r="C36" s="422"/>
      <c r="D36" s="383">
        <v>100</v>
      </c>
      <c r="E36" s="422"/>
      <c r="F36" s="409" t="e">
        <f>LOOKUP(E36,110:110,111:111)-LOOKUP(C36,110:110,111:111)+100</f>
        <v>#N/A</v>
      </c>
      <c r="G36" s="422"/>
      <c r="H36" s="409" t="e">
        <f>LOOKUP(G36,110:110,111:111)-LOOKUP(C36,110:110,111:111)+100</f>
        <v>#N/A</v>
      </c>
      <c r="I36" s="422"/>
      <c r="J36" s="383" t="e">
        <f>LOOKUP(I36,110:110,111:111)-LOOKUP(C36,110:110,111:111)+100</f>
        <v>#N/A</v>
      </c>
      <c r="K36" s="558"/>
      <c r="L36" s="2714"/>
      <c r="M36" s="2708"/>
      <c r="N36" s="2708"/>
      <c r="O36" s="2708"/>
      <c r="P36" s="3807"/>
      <c r="Q36" s="1348" t="str">
        <f t="shared" si="11"/>
        <v>成新度</v>
      </c>
      <c r="R36" s="701" t="s">
        <v>14</v>
      </c>
      <c r="S36" s="702" t="e">
        <f t="shared" si="12"/>
        <v>#N/A</v>
      </c>
      <c r="T36" s="701" t="s">
        <v>14</v>
      </c>
      <c r="U36" s="702" t="e">
        <f t="shared" si="13"/>
        <v>#N/A</v>
      </c>
      <c r="V36" s="701" t="s">
        <v>14</v>
      </c>
      <c r="W36" s="702" t="e">
        <f t="shared" si="14"/>
        <v>#N/A</v>
      </c>
      <c r="X36" s="1351"/>
      <c r="Y36" s="3755"/>
      <c r="Z36" s="1352" t="str">
        <f t="shared" si="15"/>
        <v>成新度</v>
      </c>
      <c r="AA36" s="1349" t="e">
        <f t="shared" si="3"/>
        <v>#N/A</v>
      </c>
      <c r="AB36" s="1349" t="e">
        <f t="shared" si="4"/>
        <v>#N/A</v>
      </c>
      <c r="AC36" s="1349" t="e">
        <f t="shared" si="5"/>
        <v>#N/A</v>
      </c>
    </row>
    <row r="37" spans="1:29" s="108" customFormat="1" ht="15">
      <c r="A37" s="421"/>
      <c r="B37" s="372" t="s">
        <v>1787</v>
      </c>
      <c r="C37" s="1901"/>
      <c r="D37" s="125">
        <v>100</v>
      </c>
      <c r="E37" s="1901"/>
      <c r="F37" s="409">
        <f>SUMIF(112:112,E37,113:113)-SUMIF(112:112,C37,113:113)+100</f>
        <v>100</v>
      </c>
      <c r="G37" s="1901"/>
      <c r="H37" s="383">
        <f>SUMIF(112:112,G37,113:113)-SUMIF(112:112,C37,113:113)+100</f>
        <v>100</v>
      </c>
      <c r="I37" s="1901"/>
      <c r="J37" s="383">
        <f>SUMIF(112:112,I37,113:113)-SUMIF(112:112,C37,113:113)+100</f>
        <v>100</v>
      </c>
      <c r="K37" s="558"/>
      <c r="L37" s="2709"/>
      <c r="M37" s="2710"/>
      <c r="N37" s="2710"/>
      <c r="O37" s="2710"/>
      <c r="P37" s="3807"/>
      <c r="Q37" s="1339" t="str">
        <f t="shared" si="11"/>
        <v>市政基础设施</v>
      </c>
      <c r="R37" s="697" t="s">
        <v>14</v>
      </c>
      <c r="S37" s="698">
        <f t="shared" si="12"/>
        <v>100</v>
      </c>
      <c r="T37" s="697" t="s">
        <v>14</v>
      </c>
      <c r="U37" s="698">
        <f t="shared" si="13"/>
        <v>100</v>
      </c>
      <c r="V37" s="697" t="s">
        <v>14</v>
      </c>
      <c r="W37" s="698">
        <f t="shared" si="14"/>
        <v>100</v>
      </c>
      <c r="X37" s="699"/>
      <c r="Y37" s="3755"/>
      <c r="Z37" s="52" t="str">
        <f t="shared" si="15"/>
        <v>市政基础设施</v>
      </c>
      <c r="AA37" s="700">
        <f t="shared" si="3"/>
        <v>1</v>
      </c>
      <c r="AB37" s="700">
        <f t="shared" si="4"/>
        <v>1</v>
      </c>
      <c r="AC37" s="700">
        <f t="shared" si="5"/>
        <v>1</v>
      </c>
    </row>
    <row r="38" spans="1:29" ht="15">
      <c r="A38" s="420"/>
      <c r="B38" s="372" t="s">
        <v>1788</v>
      </c>
      <c r="C38" s="1901"/>
      <c r="D38" s="383">
        <v>100</v>
      </c>
      <c r="E38" s="1901"/>
      <c r="F38" s="409">
        <f>SUMIF(114:114,E38,115:115)-SUMIF(114:114,C38,115:115)+100</f>
        <v>100</v>
      </c>
      <c r="G38" s="1901"/>
      <c r="H38" s="383">
        <f>SUMIF(114:114,G38,115:115)-SUMIF(114:114,C38,115:115)+100</f>
        <v>100</v>
      </c>
      <c r="I38" s="1901"/>
      <c r="J38" s="383">
        <f>SUMIF(114:114,I38,115:115)-SUMIF(114:114,C38,115:115)+100</f>
        <v>100</v>
      </c>
      <c r="K38" s="558"/>
      <c r="L38" s="2714"/>
      <c r="M38" s="2708"/>
      <c r="N38" s="2708"/>
      <c r="O38" s="2708"/>
      <c r="P38" s="3807" t="s">
        <v>1696</v>
      </c>
      <c r="Q38" s="1348" t="str">
        <f t="shared" si="11"/>
        <v>业态</v>
      </c>
      <c r="R38" s="701" t="s">
        <v>14</v>
      </c>
      <c r="S38" s="702">
        <f t="shared" si="12"/>
        <v>100</v>
      </c>
      <c r="T38" s="701" t="s">
        <v>14</v>
      </c>
      <c r="U38" s="702">
        <f t="shared" si="13"/>
        <v>100</v>
      </c>
      <c r="V38" s="701" t="s">
        <v>14</v>
      </c>
      <c r="W38" s="702">
        <f t="shared" si="14"/>
        <v>100</v>
      </c>
      <c r="X38" s="1351"/>
      <c r="Y38" s="3755" t="s">
        <v>1696</v>
      </c>
      <c r="Z38" s="1352" t="str">
        <f t="shared" si="15"/>
        <v>业态</v>
      </c>
      <c r="AA38" s="1349">
        <f t="shared" si="3"/>
        <v>1</v>
      </c>
      <c r="AB38" s="1349">
        <f t="shared" si="4"/>
        <v>1</v>
      </c>
      <c r="AC38" s="1349">
        <f t="shared" si="5"/>
        <v>1</v>
      </c>
    </row>
    <row r="39" spans="1:29" ht="15">
      <c r="A39" s="420"/>
      <c r="B39" s="372" t="s">
        <v>1789</v>
      </c>
      <c r="C39" s="1901"/>
      <c r="D39" s="383">
        <v>100</v>
      </c>
      <c r="E39" s="1901"/>
      <c r="F39" s="409">
        <f>SUMIF(116:116,E39,117:117)-SUMIF(116:116,C39,117:117)+100</f>
        <v>100</v>
      </c>
      <c r="G39" s="1901"/>
      <c r="H39" s="383">
        <f>SUMIF(116:116,G39,117:117)-SUMIF(116:116,C39,117:117)+100</f>
        <v>100</v>
      </c>
      <c r="I39" s="1901"/>
      <c r="J39" s="383">
        <f>SUMIF(116:116,I39,117:117)-SUMIF(116:116,C39,117:117)+100</f>
        <v>100</v>
      </c>
      <c r="K39" s="558"/>
      <c r="L39" s="2714"/>
      <c r="M39" s="2708"/>
      <c r="N39" s="2708"/>
      <c r="O39" s="2708"/>
      <c r="P39" s="3807"/>
      <c r="Q39" s="1348" t="str">
        <f t="shared" si="11"/>
        <v>层高</v>
      </c>
      <c r="R39" s="701" t="s">
        <v>14</v>
      </c>
      <c r="S39" s="702">
        <f t="shared" si="12"/>
        <v>100</v>
      </c>
      <c r="T39" s="701" t="s">
        <v>14</v>
      </c>
      <c r="U39" s="702">
        <f t="shared" si="13"/>
        <v>100</v>
      </c>
      <c r="V39" s="701" t="s">
        <v>14</v>
      </c>
      <c r="W39" s="702">
        <f t="shared" si="14"/>
        <v>100</v>
      </c>
      <c r="X39" s="1351"/>
      <c r="Y39" s="3755"/>
      <c r="Z39" s="1352" t="str">
        <f t="shared" si="15"/>
        <v>层高</v>
      </c>
      <c r="AA39" s="1349">
        <f t="shared" si="3"/>
        <v>1</v>
      </c>
      <c r="AB39" s="1349">
        <f t="shared" si="4"/>
        <v>1</v>
      </c>
      <c r="AC39" s="1349">
        <f t="shared" si="5"/>
        <v>1</v>
      </c>
    </row>
    <row r="40" spans="1:29" ht="15">
      <c r="A40" s="420"/>
      <c r="B40" s="372" t="s">
        <v>1790</v>
      </c>
      <c r="C40" s="563"/>
      <c r="D40" s="383">
        <v>100</v>
      </c>
      <c r="E40" s="564"/>
      <c r="F40" s="409">
        <f>SUMIF(118:118,E40,119:119)-SUMIF(118:118,C40,119:119)+100</f>
        <v>100</v>
      </c>
      <c r="G40" s="564"/>
      <c r="H40" s="383">
        <f>SUMIF(118:118,G40,119:119)-SUMIF(118:118,C40,119:119)+100</f>
        <v>100</v>
      </c>
      <c r="I40" s="564"/>
      <c r="J40" s="383">
        <f>SUMIF(118:118,I40,119:119)-SUMIF(118:118,C40,119:119)+100</f>
        <v>100</v>
      </c>
      <c r="K40" s="559"/>
      <c r="L40" s="2714"/>
      <c r="M40" s="2708"/>
      <c r="N40" s="2708"/>
      <c r="O40" s="2708"/>
      <c r="P40" s="3807"/>
      <c r="Q40" s="1348" t="str">
        <f t="shared" si="11"/>
        <v>单套建筑面积</v>
      </c>
      <c r="R40" s="701" t="s">
        <v>14</v>
      </c>
      <c r="S40" s="702">
        <f t="shared" si="12"/>
        <v>100</v>
      </c>
      <c r="T40" s="701" t="s">
        <v>14</v>
      </c>
      <c r="U40" s="702">
        <f t="shared" si="13"/>
        <v>100</v>
      </c>
      <c r="V40" s="701" t="s">
        <v>14</v>
      </c>
      <c r="W40" s="702">
        <f t="shared" si="14"/>
        <v>100</v>
      </c>
      <c r="X40" s="1351"/>
      <c r="Y40" s="3755"/>
      <c r="Z40" s="1352" t="str">
        <f t="shared" si="15"/>
        <v>单套建筑面积</v>
      </c>
      <c r="AA40" s="1349">
        <f t="shared" si="3"/>
        <v>1</v>
      </c>
      <c r="AB40" s="1349">
        <f t="shared" si="4"/>
        <v>1</v>
      </c>
      <c r="AC40" s="1349">
        <f t="shared" si="5"/>
        <v>1</v>
      </c>
    </row>
    <row r="41" spans="1:29" s="419" customFormat="1" ht="15">
      <c r="A41" s="416"/>
      <c r="B41" s="1350" t="s">
        <v>1791</v>
      </c>
      <c r="C41" s="562"/>
      <c r="D41" s="383">
        <v>100</v>
      </c>
      <c r="E41" s="562"/>
      <c r="F41" s="409">
        <f>SUMIF(120:120,E41,121:121)-SUMIF(120:120,C41,121:121)+100</f>
        <v>100</v>
      </c>
      <c r="G41" s="562"/>
      <c r="H41" s="383">
        <f>SUMIF(120:120,G41,121:121)-SUMIF(120:120,C41,121:121)+100</f>
        <v>100</v>
      </c>
      <c r="I41" s="562"/>
      <c r="J41" s="383">
        <f>SUMIF(120:120,I41,121:121)-SUMIF(120:120,C41,121:121)+100</f>
        <v>100</v>
      </c>
      <c r="K41" s="558"/>
      <c r="L41" s="2713"/>
      <c r="M41" s="2715"/>
      <c r="N41" s="2715"/>
      <c r="O41" s="2715"/>
      <c r="P41" s="3807"/>
      <c r="Q41" s="703" t="str">
        <f t="shared" si="11"/>
        <v>进深比</v>
      </c>
      <c r="R41" s="704" t="s">
        <v>14</v>
      </c>
      <c r="S41" s="705">
        <f t="shared" si="12"/>
        <v>100</v>
      </c>
      <c r="T41" s="704" t="s">
        <v>14</v>
      </c>
      <c r="U41" s="705">
        <f t="shared" si="13"/>
        <v>100</v>
      </c>
      <c r="V41" s="704" t="s">
        <v>14</v>
      </c>
      <c r="W41" s="705">
        <f t="shared" si="14"/>
        <v>100</v>
      </c>
      <c r="X41" s="706"/>
      <c r="Y41" s="3755"/>
      <c r="Z41" s="707" t="str">
        <f t="shared" si="15"/>
        <v>进深比</v>
      </c>
      <c r="AA41" s="1349">
        <f t="shared" si="3"/>
        <v>1</v>
      </c>
      <c r="AB41" s="1349">
        <f t="shared" si="4"/>
        <v>1</v>
      </c>
      <c r="AC41" s="1349">
        <f t="shared" si="5"/>
        <v>1</v>
      </c>
    </row>
    <row r="42" spans="1:29" ht="15">
      <c r="A42" s="420"/>
      <c r="B42" s="372" t="s">
        <v>1792</v>
      </c>
      <c r="C42" s="1901"/>
      <c r="D42" s="383">
        <v>100</v>
      </c>
      <c r="E42" s="1901"/>
      <c r="F42" s="409">
        <f>SUMIF(122:122,E42,123:123)-SUMIF(122:122,C42,123:123)+100</f>
        <v>100</v>
      </c>
      <c r="G42" s="1901"/>
      <c r="H42" s="383">
        <f>SUMIF(122:122,G42,123:123)-SUMIF(122:122,C42,123:123)+100</f>
        <v>100</v>
      </c>
      <c r="I42" s="1901"/>
      <c r="J42" s="383">
        <f>SUMIF(122:122,I42,123:123)-SUMIF(122:122,C42,123:123)+100</f>
        <v>100</v>
      </c>
      <c r="K42" s="558"/>
      <c r="L42" s="2714"/>
      <c r="M42" s="2708"/>
      <c r="N42" s="2708"/>
      <c r="O42" s="2708"/>
      <c r="P42" s="3807"/>
      <c r="Q42" s="1348" t="str">
        <f t="shared" si="11"/>
        <v>内部装修</v>
      </c>
      <c r="R42" s="701" t="s">
        <v>14</v>
      </c>
      <c r="S42" s="702">
        <f t="shared" si="12"/>
        <v>100</v>
      </c>
      <c r="T42" s="701" t="s">
        <v>14</v>
      </c>
      <c r="U42" s="702">
        <f t="shared" si="13"/>
        <v>100</v>
      </c>
      <c r="V42" s="701" t="s">
        <v>14</v>
      </c>
      <c r="W42" s="702">
        <f t="shared" si="14"/>
        <v>100</v>
      </c>
      <c r="X42" s="1351"/>
      <c r="Y42" s="3755"/>
      <c r="Z42" s="1352" t="str">
        <f t="shared" si="15"/>
        <v>内部装修</v>
      </c>
      <c r="AA42" s="1349">
        <f t="shared" si="3"/>
        <v>1</v>
      </c>
      <c r="AB42" s="1349">
        <f t="shared" si="4"/>
        <v>1</v>
      </c>
      <c r="AC42" s="1349">
        <f t="shared" si="5"/>
        <v>1</v>
      </c>
    </row>
    <row r="43" spans="1:29" ht="15">
      <c r="A43" s="420"/>
      <c r="B43" s="372" t="s">
        <v>1707</v>
      </c>
      <c r="C43" s="1901"/>
      <c r="D43" s="383">
        <v>100</v>
      </c>
      <c r="E43" s="1901"/>
      <c r="F43" s="409">
        <f>SUMIF(124:124,E43,125:125)-SUMIF(124:124,C43,125:125)+100</f>
        <v>100</v>
      </c>
      <c r="G43" s="1901"/>
      <c r="H43" s="383">
        <f>SUMIF(124:124,G43,125:125)-SUMIF(124:124,C43,125:125)+100</f>
        <v>100</v>
      </c>
      <c r="I43" s="1901"/>
      <c r="J43" s="383">
        <f>SUMIF(124:124,I43,125:125)-SUMIF(124:124,C43,125:125)+100</f>
        <v>100</v>
      </c>
      <c r="K43" s="558"/>
      <c r="L43" s="2714"/>
      <c r="M43" s="2708"/>
      <c r="N43" s="2708"/>
      <c r="O43" s="2708"/>
      <c r="P43" s="3807"/>
      <c r="Q43" s="1348" t="str">
        <f t="shared" si="11"/>
        <v>内部装修维护情况</v>
      </c>
      <c r="R43" s="701" t="s">
        <v>14</v>
      </c>
      <c r="S43" s="702">
        <f t="shared" si="12"/>
        <v>100</v>
      </c>
      <c r="T43" s="701" t="s">
        <v>14</v>
      </c>
      <c r="U43" s="702">
        <f t="shared" si="13"/>
        <v>100</v>
      </c>
      <c r="V43" s="701" t="s">
        <v>14</v>
      </c>
      <c r="W43" s="702">
        <f t="shared" si="14"/>
        <v>100</v>
      </c>
      <c r="X43" s="1351"/>
      <c r="Y43" s="3755"/>
      <c r="Z43" s="1352" t="str">
        <f t="shared" si="15"/>
        <v>内部装修维护情况</v>
      </c>
      <c r="AA43" s="1349">
        <f t="shared" si="3"/>
        <v>1</v>
      </c>
      <c r="AB43" s="1349">
        <f t="shared" si="4"/>
        <v>1</v>
      </c>
      <c r="AC43" s="1349">
        <f t="shared" si="5"/>
        <v>1</v>
      </c>
    </row>
    <row r="44" spans="1:29" s="108" customFormat="1" ht="15">
      <c r="A44" s="421"/>
      <c r="B44" s="1129">
        <v>111</v>
      </c>
      <c r="C44" s="417"/>
      <c r="D44" s="125">
        <v>100</v>
      </c>
      <c r="E44" s="382"/>
      <c r="F44" s="373">
        <f>SUMIF(126:126,E44,127:127)-SUMIF(126:126,C44,127:127)+100</f>
        <v>100</v>
      </c>
      <c r="G44" s="382"/>
      <c r="H44" s="125">
        <f>SUMIF(126:126,G44,127:127)-SUMIF(126:126,C44,127:127)+100</f>
        <v>100</v>
      </c>
      <c r="I44" s="382"/>
      <c r="J44" s="125">
        <f>SUMIF(126:126,I44,127:127)-SUMIF(126:126,C44,127:127)+100</f>
        <v>100</v>
      </c>
      <c r="K44" s="559"/>
      <c r="L44" s="2709"/>
      <c r="M44" s="2710"/>
      <c r="N44" s="2710"/>
      <c r="O44" s="2710"/>
      <c r="P44" s="3807"/>
      <c r="Q44" s="1339">
        <f t="shared" si="11"/>
        <v>111</v>
      </c>
      <c r="R44" s="697" t="s">
        <v>14</v>
      </c>
      <c r="S44" s="698">
        <f t="shared" si="12"/>
        <v>100</v>
      </c>
      <c r="T44" s="697" t="s">
        <v>14</v>
      </c>
      <c r="U44" s="698">
        <f t="shared" si="13"/>
        <v>100</v>
      </c>
      <c r="V44" s="697" t="s">
        <v>14</v>
      </c>
      <c r="W44" s="698">
        <f t="shared" si="14"/>
        <v>100</v>
      </c>
      <c r="X44" s="699"/>
      <c r="Y44" s="3755"/>
      <c r="Z44" s="52">
        <f t="shared" si="15"/>
        <v>111</v>
      </c>
      <c r="AA44" s="700">
        <f t="shared" si="3"/>
        <v>1</v>
      </c>
      <c r="AB44" s="700">
        <f t="shared" si="4"/>
        <v>1</v>
      </c>
      <c r="AC44" s="700">
        <f t="shared" si="5"/>
        <v>1</v>
      </c>
    </row>
    <row r="45" spans="1:29" ht="15">
      <c r="A45" s="420"/>
      <c r="B45" s="1129">
        <v>111</v>
      </c>
      <c r="C45" s="382"/>
      <c r="D45" s="383">
        <v>100</v>
      </c>
      <c r="E45" s="382"/>
      <c r="F45" s="409">
        <f>SUMIF(128:128,E45,129:129)-SUMIF(128:128,C45,129:129)+100</f>
        <v>100</v>
      </c>
      <c r="G45" s="382"/>
      <c r="H45" s="383">
        <f>SUMIF(128:128,G45,129:129)-SUMIF(128:128,C45,129:129)+100</f>
        <v>100</v>
      </c>
      <c r="I45" s="382"/>
      <c r="J45" s="383">
        <f>SUMIF(128:128,I45,129:129)-SUMIF(128:128,C45,129:129)+100</f>
        <v>100</v>
      </c>
      <c r="K45" s="559"/>
      <c r="L45" s="2714"/>
      <c r="M45" s="2708"/>
      <c r="N45" s="2708"/>
      <c r="O45" s="2708"/>
      <c r="P45" s="3807"/>
      <c r="Q45" s="1348">
        <f t="shared" si="11"/>
        <v>111</v>
      </c>
      <c r="R45" s="701" t="s">
        <v>14</v>
      </c>
      <c r="S45" s="702">
        <f t="shared" si="12"/>
        <v>100</v>
      </c>
      <c r="T45" s="701" t="s">
        <v>14</v>
      </c>
      <c r="U45" s="702">
        <f t="shared" si="13"/>
        <v>100</v>
      </c>
      <c r="V45" s="701" t="s">
        <v>14</v>
      </c>
      <c r="W45" s="702">
        <f t="shared" si="14"/>
        <v>100</v>
      </c>
      <c r="X45" s="1351"/>
      <c r="Y45" s="3755"/>
      <c r="Z45" s="1352">
        <f t="shared" si="15"/>
        <v>111</v>
      </c>
      <c r="AA45" s="1349">
        <f t="shared" si="3"/>
        <v>1</v>
      </c>
      <c r="AB45" s="1349">
        <f t="shared" si="4"/>
        <v>1</v>
      </c>
      <c r="AC45" s="1349">
        <f t="shared" si="5"/>
        <v>1</v>
      </c>
    </row>
    <row r="46" spans="1:29" ht="15.75" thickBot="1">
      <c r="A46" s="426"/>
      <c r="B46" s="1890">
        <v>111</v>
      </c>
      <c r="C46" s="385"/>
      <c r="D46" s="386">
        <v>100</v>
      </c>
      <c r="E46" s="382"/>
      <c r="F46" s="387">
        <f>SUMIF(130:130,E46,131:131)-SUMIF(130:130,C46,131:131)+100</f>
        <v>100</v>
      </c>
      <c r="G46" s="382"/>
      <c r="H46" s="386">
        <f>SUMIF(130:130,G46,131:131)-SUMIF(130:130,C46,131:131)+100</f>
        <v>100</v>
      </c>
      <c r="I46" s="382"/>
      <c r="J46" s="386">
        <f>SUMIF(130:130,I46,131:131)-SUMIF(130:130,C46,131:131)+100</f>
        <v>100</v>
      </c>
      <c r="K46" s="559"/>
      <c r="L46" s="2714"/>
      <c r="M46" s="2708"/>
      <c r="N46" s="2708"/>
      <c r="O46" s="2708"/>
      <c r="P46" s="3808"/>
      <c r="Q46" s="1348">
        <f t="shared" si="11"/>
        <v>111</v>
      </c>
      <c r="R46" s="701" t="s">
        <v>14</v>
      </c>
      <c r="S46" s="702">
        <f t="shared" si="12"/>
        <v>100</v>
      </c>
      <c r="T46" s="701" t="s">
        <v>14</v>
      </c>
      <c r="U46" s="702">
        <f t="shared" si="13"/>
        <v>100</v>
      </c>
      <c r="V46" s="701" t="s">
        <v>14</v>
      </c>
      <c r="W46" s="702">
        <f t="shared" si="14"/>
        <v>100</v>
      </c>
      <c r="X46" s="1351"/>
      <c r="Y46" s="3809"/>
      <c r="Z46" s="1352">
        <f t="shared" si="15"/>
        <v>111</v>
      </c>
      <c r="AA46" s="1349">
        <f t="shared" si="3"/>
        <v>1</v>
      </c>
      <c r="AB46" s="1349">
        <f t="shared" si="4"/>
        <v>1</v>
      </c>
      <c r="AC46" s="1349">
        <f t="shared" si="5"/>
        <v>1</v>
      </c>
    </row>
    <row r="47" spans="1:29" ht="15">
      <c r="A47" s="427" t="s">
        <v>1708</v>
      </c>
      <c r="B47" s="428"/>
      <c r="C47" s="1150" t="s">
        <v>0</v>
      </c>
      <c r="D47" s="1151"/>
      <c r="E47" s="1152"/>
      <c r="F47" s="1153"/>
      <c r="G47" s="1154"/>
      <c r="H47" s="1155"/>
      <c r="I47" s="1152"/>
      <c r="J47" s="1155"/>
      <c r="K47" s="710"/>
      <c r="L47" s="2716"/>
      <c r="M47" s="2717"/>
      <c r="N47" s="2708"/>
      <c r="O47" s="2717"/>
      <c r="P47" s="3737" t="str">
        <f>A47</f>
        <v>成交单价（元/平方米）</v>
      </c>
      <c r="Q47" s="3737"/>
      <c r="R47" s="3750">
        <f>E47</f>
        <v>0</v>
      </c>
      <c r="S47" s="3750"/>
      <c r="T47" s="3750">
        <f>G47</f>
        <v>0</v>
      </c>
      <c r="U47" s="3750"/>
      <c r="V47" s="3750">
        <f>I47</f>
        <v>0</v>
      </c>
      <c r="W47" s="3750"/>
      <c r="X47" s="686"/>
      <c r="Y47" s="708"/>
      <c r="Z47" s="686"/>
      <c r="AA47" s="686"/>
      <c r="AB47" s="686"/>
      <c r="AC47" s="686"/>
    </row>
    <row r="48" spans="1:29" ht="15.75" thickBot="1">
      <c r="A48" s="434" t="s">
        <v>1793</v>
      </c>
      <c r="B48" s="435"/>
      <c r="C48" s="1156" t="e">
        <f>R49</f>
        <v>#DIV/0!</v>
      </c>
      <c r="D48" s="2310" t="s">
        <v>2138</v>
      </c>
      <c r="E48" s="1157" t="e">
        <f>R48</f>
        <v>#DIV/0!</v>
      </c>
      <c r="F48" s="2311"/>
      <c r="G48" s="1156" t="e">
        <f>T48</f>
        <v>#DIV/0!</v>
      </c>
      <c r="H48" s="2311"/>
      <c r="I48" s="1157" t="e">
        <f>V48</f>
        <v>#DIV/0!</v>
      </c>
      <c r="J48" s="2311"/>
      <c r="K48" s="2313">
        <f>F48+H48+J48</f>
        <v>0</v>
      </c>
      <c r="L48" s="2716"/>
      <c r="M48" s="2717"/>
      <c r="N48" s="2708"/>
      <c r="O48" s="2717"/>
      <c r="P48" s="3737" t="str">
        <f>A48</f>
        <v>比较价值（元/平方米）</v>
      </c>
      <c r="Q48" s="3737"/>
      <c r="R48" s="3805" t="e">
        <f>IF(F1="售价",ROUND(PRODUCT(R47,AA7:AA46),0),ROUND(PRODUCT(R47,AA7:AA46),1))</f>
        <v>#DIV/0!</v>
      </c>
      <c r="S48" s="3805"/>
      <c r="T48" s="3805" t="e">
        <f>IF(F1="售价",ROUND(PRODUCT(T47,AB7:AB46),0),ROUND(PRODUCT(T47,AB7:AB46),1))</f>
        <v>#DIV/0!</v>
      </c>
      <c r="U48" s="3805"/>
      <c r="V48" s="3805" t="e">
        <f>IF(F1="售价",ROUND(PRODUCT(V47,AC7:AC46),0),ROUND(PRODUCT(V47,AC7:AC46),1))</f>
        <v>#DIV/0!</v>
      </c>
      <c r="W48" s="3805"/>
      <c r="X48" s="686"/>
      <c r="Y48" s="686"/>
      <c r="Z48" s="686"/>
      <c r="AA48" s="686"/>
      <c r="AB48" s="686"/>
      <c r="AC48" s="686"/>
    </row>
    <row r="49" spans="1:29" ht="15.75" thickBot="1">
      <c r="A49" s="438" t="s">
        <v>1794</v>
      </c>
      <c r="B49" s="439"/>
      <c r="C49" s="1159" t="e">
        <f>R49</f>
        <v>#DIV/0!</v>
      </c>
      <c r="D49" s="1159"/>
      <c r="E49" s="1159"/>
      <c r="F49" s="1159"/>
      <c r="G49" s="1159"/>
      <c r="H49" s="1159"/>
      <c r="I49" s="1159"/>
      <c r="J49" s="1159"/>
      <c r="K49" s="711"/>
      <c r="L49" s="2716"/>
      <c r="M49" s="2717"/>
      <c r="N49" s="2708"/>
      <c r="O49" s="2717"/>
      <c r="P49" s="3757" t="str">
        <f>A49</f>
        <v>估价对象XX用房的比较价值（楼面单价，元/平方米）</v>
      </c>
      <c r="Q49" s="3758"/>
      <c r="R49" s="3804" t="e">
        <f>IF(F1="售价",ROUND(IF(D48="简单平均",AVERAGE(R48:V48),R48*F48+T48*H48+V48*J48),0),ROUND(IF(D48="简单平均",AVERAGE(R48:V48),R48*F48+T48*H48+V48*J48),1))</f>
        <v>#DIV/0!</v>
      </c>
      <c r="S49" s="3804"/>
      <c r="T49" s="3804"/>
      <c r="U49" s="3804"/>
      <c r="V49" s="3804"/>
      <c r="W49" s="3804"/>
      <c r="X49" s="686"/>
      <c r="Y49" s="686"/>
      <c r="Z49" s="686"/>
      <c r="AA49" s="686"/>
      <c r="AB49" s="686"/>
      <c r="AC49" s="686"/>
    </row>
    <row r="50" spans="1:29">
      <c r="A50" s="2717"/>
      <c r="B50" s="2717"/>
      <c r="C50" s="2717"/>
      <c r="D50" s="2717"/>
      <c r="E50" s="2717"/>
      <c r="F50" s="2717"/>
      <c r="G50" s="2721"/>
      <c r="H50" s="2717"/>
      <c r="I50" s="2717"/>
      <c r="J50" s="2717"/>
      <c r="K50" s="2722"/>
      <c r="L50" s="2718"/>
      <c r="M50" s="2717"/>
      <c r="N50" s="2717"/>
      <c r="O50" s="2717"/>
      <c r="P50" s="2728"/>
      <c r="Q50" s="2717"/>
      <c r="R50" s="2717"/>
      <c r="S50" s="2717"/>
      <c r="T50" s="2717"/>
      <c r="U50" s="2717"/>
      <c r="V50" s="2717"/>
      <c r="W50" s="2717"/>
      <c r="X50" s="2717"/>
      <c r="Y50" s="2717"/>
      <c r="Z50" s="2717"/>
      <c r="AA50" s="2717"/>
      <c r="AB50" s="2717"/>
      <c r="AC50" s="2717"/>
    </row>
    <row r="51" spans="1:29">
      <c r="A51" s="2717"/>
      <c r="B51" s="2717"/>
      <c r="C51" s="2717"/>
      <c r="D51" s="2717"/>
      <c r="E51" s="2717"/>
      <c r="F51" s="2717"/>
      <c r="G51" s="2717"/>
      <c r="H51" s="2717"/>
      <c r="I51" s="2717"/>
      <c r="J51" s="2717"/>
      <c r="K51" s="2722"/>
      <c r="L51" s="2718"/>
      <c r="M51" s="2717"/>
      <c r="N51" s="2717"/>
      <c r="O51" s="2717"/>
      <c r="P51" s="2728"/>
      <c r="Q51" s="2717"/>
      <c r="R51" s="2717"/>
      <c r="S51" s="2717"/>
      <c r="T51" s="2717"/>
      <c r="U51" s="2717"/>
      <c r="V51" s="2717"/>
      <c r="W51" s="2717"/>
      <c r="X51" s="2717"/>
      <c r="Y51" s="2717"/>
      <c r="Z51" s="2717"/>
      <c r="AA51" s="2717"/>
      <c r="AB51" s="2717"/>
      <c r="AC51" s="2717"/>
    </row>
    <row r="52" spans="1:29" ht="13.5" customHeight="1">
      <c r="A52" s="2717"/>
      <c r="B52" s="2717"/>
      <c r="C52" s="443" t="s">
        <v>1795</v>
      </c>
      <c r="D52" s="444"/>
      <c r="E52" s="445" t="e">
        <f>IF(E47&lt;E48,E48/E47-1,E47/E48-1)</f>
        <v>#DIV/0!</v>
      </c>
      <c r="F52" s="446" t="e">
        <f>IF(OR(E52&gt;=0.3,E52&lt;=-0.3),"超过30%","")</f>
        <v>#DIV/0!</v>
      </c>
      <c r="G52" s="445" t="e">
        <f>IF(G47&lt;G48,G48/G47-1,G47/G48-1)</f>
        <v>#DIV/0!</v>
      </c>
      <c r="H52" s="446" t="e">
        <f>IF(OR(G52&gt;=0.3,G52&lt;=-0.3),"超过30%","")</f>
        <v>#DIV/0!</v>
      </c>
      <c r="I52" s="445" t="e">
        <f>IF(I47&lt;I48,I48/I47-1,I47/I48-1)</f>
        <v>#DIV/0!</v>
      </c>
      <c r="J52" s="446" t="e">
        <f>IF(OR(I52&gt;=0.3,I52&lt;=-0.3),"超过30%","")</f>
        <v>#DIV/0!</v>
      </c>
      <c r="K52" s="2722"/>
      <c r="L52" s="2718"/>
      <c r="M52" s="2717"/>
      <c r="N52" s="2717"/>
      <c r="O52" s="2717"/>
      <c r="P52" s="2728"/>
      <c r="Q52" s="2717"/>
      <c r="R52" s="2717"/>
      <c r="S52" s="2717"/>
      <c r="T52" s="2717"/>
      <c r="U52" s="2717"/>
      <c r="V52" s="2717"/>
      <c r="W52" s="2717"/>
      <c r="X52" s="2717"/>
      <c r="Y52" s="2717"/>
      <c r="Z52" s="2717"/>
      <c r="AA52" s="2717"/>
      <c r="AB52" s="2717"/>
      <c r="AC52" s="2717"/>
    </row>
    <row r="53" spans="1:29" ht="13.5" customHeight="1">
      <c r="A53" s="2717"/>
      <c r="B53" s="2717"/>
      <c r="C53" s="443" t="s">
        <v>1796</v>
      </c>
      <c r="D53" s="447"/>
      <c r="E53" s="445" t="e">
        <f>IF(E48&lt;G48,G48/E48-1,E48/G48-1)</f>
        <v>#DIV/0!</v>
      </c>
      <c r="F53" s="446" t="e">
        <f>IF(OR(E53&gt;=0.2,E53&lt;=-0.2),"超过20%","")</f>
        <v>#DIV/0!</v>
      </c>
      <c r="G53" s="445" t="e">
        <f>IF(G48&lt;I48,I48/G48-1,G48/I48-1)</f>
        <v>#DIV/0!</v>
      </c>
      <c r="H53" s="446" t="e">
        <f>IF(OR(G53&gt;=0.2,G53&lt;=-0.2),"超过20%","")</f>
        <v>#DIV/0!</v>
      </c>
      <c r="I53" s="445" t="e">
        <f>IF(I48&lt;E48,E48/I48-1,I48/E48-1)</f>
        <v>#DIV/0!</v>
      </c>
      <c r="J53" s="446" t="e">
        <f>IF(OR(I53&gt;=0.2,I53&lt;=-0.2),"超过20%","")</f>
        <v>#DIV/0!</v>
      </c>
      <c r="K53" s="2722"/>
      <c r="L53" s="2718"/>
      <c r="M53" s="2717"/>
      <c r="N53" s="2717"/>
      <c r="O53" s="2717"/>
      <c r="P53" s="2728"/>
      <c r="Q53" s="2717"/>
      <c r="R53" s="2717"/>
      <c r="S53" s="2717"/>
      <c r="T53" s="2717"/>
      <c r="U53" s="2717"/>
      <c r="V53" s="2717"/>
      <c r="W53" s="2717"/>
      <c r="X53" s="2717"/>
      <c r="Y53" s="2717"/>
      <c r="Z53" s="2717"/>
      <c r="AA53" s="2717"/>
      <c r="AB53" s="2717"/>
      <c r="AC53" s="2717"/>
    </row>
    <row r="54" spans="1:29" s="448" customFormat="1" ht="13.5" customHeight="1">
      <c r="A54" s="2720"/>
      <c r="B54" s="2720"/>
      <c r="C54" s="443" t="s">
        <v>1797</v>
      </c>
      <c r="D54" s="447"/>
      <c r="E54" s="445" t="e">
        <f>IF(E47&lt;G47,G47/E47-1,E47/G47-1)</f>
        <v>#DIV/0!</v>
      </c>
      <c r="F54" s="446" t="e">
        <f>IF(OR(E54&gt;=0.3,E54&lt;=-0.3),"超过30%","")</f>
        <v>#DIV/0!</v>
      </c>
      <c r="G54" s="445" t="e">
        <f>IF(G47&lt;I47,I47/G47-1,G47/I47-1)</f>
        <v>#DIV/0!</v>
      </c>
      <c r="H54" s="446" t="e">
        <f>IF(OR(G54&gt;=0.3,G54&lt;=-0.3),"超过30%","")</f>
        <v>#DIV/0!</v>
      </c>
      <c r="I54" s="445" t="e">
        <f>IF(I47&lt;E47,E47/I47-1,I47/E47-1)</f>
        <v>#DIV/0!</v>
      </c>
      <c r="J54" s="446" t="e">
        <f>IF(OR(I54&gt;=0.3,I54&lt;=-0.3),"超过30%","")</f>
        <v>#DIV/0!</v>
      </c>
      <c r="K54" s="2725"/>
      <c r="L54" s="2719"/>
      <c r="M54" s="2720"/>
      <c r="N54" s="2720"/>
      <c r="O54" s="2720"/>
      <c r="P54" s="2729"/>
      <c r="Q54" s="2720"/>
      <c r="R54" s="2720"/>
      <c r="S54" s="2720"/>
      <c r="T54" s="2720"/>
      <c r="U54" s="2720"/>
      <c r="V54" s="2720"/>
      <c r="W54" s="2720"/>
      <c r="X54" s="2720"/>
      <c r="Y54" s="2720"/>
      <c r="Z54" s="2720"/>
      <c r="AA54" s="2720"/>
      <c r="AB54" s="2720"/>
      <c r="AC54" s="2720"/>
    </row>
    <row r="55" spans="1:29" s="448" customFormat="1">
      <c r="A55" s="2720"/>
      <c r="B55" s="2723"/>
      <c r="C55" s="2724"/>
      <c r="D55" s="2720"/>
      <c r="E55" s="2720"/>
      <c r="F55" s="2720"/>
      <c r="G55" s="2720"/>
      <c r="H55" s="2720"/>
      <c r="I55" s="2720"/>
      <c r="J55" s="2720"/>
      <c r="K55" s="2725"/>
      <c r="L55" s="2719"/>
      <c r="M55" s="2720"/>
      <c r="N55" s="2720"/>
      <c r="O55" s="2720"/>
      <c r="P55" s="2729"/>
      <c r="Q55" s="2720"/>
      <c r="R55" s="2720"/>
      <c r="S55" s="2720"/>
      <c r="T55" s="2720"/>
      <c r="U55" s="2720"/>
      <c r="V55" s="2720"/>
      <c r="W55" s="2720"/>
      <c r="X55" s="2720"/>
      <c r="Y55" s="2720"/>
      <c r="Z55" s="2720"/>
      <c r="AA55" s="2720"/>
      <c r="AB55" s="2720"/>
      <c r="AC55" s="2720"/>
    </row>
    <row r="56" spans="1:29">
      <c r="A56" s="2717"/>
      <c r="B56" s="2723"/>
      <c r="C56" s="2724"/>
      <c r="D56" s="2717"/>
      <c r="E56" s="2717"/>
      <c r="F56" s="2717"/>
      <c r="G56" s="2717"/>
      <c r="H56" s="2717"/>
      <c r="I56" s="2717"/>
      <c r="J56" s="2717"/>
      <c r="K56" s="2722"/>
      <c r="L56" s="2718"/>
      <c r="M56" s="2717"/>
      <c r="N56" s="2717"/>
      <c r="O56" s="2717"/>
      <c r="P56" s="2728"/>
      <c r="Q56" s="2717"/>
      <c r="R56" s="2717"/>
      <c r="S56" s="2717"/>
      <c r="T56" s="2717"/>
      <c r="U56" s="2717"/>
      <c r="V56" s="2717"/>
      <c r="W56" s="2717"/>
      <c r="X56" s="2717"/>
      <c r="Y56" s="2717"/>
      <c r="Z56" s="2717"/>
      <c r="AA56" s="2717"/>
      <c r="AB56" s="2717"/>
      <c r="AC56" s="2717"/>
    </row>
    <row r="57" spans="1:29" ht="21.75" thickBot="1">
      <c r="A57" s="690" t="s">
        <v>1798</v>
      </c>
      <c r="B57" s="686"/>
      <c r="C57" s="691"/>
      <c r="D57" s="691"/>
      <c r="E57" s="691"/>
      <c r="F57" s="692"/>
      <c r="G57" s="692"/>
      <c r="H57" s="691"/>
      <c r="I57" s="691"/>
      <c r="J57" s="691"/>
      <c r="K57" s="693"/>
      <c r="L57" s="938"/>
      <c r="M57" s="936"/>
      <c r="N57" s="936"/>
      <c r="O57" s="936"/>
      <c r="P57" s="2730"/>
      <c r="Q57" s="2731"/>
      <c r="R57" s="2717"/>
      <c r="S57" s="2717"/>
      <c r="T57" s="2717"/>
      <c r="U57" s="2717"/>
      <c r="V57" s="2717"/>
      <c r="W57" s="2717"/>
      <c r="X57" s="2717"/>
      <c r="Y57" s="2717"/>
      <c r="Z57" s="2717"/>
      <c r="AA57" s="2717"/>
      <c r="AB57" s="2717"/>
      <c r="AC57" s="2717"/>
    </row>
    <row r="58" spans="1:29" s="454" customFormat="1" ht="15">
      <c r="A58" s="451" t="s">
        <v>1679</v>
      </c>
      <c r="B58" s="452"/>
      <c r="C58" s="1180" t="str">
        <f>YEAR(C7)&amp;"-"&amp;MONTH(C7)</f>
        <v>2023-7</v>
      </c>
      <c r="D58" s="1181">
        <f>EDATE(C58,-1)</f>
        <v>45078</v>
      </c>
      <c r="E58" s="1181">
        <f t="shared" ref="E58:N58" si="16">EDATE(D58,-1)</f>
        <v>45047</v>
      </c>
      <c r="F58" s="1181">
        <f t="shared" si="16"/>
        <v>45017</v>
      </c>
      <c r="G58" s="1181">
        <f t="shared" si="16"/>
        <v>44986</v>
      </c>
      <c r="H58" s="1181">
        <f t="shared" si="16"/>
        <v>44958</v>
      </c>
      <c r="I58" s="1181">
        <f t="shared" si="16"/>
        <v>44927</v>
      </c>
      <c r="J58" s="1181">
        <f t="shared" si="16"/>
        <v>44896</v>
      </c>
      <c r="K58" s="1181">
        <f t="shared" si="16"/>
        <v>44866</v>
      </c>
      <c r="L58" s="1181">
        <f t="shared" si="16"/>
        <v>44835</v>
      </c>
      <c r="M58" s="1181">
        <f t="shared" si="16"/>
        <v>44805</v>
      </c>
      <c r="N58" s="1181">
        <f t="shared" si="16"/>
        <v>44774</v>
      </c>
      <c r="O58" s="1181">
        <f>EDATE(N58,-1)</f>
        <v>44743</v>
      </c>
      <c r="P58" s="2732"/>
      <c r="Q58" s="2733"/>
      <c r="R58" s="2733"/>
      <c r="S58" s="2733"/>
      <c r="T58" s="2733"/>
      <c r="U58" s="2733"/>
      <c r="V58" s="2733"/>
      <c r="W58" s="2733"/>
      <c r="X58" s="2733"/>
      <c r="Y58" s="2733"/>
      <c r="Z58" s="2733"/>
      <c r="AA58" s="2733"/>
      <c r="AB58" s="2733"/>
      <c r="AC58" s="2733"/>
    </row>
    <row r="59" spans="1:29" s="108" customFormat="1" ht="15">
      <c r="A59" s="455"/>
      <c r="B59" s="456"/>
      <c r="C59" s="1179">
        <v>100</v>
      </c>
      <c r="D59" s="458"/>
      <c r="E59" s="458"/>
      <c r="F59" s="458"/>
      <c r="G59" s="458"/>
      <c r="H59" s="458"/>
      <c r="I59" s="458"/>
      <c r="J59" s="458"/>
      <c r="K59" s="458"/>
      <c r="L59" s="458"/>
      <c r="M59" s="459"/>
      <c r="N59" s="458"/>
      <c r="O59" s="459"/>
      <c r="P59" s="2734"/>
      <c r="Q59" s="2653"/>
      <c r="R59" s="2653"/>
      <c r="S59" s="2653"/>
      <c r="T59" s="2653"/>
      <c r="U59" s="2653"/>
      <c r="V59" s="2653"/>
      <c r="W59" s="2653"/>
      <c r="X59" s="2653"/>
      <c r="Y59" s="2653"/>
      <c r="Z59" s="2653"/>
      <c r="AA59" s="2653"/>
      <c r="AB59" s="2653"/>
      <c r="AC59" s="2653"/>
    </row>
    <row r="60" spans="1:29" s="108" customFormat="1" ht="15.75" thickBot="1">
      <c r="A60" s="461" t="s">
        <v>1716</v>
      </c>
      <c r="B60" s="462"/>
      <c r="C60" s="463"/>
      <c r="D60" s="464"/>
      <c r="E60" s="464"/>
      <c r="F60" s="464"/>
      <c r="G60" s="464"/>
      <c r="H60" s="464"/>
      <c r="I60" s="464"/>
      <c r="J60" s="464"/>
      <c r="K60" s="464"/>
      <c r="L60" s="464"/>
      <c r="M60" s="465"/>
      <c r="N60" s="464"/>
      <c r="O60" s="465"/>
      <c r="P60" s="2734"/>
      <c r="Q60" s="2731"/>
      <c r="R60" s="2653"/>
      <c r="S60" s="2653"/>
      <c r="T60" s="2653"/>
      <c r="U60" s="2653"/>
      <c r="V60" s="2653"/>
      <c r="W60" s="2653"/>
      <c r="X60" s="2653"/>
      <c r="Y60" s="2653"/>
      <c r="Z60" s="2653"/>
      <c r="AA60" s="2653"/>
      <c r="AB60" s="2653"/>
      <c r="AC60" s="2653"/>
    </row>
    <row r="61" spans="1:29" s="108" customFormat="1" ht="15">
      <c r="A61" s="467" t="s">
        <v>1681</v>
      </c>
      <c r="B61" s="456"/>
      <c r="C61" s="468" t="s">
        <v>1776</v>
      </c>
      <c r="D61" s="469"/>
      <c r="E61" s="469"/>
      <c r="F61" s="469"/>
      <c r="G61" s="469"/>
      <c r="H61" s="469"/>
      <c r="I61" s="469"/>
      <c r="J61" s="469"/>
      <c r="K61" s="469"/>
      <c r="L61" s="470"/>
      <c r="M61" s="471"/>
      <c r="N61" s="2744"/>
      <c r="O61" s="2744"/>
      <c r="P61" s="2735"/>
      <c r="Q61" s="2731"/>
      <c r="R61" s="2653"/>
      <c r="S61" s="2653"/>
      <c r="T61" s="2653"/>
      <c r="U61" s="2653"/>
      <c r="V61" s="2653"/>
      <c r="W61" s="2653"/>
      <c r="X61" s="2653"/>
      <c r="Y61" s="2653"/>
      <c r="Z61" s="2653"/>
      <c r="AA61" s="2653"/>
      <c r="AB61" s="2653"/>
      <c r="AC61" s="2653"/>
    </row>
    <row r="62" spans="1:29" s="108" customFormat="1" ht="15.75" thickBot="1">
      <c r="A62" s="467"/>
      <c r="B62" s="456"/>
      <c r="C62" s="457">
        <v>100</v>
      </c>
      <c r="D62" s="458"/>
      <c r="E62" s="458"/>
      <c r="F62" s="458"/>
      <c r="G62" s="458"/>
      <c r="H62" s="458"/>
      <c r="I62" s="458"/>
      <c r="J62" s="458"/>
      <c r="K62" s="458"/>
      <c r="L62" s="458"/>
      <c r="M62" s="460"/>
      <c r="N62" s="2744"/>
      <c r="O62" s="2744"/>
      <c r="P62" s="2734"/>
      <c r="Q62" s="2731"/>
      <c r="R62" s="2653"/>
      <c r="S62" s="2653"/>
      <c r="T62" s="2653"/>
      <c r="U62" s="2653"/>
      <c r="V62" s="2653"/>
      <c r="W62" s="2653"/>
      <c r="X62" s="2653"/>
      <c r="Y62" s="2653"/>
      <c r="Z62" s="2653"/>
      <c r="AA62" s="2653"/>
      <c r="AB62" s="2653"/>
      <c r="AC62" s="2653"/>
    </row>
    <row r="63" spans="1:29">
      <c r="A63" s="473" t="s">
        <v>1719</v>
      </c>
      <c r="B63" s="474" t="s">
        <v>1685</v>
      </c>
      <c r="C63" s="475">
        <f>C9</f>
        <v>0</v>
      </c>
      <c r="D63" s="476"/>
      <c r="E63" s="476"/>
      <c r="F63" s="476"/>
      <c r="G63" s="476"/>
      <c r="H63" s="476"/>
      <c r="I63" s="476"/>
      <c r="J63" s="476"/>
      <c r="K63" s="477"/>
      <c r="L63" s="478"/>
      <c r="M63" s="479"/>
      <c r="N63" s="2745"/>
      <c r="O63" s="2745"/>
      <c r="P63" s="2736"/>
      <c r="Q63" s="2731"/>
      <c r="R63" s="2717"/>
      <c r="S63" s="2717"/>
      <c r="T63" s="2717"/>
      <c r="U63" s="2717"/>
      <c r="V63" s="2717"/>
      <c r="W63" s="2717"/>
      <c r="X63" s="2717"/>
      <c r="Y63" s="2717"/>
      <c r="Z63" s="2717"/>
      <c r="AA63" s="2717"/>
      <c r="AB63" s="2717"/>
      <c r="AC63" s="2717"/>
    </row>
    <row r="64" spans="1:29" ht="15.75" thickBot="1">
      <c r="A64" s="480"/>
      <c r="B64" s="481"/>
      <c r="C64" s="482">
        <v>100</v>
      </c>
      <c r="D64" s="482"/>
      <c r="E64" s="482"/>
      <c r="F64" s="482"/>
      <c r="G64" s="482"/>
      <c r="H64" s="482"/>
      <c r="I64" s="482"/>
      <c r="J64" s="482"/>
      <c r="K64" s="482"/>
      <c r="L64" s="482"/>
      <c r="M64" s="483"/>
      <c r="N64" s="2746"/>
      <c r="O64" s="2746"/>
      <c r="P64" s="2736"/>
      <c r="Q64" s="2731"/>
      <c r="R64" s="2717"/>
      <c r="S64" s="2717"/>
      <c r="T64" s="2717"/>
      <c r="U64" s="2717"/>
      <c r="V64" s="2717"/>
      <c r="W64" s="2717"/>
      <c r="X64" s="2717"/>
      <c r="Y64" s="2717"/>
      <c r="Z64" s="2717"/>
      <c r="AA64" s="2717"/>
      <c r="AB64" s="2717"/>
      <c r="AC64" s="2717"/>
    </row>
    <row r="65" spans="1:29" ht="27.75" thickTop="1">
      <c r="A65" s="480"/>
      <c r="B65" s="484" t="s">
        <v>1688</v>
      </c>
      <c r="C65" s="529"/>
      <c r="D65" s="529"/>
      <c r="E65" s="529"/>
      <c r="F65" s="529"/>
      <c r="G65" s="529"/>
      <c r="H65" s="529"/>
      <c r="I65" s="529"/>
      <c r="J65" s="529"/>
      <c r="K65" s="530"/>
      <c r="L65" s="531"/>
      <c r="M65" s="532"/>
      <c r="N65" s="2745"/>
      <c r="O65" s="2745"/>
      <c r="P65" s="2736"/>
      <c r="Q65" s="2731"/>
      <c r="R65" s="2717"/>
      <c r="S65" s="2717"/>
      <c r="T65" s="2717"/>
      <c r="U65" s="2717"/>
      <c r="V65" s="2717"/>
      <c r="W65" s="2717"/>
      <c r="X65" s="2717"/>
      <c r="Y65" s="2717"/>
      <c r="Z65" s="2717"/>
      <c r="AA65" s="2717"/>
      <c r="AB65" s="2717"/>
      <c r="AC65" s="2717"/>
    </row>
    <row r="66" spans="1:29" ht="15.75" thickBot="1">
      <c r="A66" s="480"/>
      <c r="B66" s="489"/>
      <c r="C66" s="482"/>
      <c r="D66" s="482"/>
      <c r="E66" s="482"/>
      <c r="F66" s="482"/>
      <c r="G66" s="482"/>
      <c r="H66" s="482"/>
      <c r="I66" s="482"/>
      <c r="J66" s="482"/>
      <c r="K66" s="482"/>
      <c r="L66" s="482"/>
      <c r="M66" s="483"/>
      <c r="N66" s="2746"/>
      <c r="O66" s="2746"/>
      <c r="P66" s="2736"/>
      <c r="Q66" s="2731"/>
      <c r="R66" s="2717"/>
      <c r="S66" s="2717"/>
      <c r="T66" s="2717"/>
      <c r="U66" s="2717"/>
      <c r="V66" s="2717"/>
      <c r="W66" s="2717"/>
      <c r="X66" s="2717"/>
      <c r="Y66" s="2717"/>
      <c r="Z66" s="2717"/>
      <c r="AA66" s="2717"/>
      <c r="AB66" s="2717"/>
      <c r="AC66" s="2717"/>
    </row>
    <row r="67" spans="1:29" ht="15.75" thickTop="1">
      <c r="A67" s="480"/>
      <c r="B67" s="492" t="s">
        <v>1689</v>
      </c>
      <c r="C67" s="493" t="str">
        <f>C68&amp;"（含）"&amp;"-"&amp;D68</f>
        <v>（含）-</v>
      </c>
      <c r="D67" s="493" t="str">
        <f t="shared" ref="D67:L67" si="17">D68&amp;"（含）"&amp;"-"&amp;E68</f>
        <v>（含）-</v>
      </c>
      <c r="E67" s="493" t="str">
        <f t="shared" si="17"/>
        <v>（含）-</v>
      </c>
      <c r="F67" s="493" t="str">
        <f t="shared" si="17"/>
        <v>（含）-</v>
      </c>
      <c r="G67" s="493" t="str">
        <f t="shared" si="17"/>
        <v>（含）-</v>
      </c>
      <c r="H67" s="493" t="str">
        <f t="shared" si="17"/>
        <v>（含）-</v>
      </c>
      <c r="I67" s="493" t="str">
        <f t="shared" si="17"/>
        <v>（含）-</v>
      </c>
      <c r="J67" s="493" t="str">
        <f t="shared" si="17"/>
        <v>（含）-</v>
      </c>
      <c r="K67" s="493" t="str">
        <f t="shared" si="17"/>
        <v>（含）-</v>
      </c>
      <c r="L67" s="493" t="str">
        <f t="shared" si="17"/>
        <v>（含）-</v>
      </c>
      <c r="M67" s="396" t="str">
        <f>M68&amp;"（含）"&amp;"-"&amp;P68</f>
        <v>（含）-</v>
      </c>
      <c r="N67" s="2746"/>
      <c r="O67" s="2746"/>
      <c r="P67" s="2736"/>
      <c r="Q67" s="2731"/>
      <c r="R67" s="2717"/>
      <c r="S67" s="2717"/>
      <c r="T67" s="2717"/>
      <c r="U67" s="2717"/>
      <c r="V67" s="2717"/>
      <c r="W67" s="2717"/>
      <c r="X67" s="2717"/>
      <c r="Y67" s="2717"/>
      <c r="Z67" s="2717"/>
      <c r="AA67" s="2717"/>
      <c r="AB67" s="2717"/>
      <c r="AC67" s="2717"/>
    </row>
    <row r="68" spans="1:29" ht="15">
      <c r="A68" s="480"/>
      <c r="B68" s="494"/>
      <c r="C68" s="495"/>
      <c r="D68" s="495"/>
      <c r="E68" s="495"/>
      <c r="F68" s="495"/>
      <c r="G68" s="495"/>
      <c r="H68" s="495"/>
      <c r="I68" s="495"/>
      <c r="J68" s="495"/>
      <c r="K68" s="496"/>
      <c r="L68" s="497"/>
      <c r="M68" s="498"/>
      <c r="N68" s="2745"/>
      <c r="O68" s="2745"/>
      <c r="P68" s="2736"/>
      <c r="Q68" s="2731"/>
      <c r="R68" s="2717"/>
      <c r="S68" s="2717"/>
      <c r="T68" s="2717"/>
      <c r="U68" s="2717"/>
      <c r="V68" s="2717"/>
      <c r="W68" s="2717"/>
      <c r="X68" s="2717"/>
      <c r="Y68" s="2717"/>
      <c r="Z68" s="2717"/>
      <c r="AA68" s="2717"/>
      <c r="AB68" s="2717"/>
      <c r="AC68" s="2717"/>
    </row>
    <row r="69" spans="1:29" ht="15.75" thickBot="1">
      <c r="A69" s="480"/>
      <c r="B69" s="481"/>
      <c r="C69" s="490">
        <v>100</v>
      </c>
      <c r="D69" s="490">
        <f t="shared" ref="D69:M69" si="18">C69-$K11</f>
        <v>100</v>
      </c>
      <c r="E69" s="490">
        <f t="shared" si="18"/>
        <v>100</v>
      </c>
      <c r="F69" s="490">
        <f t="shared" si="18"/>
        <v>100</v>
      </c>
      <c r="G69" s="490">
        <f t="shared" si="18"/>
        <v>100</v>
      </c>
      <c r="H69" s="490">
        <f t="shared" si="18"/>
        <v>100</v>
      </c>
      <c r="I69" s="490">
        <f t="shared" si="18"/>
        <v>100</v>
      </c>
      <c r="J69" s="490">
        <f t="shared" si="18"/>
        <v>100</v>
      </c>
      <c r="K69" s="490">
        <f t="shared" si="18"/>
        <v>100</v>
      </c>
      <c r="L69" s="490">
        <f t="shared" si="18"/>
        <v>100</v>
      </c>
      <c r="M69" s="491">
        <f t="shared" si="18"/>
        <v>100</v>
      </c>
      <c r="N69" s="2746"/>
      <c r="O69" s="2746"/>
      <c r="P69" s="2736"/>
      <c r="Q69" s="2731"/>
      <c r="R69" s="2717"/>
      <c r="S69" s="2717"/>
      <c r="T69" s="2717"/>
      <c r="U69" s="2717"/>
      <c r="V69" s="2717"/>
      <c r="W69" s="2717"/>
      <c r="X69" s="2717"/>
      <c r="Y69" s="2717"/>
      <c r="Z69" s="2717"/>
      <c r="AA69" s="2717"/>
      <c r="AB69" s="2717"/>
      <c r="AC69" s="2717"/>
    </row>
    <row r="70" spans="1:29" s="419" customFormat="1" ht="15.75" thickTop="1">
      <c r="A70" s="499"/>
      <c r="B70" s="484">
        <f>B12</f>
        <v>111</v>
      </c>
      <c r="C70" s="500"/>
      <c r="D70" s="500"/>
      <c r="E70" s="500"/>
      <c r="F70" s="500"/>
      <c r="G70" s="500"/>
      <c r="H70" s="501"/>
      <c r="I70" s="501"/>
      <c r="J70" s="501"/>
      <c r="K70" s="501"/>
      <c r="L70" s="502"/>
      <c r="M70" s="503"/>
      <c r="N70" s="2747"/>
      <c r="O70" s="2747"/>
      <c r="P70" s="2737"/>
      <c r="Q70" s="2738"/>
      <c r="R70" s="2739"/>
      <c r="S70" s="2739"/>
      <c r="T70" s="2739"/>
      <c r="U70" s="2739"/>
      <c r="V70" s="2739"/>
      <c r="W70" s="2739"/>
      <c r="X70" s="2739"/>
      <c r="Y70" s="2739"/>
      <c r="Z70" s="2739"/>
      <c r="AA70" s="2739"/>
      <c r="AB70" s="2739"/>
      <c r="AC70" s="2739"/>
    </row>
    <row r="71" spans="1:29" s="419" customFormat="1" ht="15.75" thickBot="1">
      <c r="A71" s="499"/>
      <c r="B71" s="489"/>
      <c r="C71" s="506"/>
      <c r="D71" s="482"/>
      <c r="E71" s="482"/>
      <c r="F71" s="482"/>
      <c r="G71" s="482"/>
      <c r="H71" s="482"/>
      <c r="I71" s="482"/>
      <c r="J71" s="482"/>
      <c r="K71" s="482"/>
      <c r="L71" s="482"/>
      <c r="M71" s="483"/>
      <c r="N71" s="2746"/>
      <c r="O71" s="2746"/>
      <c r="P71" s="2737"/>
      <c r="Q71" s="2738"/>
      <c r="R71" s="2739"/>
      <c r="S71" s="2739"/>
      <c r="T71" s="2739"/>
      <c r="U71" s="2739"/>
      <c r="V71" s="2739"/>
      <c r="W71" s="2739"/>
      <c r="X71" s="2739"/>
      <c r="Y71" s="2739"/>
      <c r="Z71" s="2739"/>
      <c r="AA71" s="2739"/>
      <c r="AB71" s="2739"/>
      <c r="AC71" s="2739"/>
    </row>
    <row r="72" spans="1:29" s="419" customFormat="1" ht="15.75" thickTop="1">
      <c r="A72" s="499"/>
      <c r="B72" s="484">
        <f>B13</f>
        <v>111</v>
      </c>
      <c r="C72" s="500"/>
      <c r="D72" s="500"/>
      <c r="E72" s="500"/>
      <c r="F72" s="500"/>
      <c r="G72" s="500"/>
      <c r="H72" s="501"/>
      <c r="I72" s="501"/>
      <c r="J72" s="501"/>
      <c r="K72" s="501"/>
      <c r="L72" s="502"/>
      <c r="M72" s="503"/>
      <c r="N72" s="2747"/>
      <c r="O72" s="2747"/>
      <c r="P72" s="2740"/>
      <c r="Q72" s="2741"/>
      <c r="R72" s="2739"/>
      <c r="S72" s="2739"/>
      <c r="T72" s="2739"/>
      <c r="U72" s="2739"/>
      <c r="V72" s="2739"/>
      <c r="W72" s="2739"/>
      <c r="X72" s="2739"/>
      <c r="Y72" s="2739"/>
      <c r="Z72" s="2739"/>
      <c r="AA72" s="2739"/>
      <c r="AB72" s="2739"/>
      <c r="AC72" s="2739"/>
    </row>
    <row r="73" spans="1:29" s="419" customFormat="1" ht="15.75" thickBot="1">
      <c r="A73" s="499"/>
      <c r="B73" s="489"/>
      <c r="C73" s="506"/>
      <c r="D73" s="482"/>
      <c r="E73" s="482"/>
      <c r="F73" s="482"/>
      <c r="G73" s="506"/>
      <c r="H73" s="508"/>
      <c r="I73" s="508"/>
      <c r="J73" s="508"/>
      <c r="K73" s="508"/>
      <c r="L73" s="508"/>
      <c r="M73" s="509"/>
      <c r="N73" s="2747"/>
      <c r="O73" s="2747"/>
      <c r="P73" s="2737"/>
      <c r="Q73" s="2738"/>
      <c r="R73" s="2739"/>
      <c r="S73" s="2739"/>
      <c r="T73" s="2739"/>
      <c r="U73" s="2739"/>
      <c r="V73" s="2739"/>
      <c r="W73" s="2739"/>
      <c r="X73" s="2739"/>
      <c r="Y73" s="2739"/>
      <c r="Z73" s="2739"/>
      <c r="AA73" s="2739"/>
      <c r="AB73" s="2739"/>
      <c r="AC73" s="2739"/>
    </row>
    <row r="74" spans="1:29" s="419" customFormat="1" ht="15.75" thickTop="1">
      <c r="A74" s="499"/>
      <c r="B74" s="492">
        <f>B14</f>
        <v>111</v>
      </c>
      <c r="C74" s="500"/>
      <c r="D74" s="500"/>
      <c r="E74" s="500"/>
      <c r="F74" s="500"/>
      <c r="G74" s="469"/>
      <c r="H74" s="510"/>
      <c r="I74" s="510"/>
      <c r="J74" s="510"/>
      <c r="K74" s="510"/>
      <c r="L74" s="511"/>
      <c r="M74" s="512"/>
      <c r="N74" s="2747"/>
      <c r="O74" s="2747"/>
      <c r="P74" s="2742"/>
      <c r="Q74" s="2738"/>
      <c r="R74" s="2739"/>
      <c r="S74" s="2739"/>
      <c r="T74" s="2739"/>
      <c r="U74" s="2739"/>
      <c r="V74" s="2739"/>
      <c r="W74" s="2739"/>
      <c r="X74" s="2739"/>
      <c r="Y74" s="2739"/>
      <c r="Z74" s="2739"/>
      <c r="AA74" s="2739"/>
      <c r="AB74" s="2739"/>
      <c r="AC74" s="2739"/>
    </row>
    <row r="75" spans="1:29" s="419" customFormat="1" ht="15.75" thickBot="1">
      <c r="A75" s="514"/>
      <c r="B75" s="515"/>
      <c r="C75" s="516"/>
      <c r="D75" s="516"/>
      <c r="E75" s="516"/>
      <c r="F75" s="516"/>
      <c r="G75" s="516"/>
      <c r="H75" s="517"/>
      <c r="I75" s="517"/>
      <c r="J75" s="517"/>
      <c r="K75" s="517"/>
      <c r="L75" s="517"/>
      <c r="M75" s="518"/>
      <c r="N75" s="2747"/>
      <c r="O75" s="2747"/>
      <c r="P75" s="2737"/>
      <c r="Q75" s="2738"/>
      <c r="R75" s="2739"/>
      <c r="S75" s="2739"/>
      <c r="T75" s="2739"/>
      <c r="U75" s="2739"/>
      <c r="V75" s="2739"/>
      <c r="W75" s="2739"/>
      <c r="X75" s="2739"/>
      <c r="Y75" s="2739"/>
      <c r="Z75" s="2739"/>
      <c r="AA75" s="2739"/>
      <c r="AB75" s="2739"/>
      <c r="AC75" s="2739"/>
    </row>
    <row r="76" spans="1:29">
      <c r="A76" s="473" t="s">
        <v>1690</v>
      </c>
      <c r="B76" s="474" t="s">
        <v>1720</v>
      </c>
      <c r="C76" s="519" t="s">
        <v>1721</v>
      </c>
      <c r="D76" s="519" t="s">
        <v>1722</v>
      </c>
      <c r="E76" s="519" t="s">
        <v>1723</v>
      </c>
      <c r="F76" s="519" t="s">
        <v>1724</v>
      </c>
      <c r="G76" s="519" t="s">
        <v>1725</v>
      </c>
      <c r="H76" s="475"/>
      <c r="I76" s="475"/>
      <c r="J76" s="475"/>
      <c r="K76" s="520"/>
      <c r="L76" s="521"/>
      <c r="M76" s="522"/>
      <c r="N76" s="2745"/>
      <c r="O76" s="2745"/>
      <c r="P76" s="2743"/>
      <c r="Q76" s="2731"/>
      <c r="R76" s="2717"/>
      <c r="S76" s="2717"/>
      <c r="T76" s="2717"/>
      <c r="U76" s="2717"/>
      <c r="V76" s="2717"/>
      <c r="W76" s="2717"/>
      <c r="X76" s="2717"/>
      <c r="Y76" s="2717"/>
      <c r="Z76" s="2717"/>
      <c r="AA76" s="2717"/>
      <c r="AB76" s="2717"/>
      <c r="AC76" s="2717"/>
    </row>
    <row r="77" spans="1:29" ht="15.75" thickBot="1">
      <c r="A77" s="480"/>
      <c r="B77" s="489"/>
      <c r="C77" s="490">
        <v>100</v>
      </c>
      <c r="D77" s="490">
        <f>C77-$K15</f>
        <v>100</v>
      </c>
      <c r="E77" s="490">
        <f>D77-$K15</f>
        <v>100</v>
      </c>
      <c r="F77" s="490">
        <f>E77-$K15</f>
        <v>100</v>
      </c>
      <c r="G77" s="490">
        <f>F77-$K15</f>
        <v>100</v>
      </c>
      <c r="H77" s="490"/>
      <c r="I77" s="490"/>
      <c r="J77" s="490"/>
      <c r="K77" s="490"/>
      <c r="L77" s="490"/>
      <c r="M77" s="491"/>
      <c r="N77" s="2746"/>
      <c r="O77" s="2746"/>
      <c r="P77" s="2736"/>
      <c r="Q77" s="2731"/>
      <c r="R77" s="2717"/>
      <c r="S77" s="2717"/>
      <c r="T77" s="2717"/>
      <c r="U77" s="2717"/>
      <c r="V77" s="2717"/>
      <c r="W77" s="2717"/>
      <c r="X77" s="2717"/>
      <c r="Y77" s="2717"/>
      <c r="Z77" s="2717"/>
      <c r="AA77" s="2717"/>
      <c r="AB77" s="2717"/>
      <c r="AC77" s="2717"/>
    </row>
    <row r="78" spans="1:29" ht="15.75" thickTop="1">
      <c r="A78" s="480"/>
      <c r="B78" s="484" t="s">
        <v>1726</v>
      </c>
      <c r="C78" s="524" t="s">
        <v>1721</v>
      </c>
      <c r="D78" s="524" t="s">
        <v>1722</v>
      </c>
      <c r="E78" s="524" t="s">
        <v>1723</v>
      </c>
      <c r="F78" s="524" t="s">
        <v>1724</v>
      </c>
      <c r="G78" s="524" t="s">
        <v>1725</v>
      </c>
      <c r="H78" s="485"/>
      <c r="I78" s="485"/>
      <c r="J78" s="485"/>
      <c r="K78" s="486"/>
      <c r="L78" s="487"/>
      <c r="M78" s="488"/>
      <c r="N78" s="2745"/>
      <c r="O78" s="2745"/>
      <c r="P78" s="2736"/>
      <c r="Q78" s="2731"/>
      <c r="R78" s="2717"/>
      <c r="S78" s="2717"/>
      <c r="T78" s="2717"/>
      <c r="U78" s="2717"/>
      <c r="V78" s="2717"/>
      <c r="W78" s="2717"/>
      <c r="X78" s="2717"/>
      <c r="Y78" s="2717"/>
      <c r="Z78" s="2717"/>
      <c r="AA78" s="2717"/>
      <c r="AB78" s="2717"/>
      <c r="AC78" s="2717"/>
    </row>
    <row r="79" spans="1:29" ht="15.75" thickBot="1">
      <c r="A79" s="480"/>
      <c r="B79" s="489"/>
      <c r="C79" s="490">
        <v>100</v>
      </c>
      <c r="D79" s="490">
        <f>C79-$K17</f>
        <v>100</v>
      </c>
      <c r="E79" s="490">
        <f>D79-$K17</f>
        <v>100</v>
      </c>
      <c r="F79" s="490">
        <f>E79-$K17</f>
        <v>100</v>
      </c>
      <c r="G79" s="490">
        <f>F79-$K17</f>
        <v>100</v>
      </c>
      <c r="H79" s="490"/>
      <c r="I79" s="490"/>
      <c r="J79" s="490"/>
      <c r="K79" s="490"/>
      <c r="L79" s="490"/>
      <c r="M79" s="491"/>
      <c r="N79" s="2746"/>
      <c r="O79" s="2746"/>
      <c r="P79" s="2736"/>
      <c r="Q79" s="2731"/>
      <c r="R79" s="2717"/>
      <c r="S79" s="2717"/>
      <c r="T79" s="2717"/>
      <c r="U79" s="2717"/>
      <c r="V79" s="2717"/>
      <c r="W79" s="2717"/>
      <c r="X79" s="2717"/>
      <c r="Y79" s="2717"/>
      <c r="Z79" s="2717"/>
      <c r="AA79" s="2717"/>
      <c r="AB79" s="2717"/>
      <c r="AC79" s="2717"/>
    </row>
    <row r="80" spans="1:29" ht="15.75" thickTop="1">
      <c r="A80" s="480"/>
      <c r="B80" s="484" t="s">
        <v>1727</v>
      </c>
      <c r="C80" s="524" t="s">
        <v>1721</v>
      </c>
      <c r="D80" s="524" t="s">
        <v>1722</v>
      </c>
      <c r="E80" s="524" t="s">
        <v>1723</v>
      </c>
      <c r="F80" s="524" t="s">
        <v>1724</v>
      </c>
      <c r="G80" s="524" t="s">
        <v>1725</v>
      </c>
      <c r="H80" s="485"/>
      <c r="I80" s="485"/>
      <c r="J80" s="485"/>
      <c r="K80" s="486"/>
      <c r="L80" s="487"/>
      <c r="M80" s="488"/>
      <c r="N80" s="2745"/>
      <c r="O80" s="2745"/>
      <c r="P80" s="2736"/>
      <c r="Q80" s="2731"/>
      <c r="R80" s="2717"/>
      <c r="S80" s="2717"/>
      <c r="T80" s="2717"/>
      <c r="U80" s="2717"/>
      <c r="V80" s="2717"/>
      <c r="W80" s="2717"/>
      <c r="X80" s="2717"/>
      <c r="Y80" s="2717"/>
      <c r="Z80" s="2717"/>
      <c r="AA80" s="2717"/>
      <c r="AB80" s="2717"/>
      <c r="AC80" s="2717"/>
    </row>
    <row r="81" spans="1:29" ht="15.75" thickBot="1">
      <c r="A81" s="480"/>
      <c r="B81" s="489"/>
      <c r="C81" s="490">
        <v>100</v>
      </c>
      <c r="D81" s="490">
        <f>C81-$K19</f>
        <v>100</v>
      </c>
      <c r="E81" s="490">
        <f>D81-$K19</f>
        <v>100</v>
      </c>
      <c r="F81" s="490">
        <f>E81-$K19</f>
        <v>100</v>
      </c>
      <c r="G81" s="490">
        <f>F81-$K19</f>
        <v>100</v>
      </c>
      <c r="H81" s="490"/>
      <c r="I81" s="490"/>
      <c r="J81" s="490"/>
      <c r="K81" s="490"/>
      <c r="L81" s="490"/>
      <c r="M81" s="491"/>
      <c r="N81" s="2746"/>
      <c r="O81" s="2746"/>
      <c r="P81" s="2736"/>
      <c r="Q81" s="2731"/>
      <c r="R81" s="2717"/>
      <c r="S81" s="2717"/>
      <c r="T81" s="2717"/>
      <c r="U81" s="2717"/>
      <c r="V81" s="2717"/>
      <c r="W81" s="2717"/>
      <c r="X81" s="2717"/>
      <c r="Y81" s="2717"/>
      <c r="Z81" s="2717"/>
      <c r="AA81" s="2717"/>
      <c r="AB81" s="2717"/>
      <c r="AC81" s="2717"/>
    </row>
    <row r="82" spans="1:29" ht="15.75" thickTop="1">
      <c r="A82" s="480"/>
      <c r="B82" s="492" t="s">
        <v>1779</v>
      </c>
      <c r="C82" s="605" t="s">
        <v>1799</v>
      </c>
      <c r="D82" s="605" t="s">
        <v>1800</v>
      </c>
      <c r="E82" s="605" t="s">
        <v>1801</v>
      </c>
      <c r="F82" s="605" t="s">
        <v>1802</v>
      </c>
      <c r="G82" s="605" t="s">
        <v>1803</v>
      </c>
      <c r="H82" s="485"/>
      <c r="I82" s="485"/>
      <c r="J82" s="485"/>
      <c r="K82" s="485"/>
      <c r="L82" s="485"/>
      <c r="M82" s="1125"/>
      <c r="N82" s="2746"/>
      <c r="O82" s="2746"/>
      <c r="P82" s="2736"/>
      <c r="Q82" s="2731"/>
      <c r="R82" s="2717"/>
      <c r="S82" s="2717"/>
      <c r="T82" s="2717"/>
      <c r="U82" s="2717"/>
      <c r="V82" s="2717"/>
      <c r="W82" s="2717"/>
      <c r="X82" s="2717"/>
      <c r="Y82" s="2717"/>
      <c r="Z82" s="2717"/>
      <c r="AA82" s="2717"/>
      <c r="AB82" s="2717"/>
      <c r="AC82" s="2717"/>
    </row>
    <row r="83" spans="1:29" ht="15.75" thickBot="1">
      <c r="A83" s="480"/>
      <c r="B83" s="492"/>
      <c r="C83" s="490">
        <v>100</v>
      </c>
      <c r="D83" s="490">
        <f>C83-$K21</f>
        <v>100</v>
      </c>
      <c r="E83" s="490">
        <f t="shared" ref="E83:G83" si="19">D83-$K21</f>
        <v>100</v>
      </c>
      <c r="F83" s="490">
        <f t="shared" si="19"/>
        <v>100</v>
      </c>
      <c r="G83" s="490">
        <f t="shared" si="19"/>
        <v>100</v>
      </c>
      <c r="H83" s="605"/>
      <c r="I83" s="605"/>
      <c r="J83" s="605"/>
      <c r="K83" s="605"/>
      <c r="L83" s="605"/>
      <c r="M83" s="398"/>
      <c r="N83" s="2746"/>
      <c r="O83" s="2746"/>
      <c r="P83" s="2736"/>
      <c r="Q83" s="2731"/>
      <c r="R83" s="2717"/>
      <c r="S83" s="2717"/>
      <c r="T83" s="2717"/>
      <c r="U83" s="2717"/>
      <c r="V83" s="2717"/>
      <c r="W83" s="2717"/>
      <c r="X83" s="2717"/>
      <c r="Y83" s="2717"/>
      <c r="Z83" s="2717"/>
      <c r="AA83" s="2717"/>
      <c r="AB83" s="2717"/>
      <c r="AC83" s="2717"/>
    </row>
    <row r="84" spans="1:29" ht="15.75" thickTop="1">
      <c r="A84" s="480"/>
      <c r="B84" s="484" t="s">
        <v>1733</v>
      </c>
      <c r="C84" s="524" t="s">
        <v>1721</v>
      </c>
      <c r="D84" s="524" t="s">
        <v>1722</v>
      </c>
      <c r="E84" s="524" t="s">
        <v>1723</v>
      </c>
      <c r="F84" s="524" t="s">
        <v>1724</v>
      </c>
      <c r="G84" s="524" t="s">
        <v>1725</v>
      </c>
      <c r="H84" s="485"/>
      <c r="I84" s="485"/>
      <c r="J84" s="485"/>
      <c r="K84" s="486"/>
      <c r="L84" s="487"/>
      <c r="M84" s="488"/>
      <c r="N84" s="2745"/>
      <c r="O84" s="2745"/>
      <c r="P84" s="2736"/>
      <c r="Q84" s="2731"/>
      <c r="R84" s="2717"/>
      <c r="S84" s="2717"/>
      <c r="T84" s="2717"/>
      <c r="U84" s="2717"/>
      <c r="V84" s="2717"/>
      <c r="W84" s="2717"/>
      <c r="X84" s="2717"/>
      <c r="Y84" s="2717"/>
      <c r="Z84" s="2717"/>
      <c r="AA84" s="2717"/>
      <c r="AB84" s="2717"/>
      <c r="AC84" s="2717"/>
    </row>
    <row r="85" spans="1:29" ht="15.75" thickBot="1">
      <c r="A85" s="480"/>
      <c r="B85" s="489"/>
      <c r="C85" s="490">
        <v>100</v>
      </c>
      <c r="D85" s="490">
        <f>C85-$K23</f>
        <v>100</v>
      </c>
      <c r="E85" s="490">
        <f>D85-$K23</f>
        <v>100</v>
      </c>
      <c r="F85" s="490">
        <f>E85-$K23</f>
        <v>100</v>
      </c>
      <c r="G85" s="490">
        <f>F85-$K23</f>
        <v>100</v>
      </c>
      <c r="H85" s="490"/>
      <c r="I85" s="490"/>
      <c r="J85" s="490"/>
      <c r="K85" s="490"/>
      <c r="L85" s="490"/>
      <c r="M85" s="491"/>
      <c r="N85" s="2746"/>
      <c r="O85" s="2746"/>
      <c r="P85" s="2736"/>
      <c r="Q85" s="2731"/>
      <c r="R85" s="2717"/>
      <c r="S85" s="2717"/>
      <c r="T85" s="2717"/>
      <c r="U85" s="2717"/>
      <c r="V85" s="2717"/>
      <c r="W85" s="2717"/>
      <c r="X85" s="2717"/>
      <c r="Y85" s="2717"/>
      <c r="Z85" s="2717"/>
      <c r="AA85" s="2717"/>
      <c r="AB85" s="2717"/>
      <c r="AC85" s="2717"/>
    </row>
    <row r="86" spans="1:29" s="108" customFormat="1" ht="15.75" thickTop="1">
      <c r="A86" s="525"/>
      <c r="B86" s="484" t="s">
        <v>1804</v>
      </c>
      <c r="C86" s="500"/>
      <c r="D86" s="500"/>
      <c r="E86" s="500"/>
      <c r="F86" s="500"/>
      <c r="G86" s="500"/>
      <c r="H86" s="500"/>
      <c r="I86" s="500"/>
      <c r="J86" s="500"/>
      <c r="K86" s="500"/>
      <c r="L86" s="526"/>
      <c r="M86" s="527"/>
      <c r="N86" s="2744"/>
      <c r="O86" s="2744"/>
      <c r="P86" s="2736"/>
      <c r="Q86" s="2731"/>
      <c r="R86" s="2653"/>
      <c r="S86" s="2653"/>
      <c r="T86" s="2653"/>
      <c r="U86" s="2653"/>
      <c r="V86" s="2653"/>
      <c r="W86" s="2653"/>
      <c r="X86" s="2653"/>
      <c r="Y86" s="2653"/>
      <c r="Z86" s="2653"/>
      <c r="AA86" s="2653"/>
      <c r="AB86" s="2653"/>
      <c r="AC86" s="2653"/>
    </row>
    <row r="87" spans="1:29" s="108" customFormat="1" ht="15.75" thickBot="1">
      <c r="A87" s="525"/>
      <c r="B87" s="489"/>
      <c r="C87" s="528">
        <v>100</v>
      </c>
      <c r="D87" s="490">
        <f t="shared" ref="D87:M87" si="20">C87-$K25</f>
        <v>100</v>
      </c>
      <c r="E87" s="490">
        <f t="shared" si="20"/>
        <v>100</v>
      </c>
      <c r="F87" s="490">
        <f t="shared" si="20"/>
        <v>100</v>
      </c>
      <c r="G87" s="490">
        <f t="shared" si="20"/>
        <v>100</v>
      </c>
      <c r="H87" s="490">
        <f t="shared" si="20"/>
        <v>100</v>
      </c>
      <c r="I87" s="490">
        <f t="shared" si="20"/>
        <v>100</v>
      </c>
      <c r="J87" s="490">
        <f t="shared" si="20"/>
        <v>100</v>
      </c>
      <c r="K87" s="490">
        <f t="shared" si="20"/>
        <v>100</v>
      </c>
      <c r="L87" s="490">
        <f t="shared" si="20"/>
        <v>100</v>
      </c>
      <c r="M87" s="490">
        <f t="shared" si="20"/>
        <v>100</v>
      </c>
      <c r="N87" s="2746"/>
      <c r="O87" s="2746"/>
      <c r="P87" s="2736"/>
      <c r="Q87" s="2731"/>
      <c r="R87" s="2653"/>
      <c r="S87" s="2653"/>
      <c r="T87" s="2653"/>
      <c r="U87" s="2653"/>
      <c r="V87" s="2653"/>
      <c r="W87" s="2653"/>
      <c r="X87" s="2653"/>
      <c r="Y87" s="2653"/>
      <c r="Z87" s="2653"/>
      <c r="AA87" s="2653"/>
      <c r="AB87" s="2653"/>
      <c r="AC87" s="2653"/>
    </row>
    <row r="88" spans="1:29" s="108" customFormat="1" ht="15.75" thickTop="1">
      <c r="A88" s="525"/>
      <c r="B88" s="484" t="str">
        <f>B26</f>
        <v>平面位置/可视性</v>
      </c>
      <c r="C88" s="500"/>
      <c r="D88" s="500"/>
      <c r="E88" s="500"/>
      <c r="F88" s="1920"/>
      <c r="G88" s="500"/>
      <c r="H88" s="500"/>
      <c r="I88" s="500"/>
      <c r="J88" s="500"/>
      <c r="K88" s="500"/>
      <c r="L88" s="500"/>
      <c r="M88" s="527"/>
      <c r="N88" s="2744"/>
      <c r="O88" s="2744"/>
      <c r="P88" s="2736"/>
      <c r="Q88" s="2731"/>
      <c r="R88" s="2653"/>
      <c r="S88" s="2653"/>
      <c r="T88" s="2653"/>
      <c r="U88" s="2653"/>
      <c r="V88" s="2653"/>
      <c r="W88" s="2653"/>
      <c r="X88" s="2653"/>
      <c r="Y88" s="2653"/>
      <c r="Z88" s="2653"/>
      <c r="AA88" s="2653"/>
      <c r="AB88" s="2653"/>
      <c r="AC88" s="2653"/>
    </row>
    <row r="89" spans="1:29" s="108" customFormat="1" ht="15.75" thickBot="1">
      <c r="A89" s="525"/>
      <c r="B89" s="489"/>
      <c r="C89" s="506"/>
      <c r="D89" s="482"/>
      <c r="E89" s="482"/>
      <c r="F89" s="482"/>
      <c r="G89" s="482"/>
      <c r="H89" s="482"/>
      <c r="I89" s="482"/>
      <c r="J89" s="482"/>
      <c r="K89" s="482"/>
      <c r="L89" s="482"/>
      <c r="M89" s="482"/>
      <c r="N89" s="2746"/>
      <c r="O89" s="2746"/>
      <c r="P89" s="2736"/>
      <c r="Q89" s="2731"/>
      <c r="R89" s="2653"/>
      <c r="S89" s="2653"/>
      <c r="T89" s="2653"/>
      <c r="U89" s="2653"/>
      <c r="V89" s="2653"/>
      <c r="W89" s="2653"/>
      <c r="X89" s="2653"/>
      <c r="Y89" s="2653"/>
      <c r="Z89" s="2653"/>
      <c r="AA89" s="2653"/>
      <c r="AB89" s="2653"/>
      <c r="AC89" s="2653"/>
    </row>
    <row r="90" spans="1:29" s="419" customFormat="1" ht="15.75" thickTop="1">
      <c r="A90" s="499"/>
      <c r="B90" s="484" t="str">
        <f>B27</f>
        <v>人流量</v>
      </c>
      <c r="C90" s="500"/>
      <c r="D90" s="500"/>
      <c r="E90" s="500"/>
      <c r="F90" s="500"/>
      <c r="G90" s="500"/>
      <c r="H90" s="501"/>
      <c r="I90" s="501"/>
      <c r="J90" s="501"/>
      <c r="K90" s="501"/>
      <c r="L90" s="502"/>
      <c r="M90" s="503"/>
      <c r="N90" s="2747"/>
      <c r="O90" s="2747"/>
      <c r="P90" s="2737"/>
      <c r="Q90" s="2738"/>
      <c r="R90" s="2739"/>
      <c r="S90" s="2739"/>
      <c r="T90" s="2739"/>
      <c r="U90" s="2739"/>
      <c r="V90" s="2739"/>
      <c r="W90" s="2739"/>
      <c r="X90" s="2739"/>
      <c r="Y90" s="2739"/>
      <c r="Z90" s="2739"/>
      <c r="AA90" s="2739"/>
      <c r="AB90" s="2739"/>
      <c r="AC90" s="2739"/>
    </row>
    <row r="91" spans="1:29" s="419" customFormat="1" ht="15.75" thickBot="1">
      <c r="A91" s="499"/>
      <c r="B91" s="489"/>
      <c r="C91" s="528">
        <v>100</v>
      </c>
      <c r="D91" s="490">
        <f>C91-$K27</f>
        <v>100</v>
      </c>
      <c r="E91" s="490">
        <f t="shared" ref="E91:M91" si="21">D91-$K27</f>
        <v>100</v>
      </c>
      <c r="F91" s="490">
        <f t="shared" si="21"/>
        <v>100</v>
      </c>
      <c r="G91" s="490">
        <f t="shared" si="21"/>
        <v>100</v>
      </c>
      <c r="H91" s="490">
        <f t="shared" si="21"/>
        <v>100</v>
      </c>
      <c r="I91" s="490">
        <f t="shared" si="21"/>
        <v>100</v>
      </c>
      <c r="J91" s="490">
        <f t="shared" si="21"/>
        <v>100</v>
      </c>
      <c r="K91" s="490">
        <f t="shared" si="21"/>
        <v>100</v>
      </c>
      <c r="L91" s="490">
        <f t="shared" si="21"/>
        <v>100</v>
      </c>
      <c r="M91" s="490">
        <f t="shared" si="21"/>
        <v>100</v>
      </c>
      <c r="N91" s="2747"/>
      <c r="O91" s="2747"/>
      <c r="P91" s="2737"/>
      <c r="Q91" s="2738"/>
      <c r="R91" s="2739"/>
      <c r="S91" s="2739"/>
      <c r="T91" s="2739"/>
      <c r="U91" s="2739"/>
      <c r="V91" s="2739"/>
      <c r="W91" s="2739"/>
      <c r="X91" s="2739"/>
      <c r="Y91" s="2739"/>
      <c r="Z91" s="2739"/>
      <c r="AA91" s="2739"/>
      <c r="AB91" s="2739"/>
      <c r="AC91" s="2739"/>
    </row>
    <row r="92" spans="1:29" ht="15.75" thickTop="1">
      <c r="A92" s="480"/>
      <c r="B92" s="484" t="str">
        <f>B28</f>
        <v>楼层</v>
      </c>
      <c r="C92" s="500"/>
      <c r="D92" s="500"/>
      <c r="E92" s="500"/>
      <c r="F92" s="500"/>
      <c r="G92" s="500"/>
      <c r="H92" s="500"/>
      <c r="I92" s="500"/>
      <c r="J92" s="500"/>
      <c r="K92" s="500"/>
      <c r="L92" s="526"/>
      <c r="M92" s="527"/>
      <c r="N92" s="2745"/>
      <c r="O92" s="2745"/>
      <c r="P92" s="2736"/>
      <c r="Q92" s="2731"/>
      <c r="R92" s="2717"/>
      <c r="S92" s="2717"/>
      <c r="T92" s="2717"/>
      <c r="U92" s="2717"/>
      <c r="V92" s="2717"/>
      <c r="W92" s="2717"/>
      <c r="X92" s="2717"/>
      <c r="Y92" s="2717"/>
      <c r="Z92" s="2717"/>
      <c r="AA92" s="2717"/>
      <c r="AB92" s="2717"/>
      <c r="AC92" s="2717"/>
    </row>
    <row r="93" spans="1:29" ht="15.75" thickBot="1">
      <c r="A93" s="480"/>
      <c r="B93" s="489"/>
      <c r="C93" s="482"/>
      <c r="D93" s="482"/>
      <c r="E93" s="482"/>
      <c r="F93" s="482"/>
      <c r="G93" s="482"/>
      <c r="H93" s="482"/>
      <c r="I93" s="482"/>
      <c r="J93" s="482"/>
      <c r="K93" s="482"/>
      <c r="L93" s="482"/>
      <c r="M93" s="483"/>
      <c r="N93" s="2746"/>
      <c r="O93" s="2746"/>
      <c r="P93" s="2736"/>
      <c r="Q93" s="2731"/>
      <c r="R93" s="2717"/>
      <c r="S93" s="2717"/>
      <c r="T93" s="2717"/>
      <c r="U93" s="2717"/>
      <c r="V93" s="2717"/>
      <c r="W93" s="2717"/>
      <c r="X93" s="2717"/>
      <c r="Y93" s="2717"/>
      <c r="Z93" s="2717"/>
      <c r="AA93" s="2717"/>
      <c r="AB93" s="2717"/>
      <c r="AC93" s="2717"/>
    </row>
    <row r="94" spans="1:29" ht="15.75" thickTop="1">
      <c r="A94" s="480"/>
      <c r="B94" s="484">
        <f>B29</f>
        <v>111</v>
      </c>
      <c r="C94" s="500"/>
      <c r="D94" s="500"/>
      <c r="E94" s="500"/>
      <c r="F94" s="500"/>
      <c r="G94" s="529"/>
      <c r="H94" s="529"/>
      <c r="I94" s="529"/>
      <c r="J94" s="529"/>
      <c r="K94" s="530"/>
      <c r="L94" s="531"/>
      <c r="M94" s="532"/>
      <c r="N94" s="2745"/>
      <c r="O94" s="2745"/>
      <c r="P94" s="2736"/>
      <c r="Q94" s="2731"/>
      <c r="R94" s="2717"/>
      <c r="S94" s="2717"/>
      <c r="T94" s="2717"/>
      <c r="U94" s="2717"/>
      <c r="V94" s="2717"/>
      <c r="W94" s="2717"/>
      <c r="X94" s="2717"/>
      <c r="Y94" s="2717"/>
      <c r="Z94" s="2717"/>
      <c r="AA94" s="2717"/>
      <c r="AB94" s="2717"/>
      <c r="AC94" s="2717"/>
    </row>
    <row r="95" spans="1:29" ht="15.75" thickBot="1">
      <c r="A95" s="480"/>
      <c r="B95" s="489"/>
      <c r="C95" s="506"/>
      <c r="D95" s="482"/>
      <c r="E95" s="482"/>
      <c r="F95" s="482"/>
      <c r="G95" s="482"/>
      <c r="H95" s="482"/>
      <c r="I95" s="482"/>
      <c r="J95" s="482"/>
      <c r="K95" s="482"/>
      <c r="L95" s="482"/>
      <c r="M95" s="483"/>
      <c r="N95" s="2746"/>
      <c r="O95" s="2746"/>
      <c r="P95" s="2736"/>
      <c r="Q95" s="2731"/>
      <c r="R95" s="2717"/>
      <c r="S95" s="2717"/>
      <c r="T95" s="2717"/>
      <c r="U95" s="2717"/>
      <c r="V95" s="2717"/>
      <c r="W95" s="2717"/>
      <c r="X95" s="2717"/>
      <c r="Y95" s="2717"/>
      <c r="Z95" s="2717"/>
      <c r="AA95" s="2717"/>
      <c r="AB95" s="2717"/>
      <c r="AC95" s="2717"/>
    </row>
    <row r="96" spans="1:29" ht="15.75" thickTop="1">
      <c r="A96" s="480"/>
      <c r="B96" s="484">
        <f>B30</f>
        <v>111</v>
      </c>
      <c r="C96" s="500"/>
      <c r="D96" s="500"/>
      <c r="E96" s="500"/>
      <c r="F96" s="500"/>
      <c r="G96" s="529"/>
      <c r="H96" s="529"/>
      <c r="I96" s="529"/>
      <c r="J96" s="529"/>
      <c r="K96" s="530"/>
      <c r="L96" s="531"/>
      <c r="M96" s="532"/>
      <c r="N96" s="2745"/>
      <c r="O96" s="2745"/>
      <c r="P96" s="2736"/>
      <c r="Q96" s="2731"/>
      <c r="R96" s="2717"/>
      <c r="S96" s="2717"/>
      <c r="T96" s="2717"/>
      <c r="U96" s="2717"/>
      <c r="V96" s="2717"/>
      <c r="W96" s="2717"/>
      <c r="X96" s="2717"/>
      <c r="Y96" s="2717"/>
      <c r="Z96" s="2717"/>
      <c r="AA96" s="2717"/>
      <c r="AB96" s="2717"/>
      <c r="AC96" s="2717"/>
    </row>
    <row r="97" spans="1:29" ht="15.75" thickBot="1">
      <c r="A97" s="480"/>
      <c r="B97" s="489"/>
      <c r="C97" s="506"/>
      <c r="D97" s="482"/>
      <c r="E97" s="482"/>
      <c r="F97" s="482"/>
      <c r="G97" s="482"/>
      <c r="H97" s="482"/>
      <c r="I97" s="482"/>
      <c r="J97" s="482"/>
      <c r="K97" s="482"/>
      <c r="L97" s="482"/>
      <c r="M97" s="483"/>
      <c r="N97" s="2746"/>
      <c r="O97" s="2746"/>
      <c r="P97" s="2736"/>
      <c r="Q97" s="2731"/>
      <c r="R97" s="2717"/>
      <c r="S97" s="2717"/>
      <c r="T97" s="2717"/>
      <c r="U97" s="2717"/>
      <c r="V97" s="2717"/>
      <c r="W97" s="2717"/>
      <c r="X97" s="2717"/>
      <c r="Y97" s="2717"/>
      <c r="Z97" s="2717"/>
      <c r="AA97" s="2717"/>
      <c r="AB97" s="2717"/>
      <c r="AC97" s="2717"/>
    </row>
    <row r="98" spans="1:29" ht="15.75" thickTop="1">
      <c r="A98" s="480"/>
      <c r="B98" s="492">
        <f>B31</f>
        <v>111</v>
      </c>
      <c r="C98" s="500"/>
      <c r="D98" s="500"/>
      <c r="E98" s="500"/>
      <c r="F98" s="500"/>
      <c r="G98" s="533"/>
      <c r="H98" s="533"/>
      <c r="I98" s="533"/>
      <c r="J98" s="533"/>
      <c r="K98" s="534"/>
      <c r="L98" s="535"/>
      <c r="M98" s="536"/>
      <c r="N98" s="2745"/>
      <c r="O98" s="2745"/>
      <c r="P98" s="2736"/>
      <c r="Q98" s="2731"/>
      <c r="R98" s="2717"/>
      <c r="S98" s="2717"/>
      <c r="T98" s="2717"/>
      <c r="U98" s="2717"/>
      <c r="V98" s="2717"/>
      <c r="W98" s="2717"/>
      <c r="X98" s="2717"/>
      <c r="Y98" s="2717"/>
      <c r="Z98" s="2717"/>
      <c r="AA98" s="2717"/>
      <c r="AB98" s="2717"/>
      <c r="AC98" s="2717"/>
    </row>
    <row r="99" spans="1:29" ht="15.75" thickBot="1">
      <c r="A99" s="1921"/>
      <c r="B99" s="515"/>
      <c r="C99" s="516"/>
      <c r="D99" s="516"/>
      <c r="E99" s="516"/>
      <c r="F99" s="516"/>
      <c r="G99" s="537"/>
      <c r="H99" s="537"/>
      <c r="I99" s="537"/>
      <c r="J99" s="537"/>
      <c r="K99" s="537"/>
      <c r="L99" s="537"/>
      <c r="M99" s="538"/>
      <c r="N99" s="2746"/>
      <c r="O99" s="2746"/>
      <c r="P99" s="2736"/>
      <c r="Q99" s="2731"/>
      <c r="R99" s="2717"/>
      <c r="S99" s="2717"/>
      <c r="T99" s="2717"/>
      <c r="U99" s="2717"/>
      <c r="V99" s="2717"/>
      <c r="W99" s="2717"/>
      <c r="X99" s="2717"/>
      <c r="Y99" s="2717"/>
      <c r="Z99" s="2717"/>
      <c r="AA99" s="2717"/>
      <c r="AB99" s="2717"/>
      <c r="AC99" s="2717"/>
    </row>
    <row r="100" spans="1:29">
      <c r="A100" s="473" t="s">
        <v>1694</v>
      </c>
      <c r="B100" s="474" t="s">
        <v>1805</v>
      </c>
      <c r="C100" s="476"/>
      <c r="D100" s="476"/>
      <c r="E100" s="476"/>
      <c r="F100" s="476"/>
      <c r="G100" s="476"/>
      <c r="H100" s="476"/>
      <c r="I100" s="476"/>
      <c r="J100" s="476"/>
      <c r="K100" s="477"/>
      <c r="L100" s="478"/>
      <c r="M100" s="479"/>
      <c r="N100" s="2745"/>
      <c r="O100" s="2745"/>
      <c r="P100" s="2736"/>
      <c r="Q100" s="2731"/>
      <c r="R100" s="2717"/>
      <c r="S100" s="2717"/>
      <c r="T100" s="2717"/>
      <c r="U100" s="2717"/>
      <c r="V100" s="2717"/>
      <c r="W100" s="2717"/>
      <c r="X100" s="2717"/>
      <c r="Y100" s="2717"/>
      <c r="Z100" s="2717"/>
      <c r="AA100" s="2717"/>
      <c r="AB100" s="2717"/>
      <c r="AC100" s="2717"/>
    </row>
    <row r="101" spans="1:29" ht="15.75" thickBot="1">
      <c r="A101" s="480"/>
      <c r="B101" s="489"/>
      <c r="C101" s="490">
        <v>100</v>
      </c>
      <c r="D101" s="490">
        <f t="shared" ref="D101:M101" si="22">C101-$K32</f>
        <v>100</v>
      </c>
      <c r="E101" s="490">
        <f t="shared" si="22"/>
        <v>100</v>
      </c>
      <c r="F101" s="490">
        <f t="shared" si="22"/>
        <v>100</v>
      </c>
      <c r="G101" s="490">
        <f t="shared" si="22"/>
        <v>100</v>
      </c>
      <c r="H101" s="490">
        <f t="shared" si="22"/>
        <v>100</v>
      </c>
      <c r="I101" s="490">
        <f t="shared" si="22"/>
        <v>100</v>
      </c>
      <c r="J101" s="490">
        <f t="shared" si="22"/>
        <v>100</v>
      </c>
      <c r="K101" s="490">
        <f t="shared" si="22"/>
        <v>100</v>
      </c>
      <c r="L101" s="490">
        <f t="shared" si="22"/>
        <v>100</v>
      </c>
      <c r="M101" s="491">
        <f t="shared" si="22"/>
        <v>100</v>
      </c>
      <c r="N101" s="2746"/>
      <c r="O101" s="2746"/>
      <c r="P101" s="2736"/>
      <c r="Q101" s="2731"/>
      <c r="R101" s="2717"/>
      <c r="S101" s="2717"/>
      <c r="T101" s="2717"/>
      <c r="U101" s="2717"/>
      <c r="V101" s="2717"/>
      <c r="W101" s="2717"/>
      <c r="X101" s="2717"/>
      <c r="Y101" s="2717"/>
      <c r="Z101" s="2717"/>
      <c r="AA101" s="2717"/>
      <c r="AB101" s="2717"/>
      <c r="AC101" s="2717"/>
    </row>
    <row r="102" spans="1:29" ht="15.75" thickTop="1">
      <c r="A102" s="480"/>
      <c r="B102" s="484" t="s">
        <v>1737</v>
      </c>
      <c r="C102" s="524" t="str">
        <f>C103&amp;"(含)"&amp;"-"&amp;D103</f>
        <v>(含)-</v>
      </c>
      <c r="D102" s="524" t="str">
        <f t="shared" ref="D102:L102" si="23">D103&amp;"(含)"&amp;"-"&amp;E103</f>
        <v>(含)-</v>
      </c>
      <c r="E102" s="524" t="str">
        <f t="shared" si="23"/>
        <v>(含)-</v>
      </c>
      <c r="F102" s="524" t="str">
        <f t="shared" si="23"/>
        <v>(含)-</v>
      </c>
      <c r="G102" s="524" t="str">
        <f t="shared" si="23"/>
        <v>(含)-</v>
      </c>
      <c r="H102" s="524" t="str">
        <f t="shared" si="23"/>
        <v>(含)-</v>
      </c>
      <c r="I102" s="524" t="str">
        <f t="shared" si="23"/>
        <v>(含)-</v>
      </c>
      <c r="J102" s="524" t="str">
        <f t="shared" si="23"/>
        <v>(含)-</v>
      </c>
      <c r="K102" s="524" t="str">
        <f t="shared" si="23"/>
        <v>(含)-</v>
      </c>
      <c r="L102" s="524" t="str">
        <f t="shared" si="23"/>
        <v>(含)-</v>
      </c>
      <c r="M102" s="567" t="str">
        <f>M103&amp;"(含)"&amp;"-"&amp;P103</f>
        <v>(含)-</v>
      </c>
      <c r="N102" s="2744"/>
      <c r="O102" s="2744"/>
      <c r="P102" s="2736"/>
      <c r="Q102" s="2731"/>
      <c r="R102" s="2717"/>
      <c r="S102" s="2717"/>
      <c r="T102" s="2717"/>
      <c r="U102" s="2717"/>
      <c r="V102" s="2717"/>
      <c r="W102" s="2717"/>
      <c r="X102" s="2717"/>
      <c r="Y102" s="2717"/>
      <c r="Z102" s="2717"/>
      <c r="AA102" s="2717"/>
      <c r="AB102" s="2717"/>
      <c r="AC102" s="2717"/>
    </row>
    <row r="103" spans="1:29" s="419" customFormat="1">
      <c r="A103" s="539"/>
      <c r="B103" s="540"/>
      <c r="C103" s="541"/>
      <c r="D103" s="541"/>
      <c r="E103" s="541"/>
      <c r="F103" s="541"/>
      <c r="G103" s="541"/>
      <c r="H103" s="541"/>
      <c r="I103" s="541"/>
      <c r="J103" s="542"/>
      <c r="K103" s="542"/>
      <c r="L103" s="543"/>
      <c r="M103" s="544"/>
      <c r="N103" s="2747"/>
      <c r="O103" s="2747"/>
      <c r="P103" s="2737"/>
      <c r="Q103" s="2738"/>
      <c r="R103" s="2739"/>
      <c r="S103" s="2739"/>
      <c r="T103" s="2739"/>
      <c r="U103" s="2739"/>
      <c r="V103" s="2739"/>
      <c r="W103" s="2739"/>
      <c r="X103" s="2739"/>
      <c r="Y103" s="2739"/>
      <c r="Z103" s="2739"/>
      <c r="AA103" s="2739"/>
      <c r="AB103" s="2739"/>
      <c r="AC103" s="2739"/>
    </row>
    <row r="104" spans="1:29" s="419" customFormat="1" ht="15.75" thickBot="1">
      <c r="A104" s="499"/>
      <c r="B104" s="489"/>
      <c r="C104" s="506"/>
      <c r="D104" s="482"/>
      <c r="E104" s="482"/>
      <c r="F104" s="482"/>
      <c r="G104" s="482"/>
      <c r="H104" s="482"/>
      <c r="I104" s="482"/>
      <c r="J104" s="482"/>
      <c r="K104" s="482"/>
      <c r="L104" s="482"/>
      <c r="M104" s="483"/>
      <c r="N104" s="2746"/>
      <c r="O104" s="2746"/>
      <c r="P104" s="2737"/>
      <c r="Q104" s="2738"/>
      <c r="R104" s="2739"/>
      <c r="S104" s="2739"/>
      <c r="T104" s="2739"/>
      <c r="U104" s="2739"/>
      <c r="V104" s="2739"/>
      <c r="W104" s="2739"/>
      <c r="X104" s="2739"/>
      <c r="Y104" s="2739"/>
      <c r="Z104" s="2739"/>
      <c r="AA104" s="2739"/>
      <c r="AB104" s="2739"/>
      <c r="AC104" s="2739"/>
    </row>
    <row r="105" spans="1:29" ht="15" thickTop="1">
      <c r="A105" s="545"/>
      <c r="B105" s="484" t="s">
        <v>1738</v>
      </c>
      <c r="C105" s="500"/>
      <c r="D105" s="500"/>
      <c r="E105" s="529"/>
      <c r="F105" s="529"/>
      <c r="G105" s="529"/>
      <c r="H105" s="529"/>
      <c r="I105" s="529"/>
      <c r="J105" s="529"/>
      <c r="K105" s="530"/>
      <c r="L105" s="531"/>
      <c r="M105" s="532"/>
      <c r="N105" s="2745"/>
      <c r="O105" s="2745"/>
      <c r="P105" s="2736"/>
      <c r="Q105" s="2731"/>
      <c r="R105" s="2717"/>
      <c r="S105" s="2717"/>
      <c r="T105" s="2717"/>
      <c r="U105" s="2717"/>
      <c r="V105" s="2717"/>
      <c r="W105" s="2717"/>
      <c r="X105" s="2717"/>
      <c r="Y105" s="2717"/>
      <c r="Z105" s="2717"/>
      <c r="AA105" s="2717"/>
      <c r="AB105" s="2717"/>
      <c r="AC105" s="2717"/>
    </row>
    <row r="106" spans="1:29" ht="15.75" thickBot="1">
      <c r="A106" s="480"/>
      <c r="B106" s="489"/>
      <c r="C106" s="490">
        <v>100</v>
      </c>
      <c r="D106" s="490">
        <f t="shared" ref="D106:M106" si="24">C106-$K34</f>
        <v>100</v>
      </c>
      <c r="E106" s="490">
        <f t="shared" si="24"/>
        <v>100</v>
      </c>
      <c r="F106" s="490">
        <f t="shared" si="24"/>
        <v>100</v>
      </c>
      <c r="G106" s="490">
        <f t="shared" si="24"/>
        <v>100</v>
      </c>
      <c r="H106" s="490">
        <f t="shared" si="24"/>
        <v>100</v>
      </c>
      <c r="I106" s="490">
        <f t="shared" si="24"/>
        <v>100</v>
      </c>
      <c r="J106" s="490">
        <f t="shared" si="24"/>
        <v>100</v>
      </c>
      <c r="K106" s="490">
        <f t="shared" si="24"/>
        <v>100</v>
      </c>
      <c r="L106" s="490">
        <f t="shared" si="24"/>
        <v>100</v>
      </c>
      <c r="M106" s="491">
        <f t="shared" si="24"/>
        <v>100</v>
      </c>
      <c r="N106" s="2746"/>
      <c r="O106" s="2746"/>
      <c r="P106" s="2736"/>
      <c r="Q106" s="2731"/>
      <c r="R106" s="2717"/>
      <c r="S106" s="2717"/>
      <c r="T106" s="2717"/>
      <c r="U106" s="2717"/>
      <c r="V106" s="2717"/>
      <c r="W106" s="2717"/>
      <c r="X106" s="2717"/>
      <c r="Y106" s="2717"/>
      <c r="Z106" s="2717"/>
      <c r="AA106" s="2717"/>
      <c r="AB106" s="2717"/>
      <c r="AC106" s="2717"/>
    </row>
    <row r="107" spans="1:29" ht="15" thickTop="1">
      <c r="A107" s="545"/>
      <c r="B107" s="484" t="s">
        <v>1740</v>
      </c>
      <c r="C107" s="500"/>
      <c r="D107" s="500"/>
      <c r="E107" s="500"/>
      <c r="F107" s="529"/>
      <c r="G107" s="529"/>
      <c r="H107" s="529"/>
      <c r="I107" s="529"/>
      <c r="J107" s="529"/>
      <c r="K107" s="530"/>
      <c r="L107" s="531"/>
      <c r="M107" s="532"/>
      <c r="N107" s="2745"/>
      <c r="O107" s="2745"/>
      <c r="P107" s="2736"/>
      <c r="Q107" s="2731"/>
      <c r="R107" s="2717"/>
      <c r="S107" s="2717"/>
      <c r="T107" s="2717"/>
      <c r="U107" s="2717"/>
      <c r="V107" s="2717"/>
      <c r="W107" s="2717"/>
      <c r="X107" s="2717"/>
      <c r="Y107" s="2717"/>
      <c r="Z107" s="2717"/>
      <c r="AA107" s="2717"/>
      <c r="AB107" s="2717"/>
      <c r="AC107" s="2717"/>
    </row>
    <row r="108" spans="1:29" ht="15.75" thickBot="1">
      <c r="A108" s="480"/>
      <c r="B108" s="489"/>
      <c r="C108" s="490">
        <v>100</v>
      </c>
      <c r="D108" s="490">
        <f t="shared" ref="D108:M108" si="25">C108-$K35</f>
        <v>100</v>
      </c>
      <c r="E108" s="490">
        <f t="shared" si="25"/>
        <v>100</v>
      </c>
      <c r="F108" s="490">
        <f t="shared" si="25"/>
        <v>100</v>
      </c>
      <c r="G108" s="490">
        <f t="shared" si="25"/>
        <v>100</v>
      </c>
      <c r="H108" s="490">
        <f t="shared" si="25"/>
        <v>100</v>
      </c>
      <c r="I108" s="490">
        <f t="shared" si="25"/>
        <v>100</v>
      </c>
      <c r="J108" s="490">
        <f t="shared" si="25"/>
        <v>100</v>
      </c>
      <c r="K108" s="490">
        <f t="shared" si="25"/>
        <v>100</v>
      </c>
      <c r="L108" s="490">
        <f t="shared" si="25"/>
        <v>100</v>
      </c>
      <c r="M108" s="491">
        <f t="shared" si="25"/>
        <v>100</v>
      </c>
      <c r="N108" s="2746"/>
      <c r="O108" s="2746"/>
      <c r="P108" s="2736"/>
      <c r="Q108" s="2731"/>
      <c r="R108" s="2717"/>
      <c r="S108" s="2717"/>
      <c r="T108" s="2717"/>
      <c r="U108" s="2717"/>
      <c r="V108" s="2717"/>
      <c r="W108" s="2717"/>
      <c r="X108" s="2717"/>
      <c r="Y108" s="2717"/>
      <c r="Z108" s="2717"/>
      <c r="AA108" s="2717"/>
      <c r="AB108" s="2717"/>
      <c r="AC108" s="2717"/>
    </row>
    <row r="109" spans="1:29" ht="15" thickTop="1">
      <c r="A109" s="545"/>
      <c r="B109" s="484" t="s">
        <v>1190</v>
      </c>
      <c r="C109" s="524" t="str">
        <f>C110&amp;"(含)"&amp;"-"&amp;D110</f>
        <v>0.5(含)-0.6</v>
      </c>
      <c r="D109" s="524" t="str">
        <f>D110&amp;"(含)"&amp;"-"&amp;E110</f>
        <v>0.6(含)-0.7</v>
      </c>
      <c r="E109" s="524" t="str">
        <f>E110&amp;"(含)"&amp;"-"&amp;F110</f>
        <v>0.7(含)-0.8</v>
      </c>
      <c r="F109" s="524" t="str">
        <f>F110&amp;"(含)"&amp;"-"&amp;G110</f>
        <v>0.8(含)-0.9</v>
      </c>
      <c r="G109" s="524" t="str">
        <f>G110&amp;"(含)"&amp;"-"&amp;ROUND(H110,0)&amp;"(含)"</f>
        <v>0.9(含)-1(含)</v>
      </c>
      <c r="H109" s="524"/>
      <c r="I109" s="529"/>
      <c r="J109" s="529"/>
      <c r="K109" s="530"/>
      <c r="L109" s="531"/>
      <c r="M109" s="532"/>
      <c r="N109" s="2745"/>
      <c r="O109" s="2745"/>
      <c r="P109" s="2736"/>
      <c r="Q109" s="2731"/>
      <c r="R109" s="2717"/>
      <c r="S109" s="2717"/>
      <c r="T109" s="2717"/>
      <c r="U109" s="2717"/>
      <c r="V109" s="2717"/>
      <c r="W109" s="2717"/>
      <c r="X109" s="2717"/>
      <c r="Y109" s="2717"/>
      <c r="Z109" s="2717"/>
      <c r="AA109" s="2717"/>
      <c r="AB109" s="2717"/>
      <c r="AC109" s="2717"/>
    </row>
    <row r="110" spans="1:29">
      <c r="A110" s="545"/>
      <c r="B110" s="492"/>
      <c r="C110" s="549">
        <v>0.5</v>
      </c>
      <c r="D110" s="549">
        <v>0.6</v>
      </c>
      <c r="E110" s="549">
        <v>0.7</v>
      </c>
      <c r="F110" s="549">
        <v>0.8</v>
      </c>
      <c r="G110" s="549">
        <v>0.9</v>
      </c>
      <c r="H110" s="549">
        <v>1.0001</v>
      </c>
      <c r="I110" s="568"/>
      <c r="J110" s="568"/>
      <c r="K110" s="569"/>
      <c r="L110" s="570"/>
      <c r="M110" s="571"/>
      <c r="N110" s="2745"/>
      <c r="O110" s="2745"/>
      <c r="P110" s="2736"/>
      <c r="Q110" s="2731"/>
      <c r="R110" s="2717"/>
      <c r="S110" s="2717"/>
      <c r="T110" s="2717"/>
      <c r="U110" s="2717"/>
      <c r="V110" s="2717"/>
      <c r="W110" s="2717"/>
      <c r="X110" s="2717"/>
      <c r="Y110" s="2717"/>
      <c r="Z110" s="2717"/>
      <c r="AA110" s="2717"/>
      <c r="AB110" s="2717"/>
      <c r="AC110" s="2717"/>
    </row>
    <row r="111" spans="1:29" ht="15.75" thickBot="1">
      <c r="A111" s="480"/>
      <c r="B111" s="489"/>
      <c r="C111" s="528">
        <v>100</v>
      </c>
      <c r="D111" s="490">
        <f>C111+$K36</f>
        <v>100</v>
      </c>
      <c r="E111" s="490">
        <f t="shared" ref="E111:M111" si="26">D111+$K36</f>
        <v>100</v>
      </c>
      <c r="F111" s="490">
        <f t="shared" si="26"/>
        <v>100</v>
      </c>
      <c r="G111" s="490">
        <f t="shared" si="26"/>
        <v>100</v>
      </c>
      <c r="H111" s="490">
        <f t="shared" si="26"/>
        <v>100</v>
      </c>
      <c r="I111" s="490">
        <f t="shared" si="26"/>
        <v>100</v>
      </c>
      <c r="J111" s="490">
        <f t="shared" si="26"/>
        <v>100</v>
      </c>
      <c r="K111" s="490">
        <f t="shared" si="26"/>
        <v>100</v>
      </c>
      <c r="L111" s="490">
        <f t="shared" si="26"/>
        <v>100</v>
      </c>
      <c r="M111" s="490">
        <f t="shared" si="26"/>
        <v>100</v>
      </c>
      <c r="N111" s="2746"/>
      <c r="O111" s="2746"/>
      <c r="P111" s="2736"/>
      <c r="Q111" s="2731"/>
      <c r="R111" s="2717"/>
      <c r="S111" s="2717"/>
      <c r="T111" s="2717"/>
      <c r="U111" s="2717"/>
      <c r="V111" s="2717"/>
      <c r="W111" s="2717"/>
      <c r="X111" s="2717"/>
      <c r="Y111" s="2717"/>
      <c r="Z111" s="2717"/>
      <c r="AA111" s="2717"/>
      <c r="AB111" s="2717"/>
      <c r="AC111" s="2717"/>
    </row>
    <row r="112" spans="1:29" s="419" customFormat="1" ht="15" thickTop="1">
      <c r="A112" s="539"/>
      <c r="B112" s="484" t="s">
        <v>1742</v>
      </c>
      <c r="C112" s="500"/>
      <c r="D112" s="500"/>
      <c r="E112" s="500"/>
      <c r="F112" s="500"/>
      <c r="G112" s="500"/>
      <c r="H112" s="529"/>
      <c r="I112" s="529"/>
      <c r="J112" s="529"/>
      <c r="K112" s="530"/>
      <c r="L112" s="531"/>
      <c r="M112" s="532"/>
      <c r="N112" s="2747"/>
      <c r="O112" s="2747"/>
      <c r="P112" s="2737"/>
      <c r="Q112" s="2738"/>
      <c r="R112" s="2739"/>
      <c r="S112" s="2739"/>
      <c r="T112" s="2739"/>
      <c r="U112" s="2739"/>
      <c r="V112" s="2739"/>
      <c r="W112" s="2739"/>
      <c r="X112" s="2739"/>
      <c r="Y112" s="2739"/>
      <c r="Z112" s="2739"/>
      <c r="AA112" s="2739"/>
      <c r="AB112" s="2739"/>
      <c r="AC112" s="2739"/>
    </row>
    <row r="113" spans="1:29" s="419" customFormat="1" ht="15.75" thickBot="1">
      <c r="A113" s="499"/>
      <c r="B113" s="489"/>
      <c r="C113" s="490">
        <v>100</v>
      </c>
      <c r="D113" s="490">
        <f>C113-$K37</f>
        <v>100</v>
      </c>
      <c r="E113" s="490">
        <f t="shared" ref="E113:M113" si="27">D113-$K37</f>
        <v>100</v>
      </c>
      <c r="F113" s="490">
        <f t="shared" si="27"/>
        <v>100</v>
      </c>
      <c r="G113" s="490">
        <f t="shared" si="27"/>
        <v>100</v>
      </c>
      <c r="H113" s="490">
        <f t="shared" si="27"/>
        <v>100</v>
      </c>
      <c r="I113" s="490">
        <f t="shared" si="27"/>
        <v>100</v>
      </c>
      <c r="J113" s="490">
        <f t="shared" si="27"/>
        <v>100</v>
      </c>
      <c r="K113" s="490">
        <f t="shared" si="27"/>
        <v>100</v>
      </c>
      <c r="L113" s="490">
        <f t="shared" si="27"/>
        <v>100</v>
      </c>
      <c r="M113" s="490">
        <f t="shared" si="27"/>
        <v>100</v>
      </c>
      <c r="N113" s="2747"/>
      <c r="O113" s="2747"/>
      <c r="P113" s="2737"/>
      <c r="Q113" s="2738"/>
      <c r="R113" s="2739"/>
      <c r="S113" s="2739"/>
      <c r="T113" s="2739"/>
      <c r="U113" s="2739"/>
      <c r="V113" s="2739"/>
      <c r="W113" s="2739"/>
      <c r="X113" s="2739"/>
      <c r="Y113" s="2739"/>
      <c r="Z113" s="2739"/>
      <c r="AA113" s="2739"/>
      <c r="AB113" s="2739"/>
      <c r="AC113" s="2739"/>
    </row>
    <row r="114" spans="1:29" ht="15" thickTop="1">
      <c r="A114" s="545"/>
      <c r="B114" s="484" t="s">
        <v>1806</v>
      </c>
      <c r="C114" s="500"/>
      <c r="D114" s="500"/>
      <c r="E114" s="529"/>
      <c r="F114" s="529"/>
      <c r="G114" s="529"/>
      <c r="H114" s="529"/>
      <c r="I114" s="529"/>
      <c r="J114" s="529"/>
      <c r="K114" s="530"/>
      <c r="L114" s="531"/>
      <c r="M114" s="532"/>
      <c r="N114" s="2745"/>
      <c r="O114" s="2745"/>
      <c r="P114" s="2736"/>
      <c r="Q114" s="2731"/>
      <c r="R114" s="2717"/>
      <c r="S114" s="2717"/>
      <c r="T114" s="2717"/>
      <c r="U114" s="2717"/>
      <c r="V114" s="2717"/>
      <c r="W114" s="2717"/>
      <c r="X114" s="2717"/>
      <c r="Y114" s="2717"/>
      <c r="Z114" s="2717"/>
      <c r="AA114" s="2717"/>
      <c r="AB114" s="2717"/>
      <c r="AC114" s="2717"/>
    </row>
    <row r="115" spans="1:29" ht="15.75" thickBot="1">
      <c r="A115" s="480"/>
      <c r="B115" s="489"/>
      <c r="C115" s="490">
        <v>100</v>
      </c>
      <c r="D115" s="490">
        <f t="shared" ref="D115:M115" si="28">C115-$K38</f>
        <v>100</v>
      </c>
      <c r="E115" s="490">
        <f t="shared" si="28"/>
        <v>100</v>
      </c>
      <c r="F115" s="490">
        <f t="shared" si="28"/>
        <v>100</v>
      </c>
      <c r="G115" s="490">
        <f t="shared" si="28"/>
        <v>100</v>
      </c>
      <c r="H115" s="490">
        <f t="shared" si="28"/>
        <v>100</v>
      </c>
      <c r="I115" s="490">
        <f t="shared" si="28"/>
        <v>100</v>
      </c>
      <c r="J115" s="490">
        <f t="shared" si="28"/>
        <v>100</v>
      </c>
      <c r="K115" s="490">
        <f t="shared" si="28"/>
        <v>100</v>
      </c>
      <c r="L115" s="490">
        <f t="shared" si="28"/>
        <v>100</v>
      </c>
      <c r="M115" s="491">
        <f t="shared" si="28"/>
        <v>100</v>
      </c>
      <c r="N115" s="2746"/>
      <c r="O115" s="2746"/>
      <c r="P115" s="2736"/>
      <c r="Q115" s="2731"/>
      <c r="R115" s="2717"/>
      <c r="S115" s="2717"/>
      <c r="T115" s="2717"/>
      <c r="U115" s="2717"/>
      <c r="V115" s="2717"/>
      <c r="W115" s="2717"/>
      <c r="X115" s="2717"/>
      <c r="Y115" s="2717"/>
      <c r="Z115" s="2717"/>
      <c r="AA115" s="2717"/>
      <c r="AB115" s="2717"/>
      <c r="AC115" s="2717"/>
    </row>
    <row r="116" spans="1:29" ht="15" thickTop="1">
      <c r="A116" s="545"/>
      <c r="B116" s="484" t="s">
        <v>1807</v>
      </c>
      <c r="C116" s="500"/>
      <c r="D116" s="500"/>
      <c r="E116" s="500"/>
      <c r="F116" s="500"/>
      <c r="G116" s="500"/>
      <c r="H116" s="529"/>
      <c r="I116" s="529"/>
      <c r="J116" s="529"/>
      <c r="K116" s="530"/>
      <c r="L116" s="531"/>
      <c r="M116" s="532"/>
      <c r="N116" s="2745"/>
      <c r="O116" s="2745"/>
      <c r="P116" s="2736"/>
      <c r="Q116" s="2731"/>
      <c r="R116" s="2717"/>
      <c r="S116" s="2717"/>
      <c r="T116" s="2717"/>
      <c r="U116" s="2717"/>
      <c r="V116" s="2717"/>
      <c r="W116" s="2717"/>
      <c r="X116" s="2717"/>
      <c r="Y116" s="2717"/>
      <c r="Z116" s="2717"/>
      <c r="AA116" s="2717"/>
      <c r="AB116" s="2717"/>
      <c r="AC116" s="2717"/>
    </row>
    <row r="117" spans="1:29" ht="15.75" thickBot="1">
      <c r="A117" s="480"/>
      <c r="B117" s="489"/>
      <c r="C117" s="490">
        <v>100</v>
      </c>
      <c r="D117" s="490">
        <f>C117-$K39</f>
        <v>100</v>
      </c>
      <c r="E117" s="490">
        <f>D117-$K39</f>
        <v>100</v>
      </c>
      <c r="F117" s="490">
        <f>E117-$K39</f>
        <v>100</v>
      </c>
      <c r="G117" s="490">
        <f>F117-$K39</f>
        <v>100</v>
      </c>
      <c r="H117" s="490"/>
      <c r="I117" s="490"/>
      <c r="J117" s="490"/>
      <c r="K117" s="490"/>
      <c r="L117" s="490"/>
      <c r="M117" s="491"/>
      <c r="N117" s="2746"/>
      <c r="O117" s="2746"/>
      <c r="P117" s="2736"/>
      <c r="Q117" s="2731"/>
      <c r="R117" s="2717"/>
      <c r="S117" s="2717"/>
      <c r="T117" s="2717"/>
      <c r="U117" s="2717"/>
      <c r="V117" s="2717"/>
      <c r="W117" s="2717"/>
      <c r="X117" s="2717"/>
      <c r="Y117" s="2717"/>
      <c r="Z117" s="2717"/>
      <c r="AA117" s="2717"/>
      <c r="AB117" s="2717"/>
      <c r="AC117" s="2717"/>
    </row>
    <row r="118" spans="1:29" ht="15" thickTop="1">
      <c r="A118" s="545"/>
      <c r="B118" s="484" t="s">
        <v>1808</v>
      </c>
      <c r="C118" s="572"/>
      <c r="D118" s="572"/>
      <c r="E118" s="572"/>
      <c r="F118" s="572"/>
      <c r="G118" s="572"/>
      <c r="H118" s="501"/>
      <c r="I118" s="501"/>
      <c r="J118" s="501"/>
      <c r="K118" s="501"/>
      <c r="L118" s="502"/>
      <c r="M118" s="503"/>
      <c r="N118" s="2745"/>
      <c r="O118" s="2745"/>
      <c r="P118" s="2736"/>
      <c r="Q118" s="2731"/>
      <c r="R118" s="2717"/>
      <c r="S118" s="2717"/>
      <c r="T118" s="2717"/>
      <c r="U118" s="2717"/>
      <c r="V118" s="2717"/>
      <c r="W118" s="2717"/>
      <c r="X118" s="2717"/>
      <c r="Y118" s="2717"/>
      <c r="Z118" s="2717"/>
      <c r="AA118" s="2717"/>
      <c r="AB118" s="2717"/>
      <c r="AC118" s="2717"/>
    </row>
    <row r="119" spans="1:29" ht="15.75" thickBot="1">
      <c r="A119" s="480"/>
      <c r="B119" s="489"/>
      <c r="C119" s="506"/>
      <c r="D119" s="482"/>
      <c r="E119" s="482"/>
      <c r="F119" s="482"/>
      <c r="G119" s="482"/>
      <c r="H119" s="482"/>
      <c r="I119" s="482"/>
      <c r="J119" s="482"/>
      <c r="K119" s="482"/>
      <c r="L119" s="482"/>
      <c r="M119" s="483"/>
      <c r="N119" s="2746"/>
      <c r="O119" s="2746"/>
      <c r="P119" s="2736"/>
      <c r="Q119" s="2731"/>
      <c r="R119" s="2717"/>
      <c r="S119" s="2717"/>
      <c r="T119" s="2717"/>
      <c r="U119" s="2717"/>
      <c r="V119" s="2717"/>
      <c r="W119" s="2717"/>
      <c r="X119" s="2717"/>
      <c r="Y119" s="2717"/>
      <c r="Z119" s="2717"/>
      <c r="AA119" s="2717"/>
      <c r="AB119" s="2717"/>
      <c r="AC119" s="2717"/>
    </row>
    <row r="120" spans="1:29" s="419" customFormat="1" ht="15" thickTop="1">
      <c r="A120" s="539"/>
      <c r="B120" s="484" t="s">
        <v>1809</v>
      </c>
      <c r="C120" s="529"/>
      <c r="D120" s="529"/>
      <c r="E120" s="529"/>
      <c r="F120" s="529"/>
      <c r="G120" s="501"/>
      <c r="H120" s="501"/>
      <c r="I120" s="501"/>
      <c r="J120" s="501"/>
      <c r="K120" s="501"/>
      <c r="L120" s="502"/>
      <c r="M120" s="503"/>
      <c r="N120" s="2747"/>
      <c r="O120" s="2747"/>
      <c r="P120" s="2737"/>
      <c r="Q120" s="2738"/>
      <c r="R120" s="2739"/>
      <c r="S120" s="2739"/>
      <c r="T120" s="2739"/>
      <c r="U120" s="2739"/>
      <c r="V120" s="2739"/>
      <c r="W120" s="2739"/>
      <c r="X120" s="2739"/>
      <c r="Y120" s="2739"/>
      <c r="Z120" s="2739"/>
      <c r="AA120" s="2739"/>
      <c r="AB120" s="2739"/>
      <c r="AC120" s="2739"/>
    </row>
    <row r="121" spans="1:29" s="419" customFormat="1" ht="15.75" thickBot="1">
      <c r="A121" s="499"/>
      <c r="B121" s="481"/>
      <c r="C121" s="528">
        <v>100</v>
      </c>
      <c r="D121" s="490">
        <f>C121-$K41</f>
        <v>100</v>
      </c>
      <c r="E121" s="490">
        <f t="shared" ref="E121:M121" si="29">D121-$K41</f>
        <v>100</v>
      </c>
      <c r="F121" s="490">
        <f t="shared" si="29"/>
        <v>100</v>
      </c>
      <c r="G121" s="490">
        <f t="shared" si="29"/>
        <v>100</v>
      </c>
      <c r="H121" s="490">
        <f t="shared" si="29"/>
        <v>100</v>
      </c>
      <c r="I121" s="490">
        <f t="shared" si="29"/>
        <v>100</v>
      </c>
      <c r="J121" s="490">
        <f t="shared" si="29"/>
        <v>100</v>
      </c>
      <c r="K121" s="490">
        <f t="shared" si="29"/>
        <v>100</v>
      </c>
      <c r="L121" s="490">
        <f t="shared" si="29"/>
        <v>100</v>
      </c>
      <c r="M121" s="491">
        <f t="shared" si="29"/>
        <v>100</v>
      </c>
      <c r="N121" s="2747"/>
      <c r="O121" s="2747"/>
      <c r="P121" s="2737"/>
      <c r="Q121" s="2738"/>
      <c r="R121" s="2739"/>
      <c r="S121" s="2739"/>
      <c r="T121" s="2739"/>
      <c r="U121" s="2739"/>
      <c r="V121" s="2739"/>
      <c r="W121" s="2739"/>
      <c r="X121" s="2739"/>
      <c r="Y121" s="2739"/>
      <c r="Z121" s="2739"/>
      <c r="AA121" s="2739"/>
      <c r="AB121" s="2739"/>
      <c r="AC121" s="2739"/>
    </row>
    <row r="122" spans="1:29" ht="15" thickTop="1">
      <c r="A122" s="545"/>
      <c r="B122" s="484" t="s">
        <v>1744</v>
      </c>
      <c r="C122" s="500"/>
      <c r="D122" s="500"/>
      <c r="E122" s="500"/>
      <c r="F122" s="529"/>
      <c r="G122" s="529"/>
      <c r="H122" s="529"/>
      <c r="I122" s="529"/>
      <c r="J122" s="529"/>
      <c r="K122" s="530"/>
      <c r="L122" s="531"/>
      <c r="M122" s="532"/>
      <c r="N122" s="2745"/>
      <c r="O122" s="2745"/>
      <c r="P122" s="2736"/>
      <c r="Q122" s="2731"/>
      <c r="R122" s="2717"/>
      <c r="S122" s="2717"/>
      <c r="T122" s="2717"/>
      <c r="U122" s="2717"/>
      <c r="V122" s="2717"/>
      <c r="W122" s="2717"/>
      <c r="X122" s="2717"/>
      <c r="Y122" s="2717"/>
      <c r="Z122" s="2717"/>
      <c r="AA122" s="2717"/>
      <c r="AB122" s="2717"/>
      <c r="AC122" s="2717"/>
    </row>
    <row r="123" spans="1:29" ht="15.75" thickBot="1">
      <c r="A123" s="480"/>
      <c r="B123" s="489"/>
      <c r="C123" s="490">
        <v>100</v>
      </c>
      <c r="D123" s="490">
        <f t="shared" ref="D123:M123" si="30">C123-$K42</f>
        <v>100</v>
      </c>
      <c r="E123" s="490">
        <f t="shared" si="30"/>
        <v>100</v>
      </c>
      <c r="F123" s="490">
        <f t="shared" si="30"/>
        <v>100</v>
      </c>
      <c r="G123" s="490">
        <f t="shared" si="30"/>
        <v>100</v>
      </c>
      <c r="H123" s="490">
        <f t="shared" si="30"/>
        <v>100</v>
      </c>
      <c r="I123" s="490">
        <f t="shared" si="30"/>
        <v>100</v>
      </c>
      <c r="J123" s="490">
        <f t="shared" si="30"/>
        <v>100</v>
      </c>
      <c r="K123" s="490">
        <f t="shared" si="30"/>
        <v>100</v>
      </c>
      <c r="L123" s="490">
        <f t="shared" si="30"/>
        <v>100</v>
      </c>
      <c r="M123" s="491">
        <f t="shared" si="30"/>
        <v>100</v>
      </c>
      <c r="N123" s="2746"/>
      <c r="O123" s="2746"/>
      <c r="P123" s="2736"/>
      <c r="Q123" s="2731"/>
      <c r="R123" s="2717"/>
      <c r="S123" s="2717"/>
      <c r="T123" s="2717"/>
      <c r="U123" s="2717"/>
      <c r="V123" s="2717"/>
      <c r="W123" s="2717"/>
      <c r="X123" s="2717"/>
      <c r="Y123" s="2717"/>
      <c r="Z123" s="2717"/>
      <c r="AA123" s="2717"/>
      <c r="AB123" s="2717"/>
      <c r="AC123" s="2717"/>
    </row>
    <row r="124" spans="1:29" ht="15" thickTop="1">
      <c r="A124" s="545"/>
      <c r="B124" s="484" t="s">
        <v>1745</v>
      </c>
      <c r="C124" s="524" t="s">
        <v>1721</v>
      </c>
      <c r="D124" s="524" t="s">
        <v>1722</v>
      </c>
      <c r="E124" s="524" t="s">
        <v>1723</v>
      </c>
      <c r="F124" s="524" t="s">
        <v>1724</v>
      </c>
      <c r="G124" s="524" t="s">
        <v>1725</v>
      </c>
      <c r="H124" s="485"/>
      <c r="I124" s="485"/>
      <c r="J124" s="485"/>
      <c r="K124" s="486"/>
      <c r="L124" s="487"/>
      <c r="M124" s="488"/>
      <c r="N124" s="2745"/>
      <c r="O124" s="2745"/>
      <c r="P124" s="2737"/>
      <c r="Q124" s="2731"/>
      <c r="R124" s="2717"/>
      <c r="S124" s="2717"/>
      <c r="T124" s="2717"/>
      <c r="U124" s="2717"/>
      <c r="V124" s="2717"/>
      <c r="W124" s="2717"/>
      <c r="X124" s="2717"/>
      <c r="Y124" s="2717"/>
      <c r="Z124" s="2717"/>
      <c r="AA124" s="2717"/>
      <c r="AB124" s="2717"/>
      <c r="AC124" s="2717"/>
    </row>
    <row r="125" spans="1:29" ht="15.75" thickBot="1">
      <c r="A125" s="480"/>
      <c r="B125" s="489"/>
      <c r="C125" s="490">
        <v>100</v>
      </c>
      <c r="D125" s="490">
        <f>C125-$K43</f>
        <v>100</v>
      </c>
      <c r="E125" s="490">
        <f>D125-$K43</f>
        <v>100</v>
      </c>
      <c r="F125" s="490">
        <f>E125-$K43</f>
        <v>100</v>
      </c>
      <c r="G125" s="490">
        <f>F125-$K43</f>
        <v>100</v>
      </c>
      <c r="H125" s="490"/>
      <c r="I125" s="490"/>
      <c r="J125" s="490"/>
      <c r="K125" s="490"/>
      <c r="L125" s="490"/>
      <c r="M125" s="491"/>
      <c r="N125" s="2746"/>
      <c r="O125" s="2746"/>
      <c r="P125" s="2736"/>
      <c r="Q125" s="2731"/>
      <c r="R125" s="2717"/>
      <c r="S125" s="2717"/>
      <c r="T125" s="2717"/>
      <c r="U125" s="2717"/>
      <c r="V125" s="2717"/>
      <c r="W125" s="2717"/>
      <c r="X125" s="2717"/>
      <c r="Y125" s="2717"/>
      <c r="Z125" s="2717"/>
      <c r="AA125" s="2717"/>
      <c r="AB125" s="2717"/>
      <c r="AC125" s="2717"/>
    </row>
    <row r="126" spans="1:29" s="419" customFormat="1" ht="15" thickTop="1">
      <c r="A126" s="539"/>
      <c r="B126" s="484">
        <f>B44</f>
        <v>111</v>
      </c>
      <c r="C126" s="500"/>
      <c r="D126" s="500"/>
      <c r="E126" s="500"/>
      <c r="F126" s="500"/>
      <c r="G126" s="500"/>
      <c r="H126" s="501"/>
      <c r="I126" s="501"/>
      <c r="J126" s="501"/>
      <c r="K126" s="501"/>
      <c r="L126" s="502"/>
      <c r="M126" s="503"/>
      <c r="N126" s="2747"/>
      <c r="O126" s="2747"/>
      <c r="P126" s="2737"/>
      <c r="Q126" s="2738"/>
      <c r="R126" s="2739"/>
      <c r="S126" s="2739"/>
      <c r="T126" s="2739"/>
      <c r="U126" s="2739"/>
      <c r="V126" s="2739"/>
      <c r="W126" s="2739"/>
      <c r="X126" s="2739"/>
      <c r="Y126" s="2739"/>
      <c r="Z126" s="2739"/>
      <c r="AA126" s="2739"/>
      <c r="AB126" s="2739"/>
      <c r="AC126" s="2739"/>
    </row>
    <row r="127" spans="1:29" s="419" customFormat="1" ht="15.75" thickBot="1">
      <c r="A127" s="499"/>
      <c r="B127" s="489"/>
      <c r="C127" s="506"/>
      <c r="D127" s="482"/>
      <c r="E127" s="482"/>
      <c r="F127" s="482"/>
      <c r="G127" s="506"/>
      <c r="H127" s="508"/>
      <c r="I127" s="508"/>
      <c r="J127" s="508"/>
      <c r="K127" s="508"/>
      <c r="L127" s="508"/>
      <c r="M127" s="509"/>
      <c r="N127" s="2747"/>
      <c r="O127" s="2747"/>
      <c r="P127" s="2737"/>
      <c r="Q127" s="2738"/>
      <c r="R127" s="2739"/>
      <c r="S127" s="2739"/>
      <c r="T127" s="2739"/>
      <c r="U127" s="2739"/>
      <c r="V127" s="2739"/>
      <c r="W127" s="2739"/>
      <c r="X127" s="2739"/>
      <c r="Y127" s="2739"/>
      <c r="Z127" s="2739"/>
      <c r="AA127" s="2739"/>
      <c r="AB127" s="2739"/>
      <c r="AC127" s="2739"/>
    </row>
    <row r="128" spans="1:29" ht="15" thickTop="1">
      <c r="A128" s="545"/>
      <c r="B128" s="484">
        <f>B45</f>
        <v>111</v>
      </c>
      <c r="C128" s="500"/>
      <c r="D128" s="500"/>
      <c r="E128" s="500"/>
      <c r="F128" s="500"/>
      <c r="G128" s="529"/>
      <c r="H128" s="529"/>
      <c r="I128" s="529"/>
      <c r="J128" s="529"/>
      <c r="K128" s="530"/>
      <c r="L128" s="531"/>
      <c r="M128" s="532"/>
      <c r="N128" s="2745"/>
      <c r="O128" s="2745"/>
      <c r="P128" s="2736"/>
      <c r="Q128" s="2731"/>
      <c r="R128" s="2717"/>
      <c r="S128" s="2717"/>
      <c r="T128" s="2717"/>
      <c r="U128" s="2717"/>
      <c r="V128" s="2717"/>
      <c r="W128" s="2717"/>
      <c r="X128" s="2717"/>
      <c r="Y128" s="2717"/>
      <c r="Z128" s="2717"/>
      <c r="AA128" s="2717"/>
      <c r="AB128" s="2717"/>
      <c r="AC128" s="2717"/>
    </row>
    <row r="129" spans="1:29" ht="15.75" thickBot="1">
      <c r="A129" s="480"/>
      <c r="B129" s="489"/>
      <c r="C129" s="506"/>
      <c r="D129" s="482"/>
      <c r="E129" s="482"/>
      <c r="F129" s="482"/>
      <c r="G129" s="482"/>
      <c r="H129" s="482"/>
      <c r="I129" s="482"/>
      <c r="J129" s="482"/>
      <c r="K129" s="482"/>
      <c r="L129" s="482"/>
      <c r="M129" s="483"/>
      <c r="N129" s="2746"/>
      <c r="O129" s="2746"/>
      <c r="P129" s="2736"/>
      <c r="Q129" s="2731"/>
      <c r="R129" s="2717"/>
      <c r="S129" s="2717"/>
      <c r="T129" s="2717"/>
      <c r="U129" s="2717"/>
      <c r="V129" s="2717"/>
      <c r="W129" s="2717"/>
      <c r="X129" s="2717"/>
      <c r="Y129" s="2717"/>
      <c r="Z129" s="2717"/>
      <c r="AA129" s="2717"/>
      <c r="AB129" s="2717"/>
      <c r="AC129" s="2717"/>
    </row>
    <row r="130" spans="1:29" ht="15" thickTop="1">
      <c r="A130" s="545"/>
      <c r="B130" s="492">
        <f>B46</f>
        <v>111</v>
      </c>
      <c r="C130" s="500"/>
      <c r="D130" s="500"/>
      <c r="E130" s="500"/>
      <c r="F130" s="500"/>
      <c r="G130" s="533"/>
      <c r="H130" s="533"/>
      <c r="I130" s="533"/>
      <c r="J130" s="533"/>
      <c r="K130" s="469"/>
      <c r="L130" s="470"/>
      <c r="M130" s="536"/>
      <c r="N130" s="2745"/>
      <c r="O130" s="2745"/>
      <c r="P130" s="2736"/>
      <c r="Q130" s="2731"/>
      <c r="R130" s="2717"/>
      <c r="S130" s="2717"/>
      <c r="T130" s="2717"/>
      <c r="U130" s="2717"/>
      <c r="V130" s="2717"/>
      <c r="W130" s="2717"/>
      <c r="X130" s="2717"/>
      <c r="Y130" s="2717"/>
      <c r="Z130" s="2717"/>
      <c r="AA130" s="2717"/>
      <c r="AB130" s="2717"/>
      <c r="AC130" s="2717"/>
    </row>
    <row r="131" spans="1:29" ht="15.75" thickBot="1">
      <c r="A131" s="1921"/>
      <c r="B131" s="515"/>
      <c r="C131" s="516"/>
      <c r="D131" s="516"/>
      <c r="E131" s="516"/>
      <c r="F131" s="516"/>
      <c r="G131" s="537"/>
      <c r="H131" s="537"/>
      <c r="I131" s="537"/>
      <c r="J131" s="537"/>
      <c r="K131" s="537"/>
      <c r="L131" s="537"/>
      <c r="M131" s="538"/>
      <c r="N131" s="2746"/>
      <c r="O131" s="2746"/>
      <c r="P131" s="2736"/>
      <c r="Q131" s="2731"/>
      <c r="R131" s="2717"/>
      <c r="S131" s="2717"/>
      <c r="T131" s="2717"/>
      <c r="U131" s="2717"/>
      <c r="V131" s="2717"/>
      <c r="W131" s="2717"/>
      <c r="X131" s="2717"/>
      <c r="Y131" s="2717"/>
      <c r="Z131" s="2717"/>
      <c r="AA131" s="2717"/>
      <c r="AB131" s="2717"/>
      <c r="AC131" s="2717"/>
    </row>
  </sheetData>
  <sheetProtection password="CEE9"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0" type="noConversion"/>
  <conditionalFormatting sqref="F52 H52">
    <cfRule type="containsText" dxfId="120" priority="21" stopIfTrue="1" operator="containsText" text="超过">
      <formula>NOT(ISERROR(SEARCH("超过",F52)))</formula>
    </cfRule>
  </conditionalFormatting>
  <conditionalFormatting sqref="H54">
    <cfRule type="containsText" dxfId="119" priority="19" stopIfTrue="1" operator="containsText" text="超过">
      <formula>NOT(ISERROR(SEARCH("超过",H54)))</formula>
    </cfRule>
  </conditionalFormatting>
  <conditionalFormatting sqref="F54">
    <cfRule type="containsText" dxfId="118" priority="18" stopIfTrue="1" operator="containsText" text="超过">
      <formula>NOT(ISERROR(SEARCH("超过",F54)))</formula>
    </cfRule>
  </conditionalFormatting>
  <conditionalFormatting sqref="F53 H53">
    <cfRule type="containsText" dxfId="117" priority="17" stopIfTrue="1" operator="containsText" text="超过">
      <formula>NOT(ISERROR(SEARCH("超过",F53)))</formula>
    </cfRule>
  </conditionalFormatting>
  <conditionalFormatting sqref="E52">
    <cfRule type="expression" dxfId="116" priority="16" stopIfTrue="1">
      <formula>$F$52="超过30%"</formula>
    </cfRule>
  </conditionalFormatting>
  <conditionalFormatting sqref="E53">
    <cfRule type="expression" dxfId="115" priority="15" stopIfTrue="1">
      <formula>$F$53="超过20%"</formula>
    </cfRule>
  </conditionalFormatting>
  <conditionalFormatting sqref="E54">
    <cfRule type="expression" dxfId="114" priority="14" stopIfTrue="1">
      <formula>$F$54="超过30%"</formula>
    </cfRule>
  </conditionalFormatting>
  <conditionalFormatting sqref="G54">
    <cfRule type="expression" dxfId="113" priority="13" stopIfTrue="1">
      <formula>$H$54="超过30%"</formula>
    </cfRule>
  </conditionalFormatting>
  <conditionalFormatting sqref="G52">
    <cfRule type="expression" dxfId="112" priority="12" stopIfTrue="1">
      <formula>$H$52="超过30%"</formula>
    </cfRule>
  </conditionalFormatting>
  <conditionalFormatting sqref="G53">
    <cfRule type="expression" dxfId="111" priority="11" stopIfTrue="1">
      <formula>$H$53="超过20%"</formula>
    </cfRule>
  </conditionalFormatting>
  <conditionalFormatting sqref="J52">
    <cfRule type="containsText" dxfId="110" priority="10" stopIfTrue="1" operator="containsText" text="超过">
      <formula>NOT(ISERROR(SEARCH("超过",J52)))</formula>
    </cfRule>
  </conditionalFormatting>
  <conditionalFormatting sqref="J54">
    <cfRule type="containsText" dxfId="109" priority="9" stopIfTrue="1" operator="containsText" text="超过">
      <formula>NOT(ISERROR(SEARCH("超过",J54)))</formula>
    </cfRule>
  </conditionalFormatting>
  <conditionalFormatting sqref="J53">
    <cfRule type="containsText" dxfId="108" priority="8" stopIfTrue="1" operator="containsText" text="超过">
      <formula>NOT(ISERROR(SEARCH("超过",J53)))</formula>
    </cfRule>
  </conditionalFormatting>
  <conditionalFormatting sqref="I52">
    <cfRule type="expression" dxfId="107" priority="7" stopIfTrue="1">
      <formula>$J$52="超过30%"</formula>
    </cfRule>
  </conditionalFormatting>
  <conditionalFormatting sqref="I53">
    <cfRule type="expression" dxfId="106" priority="6" stopIfTrue="1">
      <formula>$J$53="超过20%"</formula>
    </cfRule>
  </conditionalFormatting>
  <conditionalFormatting sqref="I54">
    <cfRule type="expression" dxfId="105" priority="5" stopIfTrue="1">
      <formula>$J$54="超过30%"</formula>
    </cfRule>
  </conditionalFormatting>
  <conditionalFormatting sqref="F48">
    <cfRule type="expression" dxfId="104" priority="4">
      <formula>$D$48="简单平均"</formula>
    </cfRule>
  </conditionalFormatting>
  <conditionalFormatting sqref="H48">
    <cfRule type="expression" dxfId="103" priority="3">
      <formula>$D$48="简单平均"</formula>
    </cfRule>
  </conditionalFormatting>
  <conditionalFormatting sqref="J48">
    <cfRule type="expression" dxfId="102" priority="2">
      <formula>$D$48="简单平均"</formula>
    </cfRule>
  </conditionalFormatting>
  <conditionalFormatting sqref="F7:F46 H7:H46 J7:J46">
    <cfRule type="cellIs" dxfId="101" priority="1" operator="notEqual">
      <formula>100</formula>
    </cfRule>
  </conditionalFormatting>
  <dataValidations count="25">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E1" sqref="E1"/>
    </sheetView>
  </sheetViews>
  <sheetFormatPr defaultColWidth="9" defaultRowHeight="14.25"/>
  <cols>
    <col min="1" max="1" width="10.5" style="354" customWidth="1"/>
    <col min="2" max="2" width="15.875" style="354" customWidth="1"/>
    <col min="3" max="3" width="15.625" style="354" customWidth="1"/>
    <col min="4" max="4" width="12.125" style="354" customWidth="1"/>
    <col min="5" max="5" width="14.375" style="354" customWidth="1"/>
    <col min="6" max="6" width="12.125" style="354" customWidth="1"/>
    <col min="7" max="7" width="14.5" style="354" customWidth="1"/>
    <col min="8" max="8" width="12.125" style="354" customWidth="1"/>
    <col min="9" max="9" width="14.5" style="354" customWidth="1"/>
    <col min="10" max="10" width="12.125" style="354" customWidth="1"/>
    <col min="11" max="11" width="12.125" style="441" customWidth="1"/>
    <col min="12" max="12" width="12.125" style="442" customWidth="1"/>
    <col min="13" max="15" width="12.125" style="354" customWidth="1"/>
    <col min="16" max="16" width="4.875" style="902" customWidth="1"/>
    <col min="17" max="17" width="19.5" style="354" customWidth="1"/>
    <col min="18" max="22" width="6.125" style="354" customWidth="1"/>
    <col min="23" max="23" width="5.875" style="354" customWidth="1"/>
    <col min="24" max="24" width="4.125" style="354" customWidth="1"/>
    <col min="25" max="25" width="3.5" style="354" customWidth="1"/>
    <col min="26" max="26" width="19.875" style="354" customWidth="1"/>
    <col min="27" max="28" width="9.375" style="354" customWidth="1"/>
    <col min="29" max="16384" width="9" style="354"/>
  </cols>
  <sheetData>
    <row r="1" spans="1:29" s="1229" customFormat="1" ht="28.5" customHeight="1" thickBot="1">
      <c r="A1" s="1218" t="s">
        <v>1660</v>
      </c>
      <c r="B1" s="1950" t="s">
        <v>1810</v>
      </c>
      <c r="C1" s="1220" t="s">
        <v>1662</v>
      </c>
      <c r="D1" s="1221"/>
      <c r="E1" s="3425"/>
      <c r="F1" s="1875"/>
      <c r="G1" s="1231" t="s">
        <v>1767</v>
      </c>
      <c r="H1" s="1230"/>
      <c r="I1" s="1230"/>
      <c r="J1" s="1230"/>
      <c r="K1" s="1232"/>
      <c r="L1" s="1233"/>
      <c r="M1" s="1234"/>
      <c r="N1" s="1234"/>
      <c r="O1" s="1234"/>
      <c r="P1" s="1220"/>
      <c r="Q1" s="1220"/>
      <c r="R1" s="1220"/>
      <c r="S1" s="1220"/>
      <c r="T1" s="1220"/>
      <c r="U1" s="1220"/>
      <c r="V1" s="1220"/>
      <c r="W1" s="1220"/>
      <c r="X1" s="1220"/>
      <c r="Y1" s="1220"/>
      <c r="Z1" s="1220"/>
      <c r="AA1" s="1220"/>
      <c r="AB1" s="1220"/>
      <c r="AC1" s="1228"/>
    </row>
    <row r="2" spans="1:29" s="349" customFormat="1" ht="28.5" customHeight="1" thickTop="1">
      <c r="A2" s="1217" t="s">
        <v>1462</v>
      </c>
      <c r="B2" s="1160" t="b">
        <f>IF(E1="项目模式",IF(C2="——",ROUND(C50*D3/10000,0),ROUND(C50*D3/10000,0)-D2),IF(E1="单套模式",IF(C2="——",ROUND(C50*D3/10000,4),ROUND(C50*D3/10000,4)-D2)))</f>
        <v>0</v>
      </c>
      <c r="C2" s="1877"/>
      <c r="D2" s="1111" t="e">
        <f ca="1">IF(E1="项目模式",SUMIF(INDIRECT("'"&amp;F2&amp;"'"&amp;"!A:A"),"承租人权益价值",INDIRECT("'"&amp;F2&amp;"'"&amp;"!c:c")),SUMIF(INDIRECT("'"&amp;F2&amp;"'"&amp;"!A:A"),"承租人权益价值（单套）",INDIRECT("'"&amp;F2&amp;"'"&amp;"!c:c")))</f>
        <v>#REF!</v>
      </c>
      <c r="E2" s="1878" t="s">
        <v>1463</v>
      </c>
      <c r="F2" s="1879"/>
      <c r="G2" s="904"/>
      <c r="H2" s="904"/>
      <c r="I2" s="904"/>
      <c r="J2" s="904"/>
      <c r="K2" s="904"/>
      <c r="L2" s="2726"/>
      <c r="M2" s="2727"/>
      <c r="N2" s="2727"/>
      <c r="O2" s="2727"/>
      <c r="P2" s="695"/>
      <c r="Q2" s="695"/>
      <c r="R2" s="695"/>
      <c r="S2" s="695"/>
      <c r="T2" s="695"/>
      <c r="U2" s="695"/>
      <c r="V2" s="695"/>
      <c r="W2" s="695"/>
      <c r="X2" s="695"/>
      <c r="Y2" s="695"/>
      <c r="Z2" s="695"/>
      <c r="AA2" s="695"/>
      <c r="AB2" s="695"/>
      <c r="AC2" s="696"/>
    </row>
    <row r="3" spans="1:29" s="349" customFormat="1" ht="28.5" customHeight="1" thickBot="1">
      <c r="A3" s="200" t="s">
        <v>1464</v>
      </c>
      <c r="B3" s="555">
        <f>IF(C2="——",C50,ROUND(B2*10000/D3,0))</f>
        <v>0</v>
      </c>
      <c r="C3" s="351" t="s">
        <v>1768</v>
      </c>
      <c r="D3" s="350">
        <f>IF(D1="",'数据-汇总表'!E3,SUMIF('数据-汇总表'!$C19:$C33,D1,'数据-汇总表'!$E19:$E33))</f>
        <v>1</v>
      </c>
      <c r="E3" s="1947"/>
      <c r="F3" s="905"/>
      <c r="G3" s="904"/>
      <c r="H3" s="904"/>
      <c r="I3" s="904"/>
      <c r="J3" s="904"/>
      <c r="K3" s="906"/>
      <c r="L3" s="2726"/>
      <c r="M3" s="2727"/>
      <c r="N3" s="2727"/>
      <c r="O3" s="2727"/>
      <c r="P3" s="695"/>
      <c r="Q3" s="695"/>
      <c r="R3" s="695"/>
      <c r="S3" s="695"/>
      <c r="T3" s="695"/>
      <c r="U3" s="695"/>
      <c r="V3" s="695"/>
      <c r="W3" s="695"/>
      <c r="X3" s="695"/>
      <c r="Y3" s="695"/>
      <c r="Z3" s="695"/>
      <c r="AA3" s="695"/>
      <c r="AB3" s="695"/>
      <c r="AC3" s="696"/>
    </row>
    <row r="4" spans="1:29" ht="15">
      <c r="A4" s="352" t="s">
        <v>1769</v>
      </c>
      <c r="B4" s="353"/>
      <c r="C4" s="3738" t="s">
        <v>1770</v>
      </c>
      <c r="D4" s="3739"/>
      <c r="E4" s="3740" t="s">
        <v>1771</v>
      </c>
      <c r="F4" s="3741"/>
      <c r="G4" s="3738" t="s">
        <v>1772</v>
      </c>
      <c r="H4" s="3739"/>
      <c r="I4" s="3738" t="s">
        <v>1773</v>
      </c>
      <c r="J4" s="3739"/>
      <c r="K4" s="556" t="s">
        <v>1774</v>
      </c>
      <c r="L4" s="2707"/>
      <c r="M4" s="2708"/>
      <c r="N4" s="2708"/>
      <c r="O4" s="2708"/>
      <c r="P4" s="3832" t="s">
        <v>1775</v>
      </c>
      <c r="Q4" s="3833"/>
      <c r="R4" s="3827" t="s">
        <v>1771</v>
      </c>
      <c r="S4" s="3828"/>
      <c r="T4" s="3827" t="s">
        <v>1772</v>
      </c>
      <c r="U4" s="3828"/>
      <c r="V4" s="3836" t="s">
        <v>1773</v>
      </c>
      <c r="W4" s="3836"/>
      <c r="X4" s="1951"/>
      <c r="Y4" s="3827" t="s">
        <v>1775</v>
      </c>
      <c r="Z4" s="3828"/>
      <c r="AA4" s="3826" t="s">
        <v>1771</v>
      </c>
      <c r="AB4" s="3826" t="s">
        <v>1772</v>
      </c>
      <c r="AC4" s="3829" t="s">
        <v>1773</v>
      </c>
    </row>
    <row r="5" spans="1:29" ht="15">
      <c r="A5" s="355"/>
      <c r="B5" s="356"/>
      <c r="C5" s="3822" t="s">
        <v>1673</v>
      </c>
      <c r="D5" s="3823"/>
      <c r="E5" s="3820" t="s">
        <v>1674</v>
      </c>
      <c r="F5" s="3821"/>
      <c r="G5" s="3822" t="s">
        <v>1675</v>
      </c>
      <c r="H5" s="3823"/>
      <c r="I5" s="3822" t="s">
        <v>1676</v>
      </c>
      <c r="J5" s="3823"/>
      <c r="K5" s="556"/>
      <c r="L5" s="2707"/>
      <c r="M5" s="2708"/>
      <c r="N5" s="2708"/>
      <c r="O5" s="2708"/>
      <c r="P5" s="3834"/>
      <c r="Q5" s="3745"/>
      <c r="R5" s="3724"/>
      <c r="S5" s="3725"/>
      <c r="T5" s="3724"/>
      <c r="U5" s="3725"/>
      <c r="V5" s="3750"/>
      <c r="W5" s="3750"/>
      <c r="X5" s="1351"/>
      <c r="Y5" s="3724"/>
      <c r="Z5" s="3725"/>
      <c r="AA5" s="3718"/>
      <c r="AB5" s="3718"/>
      <c r="AC5" s="3830"/>
    </row>
    <row r="6" spans="1:29" ht="15.75" thickBot="1">
      <c r="A6" s="357"/>
      <c r="B6" s="358"/>
      <c r="C6" s="3730" t="s">
        <v>1677</v>
      </c>
      <c r="D6" s="3731"/>
      <c r="E6" s="3824" t="s">
        <v>1677</v>
      </c>
      <c r="F6" s="3825"/>
      <c r="G6" s="3730" t="s">
        <v>1677</v>
      </c>
      <c r="H6" s="3731"/>
      <c r="I6" s="3730" t="s">
        <v>1677</v>
      </c>
      <c r="J6" s="3731"/>
      <c r="K6" s="556" t="s">
        <v>1678</v>
      </c>
      <c r="L6" s="2707"/>
      <c r="M6" s="2708"/>
      <c r="N6" s="2708"/>
      <c r="O6" s="2708"/>
      <c r="P6" s="3835"/>
      <c r="Q6" s="3747"/>
      <c r="R6" s="3724"/>
      <c r="S6" s="3725"/>
      <c r="T6" s="3748"/>
      <c r="U6" s="3749"/>
      <c r="V6" s="3750"/>
      <c r="W6" s="3750"/>
      <c r="X6" s="1351"/>
      <c r="Y6" s="3748"/>
      <c r="Z6" s="3749"/>
      <c r="AA6" s="3719"/>
      <c r="AB6" s="3719"/>
      <c r="AC6" s="3831"/>
    </row>
    <row r="7" spans="1:29" s="108" customFormat="1" ht="15.75" thickBot="1">
      <c r="A7" s="359" t="s">
        <v>1679</v>
      </c>
      <c r="B7" s="360"/>
      <c r="C7" s="361">
        <f>'数据-取费表'!B2</f>
        <v>45114</v>
      </c>
      <c r="D7" s="362">
        <v>100</v>
      </c>
      <c r="E7" s="363"/>
      <c r="F7" s="364">
        <f>SUMIF(59:59,YEAR(E7)&amp;"-"&amp;MONTH(E7),60:60)</f>
        <v>0</v>
      </c>
      <c r="G7" s="363"/>
      <c r="H7" s="362">
        <f>SUMIF(59:59,YEAR(G7)&amp;"-"&amp;MONTH(G7),60:60)</f>
        <v>0</v>
      </c>
      <c r="I7" s="363"/>
      <c r="J7" s="362">
        <f>SUMIF(59:59,YEAR(I7)&amp;"-"&amp;MONTH(I7),60:60)</f>
        <v>0</v>
      </c>
      <c r="K7" s="557"/>
      <c r="L7" s="2709"/>
      <c r="M7" s="2710"/>
      <c r="N7" s="2710"/>
      <c r="O7" s="2710"/>
      <c r="P7" s="3837" t="s">
        <v>1680</v>
      </c>
      <c r="Q7" s="3751"/>
      <c r="R7" s="697" t="s">
        <v>14</v>
      </c>
      <c r="S7" s="698">
        <f t="shared" ref="S7:S15" si="0">F7</f>
        <v>0</v>
      </c>
      <c r="T7" s="697" t="s">
        <v>14</v>
      </c>
      <c r="U7" s="698">
        <f t="shared" ref="U7:U15" si="1">H7</f>
        <v>0</v>
      </c>
      <c r="V7" s="697" t="s">
        <v>14</v>
      </c>
      <c r="W7" s="698">
        <f t="shared" ref="W7:W15" si="2">J7</f>
        <v>0</v>
      </c>
      <c r="X7" s="699"/>
      <c r="Y7" s="3720" t="s">
        <v>1680</v>
      </c>
      <c r="Z7" s="3721"/>
      <c r="AA7" s="700" t="e">
        <f>D7/F7</f>
        <v>#DIV/0!</v>
      </c>
      <c r="AB7" s="700" t="e">
        <f>D7/H7</f>
        <v>#DIV/0!</v>
      </c>
      <c r="AC7" s="1952" t="e">
        <f>D7/J7</f>
        <v>#DIV/0!</v>
      </c>
    </row>
    <row r="8" spans="1:29" s="108" customFormat="1" ht="15.75" thickBot="1">
      <c r="A8" s="359" t="s">
        <v>1681</v>
      </c>
      <c r="B8" s="360"/>
      <c r="C8" s="365"/>
      <c r="D8" s="362">
        <v>100</v>
      </c>
      <c r="E8" s="365"/>
      <c r="F8" s="364">
        <f>SUMIF(62:62,E8,63:63)-SUMIF(62:62,C8,63:63)+100</f>
        <v>100</v>
      </c>
      <c r="G8" s="365"/>
      <c r="H8" s="362">
        <f>SUMIF(62:62,G8,63:63)-SUMIF(62:62,C8,63:63)+100</f>
        <v>100</v>
      </c>
      <c r="I8" s="365"/>
      <c r="J8" s="362">
        <f>SUMIF(62:62,I8,63:63)-SUMIF(62:62,C8,63:63)+100</f>
        <v>100</v>
      </c>
      <c r="K8" s="557"/>
      <c r="L8" s="2709"/>
      <c r="M8" s="2710"/>
      <c r="N8" s="2710"/>
      <c r="O8" s="2710"/>
      <c r="P8" s="3837" t="s">
        <v>1683</v>
      </c>
      <c r="Q8" s="3721"/>
      <c r="R8" s="697" t="s">
        <v>14</v>
      </c>
      <c r="S8" s="698">
        <f t="shared" si="0"/>
        <v>100</v>
      </c>
      <c r="T8" s="697" t="s">
        <v>14</v>
      </c>
      <c r="U8" s="698">
        <f t="shared" si="1"/>
        <v>100</v>
      </c>
      <c r="V8" s="697" t="s">
        <v>14</v>
      </c>
      <c r="W8" s="698">
        <f t="shared" si="2"/>
        <v>100</v>
      </c>
      <c r="X8" s="699"/>
      <c r="Y8" s="3720" t="s">
        <v>1683</v>
      </c>
      <c r="Z8" s="3721"/>
      <c r="AA8" s="700">
        <f t="shared" ref="AA8:AA47" si="3">D8/F8</f>
        <v>1</v>
      </c>
      <c r="AB8" s="700">
        <f t="shared" ref="AB8:AB47" si="4">D8/H8</f>
        <v>1</v>
      </c>
      <c r="AC8" s="1952">
        <f t="shared" ref="AC8:AC47" si="5">D8/J8</f>
        <v>1</v>
      </c>
    </row>
    <row r="9" spans="1:29" s="108" customFormat="1">
      <c r="A9" s="366" t="s">
        <v>1684</v>
      </c>
      <c r="B9" s="63" t="s">
        <v>1685</v>
      </c>
      <c r="C9" s="367"/>
      <c r="D9" s="124">
        <v>100</v>
      </c>
      <c r="E9" s="370"/>
      <c r="F9" s="124">
        <f>SUMIF(64:64,E9,65:65)-SUMIF(64:64,C9,65:65)+100</f>
        <v>100</v>
      </c>
      <c r="G9" s="368"/>
      <c r="H9" s="124">
        <f>SUMIF(64:64,G9,65:65)-SUMIF(64:64,C9,65:65)+100</f>
        <v>100</v>
      </c>
      <c r="I9" s="368"/>
      <c r="J9" s="124">
        <f>SUMIF(64:64,I9,65:65)-SUMIF(64:64,C9,65:65)+100</f>
        <v>100</v>
      </c>
      <c r="K9" s="557"/>
      <c r="L9" s="2709"/>
      <c r="M9" s="2710"/>
      <c r="N9" s="2710"/>
      <c r="O9" s="2710"/>
      <c r="P9" s="3761" t="s">
        <v>1686</v>
      </c>
      <c r="Q9" s="1339" t="str">
        <f t="shared" ref="Q9:Q15" si="6">B9</f>
        <v>用途</v>
      </c>
      <c r="R9" s="697" t="s">
        <v>14</v>
      </c>
      <c r="S9" s="698">
        <f t="shared" si="0"/>
        <v>100</v>
      </c>
      <c r="T9" s="697" t="s">
        <v>14</v>
      </c>
      <c r="U9" s="698">
        <f t="shared" si="1"/>
        <v>100</v>
      </c>
      <c r="V9" s="697" t="s">
        <v>14</v>
      </c>
      <c r="W9" s="698">
        <f t="shared" si="2"/>
        <v>100</v>
      </c>
      <c r="X9" s="699"/>
      <c r="Y9" s="3685" t="s">
        <v>1687</v>
      </c>
      <c r="Z9" s="52" t="str">
        <f t="shared" ref="Z9:Z15" si="7">Q9</f>
        <v>用途</v>
      </c>
      <c r="AA9" s="700">
        <f t="shared" si="3"/>
        <v>1</v>
      </c>
      <c r="AB9" s="700">
        <f t="shared" si="4"/>
        <v>1</v>
      </c>
      <c r="AC9" s="1952">
        <f t="shared" si="5"/>
        <v>1</v>
      </c>
    </row>
    <row r="10" spans="1:29" s="375" customFormat="1" ht="27">
      <c r="A10" s="371"/>
      <c r="B10" s="372" t="s">
        <v>1688</v>
      </c>
      <c r="C10" s="3426"/>
      <c r="D10" s="125">
        <v>100</v>
      </c>
      <c r="E10" s="3426"/>
      <c r="F10" s="125">
        <f>SUMIF(66:66,E10,67:67)-SUMIF(66:66,C10,67:67)+100</f>
        <v>100</v>
      </c>
      <c r="G10" s="3427"/>
      <c r="H10" s="125">
        <f>SUMIF(66:66,G10,67:67)-SUMIF(66:66,C10,67:67)+100</f>
        <v>100</v>
      </c>
      <c r="I10" s="3426"/>
      <c r="J10" s="125">
        <f>SUMIF(66:66,I10,67:67)-SUMIF(66:66,C10,67:67)+100</f>
        <v>100</v>
      </c>
      <c r="K10" s="557"/>
      <c r="L10" s="2711"/>
      <c r="M10" s="2712"/>
      <c r="N10" s="2712"/>
      <c r="O10" s="2712"/>
      <c r="P10" s="3761"/>
      <c r="Q10" s="1339" t="str">
        <f t="shared" si="6"/>
        <v>土地使用年限（年）</v>
      </c>
      <c r="R10" s="697" t="s">
        <v>14</v>
      </c>
      <c r="S10" s="698">
        <f t="shared" si="0"/>
        <v>100</v>
      </c>
      <c r="T10" s="697" t="s">
        <v>14</v>
      </c>
      <c r="U10" s="698">
        <f t="shared" si="1"/>
        <v>100</v>
      </c>
      <c r="V10" s="697" t="s">
        <v>14</v>
      </c>
      <c r="W10" s="698">
        <f t="shared" si="2"/>
        <v>100</v>
      </c>
      <c r="X10" s="699"/>
      <c r="Y10" s="3685"/>
      <c r="Z10" s="52" t="str">
        <f t="shared" si="7"/>
        <v>土地使用年限（年）</v>
      </c>
      <c r="AA10" s="700">
        <f t="shared" si="3"/>
        <v>1</v>
      </c>
      <c r="AB10" s="700">
        <f t="shared" si="4"/>
        <v>1</v>
      </c>
      <c r="AC10" s="1952">
        <f t="shared" si="5"/>
        <v>1</v>
      </c>
    </row>
    <row r="11" spans="1:29" ht="15">
      <c r="A11" s="376"/>
      <c r="B11" s="372" t="s">
        <v>1689</v>
      </c>
      <c r="C11" s="377"/>
      <c r="D11" s="125">
        <v>100</v>
      </c>
      <c r="E11" s="377"/>
      <c r="F11" s="125">
        <f>LOOKUP(E11,69:69,70:70)-LOOKUP(C11,69:69,70:70)+100</f>
        <v>100</v>
      </c>
      <c r="G11" s="378"/>
      <c r="H11" s="125">
        <f>LOOKUP(G11,69:69,70:70)-LOOKUP(C11,69:69,70:70)+100</f>
        <v>100</v>
      </c>
      <c r="I11" s="377"/>
      <c r="J11" s="125">
        <f>LOOKUP(I11,69:69,70:70)-LOOKUP(C11,69:69,70:70)+100</f>
        <v>100</v>
      </c>
      <c r="K11" s="558"/>
      <c r="L11" s="2713"/>
      <c r="M11" s="2708"/>
      <c r="N11" s="2708"/>
      <c r="O11" s="2708"/>
      <c r="P11" s="3761"/>
      <c r="Q11" s="1339" t="str">
        <f t="shared" si="6"/>
        <v>容积率</v>
      </c>
      <c r="R11" s="697" t="s">
        <v>14</v>
      </c>
      <c r="S11" s="698">
        <f t="shared" si="0"/>
        <v>100</v>
      </c>
      <c r="T11" s="697" t="s">
        <v>14</v>
      </c>
      <c r="U11" s="698">
        <f t="shared" si="1"/>
        <v>100</v>
      </c>
      <c r="V11" s="697" t="s">
        <v>14</v>
      </c>
      <c r="W11" s="698">
        <f t="shared" si="2"/>
        <v>100</v>
      </c>
      <c r="X11" s="699"/>
      <c r="Y11" s="3685"/>
      <c r="Z11" s="52" t="str">
        <f t="shared" si="7"/>
        <v>容积率</v>
      </c>
      <c r="AA11" s="700">
        <f t="shared" si="3"/>
        <v>1</v>
      </c>
      <c r="AB11" s="700">
        <f t="shared" si="4"/>
        <v>1</v>
      </c>
      <c r="AC11" s="1952">
        <f t="shared" si="5"/>
        <v>1</v>
      </c>
    </row>
    <row r="12" spans="1:29" s="108" customFormat="1" ht="15">
      <c r="A12" s="379"/>
      <c r="B12" s="1888">
        <v>111</v>
      </c>
      <c r="C12" s="380"/>
      <c r="D12" s="381">
        <v>100</v>
      </c>
      <c r="E12" s="380"/>
      <c r="F12" s="125">
        <f>SUMIF(71:71,E12,72:72)-SUMIF(71:71,C12,72:72)+100</f>
        <v>100</v>
      </c>
      <c r="G12" s="1953"/>
      <c r="H12" s="125">
        <f>SUMIF(71:71,G12,72:72)-SUMIF(71:71,C12,72:72)+100</f>
        <v>100</v>
      </c>
      <c r="I12" s="380"/>
      <c r="J12" s="125">
        <f>SUMIF(71:71,I12,72:72)-SUMIF(71:71,C12,72:72)+100</f>
        <v>100</v>
      </c>
      <c r="K12" s="559"/>
      <c r="L12" s="2709"/>
      <c r="M12" s="2710"/>
      <c r="N12" s="2710"/>
      <c r="O12" s="2710"/>
      <c r="P12" s="3761"/>
      <c r="Q12" s="1339">
        <f t="shared" si="6"/>
        <v>111</v>
      </c>
      <c r="R12" s="697" t="s">
        <v>14</v>
      </c>
      <c r="S12" s="698">
        <f t="shared" si="0"/>
        <v>100</v>
      </c>
      <c r="T12" s="697" t="s">
        <v>14</v>
      </c>
      <c r="U12" s="698">
        <f t="shared" si="1"/>
        <v>100</v>
      </c>
      <c r="V12" s="697" t="s">
        <v>14</v>
      </c>
      <c r="W12" s="698">
        <f t="shared" si="2"/>
        <v>100</v>
      </c>
      <c r="X12" s="699"/>
      <c r="Y12" s="3685"/>
      <c r="Z12" s="52">
        <f t="shared" si="7"/>
        <v>111</v>
      </c>
      <c r="AA12" s="700">
        <f>D12/F12</f>
        <v>1</v>
      </c>
      <c r="AB12" s="700">
        <f>D12/H12</f>
        <v>1</v>
      </c>
      <c r="AC12" s="1952">
        <f>D12/J12</f>
        <v>1</v>
      </c>
    </row>
    <row r="13" spans="1:29" ht="15">
      <c r="A13" s="376"/>
      <c r="B13" s="1888">
        <v>111</v>
      </c>
      <c r="C13" s="382"/>
      <c r="D13" s="383">
        <v>100</v>
      </c>
      <c r="E13" s="380"/>
      <c r="F13" s="125">
        <f>SUMIF(73:73,E13,74:74)-SUMIF(73:73,C13,74:74)+100</f>
        <v>100</v>
      </c>
      <c r="G13" s="1953"/>
      <c r="H13" s="383">
        <f>SUMIF(73:73,G13,74:74)-SUMIF(73:73,C13,74:74)+100</f>
        <v>100</v>
      </c>
      <c r="I13" s="380"/>
      <c r="J13" s="383">
        <f>SUMIF(73:73,I13,74:74)-SUMIF(73:73,C13,74:74)+100</f>
        <v>100</v>
      </c>
      <c r="K13" s="559"/>
      <c r="L13" s="2714"/>
      <c r="M13" s="2708"/>
      <c r="N13" s="2708"/>
      <c r="O13" s="2708"/>
      <c r="P13" s="3761"/>
      <c r="Q13" s="1339">
        <f t="shared" si="6"/>
        <v>111</v>
      </c>
      <c r="R13" s="697" t="s">
        <v>14</v>
      </c>
      <c r="S13" s="698">
        <f t="shared" si="0"/>
        <v>100</v>
      </c>
      <c r="T13" s="697" t="s">
        <v>14</v>
      </c>
      <c r="U13" s="698">
        <f t="shared" si="1"/>
        <v>100</v>
      </c>
      <c r="V13" s="697" t="s">
        <v>14</v>
      </c>
      <c r="W13" s="698">
        <f t="shared" si="2"/>
        <v>100</v>
      </c>
      <c r="X13" s="699"/>
      <c r="Y13" s="3685"/>
      <c r="Z13" s="52">
        <f t="shared" si="7"/>
        <v>111</v>
      </c>
      <c r="AA13" s="700">
        <f t="shared" si="3"/>
        <v>1</v>
      </c>
      <c r="AB13" s="700">
        <f t="shared" si="4"/>
        <v>1</v>
      </c>
      <c r="AC13" s="1952">
        <f t="shared" si="5"/>
        <v>1</v>
      </c>
    </row>
    <row r="14" spans="1:29" ht="15.75" thickBot="1">
      <c r="A14" s="384"/>
      <c r="B14" s="1890">
        <v>111</v>
      </c>
      <c r="C14" s="385"/>
      <c r="D14" s="386">
        <v>100</v>
      </c>
      <c r="E14" s="573"/>
      <c r="F14" s="386">
        <f>SUMIF(75:75,E14,76:76)-SUMIF(75:75,C14,76:76)+100</f>
        <v>100</v>
      </c>
      <c r="G14" s="1953"/>
      <c r="H14" s="386">
        <f>SUMIF(75:75,G14,76:76)-SUMIF(75:75,C14,76:76)+100</f>
        <v>100</v>
      </c>
      <c r="I14" s="380"/>
      <c r="J14" s="386">
        <f>SUMIF(75:75,I14,76:76)-SUMIF(75:75,C14,76:76)+100</f>
        <v>100</v>
      </c>
      <c r="K14" s="559"/>
      <c r="L14" s="2714"/>
      <c r="M14" s="2708"/>
      <c r="N14" s="2708"/>
      <c r="O14" s="2708"/>
      <c r="P14" s="3761"/>
      <c r="Q14" s="1339">
        <f t="shared" si="6"/>
        <v>111</v>
      </c>
      <c r="R14" s="697" t="s">
        <v>14</v>
      </c>
      <c r="S14" s="698">
        <f t="shared" si="0"/>
        <v>100</v>
      </c>
      <c r="T14" s="697" t="s">
        <v>14</v>
      </c>
      <c r="U14" s="698">
        <f t="shared" si="1"/>
        <v>100</v>
      </c>
      <c r="V14" s="697" t="s">
        <v>14</v>
      </c>
      <c r="W14" s="698">
        <f t="shared" si="2"/>
        <v>100</v>
      </c>
      <c r="X14" s="699"/>
      <c r="Y14" s="3685"/>
      <c r="Z14" s="52">
        <f t="shared" si="7"/>
        <v>111</v>
      </c>
      <c r="AA14" s="700">
        <f t="shared" si="3"/>
        <v>1</v>
      </c>
      <c r="AB14" s="700">
        <f t="shared" si="4"/>
        <v>1</v>
      </c>
      <c r="AC14" s="1952">
        <f t="shared" si="5"/>
        <v>1</v>
      </c>
    </row>
    <row r="15" spans="1:29" ht="71.25">
      <c r="A15" s="388" t="s">
        <v>1690</v>
      </c>
      <c r="B15" s="574" t="s">
        <v>1811</v>
      </c>
      <c r="C15" s="1954" t="str">
        <f>估价对象房地状况!C5</f>
        <v>估价对象位于XX商圈，周边办公楼项目较多，入驻率高，办公集聚程度较好</v>
      </c>
      <c r="D15" s="389">
        <v>100</v>
      </c>
      <c r="E15" s="392"/>
      <c r="F15" s="389">
        <f>SUMIF(77:77,E16,78:78)-SUMIF(77:77,C16,78:78)+100</f>
        <v>100</v>
      </c>
      <c r="G15" s="390"/>
      <c r="H15" s="389">
        <f>SUMIF(77:77,G16,78:78)-SUMIF(77:77,C16,78:78)+100</f>
        <v>100</v>
      </c>
      <c r="I15" s="390"/>
      <c r="J15" s="389">
        <f>SUMIF(77:77,I16,78:78)-SUMIF(77:77,C16,78:78)+100</f>
        <v>100</v>
      </c>
      <c r="K15" s="560"/>
      <c r="L15" s="2714"/>
      <c r="M15" s="2708"/>
      <c r="N15" s="2708"/>
      <c r="O15" s="2708"/>
      <c r="P15" s="3810" t="s">
        <v>1691</v>
      </c>
      <c r="Q15" s="1348" t="str">
        <f t="shared" si="6"/>
        <v>办公集聚程度</v>
      </c>
      <c r="R15" s="701" t="s">
        <v>14</v>
      </c>
      <c r="S15" s="702">
        <f t="shared" si="0"/>
        <v>100</v>
      </c>
      <c r="T15" s="701" t="s">
        <v>14</v>
      </c>
      <c r="U15" s="702">
        <f t="shared" si="1"/>
        <v>100</v>
      </c>
      <c r="V15" s="701" t="s">
        <v>14</v>
      </c>
      <c r="W15" s="702">
        <f t="shared" si="2"/>
        <v>100</v>
      </c>
      <c r="X15" s="1351"/>
      <c r="Y15" s="3752" t="s">
        <v>1691</v>
      </c>
      <c r="Z15" s="1352" t="str">
        <f t="shared" si="7"/>
        <v>办公集聚程度</v>
      </c>
      <c r="AA15" s="1349">
        <f t="shared" si="3"/>
        <v>1</v>
      </c>
      <c r="AB15" s="1349">
        <f t="shared" si="4"/>
        <v>1</v>
      </c>
      <c r="AC15" s="1955">
        <f t="shared" si="5"/>
        <v>1</v>
      </c>
    </row>
    <row r="16" spans="1:29" ht="15">
      <c r="A16" s="376"/>
      <c r="B16" s="575"/>
      <c r="C16" s="1899"/>
      <c r="D16" s="396"/>
      <c r="E16" s="395"/>
      <c r="F16" s="396"/>
      <c r="G16" s="1899"/>
      <c r="H16" s="398"/>
      <c r="I16" s="395"/>
      <c r="J16" s="396"/>
      <c r="K16" s="561"/>
      <c r="L16" s="2714"/>
      <c r="M16" s="2708"/>
      <c r="N16" s="2708"/>
      <c r="O16" s="2708"/>
      <c r="P16" s="3811"/>
      <c r="Q16" s="1348"/>
      <c r="R16" s="701"/>
      <c r="S16" s="702"/>
      <c r="T16" s="701"/>
      <c r="U16" s="702"/>
      <c r="V16" s="701"/>
      <c r="W16" s="702"/>
      <c r="X16" s="1351"/>
      <c r="Y16" s="3753"/>
      <c r="Z16" s="1352"/>
      <c r="AA16" s="1349">
        <v>1</v>
      </c>
      <c r="AB16" s="1349">
        <v>1</v>
      </c>
      <c r="AC16" s="1955">
        <v>1</v>
      </c>
    </row>
    <row r="17" spans="1:29" ht="142.5">
      <c r="A17" s="376"/>
      <c r="B17" s="576" t="s">
        <v>1259</v>
      </c>
      <c r="C17" s="1956" t="str">
        <f>估价对象房地状况!C6</f>
        <v>估价对象邻近城市高速路-京台高速，附近有兴16路、兴38路、专83路等公交线路，周边道路状况、公共交通通达情况、停车便捷程度，综合评价交通便捷度较好</v>
      </c>
      <c r="D17" s="398">
        <v>100</v>
      </c>
      <c r="E17" s="402"/>
      <c r="F17" s="398">
        <f>SUMIF(79:79,E18,80:80)-SUMIF(79:79,C18,80:80)+100</f>
        <v>100</v>
      </c>
      <c r="G17" s="400"/>
      <c r="H17" s="403">
        <f>SUMIF(79:79,G18,80:80)-SUMIF(79:79,C18,80:80)+100</f>
        <v>100</v>
      </c>
      <c r="I17" s="400"/>
      <c r="J17" s="403">
        <f>SUMIF(79:79,I18,80:80)-SUMIF(79:79,C18,80:80)+100</f>
        <v>100</v>
      </c>
      <c r="K17" s="560"/>
      <c r="L17" s="2714"/>
      <c r="M17" s="2708"/>
      <c r="N17" s="2708"/>
      <c r="O17" s="2708"/>
      <c r="P17" s="3811"/>
      <c r="Q17" s="1348" t="str">
        <f>B17</f>
        <v>交通便捷度</v>
      </c>
      <c r="R17" s="701" t="s">
        <v>14</v>
      </c>
      <c r="S17" s="702">
        <f>F17</f>
        <v>100</v>
      </c>
      <c r="T17" s="701" t="s">
        <v>14</v>
      </c>
      <c r="U17" s="702">
        <f>H17</f>
        <v>100</v>
      </c>
      <c r="V17" s="701" t="s">
        <v>14</v>
      </c>
      <c r="W17" s="702">
        <f>J17</f>
        <v>100</v>
      </c>
      <c r="X17" s="1351"/>
      <c r="Y17" s="3753"/>
      <c r="Z17" s="1352" t="str">
        <f>Q17</f>
        <v>交通便捷度</v>
      </c>
      <c r="AA17" s="1349">
        <f t="shared" si="3"/>
        <v>1</v>
      </c>
      <c r="AB17" s="1349">
        <f t="shared" si="4"/>
        <v>1</v>
      </c>
      <c r="AC17" s="1955">
        <f t="shared" si="5"/>
        <v>1</v>
      </c>
    </row>
    <row r="18" spans="1:29" ht="15">
      <c r="A18" s="376"/>
      <c r="B18" s="577"/>
      <c r="C18" s="1957"/>
      <c r="D18" s="398"/>
      <c r="E18" s="1897"/>
      <c r="F18" s="398"/>
      <c r="G18" s="1898"/>
      <c r="H18" s="396"/>
      <c r="I18" s="1898"/>
      <c r="J18" s="396"/>
      <c r="K18" s="561"/>
      <c r="L18" s="2714"/>
      <c r="M18" s="2708"/>
      <c r="N18" s="2708"/>
      <c r="O18" s="2708"/>
      <c r="P18" s="3811"/>
      <c r="Q18" s="1348"/>
      <c r="R18" s="701"/>
      <c r="S18" s="702"/>
      <c r="T18" s="701"/>
      <c r="U18" s="702"/>
      <c r="V18" s="701"/>
      <c r="W18" s="702"/>
      <c r="X18" s="1351"/>
      <c r="Y18" s="3753"/>
      <c r="Z18" s="1352"/>
      <c r="AA18" s="1349">
        <v>1</v>
      </c>
      <c r="AB18" s="1349">
        <v>1</v>
      </c>
      <c r="AC18" s="1955">
        <v>1</v>
      </c>
    </row>
    <row r="19" spans="1:29" ht="128.25">
      <c r="A19" s="376"/>
      <c r="B19" s="576" t="s">
        <v>1812</v>
      </c>
      <c r="C19" s="1956" t="str">
        <f>估价对象房地状况!C7</f>
        <v>估价对象周边有红星中学、瀛海镇第一中心小学、瀛海一幼幼儿园等教育机构，有肃宁正骨医院医疗设施，有北京农商银行等金融机构，公共配套设施状况一般</v>
      </c>
      <c r="D19" s="403">
        <v>100</v>
      </c>
      <c r="E19" s="407"/>
      <c r="F19" s="403">
        <f>SUMIF(81:81,E20,82:82)-SUMIF(81:81,C20,82:82)+100</f>
        <v>100</v>
      </c>
      <c r="G19" s="405"/>
      <c r="H19" s="398">
        <f>SUMIF(81:81,G20,82:82)-SUMIF(81:81,C20,82:82)+100</f>
        <v>100</v>
      </c>
      <c r="I19" s="405"/>
      <c r="J19" s="398">
        <f>SUMIF(81:81,I20,82:82)-SUMIF(81:81,C20,82:82)+100</f>
        <v>100</v>
      </c>
      <c r="K19" s="560"/>
      <c r="L19" s="2714"/>
      <c r="M19" s="2708"/>
      <c r="N19" s="2708"/>
      <c r="O19" s="2708"/>
      <c r="P19" s="3811"/>
      <c r="Q19" s="1348" t="str">
        <f>B19</f>
        <v>公共配套设施</v>
      </c>
      <c r="R19" s="701" t="s">
        <v>14</v>
      </c>
      <c r="S19" s="702">
        <f>F19</f>
        <v>100</v>
      </c>
      <c r="T19" s="701" t="s">
        <v>14</v>
      </c>
      <c r="U19" s="702">
        <f>H19</f>
        <v>100</v>
      </c>
      <c r="V19" s="701" t="s">
        <v>14</v>
      </c>
      <c r="W19" s="702">
        <f>J19</f>
        <v>100</v>
      </c>
      <c r="X19" s="1351"/>
      <c r="Y19" s="3753"/>
      <c r="Z19" s="1352" t="str">
        <f>Q19</f>
        <v>公共配套设施</v>
      </c>
      <c r="AA19" s="1349">
        <f t="shared" si="3"/>
        <v>1</v>
      </c>
      <c r="AB19" s="1349">
        <f t="shared" si="4"/>
        <v>1</v>
      </c>
      <c r="AC19" s="1955">
        <f t="shared" si="5"/>
        <v>1</v>
      </c>
    </row>
    <row r="20" spans="1:29" ht="15">
      <c r="A20" s="376"/>
      <c r="B20" s="577"/>
      <c r="C20" s="1899"/>
      <c r="D20" s="396"/>
      <c r="E20" s="1892"/>
      <c r="F20" s="396"/>
      <c r="G20" s="1893"/>
      <c r="H20" s="396"/>
      <c r="I20" s="1893"/>
      <c r="J20" s="396"/>
      <c r="K20" s="561"/>
      <c r="L20" s="2714"/>
      <c r="M20" s="2708"/>
      <c r="N20" s="2708"/>
      <c r="O20" s="2708"/>
      <c r="P20" s="3811"/>
      <c r="Q20" s="1348"/>
      <c r="R20" s="701"/>
      <c r="S20" s="702"/>
      <c r="T20" s="701"/>
      <c r="U20" s="702"/>
      <c r="V20" s="701"/>
      <c r="W20" s="702"/>
      <c r="X20" s="1351"/>
      <c r="Y20" s="3753"/>
      <c r="Z20" s="1352"/>
      <c r="AA20" s="1349">
        <v>1</v>
      </c>
      <c r="AB20" s="1349">
        <v>1</v>
      </c>
      <c r="AC20" s="1955">
        <v>1</v>
      </c>
    </row>
    <row r="21" spans="1:29" ht="42.75">
      <c r="A21" s="376"/>
      <c r="B21" s="578" t="s">
        <v>1813</v>
      </c>
      <c r="C21" s="1956" t="str">
        <f>估价对象房地状况!C8</f>
        <v>估价对象所在区域基础设施水平-六通</v>
      </c>
      <c r="D21" s="398">
        <v>100</v>
      </c>
      <c r="E21" s="407"/>
      <c r="F21" s="403">
        <f>SUMIF(83:83,E22,84:84)-SUMIF(83:83,C22,84:84)+100</f>
        <v>100</v>
      </c>
      <c r="G21" s="405"/>
      <c r="H21" s="398">
        <f>SUMIF(83:83,G22,84:84)-SUMIF(83:83,C22,84:84)+100</f>
        <v>100</v>
      </c>
      <c r="I21" s="405"/>
      <c r="J21" s="398">
        <f>SUMIF(83:83,I22,84:84)-SUMIF(83:83,C22,84:84)+100</f>
        <v>100</v>
      </c>
      <c r="K21" s="560"/>
      <c r="L21" s="2714"/>
      <c r="M21" s="2708"/>
      <c r="N21" s="2708"/>
      <c r="O21" s="2708"/>
      <c r="P21" s="3811"/>
      <c r="Q21" s="1348" t="str">
        <f>B21</f>
        <v>基础设施水平</v>
      </c>
      <c r="R21" s="701" t="s">
        <v>14</v>
      </c>
      <c r="S21" s="702">
        <f>F21</f>
        <v>100</v>
      </c>
      <c r="T21" s="701" t="s">
        <v>14</v>
      </c>
      <c r="U21" s="702">
        <f>H21</f>
        <v>100</v>
      </c>
      <c r="V21" s="701" t="s">
        <v>14</v>
      </c>
      <c r="W21" s="702">
        <f>J21</f>
        <v>100</v>
      </c>
      <c r="X21" s="1351"/>
      <c r="Y21" s="3753"/>
      <c r="Z21" s="1352" t="str">
        <f>Q21</f>
        <v>基础设施水平</v>
      </c>
      <c r="AA21" s="1349">
        <f t="shared" ref="AA21" si="8">D21/F21</f>
        <v>1</v>
      </c>
      <c r="AB21" s="1349">
        <f t="shared" ref="AB21" si="9">D21/H21</f>
        <v>1</v>
      </c>
      <c r="AC21" s="1955">
        <f t="shared" ref="AC21" si="10">D21/J21</f>
        <v>1</v>
      </c>
    </row>
    <row r="22" spans="1:29" ht="15">
      <c r="A22" s="376"/>
      <c r="B22" s="578"/>
      <c r="C22" s="1957"/>
      <c r="D22" s="396"/>
      <c r="E22" s="395"/>
      <c r="F22" s="396"/>
      <c r="G22" s="1899"/>
      <c r="H22" s="396"/>
      <c r="I22" s="1899"/>
      <c r="J22" s="396"/>
      <c r="K22" s="1126"/>
      <c r="L22" s="2714"/>
      <c r="M22" s="2708"/>
      <c r="N22" s="2708"/>
      <c r="O22" s="2708"/>
      <c r="P22" s="3811"/>
      <c r="Q22" s="1348"/>
      <c r="R22" s="701"/>
      <c r="S22" s="702"/>
      <c r="T22" s="701"/>
      <c r="U22" s="702"/>
      <c r="V22" s="701"/>
      <c r="W22" s="702"/>
      <c r="X22" s="1351"/>
      <c r="Y22" s="3753"/>
      <c r="Z22" s="1352"/>
      <c r="AA22" s="1349">
        <v>1</v>
      </c>
      <c r="AB22" s="1349">
        <v>1</v>
      </c>
      <c r="AC22" s="1955">
        <v>1</v>
      </c>
    </row>
    <row r="23" spans="1:29" ht="85.5">
      <c r="A23" s="376"/>
      <c r="B23" s="576" t="s">
        <v>1814</v>
      </c>
      <c r="C23" s="1956" t="str">
        <f>估价对象房地状况!C9</f>
        <v>周边1公里范围内有南海子公园、志远庄公园等自然景观，人文景观较少，综合评价环境状况一般</v>
      </c>
      <c r="D23" s="398">
        <v>100</v>
      </c>
      <c r="E23" s="402"/>
      <c r="F23" s="398">
        <f>SUMIF(85:85,E24,86:86)-SUMIF(85:85,C24,86:86)+100</f>
        <v>100</v>
      </c>
      <c r="G23" s="400"/>
      <c r="H23" s="398">
        <f>SUMIF(85:85,G24,86:86)-SUMIF(85:85,C24,86:86)+100</f>
        <v>100</v>
      </c>
      <c r="I23" s="400"/>
      <c r="J23" s="398">
        <f>SUMIF(85:85,I24,86:86)-SUMIF(85:85,C24,86:86)+100</f>
        <v>100</v>
      </c>
      <c r="K23" s="560"/>
      <c r="L23" s="2714"/>
      <c r="M23" s="2708"/>
      <c r="N23" s="2708"/>
      <c r="O23" s="2708"/>
      <c r="P23" s="3811"/>
      <c r="Q23" s="1348" t="str">
        <f>B23</f>
        <v>环境质量</v>
      </c>
      <c r="R23" s="701" t="s">
        <v>14</v>
      </c>
      <c r="S23" s="702">
        <f>F23</f>
        <v>100</v>
      </c>
      <c r="T23" s="701" t="s">
        <v>14</v>
      </c>
      <c r="U23" s="702">
        <f>H23</f>
        <v>100</v>
      </c>
      <c r="V23" s="701" t="s">
        <v>14</v>
      </c>
      <c r="W23" s="702">
        <f>J23</f>
        <v>100</v>
      </c>
      <c r="X23" s="1351"/>
      <c r="Y23" s="3753"/>
      <c r="Z23" s="1352" t="str">
        <f>Q23</f>
        <v>环境质量</v>
      </c>
      <c r="AA23" s="1349">
        <f t="shared" si="3"/>
        <v>1</v>
      </c>
      <c r="AB23" s="1349">
        <f t="shared" si="4"/>
        <v>1</v>
      </c>
      <c r="AC23" s="1955">
        <f t="shared" si="5"/>
        <v>1</v>
      </c>
    </row>
    <row r="24" spans="1:29" ht="15">
      <c r="A24" s="376"/>
      <c r="B24" s="578"/>
      <c r="C24" s="1899"/>
      <c r="D24" s="396"/>
      <c r="E24" s="1892"/>
      <c r="F24" s="396"/>
      <c r="G24" s="1893"/>
      <c r="H24" s="396"/>
      <c r="I24" s="1893"/>
      <c r="J24" s="396"/>
      <c r="K24" s="561"/>
      <c r="L24" s="2714"/>
      <c r="M24" s="2708"/>
      <c r="N24" s="2708"/>
      <c r="O24" s="2708"/>
      <c r="P24" s="3811"/>
      <c r="Q24" s="1348"/>
      <c r="R24" s="701"/>
      <c r="S24" s="702"/>
      <c r="T24" s="701"/>
      <c r="U24" s="702"/>
      <c r="V24" s="701"/>
      <c r="W24" s="702"/>
      <c r="X24" s="1351"/>
      <c r="Y24" s="3753"/>
      <c r="Z24" s="1352"/>
      <c r="AA24" s="1349">
        <v>1</v>
      </c>
      <c r="AB24" s="1349">
        <v>1</v>
      </c>
      <c r="AC24" s="1955">
        <v>1</v>
      </c>
    </row>
    <row r="25" spans="1:29" ht="27">
      <c r="A25" s="355"/>
      <c r="B25" s="576" t="s">
        <v>1815</v>
      </c>
      <c r="C25" s="1903"/>
      <c r="D25" s="383">
        <v>100</v>
      </c>
      <c r="E25" s="382"/>
      <c r="F25" s="383">
        <f>SUMIF(87:87,E26,88:88)-SUMIF(87:87,C26,88:88)+100</f>
        <v>100</v>
      </c>
      <c r="G25" s="1903"/>
      <c r="H25" s="383">
        <f>SUMIF(87:87,G26,88:88)-SUMIF(87:87,C26,88:88)+100</f>
        <v>100</v>
      </c>
      <c r="I25" s="382"/>
      <c r="J25" s="383">
        <f>SUMIF(87:87,I26,88:88)-SUMIF(87:87,C26,88:88)+100</f>
        <v>100</v>
      </c>
      <c r="K25" s="560"/>
      <c r="L25" s="2714"/>
      <c r="M25" s="2708"/>
      <c r="N25" s="2708"/>
      <c r="O25" s="2708"/>
      <c r="P25" s="3811"/>
      <c r="Q25" s="1348" t="str">
        <f>B25</f>
        <v>毗邻道路的类型与等级</v>
      </c>
      <c r="R25" s="701" t="s">
        <v>14</v>
      </c>
      <c r="S25" s="702">
        <f>F25</f>
        <v>100</v>
      </c>
      <c r="T25" s="701" t="s">
        <v>14</v>
      </c>
      <c r="U25" s="702">
        <f>H25</f>
        <v>100</v>
      </c>
      <c r="V25" s="701" t="s">
        <v>14</v>
      </c>
      <c r="W25" s="702">
        <f>J25</f>
        <v>100</v>
      </c>
      <c r="X25" s="1351"/>
      <c r="Y25" s="3753"/>
      <c r="Z25" s="1352" t="str">
        <f>Q25</f>
        <v>毗邻道路的类型与等级</v>
      </c>
      <c r="AA25" s="1349">
        <f t="shared" si="3"/>
        <v>1</v>
      </c>
      <c r="AB25" s="1349">
        <f t="shared" si="4"/>
        <v>1</v>
      </c>
      <c r="AC25" s="1955">
        <f t="shared" si="5"/>
        <v>1</v>
      </c>
    </row>
    <row r="26" spans="1:29" ht="15">
      <c r="A26" s="355"/>
      <c r="B26" s="577"/>
      <c r="C26" s="579"/>
      <c r="D26" s="383"/>
      <c r="E26" s="562"/>
      <c r="F26" s="383"/>
      <c r="G26" s="579"/>
      <c r="H26" s="383"/>
      <c r="I26" s="562"/>
      <c r="J26" s="383"/>
      <c r="K26" s="561"/>
      <c r="L26" s="2714"/>
      <c r="M26" s="2708"/>
      <c r="N26" s="2708"/>
      <c r="O26" s="2708"/>
      <c r="P26" s="3811"/>
      <c r="Q26" s="1348"/>
      <c r="R26" s="701"/>
      <c r="S26" s="702"/>
      <c r="T26" s="701"/>
      <c r="U26" s="702"/>
      <c r="V26" s="701"/>
      <c r="W26" s="702"/>
      <c r="X26" s="1351"/>
      <c r="Y26" s="3753"/>
      <c r="Z26" s="1352"/>
      <c r="AA26" s="1349">
        <v>1</v>
      </c>
      <c r="AB26" s="1349">
        <v>1</v>
      </c>
      <c r="AC26" s="1955">
        <v>1</v>
      </c>
    </row>
    <row r="27" spans="1:29" ht="15">
      <c r="A27" s="376"/>
      <c r="B27" s="577" t="s">
        <v>1783</v>
      </c>
      <c r="C27" s="579"/>
      <c r="D27" s="383">
        <v>100</v>
      </c>
      <c r="E27" s="562"/>
      <c r="F27" s="383">
        <f>SUMIF(89:89,E27,90:90)-SUMIF(89:89,C27,90:90)+100</f>
        <v>100</v>
      </c>
      <c r="G27" s="579"/>
      <c r="H27" s="383">
        <f>SUMIF(89:89,G27,90:90)-SUMIF(89:89,C27,90:90)+100</f>
        <v>100</v>
      </c>
      <c r="I27" s="562"/>
      <c r="J27" s="383">
        <f>SUMIF(89:89,I27,90:90)-SUMIF(89:89,C27,90:90)+100</f>
        <v>100</v>
      </c>
      <c r="K27" s="558"/>
      <c r="L27" s="2714"/>
      <c r="M27" s="2708"/>
      <c r="N27" s="2708"/>
      <c r="O27" s="2708"/>
      <c r="P27" s="3811"/>
      <c r="Q27" s="1348" t="str">
        <f t="shared" ref="Q27:Q47" si="11">B27</f>
        <v>楼层</v>
      </c>
      <c r="R27" s="701" t="s">
        <v>14</v>
      </c>
      <c r="S27" s="702">
        <f>F27</f>
        <v>100</v>
      </c>
      <c r="T27" s="701" t="s">
        <v>14</v>
      </c>
      <c r="U27" s="702">
        <f>H27</f>
        <v>100</v>
      </c>
      <c r="V27" s="701" t="s">
        <v>14</v>
      </c>
      <c r="W27" s="702">
        <f>J27</f>
        <v>100</v>
      </c>
      <c r="X27" s="1351"/>
      <c r="Y27" s="3753"/>
      <c r="Z27" s="1352" t="str">
        <f>Q27</f>
        <v>楼层</v>
      </c>
      <c r="AA27" s="1349">
        <f t="shared" si="3"/>
        <v>1</v>
      </c>
      <c r="AB27" s="1349">
        <f t="shared" si="4"/>
        <v>1</v>
      </c>
      <c r="AC27" s="1955">
        <f t="shared" si="5"/>
        <v>1</v>
      </c>
    </row>
    <row r="28" spans="1:29" s="108" customFormat="1" ht="15">
      <c r="A28" s="379"/>
      <c r="B28" s="576" t="s">
        <v>1816</v>
      </c>
      <c r="C28" s="1958"/>
      <c r="D28" s="410">
        <v>100</v>
      </c>
      <c r="E28" s="1949"/>
      <c r="F28" s="410">
        <f>SUMIF(91:91,E28,92:92)-SUMIF(91:91,C28,92:92)+100</f>
        <v>100</v>
      </c>
      <c r="G28" s="1958"/>
      <c r="H28" s="410">
        <f>SUMIF(91:91,G28,92:92)-SUMIF(91:91,C28,92:92)+100</f>
        <v>100</v>
      </c>
      <c r="I28" s="1949"/>
      <c r="J28" s="410">
        <f>SUMIF(91:91,I28,92:92)-SUMIF(91:91,C28,92:92)+100</f>
        <v>100</v>
      </c>
      <c r="K28" s="558"/>
      <c r="L28" s="2709"/>
      <c r="M28" s="2710"/>
      <c r="N28" s="2710"/>
      <c r="O28" s="2710"/>
      <c r="P28" s="3811"/>
      <c r="Q28" s="1339" t="str">
        <f t="shared" si="11"/>
        <v>朝向</v>
      </c>
      <c r="R28" s="697" t="s">
        <v>14</v>
      </c>
      <c r="S28" s="698">
        <f>F28</f>
        <v>100</v>
      </c>
      <c r="T28" s="697" t="s">
        <v>14</v>
      </c>
      <c r="U28" s="698">
        <f>H28</f>
        <v>100</v>
      </c>
      <c r="V28" s="697" t="s">
        <v>14</v>
      </c>
      <c r="W28" s="698">
        <f>J28</f>
        <v>100</v>
      </c>
      <c r="X28" s="699"/>
      <c r="Y28" s="3753"/>
      <c r="Z28" s="52" t="str">
        <f>Q28</f>
        <v>朝向</v>
      </c>
      <c r="AA28" s="1349">
        <f>D28/F28</f>
        <v>1</v>
      </c>
      <c r="AB28" s="1349">
        <f>D28/H28</f>
        <v>1</v>
      </c>
      <c r="AC28" s="1955">
        <f>D28/J28</f>
        <v>1</v>
      </c>
    </row>
    <row r="29" spans="1:29" ht="15">
      <c r="A29" s="376"/>
      <c r="B29" s="1959">
        <v>111</v>
      </c>
      <c r="C29" s="1903"/>
      <c r="D29" s="383">
        <v>100</v>
      </c>
      <c r="E29" s="380"/>
      <c r="F29" s="383">
        <f>SUMIF(93:93,E29,94:94)-SUMIF(93:93,C29,94:94)+100</f>
        <v>100</v>
      </c>
      <c r="G29" s="1953"/>
      <c r="H29" s="383">
        <f>SUMIF(93:93,G29,94:94)-SUMIF(93:93,C29,94:94)+100</f>
        <v>100</v>
      </c>
      <c r="I29" s="380"/>
      <c r="J29" s="383">
        <f>SUMIF(93:93,I29,94:94)-SUMIF(93:93,C29,94:94)+100</f>
        <v>100</v>
      </c>
      <c r="K29" s="559"/>
      <c r="L29" s="2714"/>
      <c r="M29" s="2708"/>
      <c r="N29" s="2708"/>
      <c r="O29" s="2708"/>
      <c r="P29" s="3811"/>
      <c r="Q29" s="1348">
        <f t="shared" si="11"/>
        <v>111</v>
      </c>
      <c r="R29" s="701" t="s">
        <v>14</v>
      </c>
      <c r="S29" s="702">
        <f t="shared" ref="S29:S47" si="12">F29</f>
        <v>100</v>
      </c>
      <c r="T29" s="701" t="s">
        <v>14</v>
      </c>
      <c r="U29" s="702">
        <f t="shared" ref="U29:U47" si="13">H29</f>
        <v>100</v>
      </c>
      <c r="V29" s="701" t="s">
        <v>14</v>
      </c>
      <c r="W29" s="702">
        <f t="shared" ref="W29:W47" si="14">J29</f>
        <v>100</v>
      </c>
      <c r="X29" s="1351"/>
      <c r="Y29" s="3753"/>
      <c r="Z29" s="1352">
        <f t="shared" ref="Z29:Z47" si="15">Q29</f>
        <v>111</v>
      </c>
      <c r="AA29" s="1349">
        <f t="shared" si="3"/>
        <v>1</v>
      </c>
      <c r="AB29" s="1349">
        <f t="shared" si="4"/>
        <v>1</v>
      </c>
      <c r="AC29" s="1955">
        <f t="shared" si="5"/>
        <v>1</v>
      </c>
    </row>
    <row r="30" spans="1:29" ht="15">
      <c r="A30" s="376"/>
      <c r="B30" s="1959">
        <v>111</v>
      </c>
      <c r="C30" s="1903"/>
      <c r="D30" s="383">
        <v>100</v>
      </c>
      <c r="E30" s="380"/>
      <c r="F30" s="383">
        <f>SUMIF(95:95,E30,96:96)-SUMIF(95:95,C30,96:96)+100</f>
        <v>100</v>
      </c>
      <c r="G30" s="1953"/>
      <c r="H30" s="383">
        <f>SUMIF(95:95,G30,96:96)-SUMIF(95:95,C30,96:96)+100</f>
        <v>100</v>
      </c>
      <c r="I30" s="380"/>
      <c r="J30" s="383">
        <f>SUMIF(95:95,I30,96:96)-SUMIF(95:95,C30,96:96)+100</f>
        <v>100</v>
      </c>
      <c r="K30" s="559"/>
      <c r="L30" s="2714"/>
      <c r="M30" s="2708"/>
      <c r="N30" s="2708"/>
      <c r="O30" s="2708"/>
      <c r="P30" s="3811"/>
      <c r="Q30" s="1348">
        <f t="shared" si="11"/>
        <v>111</v>
      </c>
      <c r="R30" s="701" t="s">
        <v>14</v>
      </c>
      <c r="S30" s="702">
        <f t="shared" si="12"/>
        <v>100</v>
      </c>
      <c r="T30" s="701" t="s">
        <v>14</v>
      </c>
      <c r="U30" s="702">
        <f t="shared" si="13"/>
        <v>100</v>
      </c>
      <c r="V30" s="701" t="s">
        <v>14</v>
      </c>
      <c r="W30" s="702">
        <f t="shared" si="14"/>
        <v>100</v>
      </c>
      <c r="X30" s="1351"/>
      <c r="Y30" s="3753"/>
      <c r="Z30" s="1352">
        <f t="shared" si="15"/>
        <v>111</v>
      </c>
      <c r="AA30" s="1349">
        <f t="shared" si="3"/>
        <v>1</v>
      </c>
      <c r="AB30" s="1349">
        <f t="shared" si="4"/>
        <v>1</v>
      </c>
      <c r="AC30" s="1955">
        <f t="shared" si="5"/>
        <v>1</v>
      </c>
    </row>
    <row r="31" spans="1:29" ht="15">
      <c r="A31" s="376"/>
      <c r="B31" s="1959">
        <v>111</v>
      </c>
      <c r="C31" s="1903"/>
      <c r="D31" s="383">
        <v>100</v>
      </c>
      <c r="E31" s="380"/>
      <c r="F31" s="383">
        <f>SUMIF(97:97,E31,98:98)-SUMIF(97:97,C31,98:98)+100</f>
        <v>100</v>
      </c>
      <c r="G31" s="1953"/>
      <c r="H31" s="383">
        <f>SUMIF(97:97,G31,98:98)-SUMIF(97:97,C31,98:98)+100</f>
        <v>100</v>
      </c>
      <c r="I31" s="380"/>
      <c r="J31" s="383">
        <f>SUMIF(97:97,I31,98:98)-SUMIF(97:97,C31,98:98)+100</f>
        <v>100</v>
      </c>
      <c r="K31" s="559"/>
      <c r="L31" s="2714"/>
      <c r="M31" s="2708"/>
      <c r="N31" s="2708"/>
      <c r="O31" s="2708"/>
      <c r="P31" s="3811"/>
      <c r="Q31" s="1348">
        <f t="shared" si="11"/>
        <v>111</v>
      </c>
      <c r="R31" s="701" t="s">
        <v>14</v>
      </c>
      <c r="S31" s="702">
        <f t="shared" si="12"/>
        <v>100</v>
      </c>
      <c r="T31" s="701" t="s">
        <v>14</v>
      </c>
      <c r="U31" s="702">
        <f t="shared" si="13"/>
        <v>100</v>
      </c>
      <c r="V31" s="701" t="s">
        <v>14</v>
      </c>
      <c r="W31" s="702">
        <f t="shared" si="14"/>
        <v>100</v>
      </c>
      <c r="X31" s="1351"/>
      <c r="Y31" s="3753"/>
      <c r="Z31" s="1352">
        <f t="shared" si="15"/>
        <v>111</v>
      </c>
      <c r="AA31" s="1349">
        <f t="shared" si="3"/>
        <v>1</v>
      </c>
      <c r="AB31" s="1349">
        <f t="shared" si="4"/>
        <v>1</v>
      </c>
      <c r="AC31" s="1955">
        <f t="shared" si="5"/>
        <v>1</v>
      </c>
    </row>
    <row r="32" spans="1:29" ht="15.75" thickBot="1">
      <c r="A32" s="384"/>
      <c r="B32" s="580">
        <v>111</v>
      </c>
      <c r="C32" s="1904"/>
      <c r="D32" s="386">
        <v>100</v>
      </c>
      <c r="E32" s="573"/>
      <c r="F32" s="386">
        <f>SUMIF(99:99,E32,100:100)-SUMIF(99:99,C32,100:100)+100</f>
        <v>100</v>
      </c>
      <c r="G32" s="1953"/>
      <c r="H32" s="386">
        <f>SUMIF(99:99,G32,100:100)-SUMIF(99:99,C32,100:100)+100</f>
        <v>100</v>
      </c>
      <c r="I32" s="380"/>
      <c r="J32" s="386">
        <f>SUMIF(99:99,I32,100:100)-SUMIF(99:99,C32,100:100)+100</f>
        <v>100</v>
      </c>
      <c r="K32" s="559"/>
      <c r="L32" s="2714"/>
      <c r="M32" s="2708"/>
      <c r="N32" s="2708"/>
      <c r="O32" s="2708"/>
      <c r="P32" s="3811"/>
      <c r="Q32" s="1348">
        <f t="shared" si="11"/>
        <v>111</v>
      </c>
      <c r="R32" s="701" t="s">
        <v>14</v>
      </c>
      <c r="S32" s="702">
        <f t="shared" si="12"/>
        <v>100</v>
      </c>
      <c r="T32" s="701" t="s">
        <v>14</v>
      </c>
      <c r="U32" s="702">
        <f t="shared" si="13"/>
        <v>100</v>
      </c>
      <c r="V32" s="701" t="s">
        <v>14</v>
      </c>
      <c r="W32" s="702">
        <f t="shared" si="14"/>
        <v>100</v>
      </c>
      <c r="X32" s="1351"/>
      <c r="Y32" s="3753"/>
      <c r="Z32" s="1352">
        <f t="shared" si="15"/>
        <v>111</v>
      </c>
      <c r="AA32" s="1349">
        <f t="shared" si="3"/>
        <v>1</v>
      </c>
      <c r="AB32" s="1349">
        <f t="shared" si="4"/>
        <v>1</v>
      </c>
      <c r="AC32" s="1955">
        <f t="shared" si="5"/>
        <v>1</v>
      </c>
    </row>
    <row r="33" spans="1:29" ht="15">
      <c r="A33" s="388" t="s">
        <v>1694</v>
      </c>
      <c r="B33" s="63" t="s">
        <v>1817</v>
      </c>
      <c r="C33" s="1960"/>
      <c r="D33" s="415">
        <v>100</v>
      </c>
      <c r="E33" s="1960"/>
      <c r="F33" s="409">
        <f>SUMIF(101:101,E33,102:102)-SUMIF(101:101,C33,102:102)+100</f>
        <v>100</v>
      </c>
      <c r="G33" s="1960"/>
      <c r="H33" s="383">
        <f>SUMIF(101:101,G33,102:102)-SUMIF(101:101,C33,102:102)+100</f>
        <v>100</v>
      </c>
      <c r="I33" s="1960"/>
      <c r="J33" s="415">
        <f>SUMIF(101:101,I33,102:102)-SUMIF(101:101,C33,102:102)+100</f>
        <v>100</v>
      </c>
      <c r="K33" s="558"/>
      <c r="L33" s="2714"/>
      <c r="M33" s="2708"/>
      <c r="N33" s="2708"/>
      <c r="O33" s="2708"/>
      <c r="P33" s="3806" t="s">
        <v>1696</v>
      </c>
      <c r="Q33" s="1348" t="str">
        <f t="shared" si="11"/>
        <v>建筑类型</v>
      </c>
      <c r="R33" s="701" t="s">
        <v>14</v>
      </c>
      <c r="S33" s="702">
        <f t="shared" si="12"/>
        <v>100</v>
      </c>
      <c r="T33" s="701" t="s">
        <v>14</v>
      </c>
      <c r="U33" s="702">
        <f t="shared" si="13"/>
        <v>100</v>
      </c>
      <c r="V33" s="701" t="s">
        <v>14</v>
      </c>
      <c r="W33" s="702">
        <f t="shared" si="14"/>
        <v>100</v>
      </c>
      <c r="X33" s="1351"/>
      <c r="Y33" s="3755" t="s">
        <v>1696</v>
      </c>
      <c r="Z33" s="1352" t="str">
        <f t="shared" si="15"/>
        <v>建筑类型</v>
      </c>
      <c r="AA33" s="1349">
        <f t="shared" si="3"/>
        <v>1</v>
      </c>
      <c r="AB33" s="1349">
        <f t="shared" si="4"/>
        <v>1</v>
      </c>
      <c r="AC33" s="1955">
        <f t="shared" si="5"/>
        <v>1</v>
      </c>
    </row>
    <row r="34" spans="1:29" s="419" customFormat="1" ht="15">
      <c r="A34" s="416"/>
      <c r="B34" s="372" t="s">
        <v>1697</v>
      </c>
      <c r="C34" s="417"/>
      <c r="D34" s="125">
        <v>100</v>
      </c>
      <c r="E34" s="378"/>
      <c r="F34" s="373" t="e">
        <f>LOOKUP(E34,104:104,105:105)-LOOKUP(C34,104:104,105:105)+100</f>
        <v>#N/A</v>
      </c>
      <c r="G34" s="377"/>
      <c r="H34" s="125" t="e">
        <f>LOOKUP(G34,104:104,105:105)-LOOKUP(C34,104:104,105:105)+100</f>
        <v>#N/A</v>
      </c>
      <c r="I34" s="377"/>
      <c r="J34" s="125" t="e">
        <f>LOOKUP(I34,104:104,105:105)-LOOKUP(C34,104:104,105:105)+100</f>
        <v>#N/A</v>
      </c>
      <c r="K34" s="559"/>
      <c r="L34" s="2713"/>
      <c r="M34" s="2715"/>
      <c r="N34" s="2715"/>
      <c r="O34" s="2715"/>
      <c r="P34" s="3807"/>
      <c r="Q34" s="703" t="str">
        <f t="shared" si="11"/>
        <v>项目建筑规模</v>
      </c>
      <c r="R34" s="704" t="s">
        <v>14</v>
      </c>
      <c r="S34" s="705" t="e">
        <f t="shared" si="12"/>
        <v>#N/A</v>
      </c>
      <c r="T34" s="704" t="s">
        <v>14</v>
      </c>
      <c r="U34" s="705" t="e">
        <f t="shared" si="13"/>
        <v>#N/A</v>
      </c>
      <c r="V34" s="704" t="s">
        <v>14</v>
      </c>
      <c r="W34" s="705" t="e">
        <f t="shared" si="14"/>
        <v>#N/A</v>
      </c>
      <c r="X34" s="706"/>
      <c r="Y34" s="3755"/>
      <c r="Z34" s="707" t="str">
        <f t="shared" si="15"/>
        <v>项目建筑规模</v>
      </c>
      <c r="AA34" s="1349" t="e">
        <f t="shared" si="3"/>
        <v>#N/A</v>
      </c>
      <c r="AB34" s="1349" t="e">
        <f t="shared" si="4"/>
        <v>#N/A</v>
      </c>
      <c r="AC34" s="1955" t="e">
        <f t="shared" si="5"/>
        <v>#N/A</v>
      </c>
    </row>
    <row r="35" spans="1:29" ht="15">
      <c r="A35" s="420"/>
      <c r="B35" s="372" t="s">
        <v>1698</v>
      </c>
      <c r="C35" s="408"/>
      <c r="D35" s="383">
        <v>100</v>
      </c>
      <c r="E35" s="408"/>
      <c r="F35" s="409">
        <f>SUMIF(106:106,E35,107:107)-SUMIF(106:106,C35,107:107)+100</f>
        <v>100</v>
      </c>
      <c r="G35" s="408"/>
      <c r="H35" s="383">
        <f>SUMIF(106:106,G35,107:107)-SUMIF(106:106,C35,107:107)+100</f>
        <v>100</v>
      </c>
      <c r="I35" s="408"/>
      <c r="J35" s="383">
        <f>SUMIF(106:106,I35,107:107)-SUMIF(106:106,C35,107:107)+100</f>
        <v>100</v>
      </c>
      <c r="K35" s="558"/>
      <c r="L35" s="2714"/>
      <c r="M35" s="2708"/>
      <c r="N35" s="2708"/>
      <c r="O35" s="2708"/>
      <c r="P35" s="3807"/>
      <c r="Q35" s="1348" t="str">
        <f t="shared" si="11"/>
        <v>建筑结构</v>
      </c>
      <c r="R35" s="701" t="s">
        <v>14</v>
      </c>
      <c r="S35" s="702">
        <f t="shared" si="12"/>
        <v>100</v>
      </c>
      <c r="T35" s="701" t="s">
        <v>14</v>
      </c>
      <c r="U35" s="702">
        <f t="shared" si="13"/>
        <v>100</v>
      </c>
      <c r="V35" s="701" t="s">
        <v>14</v>
      </c>
      <c r="W35" s="702">
        <f t="shared" si="14"/>
        <v>100</v>
      </c>
      <c r="X35" s="1351"/>
      <c r="Y35" s="3755"/>
      <c r="Z35" s="1352" t="str">
        <f t="shared" si="15"/>
        <v>建筑结构</v>
      </c>
      <c r="AA35" s="1349">
        <f t="shared" si="3"/>
        <v>1</v>
      </c>
      <c r="AB35" s="1349">
        <f t="shared" si="4"/>
        <v>1</v>
      </c>
      <c r="AC35" s="1955">
        <f t="shared" si="5"/>
        <v>1</v>
      </c>
    </row>
    <row r="36" spans="1:29" ht="15">
      <c r="A36" s="420"/>
      <c r="B36" s="372" t="s">
        <v>1785</v>
      </c>
      <c r="C36" s="408"/>
      <c r="D36" s="383">
        <v>100</v>
      </c>
      <c r="E36" s="408"/>
      <c r="F36" s="409">
        <f>SUMIF(108:108,E36,109:109)-SUMIF(108:108,C36,109:109)+100</f>
        <v>100</v>
      </c>
      <c r="G36" s="408"/>
      <c r="H36" s="383">
        <f>SUMIF(108:108,G36,109:109)-SUMIF(108:108,C36,109:109)+100</f>
        <v>100</v>
      </c>
      <c r="I36" s="408"/>
      <c r="J36" s="383">
        <f>SUMIF(108:108,I36,109:109)-SUMIF(108:108,C36,109:109)+100</f>
        <v>100</v>
      </c>
      <c r="K36" s="558"/>
      <c r="L36" s="2714"/>
      <c r="M36" s="2708"/>
      <c r="N36" s="2708"/>
      <c r="O36" s="2708"/>
      <c r="P36" s="3807"/>
      <c r="Q36" s="1348" t="str">
        <f t="shared" si="11"/>
        <v>公共部分装修</v>
      </c>
      <c r="R36" s="701" t="s">
        <v>14</v>
      </c>
      <c r="S36" s="702">
        <f t="shared" si="12"/>
        <v>100</v>
      </c>
      <c r="T36" s="701" t="s">
        <v>14</v>
      </c>
      <c r="U36" s="702">
        <f t="shared" si="13"/>
        <v>100</v>
      </c>
      <c r="V36" s="701" t="s">
        <v>14</v>
      </c>
      <c r="W36" s="702">
        <f t="shared" si="14"/>
        <v>100</v>
      </c>
      <c r="X36" s="1351"/>
      <c r="Y36" s="3755"/>
      <c r="Z36" s="1352" t="str">
        <f t="shared" si="15"/>
        <v>公共部分装修</v>
      </c>
      <c r="AA36" s="1349">
        <f t="shared" si="3"/>
        <v>1</v>
      </c>
      <c r="AB36" s="1349">
        <f t="shared" si="4"/>
        <v>1</v>
      </c>
      <c r="AC36" s="1955">
        <f t="shared" si="5"/>
        <v>1</v>
      </c>
    </row>
    <row r="37" spans="1:29" ht="15">
      <c r="A37" s="420"/>
      <c r="B37" s="372" t="s">
        <v>1786</v>
      </c>
      <c r="C37" s="422"/>
      <c r="D37" s="383">
        <v>100</v>
      </c>
      <c r="E37" s="422"/>
      <c r="F37" s="409" t="e">
        <f>LOOKUP(E37,111:111,112:112)-LOOKUP(C37,111:111,112:112)+100</f>
        <v>#N/A</v>
      </c>
      <c r="G37" s="422"/>
      <c r="H37" s="409" t="e">
        <f>LOOKUP(G37,111:111,112:112)-LOOKUP(C37,111:111,112:112)+100</f>
        <v>#N/A</v>
      </c>
      <c r="I37" s="422"/>
      <c r="J37" s="383" t="e">
        <f>LOOKUP(I37,111:111,112:112)-LOOKUP(C37,111:111,112:112)+100</f>
        <v>#N/A</v>
      </c>
      <c r="K37" s="558"/>
      <c r="L37" s="2714"/>
      <c r="M37" s="2708"/>
      <c r="N37" s="2708"/>
      <c r="O37" s="2708"/>
      <c r="P37" s="3807"/>
      <c r="Q37" s="1348" t="str">
        <f t="shared" si="11"/>
        <v>成新度</v>
      </c>
      <c r="R37" s="701" t="s">
        <v>14</v>
      </c>
      <c r="S37" s="702" t="e">
        <f t="shared" si="12"/>
        <v>#N/A</v>
      </c>
      <c r="T37" s="701" t="s">
        <v>14</v>
      </c>
      <c r="U37" s="702" t="e">
        <f t="shared" si="13"/>
        <v>#N/A</v>
      </c>
      <c r="V37" s="701" t="s">
        <v>14</v>
      </c>
      <c r="W37" s="702" t="e">
        <f t="shared" si="14"/>
        <v>#N/A</v>
      </c>
      <c r="X37" s="1351"/>
      <c r="Y37" s="3755"/>
      <c r="Z37" s="1352" t="str">
        <f t="shared" si="15"/>
        <v>成新度</v>
      </c>
      <c r="AA37" s="1349" t="e">
        <f t="shared" si="3"/>
        <v>#N/A</v>
      </c>
      <c r="AB37" s="1349" t="e">
        <f t="shared" si="4"/>
        <v>#N/A</v>
      </c>
      <c r="AC37" s="1955" t="e">
        <f t="shared" si="5"/>
        <v>#N/A</v>
      </c>
    </row>
    <row r="38" spans="1:29" s="108" customFormat="1" ht="15">
      <c r="A38" s="421"/>
      <c r="B38" s="372" t="s">
        <v>1818</v>
      </c>
      <c r="C38" s="408"/>
      <c r="D38" s="125">
        <v>100</v>
      </c>
      <c r="E38" s="408"/>
      <c r="F38" s="409">
        <f>SUMIF(113:113,E38,114:114)-SUMIF(113:113,C38,114:114)+100</f>
        <v>100</v>
      </c>
      <c r="G38" s="408"/>
      <c r="H38" s="383">
        <f>SUMIF(113:113,G38,114:114)-SUMIF(113:113,C38,114:114)+100</f>
        <v>100</v>
      </c>
      <c r="I38" s="408"/>
      <c r="J38" s="383">
        <f>SUMIF(113:113,I38,114:114)-SUMIF(113:113,C38,114:114)+100</f>
        <v>100</v>
      </c>
      <c r="K38" s="558"/>
      <c r="L38" s="2709"/>
      <c r="M38" s="2710"/>
      <c r="N38" s="2710"/>
      <c r="O38" s="2710"/>
      <c r="P38" s="3807"/>
      <c r="Q38" s="1339" t="str">
        <f t="shared" si="11"/>
        <v>写字楼等级</v>
      </c>
      <c r="R38" s="697" t="s">
        <v>14</v>
      </c>
      <c r="S38" s="698">
        <f t="shared" si="12"/>
        <v>100</v>
      </c>
      <c r="T38" s="697" t="s">
        <v>14</v>
      </c>
      <c r="U38" s="698">
        <f t="shared" si="13"/>
        <v>100</v>
      </c>
      <c r="V38" s="697" t="s">
        <v>14</v>
      </c>
      <c r="W38" s="698">
        <f t="shared" si="14"/>
        <v>100</v>
      </c>
      <c r="X38" s="699"/>
      <c r="Y38" s="3755"/>
      <c r="Z38" s="52" t="str">
        <f t="shared" si="15"/>
        <v>写字楼等级</v>
      </c>
      <c r="AA38" s="700">
        <f t="shared" si="3"/>
        <v>1</v>
      </c>
      <c r="AB38" s="700">
        <f t="shared" si="4"/>
        <v>1</v>
      </c>
      <c r="AC38" s="1952">
        <f t="shared" si="5"/>
        <v>1</v>
      </c>
    </row>
    <row r="39" spans="1:29" ht="15">
      <c r="A39" s="420"/>
      <c r="B39" s="372" t="s">
        <v>1819</v>
      </c>
      <c r="C39" s="408"/>
      <c r="D39" s="383">
        <v>100</v>
      </c>
      <c r="E39" s="408"/>
      <c r="F39" s="409">
        <f>SUMIF(115:115,E39,116:116)-SUMIF(115:115,C39,116:116)+100</f>
        <v>100</v>
      </c>
      <c r="G39" s="408"/>
      <c r="H39" s="383">
        <f>SUMIF(115:115,G39,116:116)-SUMIF(115:115,C39,116:116)+100</f>
        <v>100</v>
      </c>
      <c r="I39" s="408"/>
      <c r="J39" s="383">
        <f>SUMIF(115:115,I39,116:116)-SUMIF(115:115,C39,116:116)+100</f>
        <v>100</v>
      </c>
      <c r="K39" s="558"/>
      <c r="L39" s="2714"/>
      <c r="M39" s="2708"/>
      <c r="N39" s="2708"/>
      <c r="O39" s="2708"/>
      <c r="P39" s="3807" t="s">
        <v>1696</v>
      </c>
      <c r="Q39" s="1348" t="str">
        <f t="shared" si="11"/>
        <v>物业管理</v>
      </c>
      <c r="R39" s="701" t="s">
        <v>14</v>
      </c>
      <c r="S39" s="702">
        <f t="shared" si="12"/>
        <v>100</v>
      </c>
      <c r="T39" s="701" t="s">
        <v>14</v>
      </c>
      <c r="U39" s="702">
        <f t="shared" si="13"/>
        <v>100</v>
      </c>
      <c r="V39" s="701" t="s">
        <v>14</v>
      </c>
      <c r="W39" s="702">
        <f t="shared" si="14"/>
        <v>100</v>
      </c>
      <c r="X39" s="1351"/>
      <c r="Y39" s="3755" t="s">
        <v>1696</v>
      </c>
      <c r="Z39" s="1352" t="str">
        <f t="shared" si="15"/>
        <v>物业管理</v>
      </c>
      <c r="AA39" s="1349">
        <f t="shared" si="3"/>
        <v>1</v>
      </c>
      <c r="AB39" s="1349">
        <f t="shared" si="4"/>
        <v>1</v>
      </c>
      <c r="AC39" s="1955">
        <f t="shared" si="5"/>
        <v>1</v>
      </c>
    </row>
    <row r="40" spans="1:29" ht="15">
      <c r="A40" s="420"/>
      <c r="B40" s="372" t="s">
        <v>1787</v>
      </c>
      <c r="C40" s="408"/>
      <c r="D40" s="383">
        <v>100</v>
      </c>
      <c r="E40" s="408"/>
      <c r="F40" s="409">
        <f>SUMIF(117:117,E40,118:118)-SUMIF(117:117,C40,118:118)+100</f>
        <v>100</v>
      </c>
      <c r="G40" s="408"/>
      <c r="H40" s="383">
        <f>SUMIF(117:117,G40,118:118)-SUMIF(117:117,C40,118:118)+100</f>
        <v>100</v>
      </c>
      <c r="I40" s="408"/>
      <c r="J40" s="383">
        <f>SUMIF(117:117,I40,118:118)-SUMIF(117:117,C40,118:118)+100</f>
        <v>100</v>
      </c>
      <c r="K40" s="558"/>
      <c r="L40" s="2714"/>
      <c r="M40" s="2708"/>
      <c r="N40" s="2708"/>
      <c r="O40" s="2708"/>
      <c r="P40" s="3807"/>
      <c r="Q40" s="1348" t="str">
        <f t="shared" si="11"/>
        <v>市政基础设施</v>
      </c>
      <c r="R40" s="701" t="s">
        <v>14</v>
      </c>
      <c r="S40" s="702">
        <f t="shared" si="12"/>
        <v>100</v>
      </c>
      <c r="T40" s="701" t="s">
        <v>14</v>
      </c>
      <c r="U40" s="702">
        <f t="shared" si="13"/>
        <v>100</v>
      </c>
      <c r="V40" s="701" t="s">
        <v>14</v>
      </c>
      <c r="W40" s="702">
        <f t="shared" si="14"/>
        <v>100</v>
      </c>
      <c r="X40" s="1351"/>
      <c r="Y40" s="3755"/>
      <c r="Z40" s="1352" t="str">
        <f t="shared" si="15"/>
        <v>市政基础设施</v>
      </c>
      <c r="AA40" s="1349">
        <f t="shared" si="3"/>
        <v>1</v>
      </c>
      <c r="AB40" s="1349">
        <f t="shared" si="4"/>
        <v>1</v>
      </c>
      <c r="AC40" s="1955">
        <f t="shared" si="5"/>
        <v>1</v>
      </c>
    </row>
    <row r="41" spans="1:29" ht="15">
      <c r="A41" s="420"/>
      <c r="B41" s="372" t="s">
        <v>1789</v>
      </c>
      <c r="C41" s="562"/>
      <c r="D41" s="383">
        <v>100</v>
      </c>
      <c r="E41" s="562"/>
      <c r="F41" s="409">
        <f>SUMIF(119:119,E41,120:120)-SUMIF(119:119,C41,120:120)+100</f>
        <v>100</v>
      </c>
      <c r="G41" s="562"/>
      <c r="H41" s="383">
        <f>SUMIF(119:119,G41,120:120)-SUMIF(119:119,C41,120:120)+100</f>
        <v>100</v>
      </c>
      <c r="I41" s="562"/>
      <c r="J41" s="383">
        <f>SUMIF(119:119,I41,120:120)-SUMIF(119:119,C41,120:120)+100</f>
        <v>100</v>
      </c>
      <c r="K41" s="558"/>
      <c r="L41" s="2714"/>
      <c r="M41" s="2708"/>
      <c r="N41" s="2708"/>
      <c r="O41" s="2708"/>
      <c r="P41" s="3807"/>
      <c r="Q41" s="1348" t="str">
        <f t="shared" si="11"/>
        <v>层高</v>
      </c>
      <c r="R41" s="701" t="s">
        <v>14</v>
      </c>
      <c r="S41" s="702">
        <f t="shared" si="12"/>
        <v>100</v>
      </c>
      <c r="T41" s="701" t="s">
        <v>14</v>
      </c>
      <c r="U41" s="702">
        <f t="shared" si="13"/>
        <v>100</v>
      </c>
      <c r="V41" s="701" t="s">
        <v>14</v>
      </c>
      <c r="W41" s="702">
        <f t="shared" si="14"/>
        <v>100</v>
      </c>
      <c r="X41" s="1351"/>
      <c r="Y41" s="3755"/>
      <c r="Z41" s="1352" t="str">
        <f t="shared" si="15"/>
        <v>层高</v>
      </c>
      <c r="AA41" s="1349">
        <f t="shared" si="3"/>
        <v>1</v>
      </c>
      <c r="AB41" s="1349">
        <f t="shared" si="4"/>
        <v>1</v>
      </c>
      <c r="AC41" s="1955">
        <f t="shared" si="5"/>
        <v>1</v>
      </c>
    </row>
    <row r="42" spans="1:29" s="419" customFormat="1" ht="15">
      <c r="A42" s="416"/>
      <c r="B42" s="1350" t="s">
        <v>1820</v>
      </c>
      <c r="C42" s="382"/>
      <c r="D42" s="383">
        <v>100</v>
      </c>
      <c r="E42" s="382"/>
      <c r="F42" s="409">
        <f>SUMIF(121:121,E42,122:122)-SUMIF(121:121,C42,122:122)+100</f>
        <v>100</v>
      </c>
      <c r="G42" s="382"/>
      <c r="H42" s="383">
        <f>SUMIF(121:121,G42,122:122)-SUMIF(121:121,C42,122:122)+100</f>
        <v>100</v>
      </c>
      <c r="I42" s="382"/>
      <c r="J42" s="383">
        <f>SUMIF(121:121,I42,122:122)-SUMIF(121:121,C42,122:122)+100</f>
        <v>100</v>
      </c>
      <c r="K42" s="559"/>
      <c r="L42" s="2713"/>
      <c r="M42" s="2715"/>
      <c r="N42" s="2715"/>
      <c r="O42" s="2715"/>
      <c r="P42" s="3807"/>
      <c r="Q42" s="703" t="str">
        <f t="shared" si="11"/>
        <v>单套建筑面积</v>
      </c>
      <c r="R42" s="704" t="s">
        <v>14</v>
      </c>
      <c r="S42" s="705">
        <f t="shared" si="12"/>
        <v>100</v>
      </c>
      <c r="T42" s="704" t="s">
        <v>14</v>
      </c>
      <c r="U42" s="705">
        <f t="shared" si="13"/>
        <v>100</v>
      </c>
      <c r="V42" s="704" t="s">
        <v>14</v>
      </c>
      <c r="W42" s="705">
        <f t="shared" si="14"/>
        <v>100</v>
      </c>
      <c r="X42" s="706"/>
      <c r="Y42" s="3755"/>
      <c r="Z42" s="707" t="str">
        <f t="shared" si="15"/>
        <v>单套建筑面积</v>
      </c>
      <c r="AA42" s="1349">
        <f t="shared" si="3"/>
        <v>1</v>
      </c>
      <c r="AB42" s="1349">
        <f t="shared" si="4"/>
        <v>1</v>
      </c>
      <c r="AC42" s="1955">
        <f t="shared" si="5"/>
        <v>1</v>
      </c>
    </row>
    <row r="43" spans="1:29" ht="15">
      <c r="A43" s="420"/>
      <c r="B43" s="372" t="s">
        <v>1792</v>
      </c>
      <c r="C43" s="408"/>
      <c r="D43" s="383">
        <v>100</v>
      </c>
      <c r="E43" s="408"/>
      <c r="F43" s="409">
        <f>SUMIF(123:123,E43,124:124)-SUMIF(123:123,C43,124:124)+100</f>
        <v>100</v>
      </c>
      <c r="G43" s="408"/>
      <c r="H43" s="383">
        <f>SUMIF(123:123,G43,124:124)-SUMIF(123:123,C43,124:124)+100</f>
        <v>100</v>
      </c>
      <c r="I43" s="408"/>
      <c r="J43" s="383">
        <f>SUMIF(123:123,I43,124:124)-SUMIF(123:123,C43,124:124)+100</f>
        <v>100</v>
      </c>
      <c r="K43" s="558"/>
      <c r="L43" s="2714"/>
      <c r="M43" s="2708"/>
      <c r="N43" s="2708"/>
      <c r="O43" s="2708"/>
      <c r="P43" s="3807"/>
      <c r="Q43" s="1348" t="str">
        <f t="shared" si="11"/>
        <v>内部装修</v>
      </c>
      <c r="R43" s="701" t="s">
        <v>14</v>
      </c>
      <c r="S43" s="702">
        <f t="shared" si="12"/>
        <v>100</v>
      </c>
      <c r="T43" s="701" t="s">
        <v>14</v>
      </c>
      <c r="U43" s="702">
        <f t="shared" si="13"/>
        <v>100</v>
      </c>
      <c r="V43" s="701" t="s">
        <v>14</v>
      </c>
      <c r="W43" s="702">
        <f t="shared" si="14"/>
        <v>100</v>
      </c>
      <c r="X43" s="1351"/>
      <c r="Y43" s="3755"/>
      <c r="Z43" s="1352" t="str">
        <f t="shared" si="15"/>
        <v>内部装修</v>
      </c>
      <c r="AA43" s="1349">
        <f t="shared" si="3"/>
        <v>1</v>
      </c>
      <c r="AB43" s="1349">
        <f t="shared" si="4"/>
        <v>1</v>
      </c>
      <c r="AC43" s="1955">
        <f t="shared" si="5"/>
        <v>1</v>
      </c>
    </row>
    <row r="44" spans="1:29" ht="15">
      <c r="A44" s="420"/>
      <c r="B44" s="372" t="s">
        <v>1707</v>
      </c>
      <c r="C44" s="408"/>
      <c r="D44" s="383">
        <v>100</v>
      </c>
      <c r="E44" s="1901"/>
      <c r="F44" s="409">
        <f>SUMIF(125:125,E44,126:126)-SUMIF(125:125,C44,126:126)+100</f>
        <v>100</v>
      </c>
      <c r="G44" s="1901"/>
      <c r="H44" s="383">
        <f>SUMIF(125:125,G44,126:126)-SUMIF(125:125,C44,126:126)+100</f>
        <v>100</v>
      </c>
      <c r="I44" s="1901"/>
      <c r="J44" s="383">
        <f>SUMIF(125:125,I44,126:126)-SUMIF(125:125,C44,126:126)+100</f>
        <v>100</v>
      </c>
      <c r="K44" s="558"/>
      <c r="L44" s="2714"/>
      <c r="M44" s="2708"/>
      <c r="N44" s="2708"/>
      <c r="O44" s="2708"/>
      <c r="P44" s="3807"/>
      <c r="Q44" s="1348" t="str">
        <f t="shared" si="11"/>
        <v>内部装修维护情况</v>
      </c>
      <c r="R44" s="701" t="s">
        <v>14</v>
      </c>
      <c r="S44" s="702">
        <f t="shared" si="12"/>
        <v>100</v>
      </c>
      <c r="T44" s="701" t="s">
        <v>14</v>
      </c>
      <c r="U44" s="702">
        <f t="shared" si="13"/>
        <v>100</v>
      </c>
      <c r="V44" s="701" t="s">
        <v>14</v>
      </c>
      <c r="W44" s="702">
        <f t="shared" si="14"/>
        <v>100</v>
      </c>
      <c r="X44" s="1351"/>
      <c r="Y44" s="3755"/>
      <c r="Z44" s="1352" t="str">
        <f t="shared" si="15"/>
        <v>内部装修维护情况</v>
      </c>
      <c r="AA44" s="1349">
        <f t="shared" si="3"/>
        <v>1</v>
      </c>
      <c r="AB44" s="1349">
        <f t="shared" si="4"/>
        <v>1</v>
      </c>
      <c r="AC44" s="1955">
        <f t="shared" si="5"/>
        <v>1</v>
      </c>
    </row>
    <row r="45" spans="1:29" s="108" customFormat="1" ht="15">
      <c r="A45" s="421"/>
      <c r="B45" s="1129">
        <v>111</v>
      </c>
      <c r="C45" s="417"/>
      <c r="D45" s="125">
        <v>100</v>
      </c>
      <c r="E45" s="380"/>
      <c r="F45" s="373">
        <f>SUMIF(127:127,E45,128:128)-SUMIF(127:127,C45,128:128)+100</f>
        <v>100</v>
      </c>
      <c r="G45" s="380"/>
      <c r="H45" s="125">
        <f>SUMIF(127:127,G45,128:128)-SUMIF(127:127,C45,128:128)+100</f>
        <v>100</v>
      </c>
      <c r="I45" s="380"/>
      <c r="J45" s="125">
        <f>SUMIF(127:127,I45,128:128)-SUMIF(127:127,C45,128:128)+100</f>
        <v>100</v>
      </c>
      <c r="K45" s="559"/>
      <c r="L45" s="2709"/>
      <c r="M45" s="2710"/>
      <c r="N45" s="2710"/>
      <c r="O45" s="2710"/>
      <c r="P45" s="3807"/>
      <c r="Q45" s="1339">
        <f t="shared" si="11"/>
        <v>111</v>
      </c>
      <c r="R45" s="697" t="s">
        <v>14</v>
      </c>
      <c r="S45" s="698">
        <f t="shared" si="12"/>
        <v>100</v>
      </c>
      <c r="T45" s="697" t="s">
        <v>14</v>
      </c>
      <c r="U45" s="698">
        <f t="shared" si="13"/>
        <v>100</v>
      </c>
      <c r="V45" s="697" t="s">
        <v>14</v>
      </c>
      <c r="W45" s="698">
        <f t="shared" si="14"/>
        <v>100</v>
      </c>
      <c r="X45" s="699"/>
      <c r="Y45" s="3755"/>
      <c r="Z45" s="52">
        <f t="shared" si="15"/>
        <v>111</v>
      </c>
      <c r="AA45" s="700">
        <f t="shared" si="3"/>
        <v>1</v>
      </c>
      <c r="AB45" s="700">
        <f t="shared" si="4"/>
        <v>1</v>
      </c>
      <c r="AC45" s="1952">
        <f t="shared" si="5"/>
        <v>1</v>
      </c>
    </row>
    <row r="46" spans="1:29" ht="15">
      <c r="A46" s="420"/>
      <c r="B46" s="1129">
        <v>111</v>
      </c>
      <c r="C46" s="382"/>
      <c r="D46" s="383">
        <v>100</v>
      </c>
      <c r="E46" s="380"/>
      <c r="F46" s="409">
        <f>SUMIF(129:129,E46,130:130)-SUMIF(129:129,C46,130:130)+100</f>
        <v>100</v>
      </c>
      <c r="G46" s="380"/>
      <c r="H46" s="383">
        <f>SUMIF(129:129,G46,130:130)-SUMIF(129:129,C46,130:130)+100</f>
        <v>100</v>
      </c>
      <c r="I46" s="380"/>
      <c r="J46" s="383">
        <f>SUMIF(129:129,I46,130:130)-SUMIF(129:129,C46,130:130)+100</f>
        <v>100</v>
      </c>
      <c r="K46" s="559"/>
      <c r="L46" s="2714"/>
      <c r="M46" s="2708"/>
      <c r="N46" s="2708"/>
      <c r="O46" s="2708"/>
      <c r="P46" s="3807"/>
      <c r="Q46" s="1348">
        <f t="shared" si="11"/>
        <v>111</v>
      </c>
      <c r="R46" s="701" t="s">
        <v>14</v>
      </c>
      <c r="S46" s="702">
        <f t="shared" si="12"/>
        <v>100</v>
      </c>
      <c r="T46" s="701" t="s">
        <v>14</v>
      </c>
      <c r="U46" s="702">
        <f t="shared" si="13"/>
        <v>100</v>
      </c>
      <c r="V46" s="701" t="s">
        <v>14</v>
      </c>
      <c r="W46" s="702">
        <f t="shared" si="14"/>
        <v>100</v>
      </c>
      <c r="X46" s="1351"/>
      <c r="Y46" s="3755"/>
      <c r="Z46" s="1352">
        <f t="shared" si="15"/>
        <v>111</v>
      </c>
      <c r="AA46" s="1349">
        <f t="shared" si="3"/>
        <v>1</v>
      </c>
      <c r="AB46" s="1349">
        <f t="shared" si="4"/>
        <v>1</v>
      </c>
      <c r="AC46" s="1955">
        <f t="shared" si="5"/>
        <v>1</v>
      </c>
    </row>
    <row r="47" spans="1:29" ht="15.75" thickBot="1">
      <c r="A47" s="426"/>
      <c r="B47" s="1890">
        <v>111</v>
      </c>
      <c r="C47" s="385"/>
      <c r="D47" s="386">
        <v>100</v>
      </c>
      <c r="E47" s="380"/>
      <c r="F47" s="387">
        <f>SUMIF(131:131,E47,132:132)-SUMIF(131:131,C47,132:132)+100</f>
        <v>100</v>
      </c>
      <c r="G47" s="380"/>
      <c r="H47" s="386">
        <f>SUMIF(131:131,G47,132:132)-SUMIF(131:131,C47,132:132)+100</f>
        <v>100</v>
      </c>
      <c r="I47" s="380"/>
      <c r="J47" s="386">
        <f>SUMIF(131:131,I47,132:132)-SUMIF(131:131,C47,132:132)+100</f>
        <v>100</v>
      </c>
      <c r="K47" s="559"/>
      <c r="L47" s="2714"/>
      <c r="M47" s="2708"/>
      <c r="N47" s="2708"/>
      <c r="O47" s="2708"/>
      <c r="P47" s="3808"/>
      <c r="Q47" s="1348">
        <f t="shared" si="11"/>
        <v>111</v>
      </c>
      <c r="R47" s="701" t="s">
        <v>14</v>
      </c>
      <c r="S47" s="702">
        <f t="shared" si="12"/>
        <v>100</v>
      </c>
      <c r="T47" s="701" t="s">
        <v>14</v>
      </c>
      <c r="U47" s="702">
        <f t="shared" si="13"/>
        <v>100</v>
      </c>
      <c r="V47" s="701" t="s">
        <v>14</v>
      </c>
      <c r="W47" s="702">
        <f t="shared" si="14"/>
        <v>100</v>
      </c>
      <c r="X47" s="1351"/>
      <c r="Y47" s="3809"/>
      <c r="Z47" s="1352">
        <f t="shared" si="15"/>
        <v>111</v>
      </c>
      <c r="AA47" s="1349">
        <f t="shared" si="3"/>
        <v>1</v>
      </c>
      <c r="AB47" s="1349">
        <f t="shared" si="4"/>
        <v>1</v>
      </c>
      <c r="AC47" s="1955">
        <f t="shared" si="5"/>
        <v>1</v>
      </c>
    </row>
    <row r="48" spans="1:29" ht="15">
      <c r="A48" s="427" t="s">
        <v>1708</v>
      </c>
      <c r="B48" s="428"/>
      <c r="C48" s="1150" t="s">
        <v>0</v>
      </c>
      <c r="D48" s="1151"/>
      <c r="E48" s="1152"/>
      <c r="F48" s="1153"/>
      <c r="G48" s="1154"/>
      <c r="H48" s="1155"/>
      <c r="I48" s="1152"/>
      <c r="J48" s="433"/>
      <c r="K48" s="710"/>
      <c r="L48" s="2716"/>
      <c r="M48" s="2708"/>
      <c r="N48" s="2708"/>
      <c r="O48" s="2708"/>
      <c r="P48" s="3761" t="str">
        <f>A48</f>
        <v>成交单价（元/平方米）</v>
      </c>
      <c r="Q48" s="3737"/>
      <c r="R48" s="3805">
        <f>E48</f>
        <v>0</v>
      </c>
      <c r="S48" s="3805"/>
      <c r="T48" s="3805">
        <f>G48</f>
        <v>0</v>
      </c>
      <c r="U48" s="3805"/>
      <c r="V48" s="3805">
        <f>I48</f>
        <v>0</v>
      </c>
      <c r="W48" s="3805"/>
      <c r="X48" s="394"/>
      <c r="Y48" s="708"/>
      <c r="Z48" s="394"/>
      <c r="AA48" s="394"/>
      <c r="AB48" s="394"/>
      <c r="AC48" s="575"/>
    </row>
    <row r="49" spans="1:29" ht="15.75" thickBot="1">
      <c r="A49" s="434" t="s">
        <v>1793</v>
      </c>
      <c r="B49" s="435"/>
      <c r="C49" s="1156" t="e">
        <f>R50</f>
        <v>#DIV/0!</v>
      </c>
      <c r="D49" s="2310" t="s">
        <v>2138</v>
      </c>
      <c r="E49" s="1157" t="e">
        <f>R49</f>
        <v>#DIV/0!</v>
      </c>
      <c r="F49" s="2311"/>
      <c r="G49" s="1156" t="e">
        <f>T49</f>
        <v>#DIV/0!</v>
      </c>
      <c r="H49" s="2311"/>
      <c r="I49" s="1157" t="e">
        <f>V49</f>
        <v>#DIV/0!</v>
      </c>
      <c r="J49" s="2311"/>
      <c r="K49" s="2313">
        <f>F49+H49+J49</f>
        <v>0</v>
      </c>
      <c r="L49" s="2716"/>
      <c r="M49" s="2708"/>
      <c r="N49" s="2708"/>
      <c r="O49" s="2708"/>
      <c r="P49" s="3761" t="str">
        <f>A49</f>
        <v>比较价值（元/平方米）</v>
      </c>
      <c r="Q49" s="3737"/>
      <c r="R49" s="3805" t="e">
        <f>IF(F1="售价",ROUND(PRODUCT(R48,AA7:AA47),0),ROUND(PRODUCT(R48,AA7:AA47),1))</f>
        <v>#DIV/0!</v>
      </c>
      <c r="S49" s="3805"/>
      <c r="T49" s="3805" t="e">
        <f>IF(F1="售价",ROUND(PRODUCT(T48,AB7:AB47),0),ROUND(PRODUCT(T48,AB7:AB47),1))</f>
        <v>#DIV/0!</v>
      </c>
      <c r="U49" s="3805"/>
      <c r="V49" s="3805" t="e">
        <f>IF(F1="售价",ROUND(PRODUCT(V48,AC7:AC47),0),ROUND(PRODUCT(V48,AC7:AC47),1))</f>
        <v>#DIV/0!</v>
      </c>
      <c r="W49" s="3805"/>
      <c r="X49" s="394"/>
      <c r="Y49" s="394"/>
      <c r="Z49" s="394"/>
      <c r="AA49" s="394"/>
      <c r="AB49" s="394"/>
      <c r="AC49" s="575"/>
    </row>
    <row r="50" spans="1:29" ht="15.75" thickBot="1">
      <c r="A50" s="438" t="s">
        <v>1794</v>
      </c>
      <c r="B50" s="439"/>
      <c r="C50" s="1159" t="e">
        <f>R50</f>
        <v>#DIV/0!</v>
      </c>
      <c r="D50" s="1159"/>
      <c r="E50" s="1159"/>
      <c r="F50" s="1159"/>
      <c r="G50" s="1159"/>
      <c r="H50" s="1159"/>
      <c r="I50" s="1159"/>
      <c r="J50" s="440"/>
      <c r="K50" s="711"/>
      <c r="L50" s="2716"/>
      <c r="M50" s="2708"/>
      <c r="N50" s="2708"/>
      <c r="O50" s="2708"/>
      <c r="P50" s="3838" t="str">
        <f>A50</f>
        <v>估价对象XX用房的比较价值（楼面单价，元/平方米）</v>
      </c>
      <c r="Q50" s="3839"/>
      <c r="R50" s="3840" t="e">
        <f>IF(F1="售价",ROUND(IF(D49="简单平均",AVERAGE(R49:V49),R49*F49+T49*H49+V49*J49),0),ROUND(IF(D49="简单平均",AVERAGE(R49:V49),R49*F49+T49*H49+V49*J49),1))</f>
        <v>#DIV/0!</v>
      </c>
      <c r="S50" s="3840"/>
      <c r="T50" s="3840"/>
      <c r="U50" s="3840"/>
      <c r="V50" s="3840"/>
      <c r="W50" s="3840"/>
      <c r="X50" s="1939"/>
      <c r="Y50" s="1939"/>
      <c r="Z50" s="1939"/>
      <c r="AA50" s="1939"/>
      <c r="AB50" s="1939"/>
      <c r="AC50" s="1940"/>
    </row>
    <row r="51" spans="1:29">
      <c r="A51" s="2717"/>
      <c r="B51" s="2717"/>
      <c r="C51" s="2717"/>
      <c r="D51" s="2717"/>
      <c r="E51" s="2717"/>
      <c r="F51" s="2717"/>
      <c r="G51" s="2721"/>
      <c r="H51" s="2717"/>
      <c r="I51" s="2717"/>
      <c r="J51" s="2717"/>
      <c r="K51" s="2722"/>
      <c r="L51" s="2718"/>
      <c r="M51" s="2717"/>
      <c r="N51" s="2717"/>
      <c r="O51" s="2717"/>
      <c r="P51" s="2748"/>
      <c r="Q51" s="2717"/>
      <c r="R51" s="2717"/>
      <c r="S51" s="2717"/>
      <c r="T51" s="2717"/>
      <c r="U51" s="2717"/>
      <c r="V51" s="2717"/>
      <c r="W51" s="2717"/>
      <c r="X51" s="2717"/>
      <c r="Y51" s="2717"/>
      <c r="Z51" s="2717"/>
      <c r="AA51" s="2717"/>
      <c r="AB51" s="2717"/>
      <c r="AC51" s="2717"/>
    </row>
    <row r="52" spans="1:29">
      <c r="A52" s="2717"/>
      <c r="B52" s="2717"/>
      <c r="C52" s="2717"/>
      <c r="D52" s="2717"/>
      <c r="E52" s="2717"/>
      <c r="F52" s="2717"/>
      <c r="G52" s="2717"/>
      <c r="H52" s="2717"/>
      <c r="I52" s="2717"/>
      <c r="J52" s="2717"/>
      <c r="K52" s="2722"/>
      <c r="L52" s="2718"/>
      <c r="M52" s="2717"/>
      <c r="N52" s="2717"/>
      <c r="O52" s="2717"/>
      <c r="P52" s="2748"/>
      <c r="Q52" s="2717"/>
      <c r="R52" s="2717"/>
      <c r="S52" s="2717"/>
      <c r="T52" s="2717"/>
      <c r="U52" s="2717"/>
      <c r="V52" s="2717"/>
      <c r="W52" s="2717"/>
      <c r="X52" s="2717"/>
      <c r="Y52" s="2717"/>
      <c r="Z52" s="2717"/>
      <c r="AA52" s="2717"/>
      <c r="AB52" s="2717"/>
      <c r="AC52" s="2717"/>
    </row>
    <row r="53" spans="1:29" ht="13.5" customHeight="1">
      <c r="A53" s="2717"/>
      <c r="B53" s="2717"/>
      <c r="C53" s="443" t="s">
        <v>1795</v>
      </c>
      <c r="D53" s="444"/>
      <c r="E53" s="445" t="e">
        <f>IF(E48&lt;E49,E49/E48-1,E48/E49-1)</f>
        <v>#DIV/0!</v>
      </c>
      <c r="F53" s="446" t="e">
        <f>IF(OR(E53&gt;=0.3,E53&lt;=-0.3),"超过30%","")</f>
        <v>#DIV/0!</v>
      </c>
      <c r="G53" s="445" t="e">
        <f>IF(G48&lt;G49,G49/G48-1,G48/G49-1)</f>
        <v>#DIV/0!</v>
      </c>
      <c r="H53" s="446" t="e">
        <f>IF(OR(G53&gt;=0.3,G53&lt;=-0.3),"超过30%","")</f>
        <v>#DIV/0!</v>
      </c>
      <c r="I53" s="445" t="e">
        <f>IF(I48&lt;I49,I49/I48-1,I48/I49-1)</f>
        <v>#DIV/0!</v>
      </c>
      <c r="J53" s="446" t="e">
        <f>IF(OR(I53&gt;=0.3,I53&lt;=-0.3),"超过30%","")</f>
        <v>#DIV/0!</v>
      </c>
      <c r="K53" s="2722"/>
      <c r="L53" s="2718"/>
      <c r="M53" s="2717"/>
      <c r="N53" s="2717"/>
      <c r="O53" s="2717"/>
      <c r="P53" s="2748"/>
      <c r="Q53" s="2717"/>
      <c r="R53" s="2717"/>
      <c r="S53" s="2717"/>
      <c r="T53" s="2717"/>
      <c r="U53" s="2717"/>
      <c r="V53" s="2717"/>
      <c r="W53" s="2717"/>
      <c r="X53" s="2717"/>
      <c r="Y53" s="2717"/>
      <c r="Z53" s="2717"/>
      <c r="AA53" s="2717"/>
      <c r="AB53" s="2717"/>
      <c r="AC53" s="2717"/>
    </row>
    <row r="54" spans="1:29" ht="13.5" customHeight="1">
      <c r="A54" s="2717"/>
      <c r="B54" s="2717"/>
      <c r="C54" s="443" t="s">
        <v>1796</v>
      </c>
      <c r="D54" s="447"/>
      <c r="E54" s="445" t="e">
        <f>IF(E49&lt;G49,G49/E49-1,E49/G49-1)</f>
        <v>#DIV/0!</v>
      </c>
      <c r="F54" s="446" t="e">
        <f>IF(OR(E54&gt;=0.2,E54&lt;=-0.2),"超过20%","")</f>
        <v>#DIV/0!</v>
      </c>
      <c r="G54" s="445" t="e">
        <f>IF(G49&lt;I49,I49/G49-1,G49/I49-1)</f>
        <v>#DIV/0!</v>
      </c>
      <c r="H54" s="446" t="e">
        <f>IF(OR(G54&gt;=0.2,G54&lt;=-0.2),"超过20%","")</f>
        <v>#DIV/0!</v>
      </c>
      <c r="I54" s="445" t="e">
        <f>IF(I49&lt;E49,E49/I49-1,I49/E49-1)</f>
        <v>#DIV/0!</v>
      </c>
      <c r="J54" s="446" t="e">
        <f>IF(OR(I54&gt;=0.2,I54&lt;=-0.2),"超过20%","")</f>
        <v>#DIV/0!</v>
      </c>
      <c r="K54" s="2722"/>
      <c r="L54" s="2718"/>
      <c r="M54" s="2717"/>
      <c r="N54" s="2717"/>
      <c r="O54" s="2717"/>
      <c r="P54" s="2748"/>
      <c r="Q54" s="2717"/>
      <c r="R54" s="2717"/>
      <c r="S54" s="2717"/>
      <c r="T54" s="2717"/>
      <c r="U54" s="2717"/>
      <c r="V54" s="2717"/>
      <c r="W54" s="2717"/>
      <c r="X54" s="2717"/>
      <c r="Y54" s="2717"/>
      <c r="Z54" s="2717"/>
      <c r="AA54" s="2717"/>
      <c r="AB54" s="2717"/>
      <c r="AC54" s="2717"/>
    </row>
    <row r="55" spans="1:29" s="448" customFormat="1" ht="13.5" customHeight="1">
      <c r="A55" s="2720"/>
      <c r="B55" s="2720"/>
      <c r="C55" s="443" t="s">
        <v>1797</v>
      </c>
      <c r="D55" s="447"/>
      <c r="E55" s="445" t="e">
        <f>IF(E48&lt;G48,G48/E48-1,E48/G48-1)</f>
        <v>#DIV/0!</v>
      </c>
      <c r="F55" s="446" t="e">
        <f>IF(OR(E55&gt;=0.3,E55&lt;=-0.3),"超过30%","")</f>
        <v>#DIV/0!</v>
      </c>
      <c r="G55" s="445" t="e">
        <f>IF(G48&lt;I48,I48/G48-1,G48/I48-1)</f>
        <v>#DIV/0!</v>
      </c>
      <c r="H55" s="446" t="e">
        <f>IF(OR(G55&gt;=0.3,G55&lt;=-0.3),"超过30%","")</f>
        <v>#DIV/0!</v>
      </c>
      <c r="I55" s="445" t="e">
        <f>IF(I48&lt;E48,E48/I48-1,I48/E48-1)</f>
        <v>#DIV/0!</v>
      </c>
      <c r="J55" s="446" t="e">
        <f>IF(OR(I55&gt;=0.3,I55&lt;=-0.3),"超过30%","")</f>
        <v>#DIV/0!</v>
      </c>
      <c r="K55" s="2725"/>
      <c r="L55" s="2719"/>
      <c r="M55" s="2720"/>
      <c r="N55" s="2720"/>
      <c r="O55" s="2720"/>
      <c r="P55" s="2749"/>
      <c r="Q55" s="2720"/>
      <c r="R55" s="2720"/>
      <c r="S55" s="2720"/>
      <c r="T55" s="2720"/>
      <c r="U55" s="2720"/>
      <c r="V55" s="2720"/>
      <c r="W55" s="2720"/>
      <c r="X55" s="2720"/>
      <c r="Y55" s="2720"/>
      <c r="Z55" s="2720"/>
      <c r="AA55" s="2720"/>
      <c r="AB55" s="2720"/>
      <c r="AC55" s="2720"/>
    </row>
    <row r="56" spans="1:29" s="448" customFormat="1">
      <c r="A56" s="2720"/>
      <c r="B56" s="2723"/>
      <c r="C56" s="2724"/>
      <c r="D56" s="2720"/>
      <c r="E56" s="2720"/>
      <c r="F56" s="2720"/>
      <c r="G56" s="2720"/>
      <c r="H56" s="2720"/>
      <c r="I56" s="2720"/>
      <c r="J56" s="2720"/>
      <c r="K56" s="2725"/>
      <c r="L56" s="2719"/>
      <c r="M56" s="2720"/>
      <c r="N56" s="2720"/>
      <c r="O56" s="2720"/>
      <c r="P56" s="2749"/>
      <c r="Q56" s="2720"/>
      <c r="R56" s="2720"/>
      <c r="S56" s="2720"/>
      <c r="T56" s="2720"/>
      <c r="U56" s="2720"/>
      <c r="V56" s="2720"/>
      <c r="W56" s="2720"/>
      <c r="X56" s="2720"/>
      <c r="Y56" s="2720"/>
      <c r="Z56" s="2720"/>
      <c r="AA56" s="2720"/>
      <c r="AB56" s="2720"/>
      <c r="AC56" s="2720"/>
    </row>
    <row r="57" spans="1:29">
      <c r="A57" s="2717"/>
      <c r="B57" s="2723"/>
      <c r="C57" s="2724"/>
      <c r="D57" s="2717"/>
      <c r="E57" s="2717"/>
      <c r="F57" s="2717"/>
      <c r="G57" s="2717"/>
      <c r="H57" s="2717"/>
      <c r="I57" s="2717"/>
      <c r="J57" s="2717"/>
      <c r="K57" s="2722"/>
      <c r="L57" s="2718"/>
      <c r="M57" s="2717"/>
      <c r="N57" s="2717"/>
      <c r="O57" s="2717"/>
      <c r="P57" s="2748"/>
      <c r="Q57" s="2717"/>
      <c r="R57" s="2717"/>
      <c r="S57" s="2717"/>
      <c r="T57" s="2717"/>
      <c r="U57" s="2717"/>
      <c r="V57" s="2717"/>
      <c r="W57" s="2717"/>
      <c r="X57" s="2717"/>
      <c r="Y57" s="2717"/>
      <c r="Z57" s="2717"/>
      <c r="AA57" s="2717"/>
      <c r="AB57" s="2717"/>
      <c r="AC57" s="2717"/>
    </row>
    <row r="58" spans="1:29" ht="21.75" thickBot="1">
      <c r="A58" s="690" t="s">
        <v>1798</v>
      </c>
      <c r="B58" s="686"/>
      <c r="C58" s="691"/>
      <c r="D58" s="691"/>
      <c r="E58" s="691"/>
      <c r="F58" s="692"/>
      <c r="G58" s="692"/>
      <c r="H58" s="691"/>
      <c r="I58" s="691"/>
      <c r="J58" s="691"/>
      <c r="K58" s="693"/>
      <c r="L58" s="938"/>
      <c r="M58" s="936"/>
      <c r="N58" s="2761"/>
      <c r="O58" s="2761"/>
      <c r="P58" s="2750"/>
      <c r="Q58" s="2731"/>
      <c r="R58" s="2717"/>
      <c r="S58" s="2717"/>
      <c r="T58" s="2717"/>
      <c r="U58" s="2717"/>
      <c r="V58" s="2717"/>
      <c r="W58" s="2717"/>
      <c r="X58" s="2717"/>
      <c r="Y58" s="2717"/>
      <c r="Z58" s="2717"/>
      <c r="AA58" s="2717"/>
      <c r="AB58" s="2717"/>
      <c r="AC58" s="2717"/>
    </row>
    <row r="59" spans="1:29" s="454" customFormat="1" ht="15">
      <c r="A59" s="451" t="s">
        <v>1679</v>
      </c>
      <c r="B59" s="452"/>
      <c r="C59" s="1180" t="str">
        <f>YEAR(C7)&amp;"-"&amp;MONTH(C7)</f>
        <v>2023-7</v>
      </c>
      <c r="D59" s="1181">
        <f>EDATE(C59,-1)</f>
        <v>45078</v>
      </c>
      <c r="E59" s="1181">
        <f>EDATE(D59,-1)</f>
        <v>45047</v>
      </c>
      <c r="F59" s="1181">
        <f t="shared" ref="F59:O59" si="16">EDATE(E59,-1)</f>
        <v>45017</v>
      </c>
      <c r="G59" s="1181">
        <f t="shared" si="16"/>
        <v>44986</v>
      </c>
      <c r="H59" s="1181">
        <f t="shared" si="16"/>
        <v>44958</v>
      </c>
      <c r="I59" s="1181">
        <f t="shared" si="16"/>
        <v>44927</v>
      </c>
      <c r="J59" s="1181">
        <f t="shared" si="16"/>
        <v>44896</v>
      </c>
      <c r="K59" s="1181">
        <f t="shared" si="16"/>
        <v>44866</v>
      </c>
      <c r="L59" s="1181">
        <f t="shared" si="16"/>
        <v>44835</v>
      </c>
      <c r="M59" s="1181">
        <f t="shared" si="16"/>
        <v>44805</v>
      </c>
      <c r="N59" s="1181">
        <f t="shared" si="16"/>
        <v>44774</v>
      </c>
      <c r="O59" s="1181">
        <f t="shared" si="16"/>
        <v>44743</v>
      </c>
      <c r="P59" s="2751"/>
      <c r="Q59" s="2733"/>
      <c r="R59" s="2733"/>
      <c r="S59" s="2733"/>
      <c r="T59" s="2733"/>
      <c r="U59" s="2733"/>
      <c r="V59" s="2733"/>
      <c r="W59" s="2733"/>
      <c r="X59" s="2733"/>
      <c r="Y59" s="2733"/>
      <c r="Z59" s="2733"/>
      <c r="AA59" s="2733"/>
      <c r="AB59" s="2733"/>
      <c r="AC59" s="2733"/>
    </row>
    <row r="60" spans="1:29" s="108" customFormat="1" ht="15">
      <c r="A60" s="455"/>
      <c r="B60" s="456"/>
      <c r="C60" s="1179">
        <v>100</v>
      </c>
      <c r="D60" s="458"/>
      <c r="E60" s="458"/>
      <c r="F60" s="458"/>
      <c r="G60" s="458"/>
      <c r="H60" s="458"/>
      <c r="I60" s="458"/>
      <c r="J60" s="458"/>
      <c r="K60" s="458"/>
      <c r="L60" s="458"/>
      <c r="M60" s="459"/>
      <c r="N60" s="458"/>
      <c r="O60" s="459"/>
      <c r="P60" s="2752"/>
      <c r="Q60" s="2653"/>
      <c r="R60" s="2653"/>
      <c r="S60" s="2653"/>
      <c r="T60" s="2653"/>
      <c r="U60" s="2653"/>
      <c r="V60" s="2653"/>
      <c r="W60" s="2653"/>
      <c r="X60" s="2653"/>
      <c r="Y60" s="2653"/>
      <c r="Z60" s="2653"/>
      <c r="AA60" s="2653"/>
      <c r="AB60" s="2653"/>
      <c r="AC60" s="2653"/>
    </row>
    <row r="61" spans="1:29" s="108" customFormat="1" ht="15.75" thickBot="1">
      <c r="A61" s="461" t="s">
        <v>1716</v>
      </c>
      <c r="B61" s="462"/>
      <c r="C61" s="463"/>
      <c r="D61" s="464"/>
      <c r="E61" s="464"/>
      <c r="F61" s="464"/>
      <c r="G61" s="464"/>
      <c r="H61" s="464"/>
      <c r="I61" s="464"/>
      <c r="J61" s="464"/>
      <c r="K61" s="464"/>
      <c r="L61" s="464"/>
      <c r="M61" s="465"/>
      <c r="N61" s="464"/>
      <c r="O61" s="465"/>
      <c r="P61" s="2752"/>
      <c r="Q61" s="2731"/>
      <c r="R61" s="2653"/>
      <c r="S61" s="2653"/>
      <c r="T61" s="2653"/>
      <c r="U61" s="2653"/>
      <c r="V61" s="2653"/>
      <c r="W61" s="2653"/>
      <c r="X61" s="2653"/>
      <c r="Y61" s="2653"/>
      <c r="Z61" s="2653"/>
      <c r="AA61" s="2653"/>
      <c r="AB61" s="2653"/>
      <c r="AC61" s="2653"/>
    </row>
    <row r="62" spans="1:29" s="108" customFormat="1" ht="15">
      <c r="A62" s="467" t="s">
        <v>1681</v>
      </c>
      <c r="B62" s="456"/>
      <c r="C62" s="468" t="s">
        <v>1776</v>
      </c>
      <c r="D62" s="469"/>
      <c r="E62" s="469"/>
      <c r="F62" s="469"/>
      <c r="G62" s="469"/>
      <c r="H62" s="469"/>
      <c r="I62" s="469"/>
      <c r="J62" s="469"/>
      <c r="K62" s="469"/>
      <c r="L62" s="470"/>
      <c r="M62" s="471"/>
      <c r="N62" s="2744"/>
      <c r="O62" s="2744"/>
      <c r="P62" s="2753"/>
      <c r="Q62" s="2731"/>
      <c r="R62" s="2653"/>
      <c r="S62" s="2653"/>
      <c r="T62" s="2653"/>
      <c r="U62" s="2653"/>
      <c r="V62" s="2653"/>
      <c r="W62" s="2653"/>
      <c r="X62" s="2653"/>
      <c r="Y62" s="2653"/>
      <c r="Z62" s="2653"/>
      <c r="AA62" s="2653"/>
      <c r="AB62" s="2653"/>
      <c r="AC62" s="2653"/>
    </row>
    <row r="63" spans="1:29" s="108" customFormat="1" ht="15.75" thickBot="1">
      <c r="A63" s="467"/>
      <c r="B63" s="456"/>
      <c r="C63" s="457">
        <v>100</v>
      </c>
      <c r="D63" s="458"/>
      <c r="E63" s="458"/>
      <c r="F63" s="458"/>
      <c r="G63" s="458"/>
      <c r="H63" s="458"/>
      <c r="I63" s="458"/>
      <c r="J63" s="458"/>
      <c r="K63" s="458"/>
      <c r="L63" s="458"/>
      <c r="M63" s="460"/>
      <c r="N63" s="2744"/>
      <c r="O63" s="2744"/>
      <c r="P63" s="2752"/>
      <c r="Q63" s="2731"/>
      <c r="R63" s="2653"/>
      <c r="S63" s="2653"/>
      <c r="T63" s="2653"/>
      <c r="U63" s="2653"/>
      <c r="V63" s="2653"/>
      <c r="W63" s="2653"/>
      <c r="X63" s="2653"/>
      <c r="Y63" s="2653"/>
      <c r="Z63" s="2653"/>
      <c r="AA63" s="2653"/>
      <c r="AB63" s="2653"/>
      <c r="AC63" s="2653"/>
    </row>
    <row r="64" spans="1:29">
      <c r="A64" s="473" t="s">
        <v>1719</v>
      </c>
      <c r="B64" s="474" t="s">
        <v>1685</v>
      </c>
      <c r="C64" s="475">
        <f>C9</f>
        <v>0</v>
      </c>
      <c r="D64" s="476"/>
      <c r="E64" s="476"/>
      <c r="F64" s="476"/>
      <c r="G64" s="476"/>
      <c r="H64" s="476"/>
      <c r="I64" s="476"/>
      <c r="J64" s="476"/>
      <c r="K64" s="477"/>
      <c r="L64" s="478"/>
      <c r="M64" s="479"/>
      <c r="N64" s="2745"/>
      <c r="O64" s="2745"/>
      <c r="P64" s="2754"/>
      <c r="Q64" s="2731"/>
      <c r="R64" s="2717"/>
      <c r="S64" s="2717"/>
      <c r="T64" s="2717"/>
      <c r="U64" s="2717"/>
      <c r="V64" s="2717"/>
      <c r="W64" s="2717"/>
      <c r="X64" s="2717"/>
      <c r="Y64" s="2717"/>
      <c r="Z64" s="2717"/>
      <c r="AA64" s="2717"/>
      <c r="AB64" s="2717"/>
      <c r="AC64" s="2717"/>
    </row>
    <row r="65" spans="1:29" ht="15.75" thickBot="1">
      <c r="A65" s="480"/>
      <c r="B65" s="481"/>
      <c r="C65" s="482">
        <v>100</v>
      </c>
      <c r="D65" s="482"/>
      <c r="E65" s="482"/>
      <c r="F65" s="482"/>
      <c r="G65" s="482"/>
      <c r="H65" s="482"/>
      <c r="I65" s="482"/>
      <c r="J65" s="482"/>
      <c r="K65" s="482"/>
      <c r="L65" s="482"/>
      <c r="M65" s="483"/>
      <c r="N65" s="2746"/>
      <c r="O65" s="2746"/>
      <c r="P65" s="2754"/>
      <c r="Q65" s="2731"/>
      <c r="R65" s="2717"/>
      <c r="S65" s="2717"/>
      <c r="T65" s="2717"/>
      <c r="U65" s="2717"/>
      <c r="V65" s="2717"/>
      <c r="W65" s="2717"/>
      <c r="X65" s="2717"/>
      <c r="Y65" s="2717"/>
      <c r="Z65" s="2717"/>
      <c r="AA65" s="2717"/>
      <c r="AB65" s="2717"/>
      <c r="AC65" s="2717"/>
    </row>
    <row r="66" spans="1:29" ht="27.75" thickTop="1">
      <c r="A66" s="480"/>
      <c r="B66" s="484" t="s">
        <v>1688</v>
      </c>
      <c r="C66" s="529"/>
      <c r="D66" s="529"/>
      <c r="E66" s="529"/>
      <c r="F66" s="529"/>
      <c r="G66" s="529"/>
      <c r="H66" s="529"/>
      <c r="I66" s="529"/>
      <c r="J66" s="529"/>
      <c r="K66" s="530"/>
      <c r="L66" s="531"/>
      <c r="M66" s="532"/>
      <c r="N66" s="2745"/>
      <c r="O66" s="2745"/>
      <c r="P66" s="2754"/>
      <c r="Q66" s="2731"/>
      <c r="R66" s="2717"/>
      <c r="S66" s="2717"/>
      <c r="T66" s="2717"/>
      <c r="U66" s="2717"/>
      <c r="V66" s="2717"/>
      <c r="W66" s="2717"/>
      <c r="X66" s="2717"/>
      <c r="Y66" s="2717"/>
      <c r="Z66" s="2717"/>
      <c r="AA66" s="2717"/>
      <c r="AB66" s="2717"/>
      <c r="AC66" s="2717"/>
    </row>
    <row r="67" spans="1:29" ht="15.75" thickBot="1">
      <c r="A67" s="480"/>
      <c r="B67" s="489"/>
      <c r="C67" s="482"/>
      <c r="D67" s="482"/>
      <c r="E67" s="482"/>
      <c r="F67" s="482"/>
      <c r="G67" s="482"/>
      <c r="H67" s="482"/>
      <c r="I67" s="482"/>
      <c r="J67" s="482"/>
      <c r="K67" s="482"/>
      <c r="L67" s="482"/>
      <c r="M67" s="483"/>
      <c r="N67" s="2746"/>
      <c r="O67" s="2746"/>
      <c r="P67" s="2754"/>
      <c r="Q67" s="2731"/>
      <c r="R67" s="2717"/>
      <c r="S67" s="2717"/>
      <c r="T67" s="2717"/>
      <c r="U67" s="2717"/>
      <c r="V67" s="2717"/>
      <c r="W67" s="2717"/>
      <c r="X67" s="2717"/>
      <c r="Y67" s="2717"/>
      <c r="Z67" s="2717"/>
      <c r="AA67" s="2717"/>
      <c r="AB67" s="2717"/>
      <c r="AC67" s="2717"/>
    </row>
    <row r="68" spans="1:29" ht="15.75" thickTop="1">
      <c r="A68" s="480"/>
      <c r="B68" s="492" t="s">
        <v>1689</v>
      </c>
      <c r="C68" s="493" t="str">
        <f>C69&amp;"（含）"&amp;"-"&amp;D69</f>
        <v>0（含）-3</v>
      </c>
      <c r="D68" s="493" t="str">
        <f t="shared" ref="D68:L68" si="17">D69&amp;"（含）"&amp;"-"&amp;E69</f>
        <v>3（含）-</v>
      </c>
      <c r="E68" s="493" t="str">
        <f t="shared" si="17"/>
        <v>（含）-</v>
      </c>
      <c r="F68" s="493" t="str">
        <f t="shared" si="17"/>
        <v>（含）-</v>
      </c>
      <c r="G68" s="493" t="str">
        <f t="shared" si="17"/>
        <v>（含）-</v>
      </c>
      <c r="H68" s="493" t="str">
        <f t="shared" si="17"/>
        <v>（含）-</v>
      </c>
      <c r="I68" s="493" t="str">
        <f t="shared" si="17"/>
        <v>（含）-</v>
      </c>
      <c r="J68" s="493" t="str">
        <f t="shared" si="17"/>
        <v>（含）-</v>
      </c>
      <c r="K68" s="493" t="str">
        <f t="shared" si="17"/>
        <v>（含）-</v>
      </c>
      <c r="L68" s="493" t="str">
        <f t="shared" si="17"/>
        <v>（含）-</v>
      </c>
      <c r="M68" s="396" t="str">
        <f>M69&amp;"（含）"&amp;"-"&amp;P69</f>
        <v>（含）-</v>
      </c>
      <c r="N68" s="2746"/>
      <c r="O68" s="2746"/>
      <c r="P68" s="2754"/>
      <c r="Q68" s="2731"/>
      <c r="R68" s="2717"/>
      <c r="S68" s="2717"/>
      <c r="T68" s="2717"/>
      <c r="U68" s="2717"/>
      <c r="V68" s="2717"/>
      <c r="W68" s="2717"/>
      <c r="X68" s="2717"/>
      <c r="Y68" s="2717"/>
      <c r="Z68" s="2717"/>
      <c r="AA68" s="2717"/>
      <c r="AB68" s="2717"/>
      <c r="AC68" s="2717"/>
    </row>
    <row r="69" spans="1:29" ht="15">
      <c r="A69" s="480"/>
      <c r="B69" s="494"/>
      <c r="C69" s="495">
        <v>0</v>
      </c>
      <c r="D69" s="495">
        <v>3</v>
      </c>
      <c r="E69" s="495"/>
      <c r="F69" s="495"/>
      <c r="G69" s="495"/>
      <c r="H69" s="495"/>
      <c r="I69" s="495"/>
      <c r="J69" s="495"/>
      <c r="K69" s="496"/>
      <c r="L69" s="497"/>
      <c r="M69" s="498"/>
      <c r="N69" s="2745"/>
      <c r="O69" s="2745"/>
      <c r="P69" s="2754"/>
      <c r="Q69" s="2731"/>
      <c r="R69" s="2717"/>
      <c r="S69" s="2717"/>
      <c r="T69" s="2717"/>
      <c r="U69" s="2717"/>
      <c r="V69" s="2717"/>
      <c r="W69" s="2717"/>
      <c r="X69" s="2717"/>
      <c r="Y69" s="2717"/>
      <c r="Z69" s="2717"/>
      <c r="AA69" s="2717"/>
      <c r="AB69" s="2717"/>
      <c r="AC69" s="2717"/>
    </row>
    <row r="70" spans="1:29" ht="15.75" thickBot="1">
      <c r="A70" s="480"/>
      <c r="B70" s="481"/>
      <c r="C70" s="490">
        <v>100</v>
      </c>
      <c r="D70" s="490">
        <f t="shared" ref="D70:M70" si="18">C70-$K11</f>
        <v>100</v>
      </c>
      <c r="E70" s="490">
        <f t="shared" si="18"/>
        <v>100</v>
      </c>
      <c r="F70" s="490">
        <f t="shared" si="18"/>
        <v>100</v>
      </c>
      <c r="G70" s="490">
        <f t="shared" si="18"/>
        <v>100</v>
      </c>
      <c r="H70" s="490">
        <f t="shared" si="18"/>
        <v>100</v>
      </c>
      <c r="I70" s="490">
        <f t="shared" si="18"/>
        <v>100</v>
      </c>
      <c r="J70" s="490">
        <f t="shared" si="18"/>
        <v>100</v>
      </c>
      <c r="K70" s="490">
        <f t="shared" si="18"/>
        <v>100</v>
      </c>
      <c r="L70" s="490">
        <f t="shared" si="18"/>
        <v>100</v>
      </c>
      <c r="M70" s="491">
        <f t="shared" si="18"/>
        <v>100</v>
      </c>
      <c r="N70" s="2746"/>
      <c r="O70" s="2746"/>
      <c r="P70" s="2754"/>
      <c r="Q70" s="2731"/>
      <c r="R70" s="2717"/>
      <c r="S70" s="2717"/>
      <c r="T70" s="2717"/>
      <c r="U70" s="2717"/>
      <c r="V70" s="2717"/>
      <c r="W70" s="2717"/>
      <c r="X70" s="2717"/>
      <c r="Y70" s="2717"/>
      <c r="Z70" s="2717"/>
      <c r="AA70" s="2717"/>
      <c r="AB70" s="2717"/>
      <c r="AC70" s="2717"/>
    </row>
    <row r="71" spans="1:29" s="419" customFormat="1" ht="15.75" thickTop="1">
      <c r="A71" s="499"/>
      <c r="B71" s="484">
        <f>B12</f>
        <v>111</v>
      </c>
      <c r="C71" s="500"/>
      <c r="D71" s="500"/>
      <c r="E71" s="500"/>
      <c r="F71" s="500"/>
      <c r="G71" s="500"/>
      <c r="H71" s="501"/>
      <c r="I71" s="501"/>
      <c r="J71" s="501"/>
      <c r="K71" s="501"/>
      <c r="L71" s="502"/>
      <c r="M71" s="503"/>
      <c r="N71" s="2747"/>
      <c r="O71" s="2747"/>
      <c r="P71" s="2755"/>
      <c r="Q71" s="2738"/>
      <c r="R71" s="2739"/>
      <c r="S71" s="2739"/>
      <c r="T71" s="2739"/>
      <c r="U71" s="2739"/>
      <c r="V71" s="2739"/>
      <c r="W71" s="2739"/>
      <c r="X71" s="2739"/>
      <c r="Y71" s="2739"/>
      <c r="Z71" s="2739"/>
      <c r="AA71" s="2739"/>
      <c r="AB71" s="2739"/>
      <c r="AC71" s="2739"/>
    </row>
    <row r="72" spans="1:29" s="419" customFormat="1" ht="15.75" thickBot="1">
      <c r="A72" s="499"/>
      <c r="B72" s="489"/>
      <c r="C72" s="506"/>
      <c r="D72" s="482"/>
      <c r="E72" s="482"/>
      <c r="F72" s="482"/>
      <c r="G72" s="482"/>
      <c r="H72" s="482"/>
      <c r="I72" s="482"/>
      <c r="J72" s="482"/>
      <c r="K72" s="482"/>
      <c r="L72" s="482"/>
      <c r="M72" s="483"/>
      <c r="N72" s="2746"/>
      <c r="O72" s="2746"/>
      <c r="P72" s="2755"/>
      <c r="Q72" s="2738"/>
      <c r="R72" s="2739"/>
      <c r="S72" s="2739"/>
      <c r="T72" s="2739"/>
      <c r="U72" s="2739"/>
      <c r="V72" s="2739"/>
      <c r="W72" s="2739"/>
      <c r="X72" s="2739"/>
      <c r="Y72" s="2739"/>
      <c r="Z72" s="2739"/>
      <c r="AA72" s="2739"/>
      <c r="AB72" s="2739"/>
      <c r="AC72" s="2739"/>
    </row>
    <row r="73" spans="1:29" s="419" customFormat="1" ht="15.75" thickTop="1">
      <c r="A73" s="499"/>
      <c r="B73" s="484">
        <f>B13</f>
        <v>111</v>
      </c>
      <c r="C73" s="500"/>
      <c r="D73" s="500"/>
      <c r="E73" s="500"/>
      <c r="F73" s="500"/>
      <c r="G73" s="500"/>
      <c r="H73" s="501"/>
      <c r="I73" s="501"/>
      <c r="J73" s="501"/>
      <c r="K73" s="501"/>
      <c r="L73" s="502"/>
      <c r="M73" s="503"/>
      <c r="N73" s="2747"/>
      <c r="O73" s="2747"/>
      <c r="P73" s="2756"/>
      <c r="Q73" s="2741"/>
      <c r="R73" s="2739"/>
      <c r="S73" s="2739"/>
      <c r="T73" s="2739"/>
      <c r="U73" s="2739"/>
      <c r="V73" s="2739"/>
      <c r="W73" s="2739"/>
      <c r="X73" s="2739"/>
      <c r="Y73" s="2739"/>
      <c r="Z73" s="2739"/>
      <c r="AA73" s="2739"/>
      <c r="AB73" s="2739"/>
      <c r="AC73" s="2739"/>
    </row>
    <row r="74" spans="1:29" s="419" customFormat="1" ht="15.75" thickBot="1">
      <c r="A74" s="499"/>
      <c r="B74" s="489"/>
      <c r="C74" s="506"/>
      <c r="D74" s="506"/>
      <c r="E74" s="506"/>
      <c r="F74" s="506"/>
      <c r="G74" s="506"/>
      <c r="H74" s="508"/>
      <c r="I74" s="508"/>
      <c r="J74" s="508"/>
      <c r="K74" s="508"/>
      <c r="L74" s="508"/>
      <c r="M74" s="509"/>
      <c r="N74" s="2747"/>
      <c r="O74" s="2747"/>
      <c r="P74" s="2755"/>
      <c r="Q74" s="2738"/>
      <c r="R74" s="2739"/>
      <c r="S74" s="2739"/>
      <c r="T74" s="2739"/>
      <c r="U74" s="2739"/>
      <c r="V74" s="2739"/>
      <c r="W74" s="2739"/>
      <c r="X74" s="2739"/>
      <c r="Y74" s="2739"/>
      <c r="Z74" s="2739"/>
      <c r="AA74" s="2739"/>
      <c r="AB74" s="2739"/>
      <c r="AC74" s="2739"/>
    </row>
    <row r="75" spans="1:29" s="419" customFormat="1" ht="15.75" thickTop="1">
      <c r="A75" s="499"/>
      <c r="B75" s="492">
        <f>B14</f>
        <v>111</v>
      </c>
      <c r="C75" s="469"/>
      <c r="D75" s="469"/>
      <c r="E75" s="469"/>
      <c r="F75" s="469"/>
      <c r="G75" s="469"/>
      <c r="H75" s="510"/>
      <c r="I75" s="510"/>
      <c r="J75" s="510"/>
      <c r="K75" s="510"/>
      <c r="L75" s="511"/>
      <c r="M75" s="512"/>
      <c r="N75" s="2747"/>
      <c r="O75" s="2747"/>
      <c r="P75" s="2757"/>
      <c r="Q75" s="2738"/>
      <c r="R75" s="2739"/>
      <c r="S75" s="2739"/>
      <c r="T75" s="2739"/>
      <c r="U75" s="2739"/>
      <c r="V75" s="2739"/>
      <c r="W75" s="2739"/>
      <c r="X75" s="2739"/>
      <c r="Y75" s="2739"/>
      <c r="Z75" s="2739"/>
      <c r="AA75" s="2739"/>
      <c r="AB75" s="2739"/>
      <c r="AC75" s="2739"/>
    </row>
    <row r="76" spans="1:29" s="419" customFormat="1" ht="15.75" thickBot="1">
      <c r="A76" s="514"/>
      <c r="B76" s="515"/>
      <c r="C76" s="516"/>
      <c r="D76" s="516"/>
      <c r="E76" s="516"/>
      <c r="F76" s="516"/>
      <c r="G76" s="516"/>
      <c r="H76" s="517"/>
      <c r="I76" s="517"/>
      <c r="J76" s="517"/>
      <c r="K76" s="517"/>
      <c r="L76" s="517"/>
      <c r="M76" s="518"/>
      <c r="N76" s="2747"/>
      <c r="O76" s="2747"/>
      <c r="P76" s="2755"/>
      <c r="Q76" s="2738"/>
      <c r="R76" s="2739"/>
      <c r="S76" s="2739"/>
      <c r="T76" s="2739"/>
      <c r="U76" s="2739"/>
      <c r="V76" s="2739"/>
      <c r="W76" s="2739"/>
      <c r="X76" s="2739"/>
      <c r="Y76" s="2739"/>
      <c r="Z76" s="2739"/>
      <c r="AA76" s="2739"/>
      <c r="AB76" s="2739"/>
      <c r="AC76" s="2739"/>
    </row>
    <row r="77" spans="1:29">
      <c r="A77" s="473" t="s">
        <v>1690</v>
      </c>
      <c r="B77" s="474" t="s">
        <v>1821</v>
      </c>
      <c r="C77" s="519" t="s">
        <v>1721</v>
      </c>
      <c r="D77" s="519" t="s">
        <v>1722</v>
      </c>
      <c r="E77" s="519" t="s">
        <v>1723</v>
      </c>
      <c r="F77" s="519" t="s">
        <v>1724</v>
      </c>
      <c r="G77" s="519" t="s">
        <v>1725</v>
      </c>
      <c r="H77" s="475"/>
      <c r="I77" s="475"/>
      <c r="J77" s="475"/>
      <c r="K77" s="520"/>
      <c r="L77" s="521"/>
      <c r="M77" s="522"/>
      <c r="N77" s="2745"/>
      <c r="O77" s="2745"/>
      <c r="P77" s="2758"/>
      <c r="Q77" s="2731"/>
      <c r="R77" s="2717"/>
      <c r="S77" s="2717"/>
      <c r="T77" s="2717"/>
      <c r="U77" s="2717"/>
      <c r="V77" s="2717"/>
      <c r="W77" s="2717"/>
      <c r="X77" s="2717"/>
      <c r="Y77" s="2717"/>
      <c r="Z77" s="2717"/>
      <c r="AA77" s="2717"/>
      <c r="AB77" s="2717"/>
      <c r="AC77" s="2717"/>
    </row>
    <row r="78" spans="1:29" ht="15.75" thickBot="1">
      <c r="A78" s="480"/>
      <c r="B78" s="489"/>
      <c r="C78" s="490">
        <v>100</v>
      </c>
      <c r="D78" s="490">
        <f>C78-$K15</f>
        <v>100</v>
      </c>
      <c r="E78" s="490">
        <f>D78-$K15</f>
        <v>100</v>
      </c>
      <c r="F78" s="490">
        <f>E78-$K15</f>
        <v>100</v>
      </c>
      <c r="G78" s="490">
        <f>F78-$K15</f>
        <v>100</v>
      </c>
      <c r="H78" s="490"/>
      <c r="I78" s="490"/>
      <c r="J78" s="490"/>
      <c r="K78" s="490"/>
      <c r="L78" s="490"/>
      <c r="M78" s="491"/>
      <c r="N78" s="2746"/>
      <c r="O78" s="2746"/>
      <c r="P78" s="2754"/>
      <c r="Q78" s="2731"/>
      <c r="R78" s="2717"/>
      <c r="S78" s="2717"/>
      <c r="T78" s="2717"/>
      <c r="U78" s="2717"/>
      <c r="V78" s="2717"/>
      <c r="W78" s="2717"/>
      <c r="X78" s="2717"/>
      <c r="Y78" s="2717"/>
      <c r="Z78" s="2717"/>
      <c r="AA78" s="2717"/>
      <c r="AB78" s="2717"/>
      <c r="AC78" s="2717"/>
    </row>
    <row r="79" spans="1:29" ht="15.75" thickTop="1">
      <c r="A79" s="480"/>
      <c r="B79" s="484" t="s">
        <v>1726</v>
      </c>
      <c r="C79" s="524" t="s">
        <v>1721</v>
      </c>
      <c r="D79" s="524" t="s">
        <v>1722</v>
      </c>
      <c r="E79" s="524" t="s">
        <v>1723</v>
      </c>
      <c r="F79" s="524" t="s">
        <v>1724</v>
      </c>
      <c r="G79" s="524" t="s">
        <v>1725</v>
      </c>
      <c r="H79" s="485"/>
      <c r="I79" s="485"/>
      <c r="J79" s="485"/>
      <c r="K79" s="486"/>
      <c r="L79" s="487"/>
      <c r="M79" s="488"/>
      <c r="N79" s="2745"/>
      <c r="O79" s="2745"/>
      <c r="P79" s="2754"/>
      <c r="Q79" s="2731"/>
      <c r="R79" s="2717"/>
      <c r="S79" s="2717"/>
      <c r="T79" s="2717"/>
      <c r="U79" s="2717"/>
      <c r="V79" s="2717"/>
      <c r="W79" s="2717"/>
      <c r="X79" s="2717"/>
      <c r="Y79" s="2717"/>
      <c r="Z79" s="2717"/>
      <c r="AA79" s="2717"/>
      <c r="AB79" s="2717"/>
      <c r="AC79" s="2717"/>
    </row>
    <row r="80" spans="1:29" ht="15.75" thickBot="1">
      <c r="A80" s="480"/>
      <c r="B80" s="489"/>
      <c r="C80" s="490">
        <v>100</v>
      </c>
      <c r="D80" s="490">
        <f>C80-$K17</f>
        <v>100</v>
      </c>
      <c r="E80" s="490">
        <f>D80-$K17</f>
        <v>100</v>
      </c>
      <c r="F80" s="490">
        <f>E80-$K17</f>
        <v>100</v>
      </c>
      <c r="G80" s="490">
        <f>F80-$K17</f>
        <v>100</v>
      </c>
      <c r="H80" s="490"/>
      <c r="I80" s="490"/>
      <c r="J80" s="490"/>
      <c r="K80" s="490"/>
      <c r="L80" s="490"/>
      <c r="M80" s="491"/>
      <c r="N80" s="2746"/>
      <c r="O80" s="2746"/>
      <c r="P80" s="2754"/>
      <c r="Q80" s="2731"/>
      <c r="R80" s="2717"/>
      <c r="S80" s="2717"/>
      <c r="T80" s="2717"/>
      <c r="U80" s="2717"/>
      <c r="V80" s="2717"/>
      <c r="W80" s="2717"/>
      <c r="X80" s="2717"/>
      <c r="Y80" s="2717"/>
      <c r="Z80" s="2717"/>
      <c r="AA80" s="2717"/>
      <c r="AB80" s="2717"/>
      <c r="AC80" s="2717"/>
    </row>
    <row r="81" spans="1:29" ht="15.75" thickTop="1">
      <c r="A81" s="480"/>
      <c r="B81" s="484" t="s">
        <v>1727</v>
      </c>
      <c r="C81" s="524" t="s">
        <v>1721</v>
      </c>
      <c r="D81" s="524" t="s">
        <v>1722</v>
      </c>
      <c r="E81" s="524" t="s">
        <v>1723</v>
      </c>
      <c r="F81" s="524" t="s">
        <v>1724</v>
      </c>
      <c r="G81" s="524" t="s">
        <v>1725</v>
      </c>
      <c r="H81" s="485"/>
      <c r="I81" s="485"/>
      <c r="J81" s="485"/>
      <c r="K81" s="486"/>
      <c r="L81" s="487"/>
      <c r="M81" s="488"/>
      <c r="N81" s="2745"/>
      <c r="O81" s="2745"/>
      <c r="P81" s="2754"/>
      <c r="Q81" s="2731"/>
      <c r="R81" s="2717"/>
      <c r="S81" s="2717"/>
      <c r="T81" s="2717"/>
      <c r="U81" s="2717"/>
      <c r="V81" s="2717"/>
      <c r="W81" s="2717"/>
      <c r="X81" s="2717"/>
      <c r="Y81" s="2717"/>
      <c r="Z81" s="2717"/>
      <c r="AA81" s="2717"/>
      <c r="AB81" s="2717"/>
      <c r="AC81" s="2717"/>
    </row>
    <row r="82" spans="1:29" ht="15.75" thickBot="1">
      <c r="A82" s="480"/>
      <c r="B82" s="489"/>
      <c r="C82" s="490">
        <v>100</v>
      </c>
      <c r="D82" s="490">
        <f>C82-$K19</f>
        <v>100</v>
      </c>
      <c r="E82" s="490">
        <f>D82-$K19</f>
        <v>100</v>
      </c>
      <c r="F82" s="490">
        <f>E82-$K19</f>
        <v>100</v>
      </c>
      <c r="G82" s="490">
        <f>F82-$K19</f>
        <v>100</v>
      </c>
      <c r="H82" s="490"/>
      <c r="I82" s="490"/>
      <c r="J82" s="490"/>
      <c r="K82" s="490"/>
      <c r="L82" s="490"/>
      <c r="M82" s="491"/>
      <c r="N82" s="2746"/>
      <c r="O82" s="2746"/>
      <c r="P82" s="2754"/>
      <c r="Q82" s="2731"/>
      <c r="R82" s="2717"/>
      <c r="S82" s="2717"/>
      <c r="T82" s="2717"/>
      <c r="U82" s="2717"/>
      <c r="V82" s="2717"/>
      <c r="W82" s="2717"/>
      <c r="X82" s="2717"/>
      <c r="Y82" s="2717"/>
      <c r="Z82" s="2717"/>
      <c r="AA82" s="2717"/>
      <c r="AB82" s="2717"/>
      <c r="AC82" s="2717"/>
    </row>
    <row r="83" spans="1:29" ht="15.75" thickTop="1">
      <c r="A83" s="480"/>
      <c r="B83" s="492" t="s">
        <v>1813</v>
      </c>
      <c r="C83" s="605" t="s">
        <v>1799</v>
      </c>
      <c r="D83" s="605" t="s">
        <v>1800</v>
      </c>
      <c r="E83" s="605" t="s">
        <v>1801</v>
      </c>
      <c r="F83" s="605" t="s">
        <v>1802</v>
      </c>
      <c r="G83" s="605" t="s">
        <v>1803</v>
      </c>
      <c r="H83" s="485"/>
      <c r="I83" s="485"/>
      <c r="J83" s="485"/>
      <c r="K83" s="485"/>
      <c r="L83" s="485"/>
      <c r="M83" s="1125"/>
      <c r="N83" s="2746"/>
      <c r="O83" s="2746"/>
      <c r="P83" s="2754"/>
      <c r="Q83" s="2731"/>
      <c r="R83" s="2717"/>
      <c r="S83" s="2717"/>
      <c r="T83" s="2717"/>
      <c r="U83" s="2717"/>
      <c r="V83" s="2717"/>
      <c r="W83" s="2717"/>
      <c r="X83" s="2717"/>
      <c r="Y83" s="2717"/>
      <c r="Z83" s="2717"/>
      <c r="AA83" s="2717"/>
      <c r="AB83" s="2717"/>
      <c r="AC83" s="2717"/>
    </row>
    <row r="84" spans="1:29" ht="15.75" thickBot="1">
      <c r="A84" s="480"/>
      <c r="B84" s="492"/>
      <c r="C84" s="490">
        <v>100</v>
      </c>
      <c r="D84" s="490">
        <f>C84-$K21</f>
        <v>100</v>
      </c>
      <c r="E84" s="490">
        <f>D84-$K21</f>
        <v>100</v>
      </c>
      <c r="F84" s="490">
        <f>E84-$K21</f>
        <v>100</v>
      </c>
      <c r="G84" s="490">
        <f>F84-$K21</f>
        <v>100</v>
      </c>
      <c r="H84" s="605"/>
      <c r="I84" s="605"/>
      <c r="J84" s="605"/>
      <c r="K84" s="605"/>
      <c r="L84" s="605"/>
      <c r="M84" s="398"/>
      <c r="N84" s="2746"/>
      <c r="O84" s="2746"/>
      <c r="P84" s="2754"/>
      <c r="Q84" s="2731"/>
      <c r="R84" s="2717"/>
      <c r="S84" s="2717"/>
      <c r="T84" s="2717"/>
      <c r="U84" s="2717"/>
      <c r="V84" s="2717"/>
      <c r="W84" s="2717"/>
      <c r="X84" s="2717"/>
      <c r="Y84" s="2717"/>
      <c r="Z84" s="2717"/>
      <c r="AA84" s="2717"/>
      <c r="AB84" s="2717"/>
      <c r="AC84" s="2717"/>
    </row>
    <row r="85" spans="1:29" ht="15.75" thickTop="1">
      <c r="A85" s="480"/>
      <c r="B85" s="484" t="s">
        <v>1822</v>
      </c>
      <c r="C85" s="524" t="s">
        <v>1721</v>
      </c>
      <c r="D85" s="524" t="s">
        <v>1722</v>
      </c>
      <c r="E85" s="524" t="s">
        <v>1723</v>
      </c>
      <c r="F85" s="524" t="s">
        <v>1724</v>
      </c>
      <c r="G85" s="524" t="s">
        <v>1725</v>
      </c>
      <c r="H85" s="485"/>
      <c r="I85" s="485"/>
      <c r="J85" s="485"/>
      <c r="K85" s="486"/>
      <c r="L85" s="487"/>
      <c r="M85" s="488"/>
      <c r="N85" s="2745"/>
      <c r="O85" s="2745"/>
      <c r="P85" s="2754"/>
      <c r="Q85" s="2731"/>
      <c r="R85" s="2717"/>
      <c r="S85" s="2717"/>
      <c r="T85" s="2717"/>
      <c r="U85" s="2717"/>
      <c r="V85" s="2717"/>
      <c r="W85" s="2717"/>
      <c r="X85" s="2717"/>
      <c r="Y85" s="2717"/>
      <c r="Z85" s="2717"/>
      <c r="AA85" s="2717"/>
      <c r="AB85" s="2717"/>
      <c r="AC85" s="2717"/>
    </row>
    <row r="86" spans="1:29" ht="15.75" thickBot="1">
      <c r="A86" s="480"/>
      <c r="B86" s="489"/>
      <c r="C86" s="490">
        <v>100</v>
      </c>
      <c r="D86" s="490">
        <f>C86-$K23</f>
        <v>100</v>
      </c>
      <c r="E86" s="490">
        <f>D86-$K23</f>
        <v>100</v>
      </c>
      <c r="F86" s="490">
        <f>E86-$K23</f>
        <v>100</v>
      </c>
      <c r="G86" s="490">
        <f>F86-$K23</f>
        <v>100</v>
      </c>
      <c r="H86" s="490"/>
      <c r="I86" s="490"/>
      <c r="J86" s="490"/>
      <c r="K86" s="490"/>
      <c r="L86" s="490"/>
      <c r="M86" s="491"/>
      <c r="N86" s="2746"/>
      <c r="O86" s="2746"/>
      <c r="P86" s="2754"/>
      <c r="Q86" s="2731"/>
      <c r="R86" s="2717"/>
      <c r="S86" s="2717"/>
      <c r="T86" s="2717"/>
      <c r="U86" s="2717"/>
      <c r="V86" s="2717"/>
      <c r="W86" s="2717"/>
      <c r="X86" s="2717"/>
      <c r="Y86" s="2717"/>
      <c r="Z86" s="2717"/>
      <c r="AA86" s="2717"/>
      <c r="AB86" s="2717"/>
      <c r="AC86" s="2717"/>
    </row>
    <row r="87" spans="1:29" s="108" customFormat="1" ht="27.75" thickTop="1">
      <c r="A87" s="525"/>
      <c r="B87" s="484" t="s">
        <v>1823</v>
      </c>
      <c r="C87" s="500"/>
      <c r="D87" s="500"/>
      <c r="E87" s="500"/>
      <c r="F87" s="500"/>
      <c r="G87" s="500"/>
      <c r="H87" s="500"/>
      <c r="I87" s="500"/>
      <c r="J87" s="500"/>
      <c r="K87" s="500"/>
      <c r="L87" s="526"/>
      <c r="M87" s="527"/>
      <c r="N87" s="2744"/>
      <c r="O87" s="2744"/>
      <c r="P87" s="2754"/>
      <c r="Q87" s="2731"/>
      <c r="R87" s="2653"/>
      <c r="S87" s="2653"/>
      <c r="T87" s="2653"/>
      <c r="U87" s="2653"/>
      <c r="V87" s="2653"/>
      <c r="W87" s="2653"/>
      <c r="X87" s="2653"/>
      <c r="Y87" s="2653"/>
      <c r="Z87" s="2653"/>
      <c r="AA87" s="2653"/>
      <c r="AB87" s="2653"/>
      <c r="AC87" s="2653"/>
    </row>
    <row r="88" spans="1:29" s="108" customFormat="1" ht="15.75" thickBot="1">
      <c r="A88" s="525"/>
      <c r="B88" s="489"/>
      <c r="C88" s="528">
        <v>100</v>
      </c>
      <c r="D88" s="490">
        <f t="shared" ref="D88:M88" si="19">C88-$K25</f>
        <v>100</v>
      </c>
      <c r="E88" s="490">
        <f t="shared" si="19"/>
        <v>100</v>
      </c>
      <c r="F88" s="490">
        <f t="shared" si="19"/>
        <v>100</v>
      </c>
      <c r="G88" s="490">
        <f t="shared" si="19"/>
        <v>100</v>
      </c>
      <c r="H88" s="490">
        <f t="shared" si="19"/>
        <v>100</v>
      </c>
      <c r="I88" s="490">
        <f t="shared" si="19"/>
        <v>100</v>
      </c>
      <c r="J88" s="490">
        <f t="shared" si="19"/>
        <v>100</v>
      </c>
      <c r="K88" s="490">
        <f t="shared" si="19"/>
        <v>100</v>
      </c>
      <c r="L88" s="490">
        <f t="shared" si="19"/>
        <v>100</v>
      </c>
      <c r="M88" s="490">
        <f t="shared" si="19"/>
        <v>100</v>
      </c>
      <c r="N88" s="2746"/>
      <c r="O88" s="2746"/>
      <c r="P88" s="2754"/>
      <c r="Q88" s="2731"/>
      <c r="R88" s="2653"/>
      <c r="S88" s="2653"/>
      <c r="T88" s="2653"/>
      <c r="U88" s="2653"/>
      <c r="V88" s="2653"/>
      <c r="W88" s="2653"/>
      <c r="X88" s="2653"/>
      <c r="Y88" s="2653"/>
      <c r="Z88" s="2653"/>
      <c r="AA88" s="2653"/>
      <c r="AB88" s="2653"/>
      <c r="AC88" s="2653"/>
    </row>
    <row r="89" spans="1:29" s="108" customFormat="1" ht="15.75" thickTop="1">
      <c r="A89" s="525"/>
      <c r="B89" s="484" t="str">
        <f>B27</f>
        <v>楼层</v>
      </c>
      <c r="C89" s="500"/>
      <c r="D89" s="500"/>
      <c r="E89" s="500"/>
      <c r="F89" s="1920"/>
      <c r="G89" s="500"/>
      <c r="H89" s="500"/>
      <c r="I89" s="500"/>
      <c r="J89" s="500"/>
      <c r="K89" s="500"/>
      <c r="L89" s="500"/>
      <c r="M89" s="527"/>
      <c r="N89" s="2744"/>
      <c r="O89" s="2744"/>
      <c r="P89" s="2754"/>
      <c r="Q89" s="2731"/>
      <c r="R89" s="2653"/>
      <c r="S89" s="2653"/>
      <c r="T89" s="2653"/>
      <c r="U89" s="2653"/>
      <c r="V89" s="2653"/>
      <c r="W89" s="2653"/>
      <c r="X89" s="2653"/>
      <c r="Y89" s="2653"/>
      <c r="Z89" s="2653"/>
      <c r="AA89" s="2653"/>
      <c r="AB89" s="2653"/>
      <c r="AC89" s="2653"/>
    </row>
    <row r="90" spans="1:29" s="108" customFormat="1" ht="15.75" thickBot="1">
      <c r="A90" s="525"/>
      <c r="B90" s="489"/>
      <c r="C90" s="528">
        <v>100</v>
      </c>
      <c r="D90" s="490">
        <f>C90-$K27</f>
        <v>100</v>
      </c>
      <c r="E90" s="490">
        <f t="shared" ref="E90:M90" si="20">D90-$K27</f>
        <v>100</v>
      </c>
      <c r="F90" s="490">
        <f t="shared" si="20"/>
        <v>100</v>
      </c>
      <c r="G90" s="490">
        <f t="shared" si="20"/>
        <v>100</v>
      </c>
      <c r="H90" s="490">
        <f t="shared" si="20"/>
        <v>100</v>
      </c>
      <c r="I90" s="490">
        <f t="shared" si="20"/>
        <v>100</v>
      </c>
      <c r="J90" s="490">
        <f t="shared" si="20"/>
        <v>100</v>
      </c>
      <c r="K90" s="490">
        <f t="shared" si="20"/>
        <v>100</v>
      </c>
      <c r="L90" s="490">
        <f t="shared" si="20"/>
        <v>100</v>
      </c>
      <c r="M90" s="490">
        <f t="shared" si="20"/>
        <v>100</v>
      </c>
      <c r="N90" s="2746"/>
      <c r="O90" s="2746"/>
      <c r="P90" s="2754"/>
      <c r="Q90" s="2731"/>
      <c r="R90" s="2653"/>
      <c r="S90" s="2653"/>
      <c r="T90" s="2653"/>
      <c r="U90" s="2653"/>
      <c r="V90" s="2653"/>
      <c r="W90" s="2653"/>
      <c r="X90" s="2653"/>
      <c r="Y90" s="2653"/>
      <c r="Z90" s="2653"/>
      <c r="AA90" s="2653"/>
      <c r="AB90" s="2653"/>
      <c r="AC90" s="2653"/>
    </row>
    <row r="91" spans="1:29" s="419" customFormat="1" ht="15.75" thickTop="1">
      <c r="A91" s="499"/>
      <c r="B91" s="484" t="str">
        <f>B28</f>
        <v>朝向</v>
      </c>
      <c r="C91" s="500"/>
      <c r="D91" s="500"/>
      <c r="E91" s="500"/>
      <c r="F91" s="500"/>
      <c r="G91" s="500"/>
      <c r="H91" s="501"/>
      <c r="I91" s="501"/>
      <c r="J91" s="501"/>
      <c r="K91" s="501"/>
      <c r="L91" s="502"/>
      <c r="M91" s="503"/>
      <c r="N91" s="2747"/>
      <c r="O91" s="2747"/>
      <c r="P91" s="2755"/>
      <c r="Q91" s="2738"/>
      <c r="R91" s="2739"/>
      <c r="S91" s="2739"/>
      <c r="T91" s="2739"/>
      <c r="U91" s="2739"/>
      <c r="V91" s="2739"/>
      <c r="W91" s="2739"/>
      <c r="X91" s="2739"/>
      <c r="Y91" s="2739"/>
      <c r="Z91" s="2739"/>
      <c r="AA91" s="2739"/>
      <c r="AB91" s="2739"/>
      <c r="AC91" s="2739"/>
    </row>
    <row r="92" spans="1:29" s="419" customFormat="1" ht="15.75" thickBot="1">
      <c r="A92" s="499"/>
      <c r="B92" s="489"/>
      <c r="C92" s="528">
        <v>100</v>
      </c>
      <c r="D92" s="490">
        <f t="shared" ref="D92:M92" si="21">C92-$K28</f>
        <v>100</v>
      </c>
      <c r="E92" s="490">
        <f t="shared" si="21"/>
        <v>100</v>
      </c>
      <c r="F92" s="490">
        <f t="shared" si="21"/>
        <v>100</v>
      </c>
      <c r="G92" s="490">
        <f t="shared" si="21"/>
        <v>100</v>
      </c>
      <c r="H92" s="490">
        <f t="shared" si="21"/>
        <v>100</v>
      </c>
      <c r="I92" s="490">
        <f t="shared" si="21"/>
        <v>100</v>
      </c>
      <c r="J92" s="490">
        <f t="shared" si="21"/>
        <v>100</v>
      </c>
      <c r="K92" s="490">
        <f t="shared" si="21"/>
        <v>100</v>
      </c>
      <c r="L92" s="490">
        <f t="shared" si="21"/>
        <v>100</v>
      </c>
      <c r="M92" s="490">
        <f t="shared" si="21"/>
        <v>100</v>
      </c>
      <c r="N92" s="2747"/>
      <c r="O92" s="2747"/>
      <c r="P92" s="2755"/>
      <c r="Q92" s="2738"/>
      <c r="R92" s="2739"/>
      <c r="S92" s="2739"/>
      <c r="T92" s="2739"/>
      <c r="U92" s="2739"/>
      <c r="V92" s="2739"/>
      <c r="W92" s="2739"/>
      <c r="X92" s="2739"/>
      <c r="Y92" s="2739"/>
      <c r="Z92" s="2739"/>
      <c r="AA92" s="2739"/>
      <c r="AB92" s="2739"/>
      <c r="AC92" s="2739"/>
    </row>
    <row r="93" spans="1:29" ht="15.75" thickTop="1">
      <c r="A93" s="480"/>
      <c r="B93" s="484">
        <f>B29</f>
        <v>111</v>
      </c>
      <c r="C93" s="500"/>
      <c r="D93" s="500"/>
      <c r="E93" s="500"/>
      <c r="F93" s="500"/>
      <c r="G93" s="500"/>
      <c r="H93" s="500"/>
      <c r="I93" s="500"/>
      <c r="J93" s="500"/>
      <c r="K93" s="500"/>
      <c r="L93" s="526"/>
      <c r="M93" s="527"/>
      <c r="N93" s="2745"/>
      <c r="O93" s="2745"/>
      <c r="P93" s="2754"/>
      <c r="Q93" s="2731"/>
      <c r="R93" s="2717"/>
      <c r="S93" s="2717"/>
      <c r="T93" s="2717"/>
      <c r="U93" s="2717"/>
      <c r="V93" s="2717"/>
      <c r="W93" s="2717"/>
      <c r="X93" s="2717"/>
      <c r="Y93" s="2717"/>
      <c r="Z93" s="2717"/>
      <c r="AA93" s="2717"/>
      <c r="AB93" s="2717"/>
      <c r="AC93" s="2717"/>
    </row>
    <row r="94" spans="1:29" ht="15.75" thickBot="1">
      <c r="A94" s="480"/>
      <c r="B94" s="489"/>
      <c r="C94" s="506"/>
      <c r="D94" s="482"/>
      <c r="E94" s="482"/>
      <c r="F94" s="482"/>
      <c r="G94" s="482"/>
      <c r="H94" s="482"/>
      <c r="I94" s="482"/>
      <c r="J94" s="482"/>
      <c r="K94" s="482"/>
      <c r="L94" s="482"/>
      <c r="M94" s="483"/>
      <c r="N94" s="2746"/>
      <c r="O94" s="2746"/>
      <c r="P94" s="2754"/>
      <c r="Q94" s="2731"/>
      <c r="R94" s="2717"/>
      <c r="S94" s="2717"/>
      <c r="T94" s="2717"/>
      <c r="U94" s="2717"/>
      <c r="V94" s="2717"/>
      <c r="W94" s="2717"/>
      <c r="X94" s="2717"/>
      <c r="Y94" s="2717"/>
      <c r="Z94" s="2717"/>
      <c r="AA94" s="2717"/>
      <c r="AB94" s="2717"/>
      <c r="AC94" s="2717"/>
    </row>
    <row r="95" spans="1:29" ht="15.75" thickTop="1">
      <c r="A95" s="480"/>
      <c r="B95" s="484">
        <f>B30</f>
        <v>111</v>
      </c>
      <c r="C95" s="500"/>
      <c r="D95" s="500"/>
      <c r="E95" s="500"/>
      <c r="F95" s="500"/>
      <c r="G95" s="529"/>
      <c r="H95" s="529"/>
      <c r="I95" s="529"/>
      <c r="J95" s="529"/>
      <c r="K95" s="530"/>
      <c r="L95" s="531"/>
      <c r="M95" s="532"/>
      <c r="N95" s="2745"/>
      <c r="O95" s="2745"/>
      <c r="P95" s="2754"/>
      <c r="Q95" s="2731"/>
      <c r="R95" s="2717"/>
      <c r="S95" s="2717"/>
      <c r="T95" s="2717"/>
      <c r="U95" s="2717"/>
      <c r="V95" s="2717"/>
      <c r="W95" s="2717"/>
      <c r="X95" s="2717"/>
      <c r="Y95" s="2717"/>
      <c r="Z95" s="2717"/>
      <c r="AA95" s="2717"/>
      <c r="AB95" s="2717"/>
      <c r="AC95" s="2717"/>
    </row>
    <row r="96" spans="1:29" ht="15.75" thickBot="1">
      <c r="A96" s="480"/>
      <c r="B96" s="489"/>
      <c r="C96" s="506"/>
      <c r="D96" s="506"/>
      <c r="E96" s="506"/>
      <c r="F96" s="506"/>
      <c r="G96" s="482"/>
      <c r="H96" s="482"/>
      <c r="I96" s="482"/>
      <c r="J96" s="482"/>
      <c r="K96" s="482"/>
      <c r="L96" s="482"/>
      <c r="M96" s="483"/>
      <c r="N96" s="2746"/>
      <c r="O96" s="2746"/>
      <c r="P96" s="2754"/>
      <c r="Q96" s="2731"/>
      <c r="R96" s="2717"/>
      <c r="S96" s="2717"/>
      <c r="T96" s="2717"/>
      <c r="U96" s="2717"/>
      <c r="V96" s="2717"/>
      <c r="W96" s="2717"/>
      <c r="X96" s="2717"/>
      <c r="Y96" s="2717"/>
      <c r="Z96" s="2717"/>
      <c r="AA96" s="2717"/>
      <c r="AB96" s="2717"/>
      <c r="AC96" s="2717"/>
    </row>
    <row r="97" spans="1:29" ht="15.75" thickTop="1">
      <c r="A97" s="480"/>
      <c r="B97" s="484">
        <f>B31</f>
        <v>111</v>
      </c>
      <c r="C97" s="500"/>
      <c r="D97" s="500"/>
      <c r="E97" s="500"/>
      <c r="F97" s="500"/>
      <c r="G97" s="529"/>
      <c r="H97" s="529"/>
      <c r="I97" s="529"/>
      <c r="J97" s="529"/>
      <c r="K97" s="530"/>
      <c r="L97" s="531"/>
      <c r="M97" s="532"/>
      <c r="N97" s="2745"/>
      <c r="O97" s="2745"/>
      <c r="P97" s="2754"/>
      <c r="Q97" s="2731"/>
      <c r="R97" s="2717"/>
      <c r="S97" s="2717"/>
      <c r="T97" s="2717"/>
      <c r="U97" s="2717"/>
      <c r="V97" s="2717"/>
      <c r="W97" s="2717"/>
      <c r="X97" s="2717"/>
      <c r="Y97" s="2717"/>
      <c r="Z97" s="2717"/>
      <c r="AA97" s="2717"/>
      <c r="AB97" s="2717"/>
      <c r="AC97" s="2717"/>
    </row>
    <row r="98" spans="1:29" ht="15.75" thickBot="1">
      <c r="A98" s="480"/>
      <c r="B98" s="489"/>
      <c r="C98" s="506"/>
      <c r="D98" s="482"/>
      <c r="E98" s="482"/>
      <c r="F98" s="482"/>
      <c r="G98" s="482"/>
      <c r="H98" s="482"/>
      <c r="I98" s="482"/>
      <c r="J98" s="482"/>
      <c r="K98" s="482"/>
      <c r="L98" s="482"/>
      <c r="M98" s="483"/>
      <c r="N98" s="2746"/>
      <c r="O98" s="2746"/>
      <c r="P98" s="2754"/>
      <c r="Q98" s="2731"/>
      <c r="R98" s="2717"/>
      <c r="S98" s="2717"/>
      <c r="T98" s="2717"/>
      <c r="U98" s="2717"/>
      <c r="V98" s="2717"/>
      <c r="W98" s="2717"/>
      <c r="X98" s="2717"/>
      <c r="Y98" s="2717"/>
      <c r="Z98" s="2717"/>
      <c r="AA98" s="2717"/>
      <c r="AB98" s="2717"/>
      <c r="AC98" s="2717"/>
    </row>
    <row r="99" spans="1:29" ht="15.75" thickTop="1">
      <c r="A99" s="480"/>
      <c r="B99" s="492">
        <f>B32</f>
        <v>111</v>
      </c>
      <c r="C99" s="469"/>
      <c r="D99" s="469"/>
      <c r="E99" s="469"/>
      <c r="F99" s="469"/>
      <c r="G99" s="533"/>
      <c r="H99" s="533"/>
      <c r="I99" s="533"/>
      <c r="J99" s="533"/>
      <c r="K99" s="534"/>
      <c r="L99" s="535"/>
      <c r="M99" s="536"/>
      <c r="N99" s="2745"/>
      <c r="O99" s="2745"/>
      <c r="P99" s="2754"/>
      <c r="Q99" s="2731"/>
      <c r="R99" s="2717"/>
      <c r="S99" s="2717"/>
      <c r="T99" s="2717"/>
      <c r="U99" s="2717"/>
      <c r="V99" s="2717"/>
      <c r="W99" s="2717"/>
      <c r="X99" s="2717"/>
      <c r="Y99" s="2717"/>
      <c r="Z99" s="2717"/>
      <c r="AA99" s="2717"/>
      <c r="AB99" s="2717"/>
      <c r="AC99" s="2717"/>
    </row>
    <row r="100" spans="1:29" ht="15.75" thickBot="1">
      <c r="A100" s="1921"/>
      <c r="B100" s="515"/>
      <c r="C100" s="516"/>
      <c r="D100" s="516"/>
      <c r="E100" s="516"/>
      <c r="F100" s="516"/>
      <c r="G100" s="537"/>
      <c r="H100" s="537"/>
      <c r="I100" s="537"/>
      <c r="J100" s="537"/>
      <c r="K100" s="537"/>
      <c r="L100" s="537"/>
      <c r="M100" s="538"/>
      <c r="N100" s="2746"/>
      <c r="O100" s="2746"/>
      <c r="P100" s="2754"/>
      <c r="Q100" s="2731"/>
      <c r="R100" s="2717"/>
      <c r="S100" s="2717"/>
      <c r="T100" s="2717"/>
      <c r="U100" s="2717"/>
      <c r="V100" s="2717"/>
      <c r="W100" s="2717"/>
      <c r="X100" s="2717"/>
      <c r="Y100" s="2717"/>
      <c r="Z100" s="2717"/>
      <c r="AA100" s="2717"/>
      <c r="AB100" s="2717"/>
      <c r="AC100" s="2717"/>
    </row>
    <row r="101" spans="1:29">
      <c r="A101" s="473" t="s">
        <v>1694</v>
      </c>
      <c r="B101" s="474" t="s">
        <v>1736</v>
      </c>
      <c r="C101" s="476"/>
      <c r="D101" s="476"/>
      <c r="E101" s="476"/>
      <c r="F101" s="476"/>
      <c r="G101" s="476"/>
      <c r="H101" s="476"/>
      <c r="I101" s="476"/>
      <c r="J101" s="476"/>
      <c r="K101" s="477"/>
      <c r="L101" s="478"/>
      <c r="M101" s="479"/>
      <c r="N101" s="2745"/>
      <c r="O101" s="2745"/>
      <c r="P101" s="2754"/>
      <c r="Q101" s="2731"/>
      <c r="R101" s="2717"/>
      <c r="S101" s="2717"/>
      <c r="T101" s="2717"/>
      <c r="U101" s="2717"/>
      <c r="V101" s="2717"/>
      <c r="W101" s="2717"/>
      <c r="X101" s="2717"/>
      <c r="Y101" s="2717"/>
      <c r="Z101" s="2717"/>
      <c r="AA101" s="2717"/>
      <c r="AB101" s="2717"/>
      <c r="AC101" s="2717"/>
    </row>
    <row r="102" spans="1:29" ht="15.75" thickBot="1">
      <c r="A102" s="480"/>
      <c r="B102" s="489"/>
      <c r="C102" s="490">
        <v>100</v>
      </c>
      <c r="D102" s="490">
        <f t="shared" ref="D102:M102" si="22">C102-$K33</f>
        <v>100</v>
      </c>
      <c r="E102" s="490">
        <f t="shared" si="22"/>
        <v>100</v>
      </c>
      <c r="F102" s="490">
        <f t="shared" si="22"/>
        <v>100</v>
      </c>
      <c r="G102" s="490">
        <f t="shared" si="22"/>
        <v>100</v>
      </c>
      <c r="H102" s="490">
        <f t="shared" si="22"/>
        <v>100</v>
      </c>
      <c r="I102" s="490">
        <f t="shared" si="22"/>
        <v>100</v>
      </c>
      <c r="J102" s="490">
        <f t="shared" si="22"/>
        <v>100</v>
      </c>
      <c r="K102" s="490">
        <f t="shared" si="22"/>
        <v>100</v>
      </c>
      <c r="L102" s="490">
        <f t="shared" si="22"/>
        <v>100</v>
      </c>
      <c r="M102" s="491">
        <f t="shared" si="22"/>
        <v>100</v>
      </c>
      <c r="N102" s="2746"/>
      <c r="O102" s="2746"/>
      <c r="P102" s="2754"/>
      <c r="Q102" s="2731"/>
      <c r="R102" s="2717"/>
      <c r="S102" s="2717"/>
      <c r="T102" s="2717"/>
      <c r="U102" s="2717"/>
      <c r="V102" s="2717"/>
      <c r="W102" s="2717"/>
      <c r="X102" s="2717"/>
      <c r="Y102" s="2717"/>
      <c r="Z102" s="2717"/>
      <c r="AA102" s="2717"/>
      <c r="AB102" s="2717"/>
      <c r="AC102" s="2717"/>
    </row>
    <row r="103" spans="1:29" ht="15.75" thickTop="1">
      <c r="A103" s="480"/>
      <c r="B103" s="484" t="s">
        <v>1737</v>
      </c>
      <c r="C103" s="524" t="str">
        <f>C104&amp;"(含)"&amp;"-"&amp;D104</f>
        <v>(含)-</v>
      </c>
      <c r="D103" s="524" t="str">
        <f t="shared" ref="D103:L103" si="23">D104&amp;"(含)"&amp;"-"&amp;E104</f>
        <v>(含)-</v>
      </c>
      <c r="E103" s="524" t="str">
        <f t="shared" si="23"/>
        <v>(含)-</v>
      </c>
      <c r="F103" s="524" t="str">
        <f t="shared" si="23"/>
        <v>(含)-</v>
      </c>
      <c r="G103" s="524" t="str">
        <f t="shared" si="23"/>
        <v>(含)-</v>
      </c>
      <c r="H103" s="524" t="str">
        <f t="shared" si="23"/>
        <v>(含)-</v>
      </c>
      <c r="I103" s="524" t="str">
        <f t="shared" si="23"/>
        <v>(含)-</v>
      </c>
      <c r="J103" s="524" t="str">
        <f t="shared" si="23"/>
        <v>(含)-</v>
      </c>
      <c r="K103" s="524" t="str">
        <f t="shared" si="23"/>
        <v>(含)-</v>
      </c>
      <c r="L103" s="524" t="str">
        <f t="shared" si="23"/>
        <v>(含)-</v>
      </c>
      <c r="M103" s="567" t="str">
        <f>M104&amp;"(含)"&amp;"-"&amp;P104</f>
        <v>(含)-</v>
      </c>
      <c r="N103" s="2744"/>
      <c r="O103" s="2744"/>
      <c r="P103" s="2754"/>
      <c r="Q103" s="2731"/>
      <c r="R103" s="2717"/>
      <c r="S103" s="2717"/>
      <c r="T103" s="2717"/>
      <c r="U103" s="2717"/>
      <c r="V103" s="2717"/>
      <c r="W103" s="2717"/>
      <c r="X103" s="2717"/>
      <c r="Y103" s="2717"/>
      <c r="Z103" s="2717"/>
      <c r="AA103" s="2717"/>
      <c r="AB103" s="2717"/>
      <c r="AC103" s="2717"/>
    </row>
    <row r="104" spans="1:29" s="419" customFormat="1">
      <c r="A104" s="539"/>
      <c r="B104" s="540"/>
      <c r="C104" s="541"/>
      <c r="D104" s="541"/>
      <c r="E104" s="541"/>
      <c r="F104" s="541"/>
      <c r="G104" s="541"/>
      <c r="H104" s="541"/>
      <c r="I104" s="541"/>
      <c r="J104" s="542"/>
      <c r="K104" s="542"/>
      <c r="L104" s="543"/>
      <c r="M104" s="544"/>
      <c r="N104" s="2747"/>
      <c r="O104" s="2747"/>
      <c r="P104" s="2755"/>
      <c r="Q104" s="2738"/>
      <c r="R104" s="2739"/>
      <c r="S104" s="2739"/>
      <c r="T104" s="2739"/>
      <c r="U104" s="2739"/>
      <c r="V104" s="2739"/>
      <c r="W104" s="2739"/>
      <c r="X104" s="2739"/>
      <c r="Y104" s="2739"/>
      <c r="Z104" s="2739"/>
      <c r="AA104" s="2739"/>
      <c r="AB104" s="2739"/>
      <c r="AC104" s="2739"/>
    </row>
    <row r="105" spans="1:29" s="419" customFormat="1" ht="15.75" thickBot="1">
      <c r="A105" s="499"/>
      <c r="B105" s="489"/>
      <c r="C105" s="506"/>
      <c r="D105" s="482"/>
      <c r="E105" s="482"/>
      <c r="F105" s="482"/>
      <c r="G105" s="482"/>
      <c r="H105" s="482"/>
      <c r="I105" s="482"/>
      <c r="J105" s="482"/>
      <c r="K105" s="482"/>
      <c r="L105" s="482"/>
      <c r="M105" s="483"/>
      <c r="N105" s="2746"/>
      <c r="O105" s="2746"/>
      <c r="P105" s="2755"/>
      <c r="Q105" s="2738"/>
      <c r="R105" s="2739"/>
      <c r="S105" s="2739"/>
      <c r="T105" s="2739"/>
      <c r="U105" s="2739"/>
      <c r="V105" s="2739"/>
      <c r="W105" s="2739"/>
      <c r="X105" s="2739"/>
      <c r="Y105" s="2739"/>
      <c r="Z105" s="2739"/>
      <c r="AA105" s="2739"/>
      <c r="AB105" s="2739"/>
      <c r="AC105" s="2739"/>
    </row>
    <row r="106" spans="1:29" ht="15" thickTop="1">
      <c r="A106" s="545"/>
      <c r="B106" s="484" t="s">
        <v>1738</v>
      </c>
      <c r="C106" s="500"/>
      <c r="D106" s="500"/>
      <c r="E106" s="529"/>
      <c r="F106" s="529"/>
      <c r="G106" s="529"/>
      <c r="H106" s="529"/>
      <c r="I106" s="529"/>
      <c r="J106" s="529"/>
      <c r="K106" s="530"/>
      <c r="L106" s="531"/>
      <c r="M106" s="532"/>
      <c r="N106" s="2745"/>
      <c r="O106" s="2745"/>
      <c r="P106" s="2754"/>
      <c r="Q106" s="2731"/>
      <c r="R106" s="2717"/>
      <c r="S106" s="2717"/>
      <c r="T106" s="2717"/>
      <c r="U106" s="2717"/>
      <c r="V106" s="2717"/>
      <c r="W106" s="2717"/>
      <c r="X106" s="2717"/>
      <c r="Y106" s="2717"/>
      <c r="Z106" s="2717"/>
      <c r="AA106" s="2717"/>
      <c r="AB106" s="2717"/>
      <c r="AC106" s="2717"/>
    </row>
    <row r="107" spans="1:29" ht="15.75" thickBot="1">
      <c r="A107" s="480"/>
      <c r="B107" s="489"/>
      <c r="C107" s="490">
        <v>100</v>
      </c>
      <c r="D107" s="490">
        <f t="shared" ref="D107:M107" si="24">C107-$K35</f>
        <v>100</v>
      </c>
      <c r="E107" s="490">
        <f t="shared" si="24"/>
        <v>100</v>
      </c>
      <c r="F107" s="490">
        <f t="shared" si="24"/>
        <v>100</v>
      </c>
      <c r="G107" s="490">
        <f t="shared" si="24"/>
        <v>100</v>
      </c>
      <c r="H107" s="490">
        <f t="shared" si="24"/>
        <v>100</v>
      </c>
      <c r="I107" s="490">
        <f t="shared" si="24"/>
        <v>100</v>
      </c>
      <c r="J107" s="490">
        <f t="shared" si="24"/>
        <v>100</v>
      </c>
      <c r="K107" s="490">
        <f t="shared" si="24"/>
        <v>100</v>
      </c>
      <c r="L107" s="490">
        <f t="shared" si="24"/>
        <v>100</v>
      </c>
      <c r="M107" s="491">
        <f t="shared" si="24"/>
        <v>100</v>
      </c>
      <c r="N107" s="2746"/>
      <c r="O107" s="2746"/>
      <c r="P107" s="2754"/>
      <c r="Q107" s="2731"/>
      <c r="R107" s="2717"/>
      <c r="S107" s="2717"/>
      <c r="T107" s="2717"/>
      <c r="U107" s="2717"/>
      <c r="V107" s="2717"/>
      <c r="W107" s="2717"/>
      <c r="X107" s="2717"/>
      <c r="Y107" s="2717"/>
      <c r="Z107" s="2717"/>
      <c r="AA107" s="2717"/>
      <c r="AB107" s="2717"/>
      <c r="AC107" s="2717"/>
    </row>
    <row r="108" spans="1:29" ht="15" thickTop="1">
      <c r="A108" s="545"/>
      <c r="B108" s="484" t="s">
        <v>1740</v>
      </c>
      <c r="C108" s="500"/>
      <c r="D108" s="500"/>
      <c r="E108" s="500"/>
      <c r="F108" s="529"/>
      <c r="G108" s="529"/>
      <c r="H108" s="529"/>
      <c r="I108" s="529"/>
      <c r="J108" s="529"/>
      <c r="K108" s="530"/>
      <c r="L108" s="531"/>
      <c r="M108" s="532"/>
      <c r="N108" s="2745"/>
      <c r="O108" s="2745"/>
      <c r="P108" s="2754"/>
      <c r="Q108" s="2731"/>
      <c r="R108" s="2717"/>
      <c r="S108" s="2717"/>
      <c r="T108" s="2717"/>
      <c r="U108" s="2717"/>
      <c r="V108" s="2717"/>
      <c r="W108" s="2717"/>
      <c r="X108" s="2717"/>
      <c r="Y108" s="2717"/>
      <c r="Z108" s="2717"/>
      <c r="AA108" s="2717"/>
      <c r="AB108" s="2717"/>
      <c r="AC108" s="2717"/>
    </row>
    <row r="109" spans="1:29" ht="15.75" thickBot="1">
      <c r="A109" s="480"/>
      <c r="B109" s="489"/>
      <c r="C109" s="490">
        <v>100</v>
      </c>
      <c r="D109" s="490">
        <f t="shared" ref="D109:M109" si="25">C109-$K36</f>
        <v>100</v>
      </c>
      <c r="E109" s="490">
        <f t="shared" si="25"/>
        <v>100</v>
      </c>
      <c r="F109" s="490">
        <f t="shared" si="25"/>
        <v>100</v>
      </c>
      <c r="G109" s="490">
        <f t="shared" si="25"/>
        <v>100</v>
      </c>
      <c r="H109" s="490">
        <f t="shared" si="25"/>
        <v>100</v>
      </c>
      <c r="I109" s="490">
        <f t="shared" si="25"/>
        <v>100</v>
      </c>
      <c r="J109" s="490">
        <f t="shared" si="25"/>
        <v>100</v>
      </c>
      <c r="K109" s="490">
        <f t="shared" si="25"/>
        <v>100</v>
      </c>
      <c r="L109" s="490">
        <f t="shared" si="25"/>
        <v>100</v>
      </c>
      <c r="M109" s="491">
        <f t="shared" si="25"/>
        <v>100</v>
      </c>
      <c r="N109" s="2746"/>
      <c r="O109" s="2746"/>
      <c r="P109" s="2754"/>
      <c r="Q109" s="2731"/>
      <c r="R109" s="2717"/>
      <c r="S109" s="2717"/>
      <c r="T109" s="2717"/>
      <c r="U109" s="2717"/>
      <c r="V109" s="2717"/>
      <c r="W109" s="2717"/>
      <c r="X109" s="2717"/>
      <c r="Y109" s="2717"/>
      <c r="Z109" s="2717"/>
      <c r="AA109" s="2717"/>
      <c r="AB109" s="2717"/>
      <c r="AC109" s="2717"/>
    </row>
    <row r="110" spans="1:29" ht="15" thickTop="1">
      <c r="A110" s="545"/>
      <c r="B110" s="484" t="s">
        <v>1190</v>
      </c>
      <c r="C110" s="524" t="str">
        <f>C111&amp;"(含)"&amp;"-"&amp;D111</f>
        <v>0.5(含)-0.6</v>
      </c>
      <c r="D110" s="524" t="str">
        <f>D111&amp;"(含)"&amp;"-"&amp;E111</f>
        <v>0.6(含)-0.7</v>
      </c>
      <c r="E110" s="524" t="str">
        <f>E111&amp;"(含)"&amp;"-"&amp;F111</f>
        <v>0.7(含)-0.8</v>
      </c>
      <c r="F110" s="524" t="str">
        <f>F111&amp;"(含)"&amp;"-"&amp;G111</f>
        <v>0.8(含)-0.9</v>
      </c>
      <c r="G110" s="524" t="str">
        <f>G111&amp;"(含)"&amp;"-"&amp;ROUND(H111,0)&amp;"(含)"</f>
        <v>0.9(含)-1(含)</v>
      </c>
      <c r="H110" s="524"/>
      <c r="I110" s="529"/>
      <c r="J110" s="529"/>
      <c r="K110" s="530"/>
      <c r="L110" s="531"/>
      <c r="M110" s="532"/>
      <c r="N110" s="2745"/>
      <c r="O110" s="2745"/>
      <c r="P110" s="2754"/>
      <c r="Q110" s="2731"/>
      <c r="R110" s="2717"/>
      <c r="S110" s="2717"/>
      <c r="T110" s="2717"/>
      <c r="U110" s="2717"/>
      <c r="V110" s="2717"/>
      <c r="W110" s="2717"/>
      <c r="X110" s="2717"/>
      <c r="Y110" s="2717"/>
      <c r="Z110" s="2717"/>
      <c r="AA110" s="2717"/>
      <c r="AB110" s="2717"/>
      <c r="AC110" s="2717"/>
    </row>
    <row r="111" spans="1:29">
      <c r="A111" s="545"/>
      <c r="B111" s="492"/>
      <c r="C111" s="549">
        <v>0.5</v>
      </c>
      <c r="D111" s="549">
        <v>0.6</v>
      </c>
      <c r="E111" s="549">
        <v>0.7</v>
      </c>
      <c r="F111" s="549">
        <v>0.8</v>
      </c>
      <c r="G111" s="549">
        <v>0.9</v>
      </c>
      <c r="H111" s="549">
        <v>1.0001</v>
      </c>
      <c r="I111" s="568"/>
      <c r="J111" s="568"/>
      <c r="K111" s="569"/>
      <c r="L111" s="570"/>
      <c r="M111" s="571"/>
      <c r="N111" s="2745"/>
      <c r="O111" s="2745"/>
      <c r="P111" s="2754"/>
      <c r="Q111" s="2731"/>
      <c r="R111" s="2717"/>
      <c r="S111" s="2717"/>
      <c r="T111" s="2717"/>
      <c r="U111" s="2717"/>
      <c r="V111" s="2717"/>
      <c r="W111" s="2717"/>
      <c r="X111" s="2717"/>
      <c r="Y111" s="2717"/>
      <c r="Z111" s="2717"/>
      <c r="AA111" s="2717"/>
      <c r="AB111" s="2717"/>
      <c r="AC111" s="2717"/>
    </row>
    <row r="112" spans="1:29" ht="15.75" thickBot="1">
      <c r="A112" s="480"/>
      <c r="B112" s="489"/>
      <c r="C112" s="528">
        <v>100</v>
      </c>
      <c r="D112" s="490">
        <f>C112+$K37</f>
        <v>100</v>
      </c>
      <c r="E112" s="490">
        <f t="shared" ref="E112:M112" si="26">D112+$K37</f>
        <v>100</v>
      </c>
      <c r="F112" s="490">
        <f t="shared" si="26"/>
        <v>100</v>
      </c>
      <c r="G112" s="490">
        <f t="shared" si="26"/>
        <v>100</v>
      </c>
      <c r="H112" s="490">
        <f t="shared" si="26"/>
        <v>100</v>
      </c>
      <c r="I112" s="490">
        <f t="shared" si="26"/>
        <v>100</v>
      </c>
      <c r="J112" s="490">
        <f t="shared" si="26"/>
        <v>100</v>
      </c>
      <c r="K112" s="490">
        <f t="shared" si="26"/>
        <v>100</v>
      </c>
      <c r="L112" s="490">
        <f t="shared" si="26"/>
        <v>100</v>
      </c>
      <c r="M112" s="490">
        <f t="shared" si="26"/>
        <v>100</v>
      </c>
      <c r="N112" s="2746"/>
      <c r="O112" s="2746"/>
      <c r="P112" s="2754"/>
      <c r="Q112" s="2731"/>
      <c r="R112" s="2717"/>
      <c r="S112" s="2717"/>
      <c r="T112" s="2717"/>
      <c r="U112" s="2717"/>
      <c r="V112" s="2717"/>
      <c r="W112" s="2717"/>
      <c r="X112" s="2717"/>
      <c r="Y112" s="2717"/>
      <c r="Z112" s="2717"/>
      <c r="AA112" s="2717"/>
      <c r="AB112" s="2717"/>
      <c r="AC112" s="2717"/>
    </row>
    <row r="113" spans="1:29" s="419" customFormat="1" ht="15" thickTop="1">
      <c r="A113" s="539"/>
      <c r="B113" s="484" t="s">
        <v>1824</v>
      </c>
      <c r="C113" s="500"/>
      <c r="D113" s="500"/>
      <c r="E113" s="500"/>
      <c r="F113" s="500"/>
      <c r="G113" s="500"/>
      <c r="H113" s="529"/>
      <c r="I113" s="529"/>
      <c r="J113" s="529"/>
      <c r="K113" s="530"/>
      <c r="L113" s="531"/>
      <c r="M113" s="532"/>
      <c r="N113" s="2747"/>
      <c r="O113" s="2747"/>
      <c r="P113" s="2755"/>
      <c r="Q113" s="2738"/>
      <c r="R113" s="2739"/>
      <c r="S113" s="2739"/>
      <c r="T113" s="2739"/>
      <c r="U113" s="2739"/>
      <c r="V113" s="2739"/>
      <c r="W113" s="2739"/>
      <c r="X113" s="2739"/>
      <c r="Y113" s="2739"/>
      <c r="Z113" s="2739"/>
      <c r="AA113" s="2739"/>
      <c r="AB113" s="2739"/>
      <c r="AC113" s="2739"/>
    </row>
    <row r="114" spans="1:29" s="419" customFormat="1" ht="15.75" thickBot="1">
      <c r="A114" s="499"/>
      <c r="B114" s="489"/>
      <c r="C114" s="490">
        <v>100</v>
      </c>
      <c r="D114" s="490">
        <f>C114-$K38</f>
        <v>100</v>
      </c>
      <c r="E114" s="490">
        <f t="shared" ref="E114:M114" si="27">D114-$K38</f>
        <v>100</v>
      </c>
      <c r="F114" s="490">
        <f t="shared" si="27"/>
        <v>100</v>
      </c>
      <c r="G114" s="490">
        <f t="shared" si="27"/>
        <v>100</v>
      </c>
      <c r="H114" s="490">
        <f t="shared" si="27"/>
        <v>100</v>
      </c>
      <c r="I114" s="490">
        <f t="shared" si="27"/>
        <v>100</v>
      </c>
      <c r="J114" s="490">
        <f t="shared" si="27"/>
        <v>100</v>
      </c>
      <c r="K114" s="490">
        <f t="shared" si="27"/>
        <v>100</v>
      </c>
      <c r="L114" s="490">
        <f t="shared" si="27"/>
        <v>100</v>
      </c>
      <c r="M114" s="490">
        <f t="shared" si="27"/>
        <v>100</v>
      </c>
      <c r="N114" s="2747"/>
      <c r="O114" s="2747"/>
      <c r="P114" s="2755"/>
      <c r="Q114" s="2738"/>
      <c r="R114" s="2739"/>
      <c r="S114" s="2739"/>
      <c r="T114" s="2739"/>
      <c r="U114" s="2739"/>
      <c r="V114" s="2739"/>
      <c r="W114" s="2739"/>
      <c r="X114" s="2739"/>
      <c r="Y114" s="2739"/>
      <c r="Z114" s="2739"/>
      <c r="AA114" s="2739"/>
      <c r="AB114" s="2739"/>
      <c r="AC114" s="2739"/>
    </row>
    <row r="115" spans="1:29" ht="15" thickTop="1">
      <c r="A115" s="545"/>
      <c r="B115" s="484" t="s">
        <v>1741</v>
      </c>
      <c r="C115" s="500"/>
      <c r="D115" s="500"/>
      <c r="E115" s="529"/>
      <c r="F115" s="529"/>
      <c r="G115" s="529"/>
      <c r="H115" s="529"/>
      <c r="I115" s="529"/>
      <c r="J115" s="529"/>
      <c r="K115" s="530"/>
      <c r="L115" s="531"/>
      <c r="M115" s="532"/>
      <c r="N115" s="2745"/>
      <c r="O115" s="2745"/>
      <c r="P115" s="2754"/>
      <c r="Q115" s="2731"/>
      <c r="R115" s="2717"/>
      <c r="S115" s="2717"/>
      <c r="T115" s="2717"/>
      <c r="U115" s="2717"/>
      <c r="V115" s="2717"/>
      <c r="W115" s="2717"/>
      <c r="X115" s="2717"/>
      <c r="Y115" s="2717"/>
      <c r="Z115" s="2717"/>
      <c r="AA115" s="2717"/>
      <c r="AB115" s="2717"/>
      <c r="AC115" s="2717"/>
    </row>
    <row r="116" spans="1:29" ht="15.75" thickBot="1">
      <c r="A116" s="480"/>
      <c r="B116" s="489"/>
      <c r="C116" s="490">
        <v>100</v>
      </c>
      <c r="D116" s="490">
        <f t="shared" ref="D116:M116" si="28">C116-$K39</f>
        <v>100</v>
      </c>
      <c r="E116" s="490">
        <f t="shared" si="28"/>
        <v>100</v>
      </c>
      <c r="F116" s="490">
        <f t="shared" si="28"/>
        <v>100</v>
      </c>
      <c r="G116" s="490">
        <f t="shared" si="28"/>
        <v>100</v>
      </c>
      <c r="H116" s="490">
        <f t="shared" si="28"/>
        <v>100</v>
      </c>
      <c r="I116" s="490">
        <f t="shared" si="28"/>
        <v>100</v>
      </c>
      <c r="J116" s="490">
        <f t="shared" si="28"/>
        <v>100</v>
      </c>
      <c r="K116" s="490">
        <f t="shared" si="28"/>
        <v>100</v>
      </c>
      <c r="L116" s="490">
        <f t="shared" si="28"/>
        <v>100</v>
      </c>
      <c r="M116" s="491">
        <f t="shared" si="28"/>
        <v>100</v>
      </c>
      <c r="N116" s="2746"/>
      <c r="O116" s="2746"/>
      <c r="P116" s="2754"/>
      <c r="Q116" s="2731"/>
      <c r="R116" s="2717"/>
      <c r="S116" s="2717"/>
      <c r="T116" s="2717"/>
      <c r="U116" s="2717"/>
      <c r="V116" s="2717"/>
      <c r="W116" s="2717"/>
      <c r="X116" s="2717"/>
      <c r="Y116" s="2717"/>
      <c r="Z116" s="2717"/>
      <c r="AA116" s="2717"/>
      <c r="AB116" s="2717"/>
      <c r="AC116" s="2717"/>
    </row>
    <row r="117" spans="1:29" ht="15" thickTop="1">
      <c r="A117" s="545"/>
      <c r="B117" s="484" t="s">
        <v>1742</v>
      </c>
      <c r="C117" s="500"/>
      <c r="D117" s="500"/>
      <c r="E117" s="500"/>
      <c r="F117" s="500"/>
      <c r="G117" s="500"/>
      <c r="H117" s="529"/>
      <c r="I117" s="529"/>
      <c r="J117" s="529"/>
      <c r="K117" s="530"/>
      <c r="L117" s="531"/>
      <c r="M117" s="532"/>
      <c r="N117" s="2745"/>
      <c r="O117" s="2745"/>
      <c r="P117" s="2754"/>
      <c r="Q117" s="2731"/>
      <c r="R117" s="2717"/>
      <c r="S117" s="2717"/>
      <c r="T117" s="2717"/>
      <c r="U117" s="2717"/>
      <c r="V117" s="2717"/>
      <c r="W117" s="2717"/>
      <c r="X117" s="2717"/>
      <c r="Y117" s="2717"/>
      <c r="Z117" s="2717"/>
      <c r="AA117" s="2717"/>
      <c r="AB117" s="2717"/>
      <c r="AC117" s="2717"/>
    </row>
    <row r="118" spans="1:29" ht="15.75" thickBot="1">
      <c r="A118" s="480"/>
      <c r="B118" s="489"/>
      <c r="C118" s="490">
        <v>100</v>
      </c>
      <c r="D118" s="490">
        <f>C118-$K40</f>
        <v>100</v>
      </c>
      <c r="E118" s="490">
        <f>D118-$K40</f>
        <v>100</v>
      </c>
      <c r="F118" s="490">
        <f>E118-$K40</f>
        <v>100</v>
      </c>
      <c r="G118" s="490">
        <f>F118-$K40</f>
        <v>100</v>
      </c>
      <c r="H118" s="490"/>
      <c r="I118" s="490"/>
      <c r="J118" s="490"/>
      <c r="K118" s="490"/>
      <c r="L118" s="490"/>
      <c r="M118" s="491"/>
      <c r="N118" s="2746"/>
      <c r="O118" s="2746"/>
      <c r="P118" s="2754"/>
      <c r="Q118" s="2731"/>
      <c r="R118" s="2717"/>
      <c r="S118" s="2717"/>
      <c r="T118" s="2717"/>
      <c r="U118" s="2717"/>
      <c r="V118" s="2717"/>
      <c r="W118" s="2717"/>
      <c r="X118" s="2717"/>
      <c r="Y118" s="2717"/>
      <c r="Z118" s="2717"/>
      <c r="AA118" s="2717"/>
      <c r="AB118" s="2717"/>
      <c r="AC118" s="2717"/>
    </row>
    <row r="119" spans="1:29" ht="15" thickTop="1">
      <c r="A119" s="545"/>
      <c r="B119" s="581" t="s">
        <v>1825</v>
      </c>
      <c r="C119" s="529"/>
      <c r="D119" s="529"/>
      <c r="E119" s="529"/>
      <c r="F119" s="529"/>
      <c r="G119" s="529"/>
      <c r="H119" s="529"/>
      <c r="I119" s="529"/>
      <c r="J119" s="529"/>
      <c r="K119" s="529"/>
      <c r="L119" s="1961"/>
      <c r="M119" s="1962"/>
      <c r="N119" s="2746"/>
      <c r="O119" s="2746"/>
      <c r="P119" s="2759"/>
      <c r="Q119" s="2760"/>
      <c r="R119" s="2717"/>
      <c r="S119" s="2717"/>
      <c r="T119" s="2717"/>
      <c r="U119" s="2717"/>
      <c r="V119" s="2717"/>
      <c r="W119" s="2717"/>
      <c r="X119" s="2717"/>
      <c r="Y119" s="2717"/>
      <c r="Z119" s="2717"/>
      <c r="AA119" s="2717"/>
      <c r="AB119" s="2717"/>
      <c r="AC119" s="2717"/>
    </row>
    <row r="120" spans="1:29" ht="15.75" thickBot="1">
      <c r="A120" s="480"/>
      <c r="B120" s="489"/>
      <c r="C120" s="528">
        <v>100</v>
      </c>
      <c r="D120" s="490">
        <f>C120-$K41</f>
        <v>100</v>
      </c>
      <c r="E120" s="490">
        <f t="shared" ref="E120:M120" si="29">D120-$K41</f>
        <v>100</v>
      </c>
      <c r="F120" s="490">
        <f t="shared" si="29"/>
        <v>100</v>
      </c>
      <c r="G120" s="490">
        <f t="shared" si="29"/>
        <v>100</v>
      </c>
      <c r="H120" s="490">
        <f t="shared" si="29"/>
        <v>100</v>
      </c>
      <c r="I120" s="490">
        <f t="shared" si="29"/>
        <v>100</v>
      </c>
      <c r="J120" s="490">
        <f t="shared" si="29"/>
        <v>100</v>
      </c>
      <c r="K120" s="490">
        <f t="shared" si="29"/>
        <v>100</v>
      </c>
      <c r="L120" s="490">
        <f t="shared" si="29"/>
        <v>100</v>
      </c>
      <c r="M120" s="490">
        <f t="shared" si="29"/>
        <v>100</v>
      </c>
      <c r="N120" s="2746"/>
      <c r="O120" s="2746"/>
      <c r="P120" s="2754"/>
      <c r="Q120" s="2731"/>
      <c r="R120" s="2717"/>
      <c r="S120" s="2717"/>
      <c r="T120" s="2717"/>
      <c r="U120" s="2717"/>
      <c r="V120" s="2717"/>
      <c r="W120" s="2717"/>
      <c r="X120" s="2717"/>
      <c r="Y120" s="2717"/>
      <c r="Z120" s="2717"/>
      <c r="AA120" s="2717"/>
      <c r="AB120" s="2717"/>
      <c r="AC120" s="2717"/>
    </row>
    <row r="121" spans="1:29" s="419" customFormat="1" ht="15" thickTop="1">
      <c r="A121" s="539"/>
      <c r="B121" s="484" t="s">
        <v>1808</v>
      </c>
      <c r="C121" s="500"/>
      <c r="D121" s="500"/>
      <c r="E121" s="500"/>
      <c r="F121" s="529"/>
      <c r="G121" s="501"/>
      <c r="H121" s="501"/>
      <c r="I121" s="501"/>
      <c r="J121" s="501"/>
      <c r="K121" s="501"/>
      <c r="L121" s="502"/>
      <c r="M121" s="503"/>
      <c r="N121" s="2747"/>
      <c r="O121" s="2747"/>
      <c r="P121" s="2755"/>
      <c r="Q121" s="2738"/>
      <c r="R121" s="2739"/>
      <c r="S121" s="2739"/>
      <c r="T121" s="2739"/>
      <c r="U121" s="2739"/>
      <c r="V121" s="2739"/>
      <c r="W121" s="2739"/>
      <c r="X121" s="2739"/>
      <c r="Y121" s="2739"/>
      <c r="Z121" s="2739"/>
      <c r="AA121" s="2739"/>
      <c r="AB121" s="2739"/>
      <c r="AC121" s="2739"/>
    </row>
    <row r="122" spans="1:29" s="419" customFormat="1" ht="15.75" thickBot="1">
      <c r="A122" s="499"/>
      <c r="B122" s="481"/>
      <c r="C122" s="506"/>
      <c r="D122" s="506"/>
      <c r="E122" s="506"/>
      <c r="F122" s="506"/>
      <c r="G122" s="506"/>
      <c r="H122" s="506"/>
      <c r="I122" s="506"/>
      <c r="J122" s="506"/>
      <c r="K122" s="506"/>
      <c r="L122" s="506"/>
      <c r="M122" s="506"/>
      <c r="N122" s="2747"/>
      <c r="O122" s="2747"/>
      <c r="P122" s="2755"/>
      <c r="Q122" s="2738"/>
      <c r="R122" s="2739"/>
      <c r="S122" s="2739"/>
      <c r="T122" s="2739"/>
      <c r="U122" s="2739"/>
      <c r="V122" s="2739"/>
      <c r="W122" s="2739"/>
      <c r="X122" s="2739"/>
      <c r="Y122" s="2739"/>
      <c r="Z122" s="2739"/>
      <c r="AA122" s="2739"/>
      <c r="AB122" s="2739"/>
      <c r="AC122" s="2739"/>
    </row>
    <row r="123" spans="1:29" ht="15" thickTop="1">
      <c r="A123" s="545"/>
      <c r="B123" s="484" t="s">
        <v>1744</v>
      </c>
      <c r="C123" s="500"/>
      <c r="D123" s="500"/>
      <c r="E123" s="500"/>
      <c r="F123" s="529"/>
      <c r="G123" s="529"/>
      <c r="H123" s="529"/>
      <c r="I123" s="529"/>
      <c r="J123" s="529"/>
      <c r="K123" s="530"/>
      <c r="L123" s="531"/>
      <c r="M123" s="532"/>
      <c r="N123" s="2745"/>
      <c r="O123" s="2745"/>
      <c r="P123" s="2754"/>
      <c r="Q123" s="2731"/>
      <c r="R123" s="2717"/>
      <c r="S123" s="2717"/>
      <c r="T123" s="2717"/>
      <c r="U123" s="2717"/>
      <c r="V123" s="2717"/>
      <c r="W123" s="2717"/>
      <c r="X123" s="2717"/>
      <c r="Y123" s="2717"/>
      <c r="Z123" s="2717"/>
      <c r="AA123" s="2717"/>
      <c r="AB123" s="2717"/>
      <c r="AC123" s="2717"/>
    </row>
    <row r="124" spans="1:29" ht="15.75" thickBot="1">
      <c r="A124" s="480"/>
      <c r="B124" s="489"/>
      <c r="C124" s="490">
        <v>100</v>
      </c>
      <c r="D124" s="490">
        <f t="shared" ref="D124:M124" si="30">C124-$K43</f>
        <v>100</v>
      </c>
      <c r="E124" s="490">
        <f t="shared" si="30"/>
        <v>100</v>
      </c>
      <c r="F124" s="490">
        <f t="shared" si="30"/>
        <v>100</v>
      </c>
      <c r="G124" s="490">
        <f t="shared" si="30"/>
        <v>100</v>
      </c>
      <c r="H124" s="490">
        <f t="shared" si="30"/>
        <v>100</v>
      </c>
      <c r="I124" s="490">
        <f t="shared" si="30"/>
        <v>100</v>
      </c>
      <c r="J124" s="490">
        <f t="shared" si="30"/>
        <v>100</v>
      </c>
      <c r="K124" s="490">
        <f t="shared" si="30"/>
        <v>100</v>
      </c>
      <c r="L124" s="490">
        <f t="shared" si="30"/>
        <v>100</v>
      </c>
      <c r="M124" s="491">
        <f t="shared" si="30"/>
        <v>100</v>
      </c>
      <c r="N124" s="2746"/>
      <c r="O124" s="2746"/>
      <c r="P124" s="2754"/>
      <c r="Q124" s="2731"/>
      <c r="R124" s="2717"/>
      <c r="S124" s="2717"/>
      <c r="T124" s="2717"/>
      <c r="U124" s="2717"/>
      <c r="V124" s="2717"/>
      <c r="W124" s="2717"/>
      <c r="X124" s="2717"/>
      <c r="Y124" s="2717"/>
      <c r="Z124" s="2717"/>
      <c r="AA124" s="2717"/>
      <c r="AB124" s="2717"/>
      <c r="AC124" s="2717"/>
    </row>
    <row r="125" spans="1:29" ht="15" thickTop="1">
      <c r="A125" s="545"/>
      <c r="B125" s="484" t="s">
        <v>1745</v>
      </c>
      <c r="C125" s="524" t="s">
        <v>1721</v>
      </c>
      <c r="D125" s="524" t="s">
        <v>1722</v>
      </c>
      <c r="E125" s="524" t="s">
        <v>1723</v>
      </c>
      <c r="F125" s="524" t="s">
        <v>1724</v>
      </c>
      <c r="G125" s="524" t="s">
        <v>1725</v>
      </c>
      <c r="H125" s="485"/>
      <c r="I125" s="485"/>
      <c r="J125" s="485"/>
      <c r="K125" s="486"/>
      <c r="L125" s="487"/>
      <c r="M125" s="488"/>
      <c r="N125" s="2745"/>
      <c r="O125" s="2745"/>
      <c r="P125" s="2755"/>
      <c r="Q125" s="2731"/>
      <c r="R125" s="2717"/>
      <c r="S125" s="2717"/>
      <c r="T125" s="2717"/>
      <c r="U125" s="2717"/>
      <c r="V125" s="2717"/>
      <c r="W125" s="2717"/>
      <c r="X125" s="2717"/>
      <c r="Y125" s="2717"/>
      <c r="Z125" s="2717"/>
      <c r="AA125" s="2717"/>
      <c r="AB125" s="2717"/>
      <c r="AC125" s="2717"/>
    </row>
    <row r="126" spans="1:29" ht="15.75" thickBot="1">
      <c r="A126" s="480"/>
      <c r="B126" s="489"/>
      <c r="C126" s="490">
        <v>100</v>
      </c>
      <c r="D126" s="490">
        <f>C126-$K44</f>
        <v>100</v>
      </c>
      <c r="E126" s="490">
        <f>D126-$K44</f>
        <v>100</v>
      </c>
      <c r="F126" s="490">
        <f>E126-$K44</f>
        <v>100</v>
      </c>
      <c r="G126" s="490">
        <f>F126-$K44</f>
        <v>100</v>
      </c>
      <c r="H126" s="490"/>
      <c r="I126" s="490"/>
      <c r="J126" s="490"/>
      <c r="K126" s="490"/>
      <c r="L126" s="490"/>
      <c r="M126" s="491"/>
      <c r="N126" s="2746"/>
      <c r="O126" s="2746"/>
      <c r="P126" s="2754"/>
      <c r="Q126" s="2731"/>
      <c r="R126" s="2717"/>
      <c r="S126" s="2717"/>
      <c r="T126" s="2717"/>
      <c r="U126" s="2717"/>
      <c r="V126" s="2717"/>
      <c r="W126" s="2717"/>
      <c r="X126" s="2717"/>
      <c r="Y126" s="2717"/>
      <c r="Z126" s="2717"/>
      <c r="AA126" s="2717"/>
      <c r="AB126" s="2717"/>
      <c r="AC126" s="2717"/>
    </row>
    <row r="127" spans="1:29" s="419" customFormat="1" ht="15" thickTop="1">
      <c r="A127" s="539"/>
      <c r="B127" s="484">
        <f>B45</f>
        <v>111</v>
      </c>
      <c r="C127" s="500"/>
      <c r="D127" s="500"/>
      <c r="E127" s="500"/>
      <c r="F127" s="500"/>
      <c r="G127" s="500"/>
      <c r="H127" s="501"/>
      <c r="I127" s="501"/>
      <c r="J127" s="501"/>
      <c r="K127" s="501"/>
      <c r="L127" s="502"/>
      <c r="M127" s="503"/>
      <c r="N127" s="2747"/>
      <c r="O127" s="2747"/>
      <c r="P127" s="2755"/>
      <c r="Q127" s="2738"/>
      <c r="R127" s="2739"/>
      <c r="S127" s="2739"/>
      <c r="T127" s="2739"/>
      <c r="U127" s="2739"/>
      <c r="V127" s="2739"/>
      <c r="W127" s="2739"/>
      <c r="X127" s="2739"/>
      <c r="Y127" s="2739"/>
      <c r="Z127" s="2739"/>
      <c r="AA127" s="2739"/>
      <c r="AB127" s="2739"/>
      <c r="AC127" s="2739"/>
    </row>
    <row r="128" spans="1:29" s="419" customFormat="1" ht="15.75" thickBot="1">
      <c r="A128" s="499"/>
      <c r="B128" s="489"/>
      <c r="C128" s="506"/>
      <c r="D128" s="482"/>
      <c r="E128" s="482"/>
      <c r="F128" s="482"/>
      <c r="G128" s="506"/>
      <c r="H128" s="508"/>
      <c r="I128" s="508"/>
      <c r="J128" s="508"/>
      <c r="K128" s="508"/>
      <c r="L128" s="508"/>
      <c r="M128" s="509"/>
      <c r="N128" s="2747"/>
      <c r="O128" s="2747"/>
      <c r="P128" s="2755"/>
      <c r="Q128" s="2738"/>
      <c r="R128" s="2739"/>
      <c r="S128" s="2739"/>
      <c r="T128" s="2739"/>
      <c r="U128" s="2739"/>
      <c r="V128" s="2739"/>
      <c r="W128" s="2739"/>
      <c r="X128" s="2739"/>
      <c r="Y128" s="2739"/>
      <c r="Z128" s="2739"/>
      <c r="AA128" s="2739"/>
      <c r="AB128" s="2739"/>
      <c r="AC128" s="2739"/>
    </row>
    <row r="129" spans="1:29" ht="15" thickTop="1">
      <c r="A129" s="545"/>
      <c r="B129" s="484">
        <f>B46</f>
        <v>111</v>
      </c>
      <c r="C129" s="500"/>
      <c r="D129" s="500"/>
      <c r="E129" s="500"/>
      <c r="F129" s="500"/>
      <c r="G129" s="529"/>
      <c r="H129" s="529"/>
      <c r="I129" s="529"/>
      <c r="J129" s="529"/>
      <c r="K129" s="530"/>
      <c r="L129" s="531"/>
      <c r="M129" s="532"/>
      <c r="N129" s="2745"/>
      <c r="O129" s="2745"/>
      <c r="P129" s="2754"/>
      <c r="Q129" s="2731"/>
      <c r="R129" s="2717"/>
      <c r="S129" s="2717"/>
      <c r="T129" s="2717"/>
      <c r="U129" s="2717"/>
      <c r="V129" s="2717"/>
      <c r="W129" s="2717"/>
      <c r="X129" s="2717"/>
      <c r="Y129" s="2717"/>
      <c r="Z129" s="2717"/>
      <c r="AA129" s="2717"/>
      <c r="AB129" s="2717"/>
      <c r="AC129" s="2717"/>
    </row>
    <row r="130" spans="1:29" ht="15.75" thickBot="1">
      <c r="A130" s="480"/>
      <c r="B130" s="489"/>
      <c r="C130" s="506"/>
      <c r="D130" s="506"/>
      <c r="E130" s="506"/>
      <c r="F130" s="506"/>
      <c r="G130" s="482"/>
      <c r="H130" s="482"/>
      <c r="I130" s="482"/>
      <c r="J130" s="482"/>
      <c r="K130" s="482"/>
      <c r="L130" s="482"/>
      <c r="M130" s="483"/>
      <c r="N130" s="2746"/>
      <c r="O130" s="2746"/>
      <c r="P130" s="2754"/>
      <c r="Q130" s="2731"/>
      <c r="R130" s="2717"/>
      <c r="S130" s="2717"/>
      <c r="T130" s="2717"/>
      <c r="U130" s="2717"/>
      <c r="V130" s="2717"/>
      <c r="W130" s="2717"/>
      <c r="X130" s="2717"/>
      <c r="Y130" s="2717"/>
      <c r="Z130" s="2717"/>
      <c r="AA130" s="2717"/>
      <c r="AB130" s="2717"/>
      <c r="AC130" s="2717"/>
    </row>
    <row r="131" spans="1:29" ht="15" thickTop="1">
      <c r="A131" s="545"/>
      <c r="B131" s="492">
        <f>B47</f>
        <v>111</v>
      </c>
      <c r="C131" s="469"/>
      <c r="D131" s="469"/>
      <c r="E131" s="469"/>
      <c r="F131" s="469"/>
      <c r="G131" s="533"/>
      <c r="H131" s="533"/>
      <c r="I131" s="533"/>
      <c r="J131" s="533"/>
      <c r="K131" s="469"/>
      <c r="L131" s="470"/>
      <c r="M131" s="536"/>
      <c r="N131" s="2745"/>
      <c r="O131" s="2745"/>
      <c r="P131" s="2754"/>
      <c r="Q131" s="2731"/>
      <c r="R131" s="2717"/>
      <c r="S131" s="2717"/>
      <c r="T131" s="2717"/>
      <c r="U131" s="2717"/>
      <c r="V131" s="2717"/>
      <c r="W131" s="2717"/>
      <c r="X131" s="2717"/>
      <c r="Y131" s="2717"/>
      <c r="Z131" s="2717"/>
      <c r="AA131" s="2717"/>
      <c r="AB131" s="2717"/>
      <c r="AC131" s="2717"/>
    </row>
    <row r="132" spans="1:29" ht="15.75" thickBot="1">
      <c r="A132" s="1921"/>
      <c r="B132" s="515"/>
      <c r="C132" s="516"/>
      <c r="D132" s="516"/>
      <c r="E132" s="516"/>
      <c r="F132" s="516"/>
      <c r="G132" s="537"/>
      <c r="H132" s="537"/>
      <c r="I132" s="537"/>
      <c r="J132" s="537"/>
      <c r="K132" s="537"/>
      <c r="L132" s="537"/>
      <c r="M132" s="538"/>
      <c r="N132" s="2746"/>
      <c r="O132" s="2746"/>
      <c r="P132" s="2754"/>
      <c r="Q132" s="2731"/>
      <c r="R132" s="2717"/>
      <c r="S132" s="2717"/>
      <c r="T132" s="2717"/>
      <c r="U132" s="2717"/>
      <c r="V132" s="2717"/>
      <c r="W132" s="2717"/>
      <c r="X132" s="2717"/>
      <c r="Y132" s="2717"/>
      <c r="Z132" s="2717"/>
      <c r="AA132" s="2717"/>
      <c r="AB132" s="2717"/>
      <c r="AC132" s="2717"/>
    </row>
  </sheetData>
  <sheetProtection password="CEE9"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3 H53">
    <cfRule type="containsText" dxfId="100" priority="20" stopIfTrue="1" operator="containsText" text="超过">
      <formula>NOT(ISERROR(SEARCH("超过",F53)))</formula>
    </cfRule>
  </conditionalFormatting>
  <conditionalFormatting sqref="H55">
    <cfRule type="containsText" dxfId="99" priority="19" stopIfTrue="1" operator="containsText" text="超过">
      <formula>NOT(ISERROR(SEARCH("超过",H55)))</formula>
    </cfRule>
  </conditionalFormatting>
  <conditionalFormatting sqref="F55">
    <cfRule type="containsText" dxfId="98" priority="18" stopIfTrue="1" operator="containsText" text="超过">
      <formula>NOT(ISERROR(SEARCH("超过",F55)))</formula>
    </cfRule>
  </conditionalFormatting>
  <conditionalFormatting sqref="F54 H54">
    <cfRule type="containsText" dxfId="97" priority="17" stopIfTrue="1" operator="containsText" text="超过">
      <formula>NOT(ISERROR(SEARCH("超过",F54)))</formula>
    </cfRule>
  </conditionalFormatting>
  <conditionalFormatting sqref="E53">
    <cfRule type="expression" dxfId="96" priority="16" stopIfTrue="1">
      <formula>$F$53="超过30%"</formula>
    </cfRule>
  </conditionalFormatting>
  <conditionalFormatting sqref="E54">
    <cfRule type="expression" dxfId="95" priority="15" stopIfTrue="1">
      <formula>$F$54="超过20%"</formula>
    </cfRule>
  </conditionalFormatting>
  <conditionalFormatting sqref="E55">
    <cfRule type="expression" dxfId="94" priority="14" stopIfTrue="1">
      <formula>$F$55="超过30%"</formula>
    </cfRule>
  </conditionalFormatting>
  <conditionalFormatting sqref="G55">
    <cfRule type="expression" dxfId="93" priority="13" stopIfTrue="1">
      <formula>$H$55="超过30%"</formula>
    </cfRule>
  </conditionalFormatting>
  <conditionalFormatting sqref="G53">
    <cfRule type="expression" dxfId="92" priority="12" stopIfTrue="1">
      <formula>$H$53="超过30%"</formula>
    </cfRule>
  </conditionalFormatting>
  <conditionalFormatting sqref="G54">
    <cfRule type="expression" dxfId="91" priority="11" stopIfTrue="1">
      <formula>$H$54="超过20%"</formula>
    </cfRule>
  </conditionalFormatting>
  <conditionalFormatting sqref="J53">
    <cfRule type="containsText" dxfId="90" priority="10" stopIfTrue="1" operator="containsText" text="超过">
      <formula>NOT(ISERROR(SEARCH("超过",J53)))</formula>
    </cfRule>
  </conditionalFormatting>
  <conditionalFormatting sqref="J55">
    <cfRule type="containsText" dxfId="89" priority="9" stopIfTrue="1" operator="containsText" text="超过">
      <formula>NOT(ISERROR(SEARCH("超过",J55)))</formula>
    </cfRule>
  </conditionalFormatting>
  <conditionalFormatting sqref="J54">
    <cfRule type="containsText" dxfId="88" priority="8" stopIfTrue="1" operator="containsText" text="超过">
      <formula>NOT(ISERROR(SEARCH("超过",J54)))</formula>
    </cfRule>
  </conditionalFormatting>
  <conditionalFormatting sqref="I53">
    <cfRule type="expression" dxfId="87" priority="7" stopIfTrue="1">
      <formula>$J$53="超过30%"</formula>
    </cfRule>
  </conditionalFormatting>
  <conditionalFormatting sqref="I54">
    <cfRule type="expression" dxfId="86" priority="6" stopIfTrue="1">
      <formula>$J$53+$J$54="超过20%"</formula>
    </cfRule>
  </conditionalFormatting>
  <conditionalFormatting sqref="I55">
    <cfRule type="expression" dxfId="85" priority="5" stopIfTrue="1">
      <formula>$J$55="超过30%"</formula>
    </cfRule>
  </conditionalFormatting>
  <conditionalFormatting sqref="F49">
    <cfRule type="expression" dxfId="84" priority="4">
      <formula>$D$49="简单平均"</formula>
    </cfRule>
  </conditionalFormatting>
  <conditionalFormatting sqref="H49">
    <cfRule type="expression" dxfId="83" priority="3">
      <formula>$D$49="简单平均"</formula>
    </cfRule>
  </conditionalFormatting>
  <conditionalFormatting sqref="J49">
    <cfRule type="expression" dxfId="82" priority="2">
      <formula>$D$49="简单平均"</formula>
    </cfRule>
  </conditionalFormatting>
  <conditionalFormatting sqref="F7:F47 H7:H47 J7:J47">
    <cfRule type="cellIs" dxfId="81"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PageLayoutView="80" workbookViewId="0">
      <selection activeCell="A3" sqref="A3:E3"/>
    </sheetView>
  </sheetViews>
  <sheetFormatPr defaultColWidth="9" defaultRowHeight="14.25"/>
  <cols>
    <col min="1" max="1" width="0.875" style="1488" customWidth="1"/>
    <col min="2" max="2" width="37.125" style="1488" customWidth="1"/>
    <col min="3" max="3" width="11.375" style="1488" customWidth="1"/>
    <col min="4" max="4" width="31.875" style="1488" customWidth="1"/>
    <col min="5" max="5" width="0.5" style="1488" customWidth="1"/>
    <col min="6" max="7" width="13" style="1488" customWidth="1"/>
    <col min="8" max="16384" width="9" style="1488"/>
  </cols>
  <sheetData>
    <row r="1" spans="1:5" ht="18.75">
      <c r="A1" s="1486" t="s">
        <v>908</v>
      </c>
      <c r="B1" s="1487"/>
      <c r="C1" s="1487"/>
      <c r="D1" s="1487"/>
      <c r="E1" s="1487"/>
    </row>
    <row r="2" spans="1:5" ht="78" customHeight="1">
      <c r="A2" s="3529"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529"/>
      <c r="C2" s="3529"/>
      <c r="D2" s="3529"/>
      <c r="E2" s="3529"/>
    </row>
    <row r="3" spans="1:5" ht="18">
      <c r="A3" s="3530" t="str">
        <f>IF(项目基本情况!B9="房地产市场价值","估价结果一览表（市场价值不需“结果表-1”）","估价结果一览表")</f>
        <v>估价结果一览表（市场价值不需“结果表-1”）</v>
      </c>
      <c r="B3" s="3530"/>
      <c r="C3" s="3530"/>
      <c r="D3" s="3530"/>
      <c r="E3" s="3530"/>
    </row>
    <row r="4" spans="1:5" ht="19.5" thickBot="1">
      <c r="A4" s="1489"/>
      <c r="B4" s="3528" t="s">
        <v>917</v>
      </c>
      <c r="C4" s="3528"/>
      <c r="D4" s="3528"/>
      <c r="E4" s="1489"/>
    </row>
    <row r="5" spans="1:5" ht="16.5" thickTop="1">
      <c r="A5" s="1487"/>
      <c r="B5" s="3526" t="s">
        <v>909</v>
      </c>
      <c r="C5" s="1490" t="s">
        <v>910</v>
      </c>
      <c r="D5" s="846">
        <f ca="1">结果表!H101</f>
        <v>3</v>
      </c>
      <c r="E5" s="1487"/>
    </row>
    <row r="6" spans="1:5" ht="15.75">
      <c r="A6" s="1487"/>
      <c r="B6" s="3526"/>
      <c r="C6" s="1490" t="s">
        <v>911</v>
      </c>
      <c r="D6" s="846" t="str">
        <f ca="1">NUMBERSTRING(INT(D5*10000),2)&amp;"元整"</f>
        <v>叁万元整</v>
      </c>
      <c r="E6" s="1487"/>
    </row>
    <row r="7" spans="1:5" ht="15.75">
      <c r="A7" s="1487"/>
      <c r="B7" s="3531"/>
      <c r="C7" s="1491" t="s">
        <v>912</v>
      </c>
      <c r="D7" s="847">
        <f ca="1">结果表!H102</f>
        <v>30039</v>
      </c>
      <c r="E7" s="1487"/>
    </row>
    <row r="8" spans="1:5" ht="15.75">
      <c r="A8" s="1487"/>
      <c r="B8" s="3532" t="str">
        <f>结果表!E103</f>
        <v>2.估价师知悉的法定优先受偿款</v>
      </c>
      <c r="C8" s="1492" t="s">
        <v>913</v>
      </c>
      <c r="D8" s="847">
        <f>结果表!H103</f>
        <v>0</v>
      </c>
      <c r="E8" s="1487"/>
    </row>
    <row r="9" spans="1:5" ht="15.75">
      <c r="A9" s="1487"/>
      <c r="B9" s="3534"/>
      <c r="C9" s="1490" t="s">
        <v>911</v>
      </c>
      <c r="D9" s="846" t="str">
        <f>NUMBERSTRING(INT(D8*10000),2)&amp;"元整"</f>
        <v>零元整</v>
      </c>
      <c r="E9" s="1487"/>
    </row>
    <row r="10" spans="1:5" ht="15">
      <c r="A10" s="1487"/>
      <c r="B10" s="1493" t="s">
        <v>916</v>
      </c>
      <c r="C10" s="1494" t="s">
        <v>914</v>
      </c>
      <c r="D10" s="848">
        <f>结果表!H104</f>
        <v>0</v>
      </c>
      <c r="E10" s="1487"/>
    </row>
    <row r="11" spans="1:5" ht="15">
      <c r="A11" s="1487"/>
      <c r="B11" s="1493" t="s">
        <v>918</v>
      </c>
      <c r="C11" s="1494" t="s">
        <v>919</v>
      </c>
      <c r="D11" s="848">
        <f>结果表!H105</f>
        <v>0</v>
      </c>
      <c r="E11" s="1487"/>
    </row>
    <row r="12" spans="1:5" ht="15">
      <c r="A12" s="1487"/>
      <c r="B12" s="1493" t="s">
        <v>920</v>
      </c>
      <c r="C12" s="1494" t="s">
        <v>919</v>
      </c>
      <c r="D12" s="848">
        <f>结果表!H106</f>
        <v>0</v>
      </c>
      <c r="E12" s="1487"/>
    </row>
    <row r="13" spans="1:5" ht="15.75">
      <c r="A13" s="1487"/>
      <c r="B13" s="3525" t="str">
        <f>结果表!E107</f>
        <v>3.房地产抵押价值</v>
      </c>
      <c r="C13" s="1495" t="s">
        <v>910</v>
      </c>
      <c r="D13" s="849">
        <f ca="1">结果表!H107</f>
        <v>3</v>
      </c>
      <c r="E13" s="1487"/>
    </row>
    <row r="14" spans="1:5" ht="15.75">
      <c r="A14" s="1487"/>
      <c r="B14" s="3526"/>
      <c r="C14" s="1490" t="s">
        <v>911</v>
      </c>
      <c r="D14" s="846" t="str">
        <f ca="1">NUMBERSTRING(INT(D13*10000),2)&amp;"元整"</f>
        <v>叁万元整</v>
      </c>
      <c r="E14" s="1487"/>
    </row>
    <row r="15" spans="1:5" ht="15">
      <c r="A15" s="1487"/>
      <c r="B15" s="3531"/>
      <c r="C15" s="1491" t="s">
        <v>921</v>
      </c>
      <c r="D15" s="855">
        <f ca="1">结果表!H108</f>
        <v>30039</v>
      </c>
      <c r="E15" s="1487"/>
    </row>
    <row r="16" spans="1:5" ht="15">
      <c r="A16" s="1487"/>
      <c r="B16" s="3532" t="str">
        <f>结果表!E109</f>
        <v>——</v>
      </c>
      <c r="C16" s="1495" t="s">
        <v>922</v>
      </c>
      <c r="D16" s="1496" t="str">
        <f>结果表!H109</f>
        <v>——</v>
      </c>
      <c r="E16" s="1487"/>
    </row>
    <row r="17" spans="1:5" ht="15.75">
      <c r="A17" s="1487"/>
      <c r="B17" s="3533"/>
      <c r="C17" s="1490" t="s">
        <v>923</v>
      </c>
      <c r="D17" s="846" t="e">
        <f>NUMBERSTRING(INT(D16*10000),2)&amp;"元整"</f>
        <v>#VALUE!</v>
      </c>
      <c r="E17" s="1487"/>
    </row>
    <row r="18" spans="1:5" ht="15">
      <c r="A18" s="1487"/>
      <c r="B18" s="3534"/>
      <c r="C18" s="1491" t="s">
        <v>912</v>
      </c>
      <c r="D18" s="855" t="str">
        <f>结果表!H110</f>
        <v>——</v>
      </c>
      <c r="E18" s="1487"/>
    </row>
    <row r="19" spans="1:5" ht="15.75">
      <c r="A19" s="1487"/>
      <c r="B19" s="3525" t="str">
        <f>结果表!E111</f>
        <v>——</v>
      </c>
      <c r="C19" s="1495" t="s">
        <v>910</v>
      </c>
      <c r="D19" s="847" t="str">
        <f>结果表!H111</f>
        <v>——</v>
      </c>
      <c r="E19" s="1487"/>
    </row>
    <row r="20" spans="1:5" ht="15.75">
      <c r="A20" s="1487"/>
      <c r="B20" s="3526"/>
      <c r="C20" s="1490" t="s">
        <v>923</v>
      </c>
      <c r="D20" s="846" t="e">
        <f>NUMBERSTRING(INT(D19*10000),2)&amp;"元整"</f>
        <v>#VALUE!</v>
      </c>
      <c r="E20" s="1487"/>
    </row>
    <row r="21" spans="1:5" ht="15.75" thickBot="1">
      <c r="A21" s="1487"/>
      <c r="B21" s="3527"/>
      <c r="C21" s="1497" t="s">
        <v>921</v>
      </c>
      <c r="D21" s="856" t="str">
        <f>结果表!H112</f>
        <v>——</v>
      </c>
      <c r="E21" s="1487"/>
    </row>
    <row r="22" spans="1:5" ht="15" thickTop="1">
      <c r="A22" s="1487"/>
      <c r="B22" s="1498" t="s">
        <v>924</v>
      </c>
      <c r="C22" s="1487"/>
      <c r="D22" s="1487"/>
      <c r="E22" s="1487"/>
    </row>
    <row r="23" spans="1:5">
      <c r="A23" s="1487"/>
      <c r="B23" s="1487"/>
      <c r="C23" s="1487"/>
      <c r="D23" s="1487"/>
      <c r="E23" s="1487"/>
    </row>
    <row r="24" spans="1:5" ht="18.75">
      <c r="A24" s="1499"/>
      <c r="B24" s="1500" t="s">
        <v>915</v>
      </c>
      <c r="C24" s="1499"/>
      <c r="D24" s="1499"/>
      <c r="E24" s="1499"/>
    </row>
    <row r="25" spans="1:5">
      <c r="A25" s="1499"/>
      <c r="B25" s="1499"/>
      <c r="C25" s="1499"/>
      <c r="D25" s="1499"/>
      <c r="E25" s="1499"/>
    </row>
    <row r="26" spans="1:5">
      <c r="A26" s="1499"/>
      <c r="B26" s="1499"/>
      <c r="C26" s="1499"/>
      <c r="D26" s="1499"/>
      <c r="E26" s="1499"/>
    </row>
    <row r="27" spans="1:5">
      <c r="A27" s="1499"/>
      <c r="B27" s="1499"/>
      <c r="C27" s="1499"/>
      <c r="D27" s="1499"/>
      <c r="E27" s="1499"/>
    </row>
    <row r="28" spans="1:5">
      <c r="A28" s="1499"/>
      <c r="B28" s="1499"/>
      <c r="C28" s="1499"/>
      <c r="D28" s="1499"/>
      <c r="E28" s="1499"/>
    </row>
    <row r="29" spans="1:5">
      <c r="A29" s="1499"/>
      <c r="B29" s="1499"/>
      <c r="C29" s="1499"/>
      <c r="D29" s="1499"/>
      <c r="E29" s="1499"/>
    </row>
    <row r="30" spans="1:5">
      <c r="A30" s="1499"/>
      <c r="B30" s="1499"/>
      <c r="C30" s="1499"/>
      <c r="D30" s="1499"/>
      <c r="E30" s="1499"/>
    </row>
    <row r="31" spans="1:5">
      <c r="A31" s="1499"/>
      <c r="B31" s="1499"/>
      <c r="C31" s="1499"/>
      <c r="D31" s="1499"/>
      <c r="E31" s="1499"/>
    </row>
    <row r="32" spans="1:5">
      <c r="A32" s="1499"/>
      <c r="B32" s="1499"/>
      <c r="C32" s="1499"/>
      <c r="D32" s="1499"/>
      <c r="E32" s="1499"/>
    </row>
    <row r="33" spans="1:5">
      <c r="A33" s="1499"/>
      <c r="B33" s="1499"/>
      <c r="C33" s="1499"/>
      <c r="D33" s="1499"/>
      <c r="E33" s="1499"/>
    </row>
    <row r="34" spans="1:5">
      <c r="A34" s="1499"/>
      <c r="B34" s="1499"/>
      <c r="C34" s="1499"/>
      <c r="D34" s="1499"/>
      <c r="E34" s="1499"/>
    </row>
    <row r="35" spans="1:5">
      <c r="A35" s="1499"/>
      <c r="B35" s="1499"/>
      <c r="C35" s="1499"/>
      <c r="D35" s="1499"/>
      <c r="E35" s="1499"/>
    </row>
    <row r="36" spans="1:5">
      <c r="A36" s="1499"/>
      <c r="B36" s="1499"/>
      <c r="C36" s="1499"/>
      <c r="D36" s="1499"/>
      <c r="E36" s="1499"/>
    </row>
    <row r="37" spans="1:5">
      <c r="A37" s="1499"/>
      <c r="B37" s="1499"/>
      <c r="C37" s="1499"/>
      <c r="D37" s="1499"/>
      <c r="E37" s="1499"/>
    </row>
    <row r="38" spans="1:5">
      <c r="A38" s="1499"/>
      <c r="B38" s="1499"/>
      <c r="C38" s="1499"/>
      <c r="D38" s="1499"/>
      <c r="E38" s="1499"/>
    </row>
    <row r="39" spans="1:5">
      <c r="A39" s="1499"/>
      <c r="B39" s="1499"/>
      <c r="C39" s="1499"/>
      <c r="D39" s="1499"/>
      <c r="E39" s="1499"/>
    </row>
    <row r="40" spans="1:5">
      <c r="A40" s="1499"/>
      <c r="B40" s="1499"/>
      <c r="C40" s="1499"/>
      <c r="D40" s="1499"/>
      <c r="E40" s="1499"/>
    </row>
    <row r="41" spans="1:5">
      <c r="A41" s="1499"/>
      <c r="B41" s="1499"/>
      <c r="C41" s="1499"/>
      <c r="D41" s="1499"/>
      <c r="E41" s="1499"/>
    </row>
    <row r="42" spans="1:5">
      <c r="A42" s="1499"/>
      <c r="B42" s="1499"/>
      <c r="C42" s="1499"/>
      <c r="D42" s="1499"/>
      <c r="E42" s="1499"/>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5"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extLst>
    <ext xmlns:mx="http://schemas.microsoft.com/office/mac/excel/2008/main" uri="{64002731-A6B0-56B0-2670-7721B7C09600}">
      <mx:PLV Mode="1" OnePage="0" WScale="100"/>
    </ext>
  </extLst>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4.25"/>
  <cols>
    <col min="1" max="1" width="10.5" style="354" customWidth="1"/>
    <col min="2" max="2" width="15.875" style="354" customWidth="1"/>
    <col min="3" max="3" width="14.375" style="354" customWidth="1"/>
    <col min="4" max="4" width="12.125" style="354" customWidth="1"/>
    <col min="5" max="5" width="14.375" style="354" customWidth="1"/>
    <col min="6" max="6" width="12.125" style="354" customWidth="1"/>
    <col min="7" max="7" width="14.5" style="354" customWidth="1"/>
    <col min="8" max="8" width="12.125" style="354" customWidth="1"/>
    <col min="9" max="9" width="14.5" style="354" customWidth="1"/>
    <col min="10" max="10" width="12.125" style="354" customWidth="1"/>
    <col min="11" max="11" width="12.125" style="441" customWidth="1"/>
    <col min="12" max="12" width="12.125" style="442" customWidth="1"/>
    <col min="13" max="15" width="12.125" style="354" customWidth="1"/>
    <col min="16" max="16" width="4.875" style="354" customWidth="1"/>
    <col min="17" max="17" width="19.5" style="354" customWidth="1"/>
    <col min="18" max="22" width="6.125" style="354" customWidth="1"/>
    <col min="23" max="23" width="5.875" style="354" customWidth="1"/>
    <col min="24" max="24" width="4.125" style="354" customWidth="1"/>
    <col min="25" max="25" width="3.5" style="354" customWidth="1"/>
    <col min="26" max="26" width="19.875" style="354" customWidth="1"/>
    <col min="27" max="28" width="9.375" style="354" customWidth="1"/>
    <col min="29" max="16384" width="9" style="354"/>
  </cols>
  <sheetData>
    <row r="1" spans="1:29" s="1229" customFormat="1" ht="28.5" customHeight="1" thickBot="1">
      <c r="A1" s="1218" t="s">
        <v>1660</v>
      </c>
      <c r="B1" s="1950" t="s">
        <v>1826</v>
      </c>
      <c r="C1" s="1220" t="s">
        <v>1662</v>
      </c>
      <c r="D1" s="1221"/>
      <c r="E1" s="3425"/>
      <c r="F1" s="1875"/>
      <c r="G1" s="1231" t="s">
        <v>1767</v>
      </c>
      <c r="H1" s="1230"/>
      <c r="I1" s="1230"/>
      <c r="J1" s="1230"/>
      <c r="K1" s="1232"/>
      <c r="L1" s="1233"/>
      <c r="M1" s="1234"/>
      <c r="N1" s="1234"/>
      <c r="O1" s="1234"/>
      <c r="P1" s="1220"/>
      <c r="Q1" s="1220"/>
      <c r="R1" s="1220"/>
      <c r="S1" s="1220"/>
      <c r="T1" s="1220"/>
      <c r="U1" s="1220"/>
      <c r="V1" s="1220"/>
      <c r="W1" s="1220"/>
      <c r="X1" s="1220"/>
      <c r="Y1" s="1220"/>
      <c r="Z1" s="1220"/>
      <c r="AA1" s="1220"/>
      <c r="AB1" s="1220"/>
      <c r="AC1" s="1228"/>
    </row>
    <row r="2" spans="1:29" s="349" customFormat="1" ht="28.5" customHeight="1" thickTop="1">
      <c r="A2" s="1217" t="s">
        <v>1462</v>
      </c>
      <c r="B2" s="1160" t="b">
        <f>IF(E1="项目模式",IF(C2="——",ROUND(C43*D3/10000,0),ROUND(C43*D3/10000,0)-D2),IF(E1="单套模式",IF(C2="——",ROUND(C43*D3/10000,4),ROUND(C43*D3/10000,4)-D2)))</f>
        <v>0</v>
      </c>
      <c r="C2" s="1877"/>
      <c r="D2" s="903" t="e">
        <f ca="1">IF(E1="项目模式",SUMIF(INDIRECT("'"&amp;F2&amp;"'"&amp;"!A:A"),"承租人权益价值",INDIRECT("'"&amp;F2&amp;"'"&amp;"!c:c")),SUMIF(INDIRECT("'"&amp;F2&amp;"'"&amp;"!A:A"),"承租人权益价值（单套）",INDIRECT("'"&amp;F2&amp;"'"&amp;"!c:c")))</f>
        <v>#REF!</v>
      </c>
      <c r="E2" s="1878" t="s">
        <v>1463</v>
      </c>
      <c r="F2" s="1879"/>
      <c r="G2" s="904"/>
      <c r="H2" s="904"/>
      <c r="I2" s="904"/>
      <c r="J2" s="904"/>
      <c r="K2" s="904"/>
      <c r="L2" s="907"/>
      <c r="M2" s="908"/>
      <c r="N2" s="908"/>
      <c r="O2" s="908"/>
      <c r="P2" s="695"/>
      <c r="Q2" s="695"/>
      <c r="R2" s="695"/>
      <c r="S2" s="695"/>
      <c r="T2" s="695"/>
      <c r="U2" s="695"/>
      <c r="V2" s="695"/>
      <c r="W2" s="695"/>
      <c r="X2" s="695"/>
      <c r="Y2" s="695"/>
      <c r="Z2" s="695"/>
      <c r="AA2" s="695"/>
      <c r="AB2" s="695"/>
      <c r="AC2" s="709"/>
    </row>
    <row r="3" spans="1:29" s="349" customFormat="1" ht="28.5" customHeight="1" thickBot="1">
      <c r="A3" s="200" t="s">
        <v>1464</v>
      </c>
      <c r="B3" s="555">
        <f>IF(C2="——",C43,ROUND(B2*10000/D3,0))</f>
        <v>0</v>
      </c>
      <c r="C3" s="351" t="s">
        <v>1768</v>
      </c>
      <c r="D3" s="350">
        <f>IF(D1="",'数据-汇总表'!E3,SUMIF('数据-汇总表'!$C19:$C33,D1,'数据-汇总表'!$E19:$E33))</f>
        <v>1</v>
      </c>
      <c r="E3" s="904"/>
      <c r="F3" s="905"/>
      <c r="G3" s="904"/>
      <c r="H3" s="904"/>
      <c r="I3" s="904"/>
      <c r="J3" s="904"/>
      <c r="K3" s="906"/>
      <c r="L3" s="907"/>
      <c r="M3" s="908"/>
      <c r="N3" s="908"/>
      <c r="O3" s="908"/>
      <c r="P3" s="695"/>
      <c r="Q3" s="695"/>
      <c r="R3" s="695"/>
      <c r="S3" s="695"/>
      <c r="T3" s="695"/>
      <c r="U3" s="695"/>
      <c r="V3" s="695"/>
      <c r="W3" s="695"/>
      <c r="X3" s="695"/>
      <c r="Y3" s="695"/>
      <c r="Z3" s="695"/>
      <c r="AA3" s="695"/>
      <c r="AB3" s="712"/>
      <c r="AC3" s="709"/>
    </row>
    <row r="4" spans="1:29" ht="15">
      <c r="A4" s="352" t="s">
        <v>1769</v>
      </c>
      <c r="B4" s="353"/>
      <c r="C4" s="3738" t="s">
        <v>1770</v>
      </c>
      <c r="D4" s="3739"/>
      <c r="E4" s="3740" t="s">
        <v>1771</v>
      </c>
      <c r="F4" s="3741"/>
      <c r="G4" s="3738" t="s">
        <v>1772</v>
      </c>
      <c r="H4" s="3739"/>
      <c r="I4" s="3738" t="s">
        <v>1773</v>
      </c>
      <c r="J4" s="3739"/>
      <c r="K4" s="556" t="s">
        <v>1774</v>
      </c>
      <c r="L4" s="909"/>
      <c r="M4" s="910"/>
      <c r="N4" s="910"/>
      <c r="O4" s="910"/>
      <c r="P4" s="3742" t="s">
        <v>1775</v>
      </c>
      <c r="Q4" s="3743"/>
      <c r="R4" s="3722" t="s">
        <v>1771</v>
      </c>
      <c r="S4" s="3723"/>
      <c r="T4" s="3722" t="s">
        <v>1772</v>
      </c>
      <c r="U4" s="3723"/>
      <c r="V4" s="3750" t="s">
        <v>1773</v>
      </c>
      <c r="W4" s="3750"/>
      <c r="X4" s="1351"/>
      <c r="Y4" s="3722" t="s">
        <v>1775</v>
      </c>
      <c r="Z4" s="3723"/>
      <c r="AA4" s="3717" t="s">
        <v>1771</v>
      </c>
      <c r="AB4" s="3718" t="s">
        <v>1772</v>
      </c>
      <c r="AC4" s="3717" t="s">
        <v>1773</v>
      </c>
    </row>
    <row r="5" spans="1:29" ht="15">
      <c r="A5" s="355"/>
      <c r="B5" s="356"/>
      <c r="C5" s="3822" t="s">
        <v>1673</v>
      </c>
      <c r="D5" s="3823"/>
      <c r="E5" s="3820" t="s">
        <v>1674</v>
      </c>
      <c r="F5" s="3821"/>
      <c r="G5" s="3822" t="s">
        <v>1675</v>
      </c>
      <c r="H5" s="3823"/>
      <c r="I5" s="3822" t="s">
        <v>1676</v>
      </c>
      <c r="J5" s="3823"/>
      <c r="K5" s="556"/>
      <c r="L5" s="909"/>
      <c r="M5" s="910"/>
      <c r="N5" s="910"/>
      <c r="O5" s="910"/>
      <c r="P5" s="3744"/>
      <c r="Q5" s="3745"/>
      <c r="R5" s="3724"/>
      <c r="S5" s="3725"/>
      <c r="T5" s="3724"/>
      <c r="U5" s="3725"/>
      <c r="V5" s="3750"/>
      <c r="W5" s="3750"/>
      <c r="X5" s="1351"/>
      <c r="Y5" s="3724"/>
      <c r="Z5" s="3725"/>
      <c r="AA5" s="3718"/>
      <c r="AB5" s="3718"/>
      <c r="AC5" s="3718"/>
    </row>
    <row r="6" spans="1:29" ht="15.75" thickBot="1">
      <c r="A6" s="357"/>
      <c r="B6" s="358"/>
      <c r="C6" s="3730" t="s">
        <v>1677</v>
      </c>
      <c r="D6" s="3731"/>
      <c r="E6" s="3824" t="s">
        <v>1677</v>
      </c>
      <c r="F6" s="3825"/>
      <c r="G6" s="3730" t="s">
        <v>1677</v>
      </c>
      <c r="H6" s="3731"/>
      <c r="I6" s="3730" t="s">
        <v>1677</v>
      </c>
      <c r="J6" s="3731"/>
      <c r="K6" s="556" t="s">
        <v>1678</v>
      </c>
      <c r="L6" s="909"/>
      <c r="M6" s="910"/>
      <c r="N6" s="910"/>
      <c r="O6" s="910"/>
      <c r="P6" s="3746"/>
      <c r="Q6" s="3747"/>
      <c r="R6" s="3724"/>
      <c r="S6" s="3725"/>
      <c r="T6" s="3748"/>
      <c r="U6" s="3749"/>
      <c r="V6" s="3750"/>
      <c r="W6" s="3750"/>
      <c r="X6" s="1351"/>
      <c r="Y6" s="3748"/>
      <c r="Z6" s="3749"/>
      <c r="AA6" s="3719"/>
      <c r="AB6" s="3719"/>
      <c r="AC6" s="3719"/>
    </row>
    <row r="7" spans="1:29" s="108" customFormat="1" ht="15.75" thickBot="1">
      <c r="A7" s="359" t="s">
        <v>1679</v>
      </c>
      <c r="B7" s="360"/>
      <c r="C7" s="361">
        <f>'数据-取费表'!B2</f>
        <v>45114</v>
      </c>
      <c r="D7" s="362">
        <v>100</v>
      </c>
      <c r="E7" s="363"/>
      <c r="F7" s="364">
        <f>SUMIF(52:52,YEAR(E7)&amp;"-"&amp;MONTH(E7),53:53)</f>
        <v>0</v>
      </c>
      <c r="G7" s="363"/>
      <c r="H7" s="362">
        <f>SUMIF(52:52,YEAR(G7)&amp;"-"&amp;MONTH(G7),53:53)</f>
        <v>0</v>
      </c>
      <c r="I7" s="363"/>
      <c r="J7" s="362">
        <f>SUMIF(52:52,YEAR(I7)&amp;"-"&amp;MONTH(I7),53:53)</f>
        <v>0</v>
      </c>
      <c r="K7" s="557"/>
      <c r="L7" s="911"/>
      <c r="M7" s="912"/>
      <c r="N7" s="912"/>
      <c r="O7" s="912"/>
      <c r="P7" s="3720" t="s">
        <v>1680</v>
      </c>
      <c r="Q7" s="3751"/>
      <c r="R7" s="697" t="s">
        <v>14</v>
      </c>
      <c r="S7" s="698">
        <f t="shared" ref="S7:S15" si="0">F7</f>
        <v>0</v>
      </c>
      <c r="T7" s="697" t="s">
        <v>14</v>
      </c>
      <c r="U7" s="698">
        <f t="shared" ref="U7:U15" si="1">H7</f>
        <v>0</v>
      </c>
      <c r="V7" s="697" t="s">
        <v>14</v>
      </c>
      <c r="W7" s="698">
        <f t="shared" ref="W7:W15" si="2">J7</f>
        <v>0</v>
      </c>
      <c r="X7" s="699"/>
      <c r="Y7" s="3720" t="s">
        <v>1680</v>
      </c>
      <c r="Z7" s="3721"/>
      <c r="AA7" s="700" t="e">
        <f>D7/F7</f>
        <v>#DIV/0!</v>
      </c>
      <c r="AB7" s="700" t="e">
        <f>D7/H7</f>
        <v>#DIV/0!</v>
      </c>
      <c r="AC7" s="700" t="e">
        <f>D7/J7</f>
        <v>#DIV/0!</v>
      </c>
    </row>
    <row r="8" spans="1:29" s="108" customFormat="1" ht="15.75" thickBot="1">
      <c r="A8" s="359" t="s">
        <v>1681</v>
      </c>
      <c r="B8" s="360"/>
      <c r="C8" s="365"/>
      <c r="D8" s="362">
        <v>100</v>
      </c>
      <c r="E8" s="365"/>
      <c r="F8" s="364">
        <f>SUMIF(55:55,E8,56:56)-SUMIF(55:55,C8,56:56)+100</f>
        <v>100</v>
      </c>
      <c r="G8" s="365"/>
      <c r="H8" s="362">
        <f>SUMIF(55:55,G8,56:56)-SUMIF(55:55,C8,56:56)+100</f>
        <v>100</v>
      </c>
      <c r="I8" s="365"/>
      <c r="J8" s="362">
        <f>SUMIF(55:55,I8,56:56)-SUMIF(55:55,C8,56:56)+100</f>
        <v>100</v>
      </c>
      <c r="K8" s="557"/>
      <c r="L8" s="911"/>
      <c r="M8" s="912"/>
      <c r="N8" s="912"/>
      <c r="O8" s="912"/>
      <c r="P8" s="3720" t="s">
        <v>1683</v>
      </c>
      <c r="Q8" s="3721"/>
      <c r="R8" s="697" t="s">
        <v>14</v>
      </c>
      <c r="S8" s="698">
        <f t="shared" si="0"/>
        <v>100</v>
      </c>
      <c r="T8" s="697" t="s">
        <v>14</v>
      </c>
      <c r="U8" s="698">
        <f t="shared" si="1"/>
        <v>100</v>
      </c>
      <c r="V8" s="697" t="s">
        <v>14</v>
      </c>
      <c r="W8" s="698">
        <f t="shared" si="2"/>
        <v>100</v>
      </c>
      <c r="X8" s="699"/>
      <c r="Y8" s="3720" t="s">
        <v>1683</v>
      </c>
      <c r="Z8" s="3721"/>
      <c r="AA8" s="700">
        <f t="shared" ref="AA8:AA40" si="3">D8/F8</f>
        <v>1</v>
      </c>
      <c r="AB8" s="700">
        <f t="shared" ref="AB8:AB40" si="4">D8/H8</f>
        <v>1</v>
      </c>
      <c r="AC8" s="700">
        <f t="shared" ref="AC8:AC40" si="5">D8/J8</f>
        <v>1</v>
      </c>
    </row>
    <row r="9" spans="1:29" s="108" customFormat="1">
      <c r="A9" s="366" t="s">
        <v>1684</v>
      </c>
      <c r="B9" s="63" t="s">
        <v>1685</v>
      </c>
      <c r="C9" s="367"/>
      <c r="D9" s="124">
        <v>100</v>
      </c>
      <c r="E9" s="370"/>
      <c r="F9" s="124">
        <f>SUMIF(57:57,E9,58:58)-SUMIF(57:57,C9,58:58)+100</f>
        <v>100</v>
      </c>
      <c r="G9" s="368"/>
      <c r="H9" s="124">
        <f>SUMIF(57:57,G9,58:58)-SUMIF(57:57,C9,58:58)+100</f>
        <v>100</v>
      </c>
      <c r="I9" s="368"/>
      <c r="J9" s="124">
        <f>SUMIF(57:57,I9,58:58)-SUMIF(57:57,C9,58:58)+100</f>
        <v>100</v>
      </c>
      <c r="K9" s="557"/>
      <c r="L9" s="911"/>
      <c r="M9" s="912"/>
      <c r="N9" s="912"/>
      <c r="O9" s="913"/>
      <c r="P9" s="3737" t="s">
        <v>1686</v>
      </c>
      <c r="Q9" s="1339" t="str">
        <f t="shared" ref="Q9:Q15" si="6">B9</f>
        <v>用途</v>
      </c>
      <c r="R9" s="697" t="s">
        <v>14</v>
      </c>
      <c r="S9" s="698">
        <f t="shared" si="0"/>
        <v>100</v>
      </c>
      <c r="T9" s="697" t="s">
        <v>14</v>
      </c>
      <c r="U9" s="698">
        <f t="shared" si="1"/>
        <v>100</v>
      </c>
      <c r="V9" s="697" t="s">
        <v>14</v>
      </c>
      <c r="W9" s="698">
        <f t="shared" si="2"/>
        <v>100</v>
      </c>
      <c r="X9" s="699"/>
      <c r="Y9" s="3685" t="s">
        <v>1687</v>
      </c>
      <c r="Z9" s="52" t="str">
        <f t="shared" ref="Z9:Z15" si="7">Q9</f>
        <v>用途</v>
      </c>
      <c r="AA9" s="700">
        <f t="shared" si="3"/>
        <v>1</v>
      </c>
      <c r="AB9" s="700">
        <f t="shared" si="4"/>
        <v>1</v>
      </c>
      <c r="AC9" s="700">
        <f t="shared" si="5"/>
        <v>1</v>
      </c>
    </row>
    <row r="10" spans="1:29" s="375" customFormat="1" ht="27">
      <c r="A10" s="371"/>
      <c r="B10" s="372" t="s">
        <v>1688</v>
      </c>
      <c r="C10" s="3426"/>
      <c r="D10" s="125">
        <v>100</v>
      </c>
      <c r="E10" s="3426"/>
      <c r="F10" s="125">
        <f>SUMIF(59:59,E10,60:60)-SUMIF(59:59,C10,60:60)+100</f>
        <v>100</v>
      </c>
      <c r="G10" s="3427"/>
      <c r="H10" s="125">
        <f>SUMIF(59:59,G10,60:60)-SUMIF(59:59,C10,60:60)+100</f>
        <v>100</v>
      </c>
      <c r="I10" s="3426"/>
      <c r="J10" s="125">
        <f>SUMIF(59:59,I10,60:60)-SUMIF(59:59,C10,60:60)+100</f>
        <v>100</v>
      </c>
      <c r="K10" s="557"/>
      <c r="L10" s="914"/>
      <c r="M10" s="915"/>
      <c r="N10" s="915"/>
      <c r="O10" s="916"/>
      <c r="P10" s="3737"/>
      <c r="Q10" s="1339" t="str">
        <f t="shared" si="6"/>
        <v>土地使用年限（年）</v>
      </c>
      <c r="R10" s="697" t="s">
        <v>14</v>
      </c>
      <c r="S10" s="698">
        <f t="shared" si="0"/>
        <v>100</v>
      </c>
      <c r="T10" s="697" t="s">
        <v>14</v>
      </c>
      <c r="U10" s="698">
        <f t="shared" si="1"/>
        <v>100</v>
      </c>
      <c r="V10" s="697" t="s">
        <v>14</v>
      </c>
      <c r="W10" s="698">
        <f t="shared" si="2"/>
        <v>100</v>
      </c>
      <c r="X10" s="699"/>
      <c r="Y10" s="3685"/>
      <c r="Z10" s="52" t="str">
        <f t="shared" si="7"/>
        <v>土地使用年限（年）</v>
      </c>
      <c r="AA10" s="700">
        <f t="shared" si="3"/>
        <v>1</v>
      </c>
      <c r="AB10" s="700">
        <f t="shared" si="4"/>
        <v>1</v>
      </c>
      <c r="AC10" s="700">
        <f t="shared" si="5"/>
        <v>1</v>
      </c>
    </row>
    <row r="11" spans="1:29" ht="15">
      <c r="A11" s="376"/>
      <c r="B11" s="372" t="s">
        <v>1689</v>
      </c>
      <c r="C11" s="377"/>
      <c r="D11" s="125">
        <v>100</v>
      </c>
      <c r="E11" s="377"/>
      <c r="F11" s="125">
        <f>LOOKUP(E11,62:62,63:63)-LOOKUP(C11,62:62,63:63)+100</f>
        <v>100</v>
      </c>
      <c r="G11" s="378"/>
      <c r="H11" s="125">
        <f>LOOKUP(G11,62:62,63:63)-LOOKUP(C11,62:62,63:63)+100</f>
        <v>100</v>
      </c>
      <c r="I11" s="377"/>
      <c r="J11" s="125">
        <f>LOOKUP(I11,62:62,63:63)-LOOKUP(C11,62:62,63:63)+100</f>
        <v>100</v>
      </c>
      <c r="K11" s="558"/>
      <c r="L11" s="917"/>
      <c r="M11" s="910"/>
      <c r="N11" s="910"/>
      <c r="O11" s="918"/>
      <c r="P11" s="3737"/>
      <c r="Q11" s="1339" t="str">
        <f t="shared" si="6"/>
        <v>容积率</v>
      </c>
      <c r="R11" s="697" t="s">
        <v>14</v>
      </c>
      <c r="S11" s="698">
        <f t="shared" si="0"/>
        <v>100</v>
      </c>
      <c r="T11" s="697" t="s">
        <v>14</v>
      </c>
      <c r="U11" s="698">
        <f t="shared" si="1"/>
        <v>100</v>
      </c>
      <c r="V11" s="697" t="s">
        <v>14</v>
      </c>
      <c r="W11" s="698">
        <f t="shared" si="2"/>
        <v>100</v>
      </c>
      <c r="X11" s="699"/>
      <c r="Y11" s="3685"/>
      <c r="Z11" s="52" t="str">
        <f t="shared" si="7"/>
        <v>容积率</v>
      </c>
      <c r="AA11" s="700">
        <f t="shared" si="3"/>
        <v>1</v>
      </c>
      <c r="AB11" s="700">
        <f t="shared" si="4"/>
        <v>1</v>
      </c>
      <c r="AC11" s="700">
        <f t="shared" si="5"/>
        <v>1</v>
      </c>
    </row>
    <row r="12" spans="1:29" s="108" customFormat="1" ht="15">
      <c r="A12" s="379"/>
      <c r="B12" s="1888">
        <v>111</v>
      </c>
      <c r="C12" s="380"/>
      <c r="D12" s="381">
        <v>100</v>
      </c>
      <c r="E12" s="382"/>
      <c r="F12" s="125">
        <f>SUMIF(64:64,E12,65:65)-SUMIF(64:64,C12,65:65)+100</f>
        <v>100</v>
      </c>
      <c r="G12" s="1963"/>
      <c r="H12" s="125">
        <f>SUMIF(64:64,G12,65:65)-SUMIF(64:64,C12,65:65)+100</f>
        <v>100</v>
      </c>
      <c r="I12" s="417"/>
      <c r="J12" s="125">
        <f>SUMIF(64:64,I12,65:65)-SUMIF(64:64,C12,65:65)+100</f>
        <v>100</v>
      </c>
      <c r="K12" s="559"/>
      <c r="L12" s="911"/>
      <c r="M12" s="912"/>
      <c r="N12" s="912"/>
      <c r="O12" s="913"/>
      <c r="P12" s="3737"/>
      <c r="Q12" s="1339">
        <f t="shared" si="6"/>
        <v>111</v>
      </c>
      <c r="R12" s="697" t="s">
        <v>14</v>
      </c>
      <c r="S12" s="698">
        <f t="shared" si="0"/>
        <v>100</v>
      </c>
      <c r="T12" s="697" t="s">
        <v>14</v>
      </c>
      <c r="U12" s="698">
        <f t="shared" si="1"/>
        <v>100</v>
      </c>
      <c r="V12" s="697" t="s">
        <v>14</v>
      </c>
      <c r="W12" s="698">
        <f t="shared" si="2"/>
        <v>100</v>
      </c>
      <c r="X12" s="699"/>
      <c r="Y12" s="3685"/>
      <c r="Z12" s="52">
        <f t="shared" si="7"/>
        <v>111</v>
      </c>
      <c r="AA12" s="700">
        <f>D12/F12</f>
        <v>1</v>
      </c>
      <c r="AB12" s="700">
        <f>D12/H12</f>
        <v>1</v>
      </c>
      <c r="AC12" s="700">
        <f>D12/J12</f>
        <v>1</v>
      </c>
    </row>
    <row r="13" spans="1:29" ht="15">
      <c r="A13" s="376"/>
      <c r="B13" s="1888">
        <v>111</v>
      </c>
      <c r="C13" s="382"/>
      <c r="D13" s="383">
        <v>100</v>
      </c>
      <c r="E13" s="382"/>
      <c r="F13" s="125">
        <f>SUMIF(66:66,E13,67:67)-SUMIF(66:66,C13,67:67)+100</f>
        <v>100</v>
      </c>
      <c r="G13" s="1963"/>
      <c r="H13" s="383">
        <f>SUMIF(66:66,G13,67:67)-SUMIF(66:66,C13,67:67)+100</f>
        <v>100</v>
      </c>
      <c r="I13" s="417"/>
      <c r="J13" s="383">
        <f>SUMIF(66:66,I13,67:67)-SUMIF(66:66,C13,67:67)+100</f>
        <v>100</v>
      </c>
      <c r="K13" s="559"/>
      <c r="L13" s="919"/>
      <c r="M13" s="910"/>
      <c r="N13" s="910"/>
      <c r="O13" s="918"/>
      <c r="P13" s="3737"/>
      <c r="Q13" s="1339">
        <f t="shared" si="6"/>
        <v>111</v>
      </c>
      <c r="R13" s="697" t="s">
        <v>14</v>
      </c>
      <c r="S13" s="698">
        <f t="shared" si="0"/>
        <v>100</v>
      </c>
      <c r="T13" s="697" t="s">
        <v>14</v>
      </c>
      <c r="U13" s="698">
        <f t="shared" si="1"/>
        <v>100</v>
      </c>
      <c r="V13" s="697" t="s">
        <v>14</v>
      </c>
      <c r="W13" s="698">
        <f t="shared" si="2"/>
        <v>100</v>
      </c>
      <c r="X13" s="699"/>
      <c r="Y13" s="3685"/>
      <c r="Z13" s="52">
        <f t="shared" si="7"/>
        <v>111</v>
      </c>
      <c r="AA13" s="700">
        <f t="shared" si="3"/>
        <v>1</v>
      </c>
      <c r="AB13" s="700">
        <f t="shared" si="4"/>
        <v>1</v>
      </c>
      <c r="AC13" s="700">
        <f t="shared" si="5"/>
        <v>1</v>
      </c>
    </row>
    <row r="14" spans="1:29" ht="15.75" thickBot="1">
      <c r="A14" s="384"/>
      <c r="B14" s="1890">
        <v>111</v>
      </c>
      <c r="C14" s="385"/>
      <c r="D14" s="386">
        <v>100</v>
      </c>
      <c r="E14" s="385"/>
      <c r="F14" s="386">
        <f>SUMIF(68:68,E14,69:69)-SUMIF(68:68,C14,69:69)+100</f>
        <v>100</v>
      </c>
      <c r="G14" s="1963"/>
      <c r="H14" s="386">
        <f>SUMIF(68:68,G14,69:69)-SUMIF(68:68,C14,69:69)+100</f>
        <v>100</v>
      </c>
      <c r="I14" s="417"/>
      <c r="J14" s="386">
        <f>SUMIF(68:68,I14,69:69)-SUMIF(68:68,C14,69:69)+100</f>
        <v>100</v>
      </c>
      <c r="K14" s="559"/>
      <c r="L14" s="919"/>
      <c r="M14" s="910"/>
      <c r="N14" s="910"/>
      <c r="O14" s="918"/>
      <c r="P14" s="3737"/>
      <c r="Q14" s="1339">
        <f t="shared" si="6"/>
        <v>111</v>
      </c>
      <c r="R14" s="697" t="s">
        <v>14</v>
      </c>
      <c r="S14" s="698">
        <f t="shared" si="0"/>
        <v>100</v>
      </c>
      <c r="T14" s="697" t="s">
        <v>14</v>
      </c>
      <c r="U14" s="698">
        <f t="shared" si="1"/>
        <v>100</v>
      </c>
      <c r="V14" s="697" t="s">
        <v>14</v>
      </c>
      <c r="W14" s="698">
        <f t="shared" si="2"/>
        <v>100</v>
      </c>
      <c r="X14" s="699"/>
      <c r="Y14" s="3685"/>
      <c r="Z14" s="52">
        <f t="shared" si="7"/>
        <v>111</v>
      </c>
      <c r="AA14" s="700">
        <f t="shared" si="3"/>
        <v>1</v>
      </c>
      <c r="AB14" s="700">
        <f t="shared" si="4"/>
        <v>1</v>
      </c>
      <c r="AC14" s="700">
        <f t="shared" si="5"/>
        <v>1</v>
      </c>
    </row>
    <row r="15" spans="1:29" ht="57">
      <c r="A15" s="388" t="s">
        <v>1690</v>
      </c>
      <c r="B15" s="61" t="s">
        <v>1827</v>
      </c>
      <c r="C15" s="1964" t="str">
        <f>估价对象房地状况!G3</f>
        <v>估价对象位于XX开发区，园区建设成熟度XX，产业集聚程度XX</v>
      </c>
      <c r="D15" s="389">
        <v>100</v>
      </c>
      <c r="E15" s="390"/>
      <c r="F15" s="391">
        <f>SUMIF(70:70,E16,71:71)-SUMIF(70:70,C16,71:71)+100</f>
        <v>100</v>
      </c>
      <c r="G15" s="392"/>
      <c r="H15" s="389">
        <f>SUMIF(70:70,G16,71:71)-SUMIF(70:70,C16,71:71)+100</f>
        <v>100</v>
      </c>
      <c r="I15" s="390"/>
      <c r="J15" s="389">
        <f>SUMIF(70:70,I16,71:71)-SUMIF(70:70,C16,71:71)+100</f>
        <v>100</v>
      </c>
      <c r="K15" s="560"/>
      <c r="L15" s="919"/>
      <c r="M15" s="910"/>
      <c r="N15" s="910"/>
      <c r="O15" s="918"/>
      <c r="P15" s="3752" t="s">
        <v>1691</v>
      </c>
      <c r="Q15" s="1348" t="str">
        <f t="shared" si="6"/>
        <v>产业集聚程度</v>
      </c>
      <c r="R15" s="701" t="s">
        <v>14</v>
      </c>
      <c r="S15" s="702">
        <f t="shared" si="0"/>
        <v>100</v>
      </c>
      <c r="T15" s="701" t="s">
        <v>14</v>
      </c>
      <c r="U15" s="702">
        <f t="shared" si="1"/>
        <v>100</v>
      </c>
      <c r="V15" s="701" t="s">
        <v>14</v>
      </c>
      <c r="W15" s="702">
        <f t="shared" si="2"/>
        <v>100</v>
      </c>
      <c r="X15" s="1351"/>
      <c r="Y15" s="3752" t="s">
        <v>1691</v>
      </c>
      <c r="Z15" s="1352" t="str">
        <f t="shared" si="7"/>
        <v>产业集聚程度</v>
      </c>
      <c r="AA15" s="1349">
        <f t="shared" si="3"/>
        <v>1</v>
      </c>
      <c r="AB15" s="1349">
        <f t="shared" si="4"/>
        <v>1</v>
      </c>
      <c r="AC15" s="1349">
        <f t="shared" si="5"/>
        <v>1</v>
      </c>
    </row>
    <row r="16" spans="1:29" ht="15">
      <c r="A16" s="376"/>
      <c r="B16" s="394"/>
      <c r="C16" s="395"/>
      <c r="D16" s="396"/>
      <c r="E16" s="395"/>
      <c r="F16" s="397"/>
      <c r="G16" s="395"/>
      <c r="H16" s="398"/>
      <c r="I16" s="395"/>
      <c r="J16" s="396"/>
      <c r="K16" s="561"/>
      <c r="L16" s="919"/>
      <c r="M16" s="910"/>
      <c r="N16" s="910"/>
      <c r="O16" s="918"/>
      <c r="P16" s="3753"/>
      <c r="Q16" s="1348"/>
      <c r="R16" s="701"/>
      <c r="S16" s="702"/>
      <c r="T16" s="701"/>
      <c r="U16" s="702"/>
      <c r="V16" s="701"/>
      <c r="W16" s="702"/>
      <c r="X16" s="1351"/>
      <c r="Y16" s="3753"/>
      <c r="Z16" s="1352"/>
      <c r="AA16" s="1349">
        <v>1</v>
      </c>
      <c r="AB16" s="1349">
        <v>1</v>
      </c>
      <c r="AC16" s="1349">
        <v>1</v>
      </c>
    </row>
    <row r="17" spans="1:29" ht="85.5">
      <c r="A17" s="376"/>
      <c r="B17" s="399" t="s">
        <v>1259</v>
      </c>
      <c r="C17" s="1895" t="str">
        <f>估价对象房地状况!G4</f>
        <v>估价对象周边道路状况、公共交通通达情况、停车便捷程度，综合评价交通便捷度较好</v>
      </c>
      <c r="D17" s="398">
        <v>100</v>
      </c>
      <c r="E17" s="400"/>
      <c r="F17" s="401">
        <f>SUMIF(72:72,E18,73:73)-SUMIF(72:72,C18,73:73)+100</f>
        <v>100</v>
      </c>
      <c r="G17" s="402"/>
      <c r="H17" s="403">
        <f>SUMIF(72:72,G18,73:73)-SUMIF(72:72,C18,73:73)+100</f>
        <v>100</v>
      </c>
      <c r="I17" s="400"/>
      <c r="J17" s="403">
        <f>SUMIF(72:72,I18,73:73)-SUMIF(72:72,C18,73:73)+100</f>
        <v>100</v>
      </c>
      <c r="K17" s="560"/>
      <c r="L17" s="919"/>
      <c r="M17" s="910"/>
      <c r="N17" s="910"/>
      <c r="O17" s="918"/>
      <c r="P17" s="3753"/>
      <c r="Q17" s="1348" t="str">
        <f>B17</f>
        <v>交通便捷度</v>
      </c>
      <c r="R17" s="701" t="s">
        <v>14</v>
      </c>
      <c r="S17" s="702">
        <f>F17</f>
        <v>100</v>
      </c>
      <c r="T17" s="701" t="s">
        <v>14</v>
      </c>
      <c r="U17" s="702">
        <f>H17</f>
        <v>100</v>
      </c>
      <c r="V17" s="701" t="s">
        <v>14</v>
      </c>
      <c r="W17" s="702">
        <f>J17</f>
        <v>100</v>
      </c>
      <c r="X17" s="1351"/>
      <c r="Y17" s="3753"/>
      <c r="Z17" s="1352" t="str">
        <f>Q17</f>
        <v>交通便捷度</v>
      </c>
      <c r="AA17" s="1349">
        <f t="shared" si="3"/>
        <v>1</v>
      </c>
      <c r="AB17" s="1349">
        <f t="shared" si="4"/>
        <v>1</v>
      </c>
      <c r="AC17" s="1349">
        <f t="shared" si="5"/>
        <v>1</v>
      </c>
    </row>
    <row r="18" spans="1:29" ht="15">
      <c r="A18" s="376"/>
      <c r="B18" s="404"/>
      <c r="C18" s="1896"/>
      <c r="D18" s="398"/>
      <c r="E18" s="1898"/>
      <c r="F18" s="401"/>
      <c r="G18" s="1897"/>
      <c r="H18" s="396"/>
      <c r="I18" s="1898"/>
      <c r="J18" s="396"/>
      <c r="K18" s="561"/>
      <c r="L18" s="919"/>
      <c r="M18" s="910"/>
      <c r="N18" s="910"/>
      <c r="O18" s="918"/>
      <c r="P18" s="3753"/>
      <c r="Q18" s="1348"/>
      <c r="R18" s="701"/>
      <c r="S18" s="702"/>
      <c r="T18" s="701"/>
      <c r="U18" s="702"/>
      <c r="V18" s="701"/>
      <c r="W18" s="702"/>
      <c r="X18" s="1351"/>
      <c r="Y18" s="3753"/>
      <c r="Z18" s="1352"/>
      <c r="AA18" s="1349">
        <v>1</v>
      </c>
      <c r="AB18" s="1349">
        <v>1</v>
      </c>
      <c r="AC18" s="1349">
        <v>1</v>
      </c>
    </row>
    <row r="19" spans="1:29" ht="42.75">
      <c r="A19" s="376"/>
      <c r="B19" s="399" t="s">
        <v>1812</v>
      </c>
      <c r="C19" s="1895" t="str">
        <f>估价对象房地状况!G5</f>
        <v>估价对象所在区域公共配套设施齐备情况</v>
      </c>
      <c r="D19" s="403">
        <v>100</v>
      </c>
      <c r="E19" s="405"/>
      <c r="F19" s="406">
        <f>SUMIF(74:74,E20,75:75)-SUMIF(74:74,C20,75:75)+100</f>
        <v>100</v>
      </c>
      <c r="G19" s="407"/>
      <c r="H19" s="398">
        <f>SUMIF(74:74,G20,75:75)-SUMIF(74:74,C20,75:75)+100</f>
        <v>100</v>
      </c>
      <c r="I19" s="405"/>
      <c r="J19" s="398">
        <f>SUMIF(74:74,I20,75:75)-SUMIF(74:74,C20,75:75)+100</f>
        <v>100</v>
      </c>
      <c r="K19" s="560"/>
      <c r="L19" s="919"/>
      <c r="M19" s="910"/>
      <c r="N19" s="910"/>
      <c r="O19" s="918"/>
      <c r="P19" s="3753"/>
      <c r="Q19" s="1348" t="str">
        <f>B19</f>
        <v>公共配套设施</v>
      </c>
      <c r="R19" s="701" t="s">
        <v>14</v>
      </c>
      <c r="S19" s="702">
        <f>F19</f>
        <v>100</v>
      </c>
      <c r="T19" s="701" t="s">
        <v>14</v>
      </c>
      <c r="U19" s="702">
        <f>H19</f>
        <v>100</v>
      </c>
      <c r="V19" s="701" t="s">
        <v>14</v>
      </c>
      <c r="W19" s="702">
        <f>J19</f>
        <v>100</v>
      </c>
      <c r="X19" s="1351"/>
      <c r="Y19" s="3753"/>
      <c r="Z19" s="1352" t="str">
        <f>Q19</f>
        <v>公共配套设施</v>
      </c>
      <c r="AA19" s="1349">
        <f t="shared" si="3"/>
        <v>1</v>
      </c>
      <c r="AB19" s="1349">
        <f t="shared" si="4"/>
        <v>1</v>
      </c>
      <c r="AC19" s="1349">
        <f t="shared" si="5"/>
        <v>1</v>
      </c>
    </row>
    <row r="20" spans="1:29" ht="15">
      <c r="A20" s="376"/>
      <c r="B20" s="404"/>
      <c r="C20" s="395"/>
      <c r="D20" s="396"/>
      <c r="E20" s="1893"/>
      <c r="F20" s="397"/>
      <c r="G20" s="1892"/>
      <c r="H20" s="396"/>
      <c r="I20" s="1893"/>
      <c r="J20" s="396"/>
      <c r="K20" s="561"/>
      <c r="L20" s="919"/>
      <c r="M20" s="910"/>
      <c r="N20" s="910"/>
      <c r="O20" s="918"/>
      <c r="P20" s="3753"/>
      <c r="Q20" s="1348"/>
      <c r="R20" s="701"/>
      <c r="S20" s="702"/>
      <c r="T20" s="701"/>
      <c r="U20" s="702"/>
      <c r="V20" s="701"/>
      <c r="W20" s="702"/>
      <c r="X20" s="1351"/>
      <c r="Y20" s="3753"/>
      <c r="Z20" s="1352"/>
      <c r="AA20" s="1349">
        <v>1</v>
      </c>
      <c r="AB20" s="1349">
        <v>1</v>
      </c>
      <c r="AC20" s="1349">
        <v>1</v>
      </c>
    </row>
    <row r="21" spans="1:29" ht="28.5">
      <c r="A21" s="376"/>
      <c r="B21" s="1127" t="s">
        <v>1813</v>
      </c>
      <c r="C21" s="1895" t="str">
        <f>估价对象房地状况!G6</f>
        <v>估价对象所在区域基础设施水平</v>
      </c>
      <c r="D21" s="398">
        <v>100</v>
      </c>
      <c r="E21" s="405"/>
      <c r="F21" s="406">
        <f>SUMIF(76:76,E22,77:77)-SUMIF(76:76,C22,77:77)+100</f>
        <v>100</v>
      </c>
      <c r="G21" s="407"/>
      <c r="H21" s="398">
        <f>SUMIF(76:76,G22,77:77)-SUMIF(76:76,C22,77:77)+100</f>
        <v>100</v>
      </c>
      <c r="I21" s="405"/>
      <c r="J21" s="398">
        <f>SUMIF(76:76,I22,77:77)-SUMIF(76:76,C22,77:77)+100</f>
        <v>100</v>
      </c>
      <c r="K21" s="560"/>
      <c r="L21" s="919"/>
      <c r="M21" s="910"/>
      <c r="N21" s="910"/>
      <c r="O21" s="918"/>
      <c r="P21" s="3753"/>
      <c r="Q21" s="1348" t="str">
        <f>B21</f>
        <v>基础设施水平</v>
      </c>
      <c r="R21" s="701" t="s">
        <v>14</v>
      </c>
      <c r="S21" s="702">
        <f>F21</f>
        <v>100</v>
      </c>
      <c r="T21" s="701" t="s">
        <v>14</v>
      </c>
      <c r="U21" s="702">
        <f>H21</f>
        <v>100</v>
      </c>
      <c r="V21" s="701" t="s">
        <v>14</v>
      </c>
      <c r="W21" s="702">
        <f>J21</f>
        <v>100</v>
      </c>
      <c r="X21" s="1351"/>
      <c r="Y21" s="3753"/>
      <c r="Z21" s="1352" t="str">
        <f>Q21</f>
        <v>基础设施水平</v>
      </c>
      <c r="AA21" s="1349">
        <f t="shared" ref="AA21" si="8">D21/F21</f>
        <v>1</v>
      </c>
      <c r="AB21" s="1349">
        <f t="shared" ref="AB21" si="9">D21/H21</f>
        <v>1</v>
      </c>
      <c r="AC21" s="1349">
        <f t="shared" ref="AC21" si="10">D21/J21</f>
        <v>1</v>
      </c>
    </row>
    <row r="22" spans="1:29" ht="15">
      <c r="A22" s="376"/>
      <c r="B22" s="1127"/>
      <c r="C22" s="1896"/>
      <c r="D22" s="396"/>
      <c r="E22" s="395"/>
      <c r="F22" s="397"/>
      <c r="G22" s="395"/>
      <c r="H22" s="396"/>
      <c r="I22" s="395"/>
      <c r="J22" s="396"/>
      <c r="K22" s="1126"/>
      <c r="L22" s="919"/>
      <c r="M22" s="910"/>
      <c r="N22" s="910"/>
      <c r="O22" s="918"/>
      <c r="P22" s="3753"/>
      <c r="Q22" s="1348"/>
      <c r="R22" s="701"/>
      <c r="S22" s="702"/>
      <c r="T22" s="701"/>
      <c r="U22" s="702"/>
      <c r="V22" s="701"/>
      <c r="W22" s="702"/>
      <c r="X22" s="1351"/>
      <c r="Y22" s="3753"/>
      <c r="Z22" s="1352"/>
      <c r="AA22" s="1349">
        <v>1</v>
      </c>
      <c r="AB22" s="1349">
        <v>1</v>
      </c>
      <c r="AC22" s="1349">
        <v>1</v>
      </c>
    </row>
    <row r="23" spans="1:29" ht="71.25">
      <c r="A23" s="376"/>
      <c r="B23" s="399" t="s">
        <v>1814</v>
      </c>
      <c r="C23" s="1895" t="str">
        <f>估价对象房地状况!G7</f>
        <v>该园区内是否有污染型企业，绿化情况，卫生条件，整体环境状况判断</v>
      </c>
      <c r="D23" s="398">
        <v>100</v>
      </c>
      <c r="E23" s="400"/>
      <c r="F23" s="401">
        <f>SUMIF(78:78,E24,79:79)-SUMIF(78:78,C24,79:79)+100</f>
        <v>100</v>
      </c>
      <c r="G23" s="402"/>
      <c r="H23" s="398">
        <f>SUMIF(78:78,G24,79:79)-SUMIF(78:78,C24,79:79)+100</f>
        <v>100</v>
      </c>
      <c r="I23" s="400"/>
      <c r="J23" s="398">
        <f>SUMIF(78:78,I24,79:79)-SUMIF(78:78,C24,79:79)+100</f>
        <v>100</v>
      </c>
      <c r="K23" s="560"/>
      <c r="L23" s="919"/>
      <c r="M23" s="910"/>
      <c r="N23" s="910"/>
      <c r="O23" s="918"/>
      <c r="P23" s="3753"/>
      <c r="Q23" s="1348" t="str">
        <f>B23</f>
        <v>环境质量</v>
      </c>
      <c r="R23" s="701" t="s">
        <v>14</v>
      </c>
      <c r="S23" s="702">
        <f>F23</f>
        <v>100</v>
      </c>
      <c r="T23" s="701" t="s">
        <v>14</v>
      </c>
      <c r="U23" s="702">
        <f>H23</f>
        <v>100</v>
      </c>
      <c r="V23" s="701" t="s">
        <v>14</v>
      </c>
      <c r="W23" s="702">
        <f>J23</f>
        <v>100</v>
      </c>
      <c r="X23" s="1351"/>
      <c r="Y23" s="3753"/>
      <c r="Z23" s="1352" t="str">
        <f>Q23</f>
        <v>环境质量</v>
      </c>
      <c r="AA23" s="1349">
        <f t="shared" si="3"/>
        <v>1</v>
      </c>
      <c r="AB23" s="1349">
        <f t="shared" si="4"/>
        <v>1</v>
      </c>
      <c r="AC23" s="1349">
        <f t="shared" si="5"/>
        <v>1</v>
      </c>
    </row>
    <row r="24" spans="1:29" ht="15">
      <c r="A24" s="376"/>
      <c r="B24" s="1127"/>
      <c r="C24" s="395"/>
      <c r="D24" s="396"/>
      <c r="E24" s="1893"/>
      <c r="F24" s="397"/>
      <c r="G24" s="1892"/>
      <c r="H24" s="396"/>
      <c r="I24" s="1893"/>
      <c r="J24" s="396"/>
      <c r="K24" s="561"/>
      <c r="L24" s="919"/>
      <c r="M24" s="910"/>
      <c r="N24" s="910"/>
      <c r="O24" s="918"/>
      <c r="P24" s="3753"/>
      <c r="Q24" s="1348"/>
      <c r="R24" s="701"/>
      <c r="S24" s="702"/>
      <c r="T24" s="701"/>
      <c r="U24" s="702"/>
      <c r="V24" s="701"/>
      <c r="W24" s="702"/>
      <c r="X24" s="1351"/>
      <c r="Y24" s="3753"/>
      <c r="Z24" s="1352"/>
      <c r="AA24" s="1349">
        <v>1</v>
      </c>
      <c r="AB24" s="1349">
        <v>1</v>
      </c>
      <c r="AC24" s="1349">
        <v>1</v>
      </c>
    </row>
    <row r="25" spans="1:29" ht="15">
      <c r="A25" s="355"/>
      <c r="B25" s="1129">
        <v>111</v>
      </c>
      <c r="C25" s="382">
        <v>111</v>
      </c>
      <c r="D25" s="383">
        <v>100</v>
      </c>
      <c r="E25" s="382"/>
      <c r="F25" s="409">
        <f>SUMIF(80:80,E25,81:81)-SUMIF(80:80,C25,81:81)+100</f>
        <v>100</v>
      </c>
      <c r="G25" s="382"/>
      <c r="H25" s="383">
        <f>SUMIF(80:80,G25,81:81)-SUMIF(80:80,C25,81:81)+100</f>
        <v>100</v>
      </c>
      <c r="I25" s="382"/>
      <c r="J25" s="383">
        <f>SUMIF(80:80,I25,81:81)-SUMIF(80:80,C25,81:81)+100</f>
        <v>100</v>
      </c>
      <c r="K25" s="559"/>
      <c r="L25" s="919"/>
      <c r="M25" s="910"/>
      <c r="N25" s="910"/>
      <c r="O25" s="918"/>
      <c r="P25" s="3753"/>
      <c r="Q25" s="1348">
        <f>B25</f>
        <v>111</v>
      </c>
      <c r="R25" s="701" t="s">
        <v>14</v>
      </c>
      <c r="S25" s="702">
        <f>F25</f>
        <v>100</v>
      </c>
      <c r="T25" s="701" t="s">
        <v>14</v>
      </c>
      <c r="U25" s="702">
        <f>H25</f>
        <v>100</v>
      </c>
      <c r="V25" s="701" t="s">
        <v>14</v>
      </c>
      <c r="W25" s="702">
        <f>J25</f>
        <v>100</v>
      </c>
      <c r="X25" s="1351"/>
      <c r="Y25" s="3753"/>
      <c r="Z25" s="1352">
        <f>Q25</f>
        <v>111</v>
      </c>
      <c r="AA25" s="1349">
        <f t="shared" si="3"/>
        <v>1</v>
      </c>
      <c r="AB25" s="1349">
        <f t="shared" si="4"/>
        <v>1</v>
      </c>
      <c r="AC25" s="1349">
        <f t="shared" si="5"/>
        <v>1</v>
      </c>
    </row>
    <row r="26" spans="1:29" ht="15">
      <c r="A26" s="376"/>
      <c r="B26" s="1129">
        <v>111</v>
      </c>
      <c r="C26" s="382">
        <v>111</v>
      </c>
      <c r="D26" s="383">
        <v>100</v>
      </c>
      <c r="E26" s="382"/>
      <c r="F26" s="409">
        <f>SUMIF(82:82,E26,83:83)-SUMIF(82:82,C26,83:83)+100</f>
        <v>100</v>
      </c>
      <c r="G26" s="382"/>
      <c r="H26" s="383">
        <f>SUMIF(82:82,G26,83:83)-SUMIF(82:82,C26,83:83)+100</f>
        <v>100</v>
      </c>
      <c r="I26" s="382"/>
      <c r="J26" s="383">
        <f>SUMIF(82:82,I26,83:83)-SUMIF(82:82,C26,83:83)+100</f>
        <v>100</v>
      </c>
      <c r="K26" s="559"/>
      <c r="L26" s="919"/>
      <c r="M26" s="910"/>
      <c r="N26" s="910"/>
      <c r="O26" s="918"/>
      <c r="P26" s="3753"/>
      <c r="Q26" s="1348">
        <f t="shared" ref="Q26:Q40" si="11">B26</f>
        <v>111</v>
      </c>
      <c r="R26" s="701" t="s">
        <v>14</v>
      </c>
      <c r="S26" s="702">
        <f>F26</f>
        <v>100</v>
      </c>
      <c r="T26" s="701" t="s">
        <v>14</v>
      </c>
      <c r="U26" s="702">
        <f>H26</f>
        <v>100</v>
      </c>
      <c r="V26" s="701" t="s">
        <v>14</v>
      </c>
      <c r="W26" s="702">
        <f>J26</f>
        <v>100</v>
      </c>
      <c r="X26" s="1351"/>
      <c r="Y26" s="3753"/>
      <c r="Z26" s="1352">
        <f>Q26</f>
        <v>111</v>
      </c>
      <c r="AA26" s="1349">
        <f t="shared" si="3"/>
        <v>1</v>
      </c>
      <c r="AB26" s="1349">
        <f t="shared" si="4"/>
        <v>1</v>
      </c>
      <c r="AC26" s="1349">
        <f t="shared" si="5"/>
        <v>1</v>
      </c>
    </row>
    <row r="27" spans="1:29" s="108" customFormat="1" ht="15">
      <c r="A27" s="379"/>
      <c r="B27" s="1129">
        <v>111</v>
      </c>
      <c r="C27" s="382">
        <v>111</v>
      </c>
      <c r="D27" s="410">
        <v>100</v>
      </c>
      <c r="E27" s="382"/>
      <c r="F27" s="412">
        <f>SUMIF(84:84,E27,85:85)-SUMIF(84:84,C27,85:85)+100</f>
        <v>100</v>
      </c>
      <c r="G27" s="382"/>
      <c r="H27" s="410">
        <f>SUMIF(84:84,G27,85:85)-SUMIF(84:84,C27,85:85)+100</f>
        <v>100</v>
      </c>
      <c r="I27" s="382"/>
      <c r="J27" s="410">
        <f>SUMIF(84:84,I27,85:85)-SUMIF(84:84,C27,85:85)+100</f>
        <v>100</v>
      </c>
      <c r="K27" s="559"/>
      <c r="L27" s="911"/>
      <c r="M27" s="912"/>
      <c r="N27" s="912"/>
      <c r="O27" s="913"/>
      <c r="P27" s="3753"/>
      <c r="Q27" s="1339">
        <f t="shared" si="11"/>
        <v>111</v>
      </c>
      <c r="R27" s="697" t="s">
        <v>14</v>
      </c>
      <c r="S27" s="698">
        <f>F27</f>
        <v>100</v>
      </c>
      <c r="T27" s="697" t="s">
        <v>14</v>
      </c>
      <c r="U27" s="698">
        <f>H27</f>
        <v>100</v>
      </c>
      <c r="V27" s="697" t="s">
        <v>14</v>
      </c>
      <c r="W27" s="698">
        <f>J27</f>
        <v>100</v>
      </c>
      <c r="X27" s="699"/>
      <c r="Y27" s="3753"/>
      <c r="Z27" s="52">
        <f>Q27</f>
        <v>111</v>
      </c>
      <c r="AA27" s="1349">
        <f>D27/F27</f>
        <v>1</v>
      </c>
      <c r="AB27" s="1349">
        <f>D27/H27</f>
        <v>1</v>
      </c>
      <c r="AC27" s="1349">
        <f>D27/J27</f>
        <v>1</v>
      </c>
    </row>
    <row r="28" spans="1:29" ht="15.75" thickBot="1">
      <c r="A28" s="384"/>
      <c r="B28" s="1129">
        <v>111</v>
      </c>
      <c r="C28" s="385">
        <v>111</v>
      </c>
      <c r="D28" s="386">
        <v>100</v>
      </c>
      <c r="E28" s="382"/>
      <c r="F28" s="387">
        <f>SUMIF(86:86,E28,87:87)-SUMIF(86:86,C28,87:87)+100</f>
        <v>100</v>
      </c>
      <c r="G28" s="417"/>
      <c r="H28" s="386">
        <f>SUMIF(86:86,G28,87:87)-SUMIF(86:86,C28,87:87)+100</f>
        <v>100</v>
      </c>
      <c r="I28" s="417"/>
      <c r="J28" s="386">
        <f>SUMIF(86:86,I28,87:87)-SUMIF(86:86,C28,87:87)+100</f>
        <v>100</v>
      </c>
      <c r="K28" s="559"/>
      <c r="L28" s="919"/>
      <c r="M28" s="910"/>
      <c r="N28" s="910"/>
      <c r="O28" s="918"/>
      <c r="P28" s="3753"/>
      <c r="Q28" s="1348">
        <f t="shared" si="11"/>
        <v>111</v>
      </c>
      <c r="R28" s="701" t="s">
        <v>14</v>
      </c>
      <c r="S28" s="702">
        <f t="shared" ref="S28:S40" si="12">F28</f>
        <v>100</v>
      </c>
      <c r="T28" s="701" t="s">
        <v>14</v>
      </c>
      <c r="U28" s="702">
        <f t="shared" ref="U28:U40" si="13">H28</f>
        <v>100</v>
      </c>
      <c r="V28" s="701" t="s">
        <v>14</v>
      </c>
      <c r="W28" s="702">
        <f t="shared" ref="W28:W40" si="14">J28</f>
        <v>100</v>
      </c>
      <c r="X28" s="1351"/>
      <c r="Y28" s="3753"/>
      <c r="Z28" s="1352">
        <f t="shared" ref="Z28:Z40" si="15">Q28</f>
        <v>111</v>
      </c>
      <c r="AA28" s="1349">
        <f t="shared" si="3"/>
        <v>1</v>
      </c>
      <c r="AB28" s="1349">
        <f t="shared" si="4"/>
        <v>1</v>
      </c>
      <c r="AC28" s="1349">
        <f t="shared" si="5"/>
        <v>1</v>
      </c>
    </row>
    <row r="29" spans="1:29" ht="15">
      <c r="A29" s="414" t="s">
        <v>1694</v>
      </c>
      <c r="B29" s="63" t="s">
        <v>1817</v>
      </c>
      <c r="C29" s="1960"/>
      <c r="D29" s="415">
        <v>100</v>
      </c>
      <c r="E29" s="1960"/>
      <c r="F29" s="409">
        <f>SUMIF(88:88,E29,89:89)-SUMIF(88:88,C29,89:89)+100</f>
        <v>100</v>
      </c>
      <c r="G29" s="1960"/>
      <c r="H29" s="383">
        <f>SUMIF(88:88,G29,89:89)-SUMIF(88:88,C29,89:89)+100</f>
        <v>100</v>
      </c>
      <c r="I29" s="1960"/>
      <c r="J29" s="415">
        <f>SUMIF(88:88,I29,89:89)-SUMIF(88:88,C29,89:89)+100</f>
        <v>100</v>
      </c>
      <c r="K29" s="558"/>
      <c r="L29" s="919"/>
      <c r="M29" s="910"/>
      <c r="N29" s="910"/>
      <c r="O29" s="918"/>
      <c r="P29" s="3754" t="s">
        <v>1696</v>
      </c>
      <c r="Q29" s="1348" t="str">
        <f t="shared" si="11"/>
        <v>建筑类型</v>
      </c>
      <c r="R29" s="701" t="s">
        <v>14</v>
      </c>
      <c r="S29" s="702">
        <f t="shared" si="12"/>
        <v>100</v>
      </c>
      <c r="T29" s="701" t="s">
        <v>14</v>
      </c>
      <c r="U29" s="702">
        <f t="shared" si="13"/>
        <v>100</v>
      </c>
      <c r="V29" s="701" t="s">
        <v>14</v>
      </c>
      <c r="W29" s="702">
        <f t="shared" si="14"/>
        <v>100</v>
      </c>
      <c r="X29" s="1351"/>
      <c r="Y29" s="3755" t="s">
        <v>1696</v>
      </c>
      <c r="Z29" s="1352" t="str">
        <f t="shared" si="15"/>
        <v>建筑类型</v>
      </c>
      <c r="AA29" s="1349">
        <f t="shared" si="3"/>
        <v>1</v>
      </c>
      <c r="AB29" s="1349">
        <f t="shared" si="4"/>
        <v>1</v>
      </c>
      <c r="AC29" s="1349">
        <f t="shared" si="5"/>
        <v>1</v>
      </c>
    </row>
    <row r="30" spans="1:29" s="419" customFormat="1" ht="15">
      <c r="A30" s="416"/>
      <c r="B30" s="372" t="s">
        <v>1697</v>
      </c>
      <c r="C30" s="417"/>
      <c r="D30" s="125">
        <v>100</v>
      </c>
      <c r="E30" s="378"/>
      <c r="F30" s="373" t="e">
        <f>LOOKUP(E30,91:91,92:92)-LOOKUP(C30,91:91,92:92)+100</f>
        <v>#N/A</v>
      </c>
      <c r="G30" s="377"/>
      <c r="H30" s="125" t="e">
        <f>LOOKUP(G30,91:91,92:92)-LOOKUP(C30,91:91,92:92)+100</f>
        <v>#N/A</v>
      </c>
      <c r="I30" s="377"/>
      <c r="J30" s="125" t="e">
        <f>LOOKUP(I30,91:91,92:92)-LOOKUP(C30,91:91,92:92)+100</f>
        <v>#N/A</v>
      </c>
      <c r="K30" s="559"/>
      <c r="L30" s="917"/>
      <c r="M30" s="920"/>
      <c r="N30" s="920"/>
      <c r="O30" s="921"/>
      <c r="P30" s="3755"/>
      <c r="Q30" s="703" t="str">
        <f t="shared" si="11"/>
        <v>项目建筑规模</v>
      </c>
      <c r="R30" s="704" t="s">
        <v>14</v>
      </c>
      <c r="S30" s="705" t="e">
        <f t="shared" si="12"/>
        <v>#N/A</v>
      </c>
      <c r="T30" s="704" t="s">
        <v>14</v>
      </c>
      <c r="U30" s="705" t="e">
        <f t="shared" si="13"/>
        <v>#N/A</v>
      </c>
      <c r="V30" s="704" t="s">
        <v>14</v>
      </c>
      <c r="W30" s="705" t="e">
        <f t="shared" si="14"/>
        <v>#N/A</v>
      </c>
      <c r="X30" s="706"/>
      <c r="Y30" s="3755"/>
      <c r="Z30" s="707" t="str">
        <f t="shared" si="15"/>
        <v>项目建筑规模</v>
      </c>
      <c r="AA30" s="1349" t="e">
        <f t="shared" si="3"/>
        <v>#N/A</v>
      </c>
      <c r="AB30" s="1349" t="e">
        <f t="shared" si="4"/>
        <v>#N/A</v>
      </c>
      <c r="AC30" s="1349" t="e">
        <f t="shared" si="5"/>
        <v>#N/A</v>
      </c>
    </row>
    <row r="31" spans="1:29" ht="15">
      <c r="A31" s="420"/>
      <c r="B31" s="372" t="s">
        <v>1698</v>
      </c>
      <c r="C31" s="408"/>
      <c r="D31" s="383">
        <v>100</v>
      </c>
      <c r="E31" s="408"/>
      <c r="F31" s="409">
        <f>SUMIF(93:93,E31,94:94)-SUMIF(93:93,C31,94:94)+100</f>
        <v>100</v>
      </c>
      <c r="G31" s="408"/>
      <c r="H31" s="383">
        <f>SUMIF(93:93,G31,94:94)-SUMIF(93:93,C31,94:94)+100</f>
        <v>100</v>
      </c>
      <c r="I31" s="408"/>
      <c r="J31" s="383">
        <f>SUMIF(93:93,I31,94:94)-SUMIF(93:93,C31,94:94)+100</f>
        <v>100</v>
      </c>
      <c r="K31" s="558"/>
      <c r="L31" s="919"/>
      <c r="M31" s="910"/>
      <c r="N31" s="910"/>
      <c r="O31" s="918"/>
      <c r="P31" s="3755"/>
      <c r="Q31" s="1348" t="str">
        <f t="shared" si="11"/>
        <v>建筑结构</v>
      </c>
      <c r="R31" s="701" t="s">
        <v>14</v>
      </c>
      <c r="S31" s="702">
        <f t="shared" si="12"/>
        <v>100</v>
      </c>
      <c r="T31" s="701" t="s">
        <v>14</v>
      </c>
      <c r="U31" s="702">
        <f t="shared" si="13"/>
        <v>100</v>
      </c>
      <c r="V31" s="701" t="s">
        <v>14</v>
      </c>
      <c r="W31" s="702">
        <f t="shared" si="14"/>
        <v>100</v>
      </c>
      <c r="X31" s="1351"/>
      <c r="Y31" s="3755"/>
      <c r="Z31" s="1352" t="str">
        <f t="shared" si="15"/>
        <v>建筑结构</v>
      </c>
      <c r="AA31" s="1349">
        <f t="shared" si="3"/>
        <v>1</v>
      </c>
      <c r="AB31" s="1349">
        <f t="shared" si="4"/>
        <v>1</v>
      </c>
      <c r="AC31" s="1349">
        <f t="shared" si="5"/>
        <v>1</v>
      </c>
    </row>
    <row r="32" spans="1:29" ht="15">
      <c r="A32" s="420"/>
      <c r="B32" s="372" t="s">
        <v>1785</v>
      </c>
      <c r="C32" s="408"/>
      <c r="D32" s="383">
        <v>100</v>
      </c>
      <c r="E32" s="408"/>
      <c r="F32" s="409">
        <f>SUMIF(95:95,E32,96:96)-SUMIF(95:95,C32,96:96)+100</f>
        <v>100</v>
      </c>
      <c r="G32" s="408"/>
      <c r="H32" s="383">
        <f>SUMIF(95:95,G32,96:96)-SUMIF(95:95,C32,96:96)+100</f>
        <v>100</v>
      </c>
      <c r="I32" s="408"/>
      <c r="J32" s="383">
        <f>SUMIF(95:95,I32,96:96)-SUMIF(95:95,C32,96:96)+100</f>
        <v>100</v>
      </c>
      <c r="K32" s="558"/>
      <c r="L32" s="919"/>
      <c r="M32" s="910"/>
      <c r="N32" s="910"/>
      <c r="O32" s="918"/>
      <c r="P32" s="3755"/>
      <c r="Q32" s="1348" t="str">
        <f t="shared" si="11"/>
        <v>公共部分装修</v>
      </c>
      <c r="R32" s="701" t="s">
        <v>14</v>
      </c>
      <c r="S32" s="702">
        <f t="shared" si="12"/>
        <v>100</v>
      </c>
      <c r="T32" s="701" t="s">
        <v>14</v>
      </c>
      <c r="U32" s="702">
        <f t="shared" si="13"/>
        <v>100</v>
      </c>
      <c r="V32" s="701" t="s">
        <v>14</v>
      </c>
      <c r="W32" s="702">
        <f t="shared" si="14"/>
        <v>100</v>
      </c>
      <c r="X32" s="1351"/>
      <c r="Y32" s="3755"/>
      <c r="Z32" s="1352" t="str">
        <f t="shared" si="15"/>
        <v>公共部分装修</v>
      </c>
      <c r="AA32" s="1349">
        <f t="shared" si="3"/>
        <v>1</v>
      </c>
      <c r="AB32" s="1349">
        <f t="shared" si="4"/>
        <v>1</v>
      </c>
      <c r="AC32" s="1349">
        <f t="shared" si="5"/>
        <v>1</v>
      </c>
    </row>
    <row r="33" spans="1:29" ht="15">
      <c r="A33" s="420"/>
      <c r="B33" s="372" t="s">
        <v>1786</v>
      </c>
      <c r="C33" s="417"/>
      <c r="D33" s="383">
        <v>100</v>
      </c>
      <c r="E33" s="422"/>
      <c r="F33" s="409" t="e">
        <f>LOOKUP(E33,98:98,99:99)-LOOKUP(C33,98:98,99:99)+100</f>
        <v>#N/A</v>
      </c>
      <c r="G33" s="422"/>
      <c r="H33" s="409" t="e">
        <f>LOOKUP(G33,98:98,99:99)-LOOKUP(C33,98:98,99:99)+100</f>
        <v>#N/A</v>
      </c>
      <c r="I33" s="422"/>
      <c r="J33" s="383" t="e">
        <f>LOOKUP(I33,98:98,99:99)-LOOKUP(C33,98:98,99:99)+100</f>
        <v>#N/A</v>
      </c>
      <c r="K33" s="558"/>
      <c r="L33" s="919"/>
      <c r="M33" s="910"/>
      <c r="N33" s="910"/>
      <c r="O33" s="918"/>
      <c r="P33" s="3755"/>
      <c r="Q33" s="1348" t="str">
        <f t="shared" si="11"/>
        <v>成新度</v>
      </c>
      <c r="R33" s="701" t="s">
        <v>14</v>
      </c>
      <c r="S33" s="702" t="e">
        <f t="shared" si="12"/>
        <v>#N/A</v>
      </c>
      <c r="T33" s="701" t="s">
        <v>14</v>
      </c>
      <c r="U33" s="702" t="e">
        <f t="shared" si="13"/>
        <v>#N/A</v>
      </c>
      <c r="V33" s="701" t="s">
        <v>14</v>
      </c>
      <c r="W33" s="702" t="e">
        <f t="shared" si="14"/>
        <v>#N/A</v>
      </c>
      <c r="X33" s="1351"/>
      <c r="Y33" s="3755"/>
      <c r="Z33" s="1352" t="str">
        <f t="shared" si="15"/>
        <v>成新度</v>
      </c>
      <c r="AA33" s="1349" t="e">
        <f t="shared" si="3"/>
        <v>#N/A</v>
      </c>
      <c r="AB33" s="1349" t="e">
        <f t="shared" si="4"/>
        <v>#N/A</v>
      </c>
      <c r="AC33" s="1349" t="e">
        <f t="shared" si="5"/>
        <v>#N/A</v>
      </c>
    </row>
    <row r="34" spans="1:29" s="108" customFormat="1" ht="15">
      <c r="A34" s="421"/>
      <c r="B34" s="372" t="s">
        <v>1819</v>
      </c>
      <c r="C34" s="408"/>
      <c r="D34" s="125">
        <v>100</v>
      </c>
      <c r="E34" s="408"/>
      <c r="F34" s="409">
        <f>SUMIF(100:100,E34,101:101)-SUMIF(100:100,C34,101:101)+100</f>
        <v>100</v>
      </c>
      <c r="G34" s="408"/>
      <c r="H34" s="383">
        <f>SUMIF(100:100,G34,101:101)-SUMIF(100:100,C34,101:101)+100</f>
        <v>100</v>
      </c>
      <c r="I34" s="408"/>
      <c r="J34" s="383">
        <f>SUMIF(100:100,I34,101:101)-SUMIF(100:100,C34,101:101)+100</f>
        <v>100</v>
      </c>
      <c r="K34" s="558"/>
      <c r="L34" s="911"/>
      <c r="M34" s="912"/>
      <c r="N34" s="912"/>
      <c r="O34" s="913"/>
      <c r="P34" s="3755"/>
      <c r="Q34" s="1339" t="str">
        <f t="shared" si="11"/>
        <v>物业管理</v>
      </c>
      <c r="R34" s="697" t="s">
        <v>14</v>
      </c>
      <c r="S34" s="698">
        <f t="shared" si="12"/>
        <v>100</v>
      </c>
      <c r="T34" s="697" t="s">
        <v>14</v>
      </c>
      <c r="U34" s="698">
        <f t="shared" si="13"/>
        <v>100</v>
      </c>
      <c r="V34" s="697" t="s">
        <v>14</v>
      </c>
      <c r="W34" s="698">
        <f t="shared" si="14"/>
        <v>100</v>
      </c>
      <c r="X34" s="699"/>
      <c r="Y34" s="3755"/>
      <c r="Z34" s="52" t="str">
        <f t="shared" si="15"/>
        <v>物业管理</v>
      </c>
      <c r="AA34" s="700">
        <f t="shared" si="3"/>
        <v>1</v>
      </c>
      <c r="AB34" s="700">
        <f t="shared" si="4"/>
        <v>1</v>
      </c>
      <c r="AC34" s="700">
        <f t="shared" si="5"/>
        <v>1</v>
      </c>
    </row>
    <row r="35" spans="1:29" ht="15">
      <c r="A35" s="420"/>
      <c r="B35" s="372" t="s">
        <v>1787</v>
      </c>
      <c r="C35" s="408"/>
      <c r="D35" s="383">
        <v>100</v>
      </c>
      <c r="E35" s="408"/>
      <c r="F35" s="409">
        <f>SUMIF(102:102,E35,103:103)-SUMIF(102:102,C35,103:103)+100</f>
        <v>100</v>
      </c>
      <c r="G35" s="408"/>
      <c r="H35" s="383">
        <f>SUMIF(102:102,G35,103:103)-SUMIF(102:102,C35,103:103)+100</f>
        <v>100</v>
      </c>
      <c r="I35" s="408"/>
      <c r="J35" s="383">
        <f>SUMIF(102:102,I35,103:103)-SUMIF(102:102,C35,103:103)+100</f>
        <v>100</v>
      </c>
      <c r="K35" s="558"/>
      <c r="L35" s="919"/>
      <c r="M35" s="910"/>
      <c r="N35" s="910"/>
      <c r="O35" s="918"/>
      <c r="P35" s="3755" t="s">
        <v>1696</v>
      </c>
      <c r="Q35" s="1348" t="str">
        <f t="shared" si="11"/>
        <v>市政基础设施</v>
      </c>
      <c r="R35" s="701" t="s">
        <v>14</v>
      </c>
      <c r="S35" s="702">
        <f t="shared" si="12"/>
        <v>100</v>
      </c>
      <c r="T35" s="701" t="s">
        <v>14</v>
      </c>
      <c r="U35" s="702">
        <f t="shared" si="13"/>
        <v>100</v>
      </c>
      <c r="V35" s="701" t="s">
        <v>14</v>
      </c>
      <c r="W35" s="702">
        <f t="shared" si="14"/>
        <v>100</v>
      </c>
      <c r="X35" s="1351"/>
      <c r="Y35" s="3755" t="s">
        <v>1696</v>
      </c>
      <c r="Z35" s="1352" t="str">
        <f t="shared" si="15"/>
        <v>市政基础设施</v>
      </c>
      <c r="AA35" s="1349">
        <f t="shared" si="3"/>
        <v>1</v>
      </c>
      <c r="AB35" s="1349">
        <f t="shared" si="4"/>
        <v>1</v>
      </c>
      <c r="AC35" s="1349">
        <f t="shared" si="5"/>
        <v>1</v>
      </c>
    </row>
    <row r="36" spans="1:29" ht="15">
      <c r="A36" s="420"/>
      <c r="B36" s="372" t="s">
        <v>1792</v>
      </c>
      <c r="C36" s="408"/>
      <c r="D36" s="383">
        <v>100</v>
      </c>
      <c r="E36" s="408"/>
      <c r="F36" s="409">
        <f>SUMIF(104:104,E36,105:105)-SUMIF(104:104,C36,105:105)+100</f>
        <v>100</v>
      </c>
      <c r="G36" s="408"/>
      <c r="H36" s="383">
        <f>SUMIF(104:104,G36,105:105)-SUMIF(104:104,C36,105:105)+100</f>
        <v>100</v>
      </c>
      <c r="I36" s="408"/>
      <c r="J36" s="383">
        <f>SUMIF(104:104,I36,105:105)-SUMIF(104:104,C36,105:105)+100</f>
        <v>100</v>
      </c>
      <c r="K36" s="558"/>
      <c r="L36" s="919"/>
      <c r="M36" s="910"/>
      <c r="N36" s="910"/>
      <c r="O36" s="918"/>
      <c r="P36" s="3755"/>
      <c r="Q36" s="1348" t="str">
        <f t="shared" si="11"/>
        <v>内部装修</v>
      </c>
      <c r="R36" s="701" t="s">
        <v>14</v>
      </c>
      <c r="S36" s="702">
        <f t="shared" si="12"/>
        <v>100</v>
      </c>
      <c r="T36" s="701" t="s">
        <v>14</v>
      </c>
      <c r="U36" s="702">
        <f t="shared" si="13"/>
        <v>100</v>
      </c>
      <c r="V36" s="701" t="s">
        <v>14</v>
      </c>
      <c r="W36" s="702">
        <f t="shared" si="14"/>
        <v>100</v>
      </c>
      <c r="X36" s="1351"/>
      <c r="Y36" s="3755"/>
      <c r="Z36" s="1352" t="str">
        <f t="shared" si="15"/>
        <v>内部装修</v>
      </c>
      <c r="AA36" s="1349">
        <f t="shared" si="3"/>
        <v>1</v>
      </c>
      <c r="AB36" s="1349">
        <f t="shared" si="4"/>
        <v>1</v>
      </c>
      <c r="AC36" s="1349">
        <f t="shared" si="5"/>
        <v>1</v>
      </c>
    </row>
    <row r="37" spans="1:29" ht="15">
      <c r="A37" s="420"/>
      <c r="B37" s="372" t="s">
        <v>1828</v>
      </c>
      <c r="C37" s="562"/>
      <c r="D37" s="383">
        <v>100</v>
      </c>
      <c r="E37" s="562"/>
      <c r="F37" s="409">
        <f>SUMIF(106:106,E37,107:107)-SUMIF(106:106,C37,107:107)+100</f>
        <v>100</v>
      </c>
      <c r="G37" s="562"/>
      <c r="H37" s="383">
        <f>SUMIF(106:106,G37,107:107)-SUMIF(106:106,C37,107:107)+100</f>
        <v>100</v>
      </c>
      <c r="I37" s="562"/>
      <c r="J37" s="383">
        <f>SUMIF(106:106,I37,107:107)-SUMIF(106:106,C37,107:107)+100</f>
        <v>100</v>
      </c>
      <c r="K37" s="558"/>
      <c r="L37" s="919"/>
      <c r="M37" s="910"/>
      <c r="N37" s="910"/>
      <c r="O37" s="918"/>
      <c r="P37" s="3755"/>
      <c r="Q37" s="1348" t="str">
        <f t="shared" si="11"/>
        <v>内部装修状况</v>
      </c>
      <c r="R37" s="701" t="s">
        <v>14</v>
      </c>
      <c r="S37" s="702">
        <f t="shared" si="12"/>
        <v>100</v>
      </c>
      <c r="T37" s="701" t="s">
        <v>14</v>
      </c>
      <c r="U37" s="702">
        <f t="shared" si="13"/>
        <v>100</v>
      </c>
      <c r="V37" s="701" t="s">
        <v>14</v>
      </c>
      <c r="W37" s="702">
        <f t="shared" si="14"/>
        <v>100</v>
      </c>
      <c r="X37" s="1351"/>
      <c r="Y37" s="3755"/>
      <c r="Z37" s="1352" t="str">
        <f t="shared" si="15"/>
        <v>内部装修状况</v>
      </c>
      <c r="AA37" s="1349">
        <f t="shared" si="3"/>
        <v>1</v>
      </c>
      <c r="AB37" s="1349">
        <f t="shared" si="4"/>
        <v>1</v>
      </c>
      <c r="AC37" s="1349">
        <f t="shared" si="5"/>
        <v>1</v>
      </c>
    </row>
    <row r="38" spans="1:29" s="419" customFormat="1" ht="15">
      <c r="A38" s="416"/>
      <c r="B38" s="1129">
        <v>111</v>
      </c>
      <c r="C38" s="417"/>
      <c r="D38" s="383">
        <v>100</v>
      </c>
      <c r="E38" s="382"/>
      <c r="F38" s="409">
        <f>SUMIF(108:108,E38,109:109)-SUMIF(108:108,C38,109:109)+100</f>
        <v>100</v>
      </c>
      <c r="G38" s="417"/>
      <c r="H38" s="383">
        <f>SUMIF(108:108,G38,109:109)-SUMIF(108:108,C38,109:109)+100</f>
        <v>100</v>
      </c>
      <c r="I38" s="417"/>
      <c r="J38" s="383">
        <f>SUMIF(108:108,I38,109:1038)-SUMIF(108:108,C38,109:109)+100</f>
        <v>100</v>
      </c>
      <c r="K38" s="559"/>
      <c r="L38" s="917"/>
      <c r="M38" s="920"/>
      <c r="N38" s="920"/>
      <c r="O38" s="921"/>
      <c r="P38" s="3755"/>
      <c r="Q38" s="703">
        <f t="shared" si="11"/>
        <v>111</v>
      </c>
      <c r="R38" s="704" t="s">
        <v>14</v>
      </c>
      <c r="S38" s="705">
        <f t="shared" si="12"/>
        <v>100</v>
      </c>
      <c r="T38" s="704" t="s">
        <v>14</v>
      </c>
      <c r="U38" s="705">
        <f t="shared" si="13"/>
        <v>100</v>
      </c>
      <c r="V38" s="704" t="s">
        <v>14</v>
      </c>
      <c r="W38" s="705">
        <f t="shared" si="14"/>
        <v>100</v>
      </c>
      <c r="X38" s="706"/>
      <c r="Y38" s="3755"/>
      <c r="Z38" s="707">
        <f t="shared" si="15"/>
        <v>111</v>
      </c>
      <c r="AA38" s="1349">
        <f t="shared" si="3"/>
        <v>1</v>
      </c>
      <c r="AB38" s="1349">
        <f t="shared" si="4"/>
        <v>1</v>
      </c>
      <c r="AC38" s="1349">
        <f t="shared" si="5"/>
        <v>1</v>
      </c>
    </row>
    <row r="39" spans="1:29" ht="15">
      <c r="A39" s="420"/>
      <c r="B39" s="1129">
        <v>111</v>
      </c>
      <c r="C39" s="417"/>
      <c r="D39" s="383">
        <v>100</v>
      </c>
      <c r="E39" s="382"/>
      <c r="F39" s="409">
        <f>SUMIF(110:110,E39,111:111)-SUMIF(110:110,C39,111:111)+100</f>
        <v>100</v>
      </c>
      <c r="G39" s="417"/>
      <c r="H39" s="383">
        <f>SUMIF(110:110,G39,111:111)-SUMIF(110:110,C39,111:111)+100</f>
        <v>100</v>
      </c>
      <c r="I39" s="417"/>
      <c r="J39" s="383">
        <f>SUMIF(110:110,I39,111:111)-SUMIF(110:110,C39,111:111)+100</f>
        <v>100</v>
      </c>
      <c r="K39" s="559"/>
      <c r="L39" s="919"/>
      <c r="M39" s="910"/>
      <c r="N39" s="910"/>
      <c r="O39" s="918"/>
      <c r="P39" s="3755"/>
      <c r="Q39" s="1348">
        <f t="shared" si="11"/>
        <v>111</v>
      </c>
      <c r="R39" s="701" t="s">
        <v>14</v>
      </c>
      <c r="S39" s="702">
        <f t="shared" si="12"/>
        <v>100</v>
      </c>
      <c r="T39" s="701" t="s">
        <v>14</v>
      </c>
      <c r="U39" s="702">
        <f t="shared" si="13"/>
        <v>100</v>
      </c>
      <c r="V39" s="701" t="s">
        <v>14</v>
      </c>
      <c r="W39" s="702">
        <f t="shared" si="14"/>
        <v>100</v>
      </c>
      <c r="X39" s="1351"/>
      <c r="Y39" s="3755"/>
      <c r="Z39" s="1352">
        <f t="shared" si="15"/>
        <v>111</v>
      </c>
      <c r="AA39" s="1349">
        <f t="shared" si="3"/>
        <v>1</v>
      </c>
      <c r="AB39" s="1349">
        <f t="shared" si="4"/>
        <v>1</v>
      </c>
      <c r="AC39" s="1349">
        <f t="shared" si="5"/>
        <v>1</v>
      </c>
    </row>
    <row r="40" spans="1:29" ht="15.75" thickBot="1">
      <c r="A40" s="426"/>
      <c r="B40" s="1890">
        <v>111</v>
      </c>
      <c r="C40" s="385"/>
      <c r="D40" s="386">
        <v>100</v>
      </c>
      <c r="E40" s="382"/>
      <c r="F40" s="387">
        <f>SUMIF(112:112,E40,113:113)-SUMIF(112:112,C40,113:113)+100</f>
        <v>100</v>
      </c>
      <c r="G40" s="417"/>
      <c r="H40" s="386">
        <f>SUMIF(112:112,G40,113:113)-SUMIF(112:112,C40,113:113)+100</f>
        <v>100</v>
      </c>
      <c r="I40" s="417"/>
      <c r="J40" s="386">
        <f>SUMIF(112:112,I40,113:113)-SUMIF(112:112,C40,113:113)+100</f>
        <v>100</v>
      </c>
      <c r="K40" s="559"/>
      <c r="L40" s="919"/>
      <c r="M40" s="910"/>
      <c r="N40" s="910"/>
      <c r="O40" s="918"/>
      <c r="P40" s="3809"/>
      <c r="Q40" s="1348">
        <f t="shared" si="11"/>
        <v>111</v>
      </c>
      <c r="R40" s="701" t="s">
        <v>14</v>
      </c>
      <c r="S40" s="702">
        <f t="shared" si="12"/>
        <v>100</v>
      </c>
      <c r="T40" s="701" t="s">
        <v>14</v>
      </c>
      <c r="U40" s="702">
        <f t="shared" si="13"/>
        <v>100</v>
      </c>
      <c r="V40" s="701" t="s">
        <v>14</v>
      </c>
      <c r="W40" s="702">
        <f t="shared" si="14"/>
        <v>100</v>
      </c>
      <c r="X40" s="1351"/>
      <c r="Y40" s="3809"/>
      <c r="Z40" s="1352">
        <f t="shared" si="15"/>
        <v>111</v>
      </c>
      <c r="AA40" s="1349">
        <f t="shared" si="3"/>
        <v>1</v>
      </c>
      <c r="AB40" s="1349">
        <f t="shared" si="4"/>
        <v>1</v>
      </c>
      <c r="AC40" s="1349">
        <f t="shared" si="5"/>
        <v>1</v>
      </c>
    </row>
    <row r="41" spans="1:29" ht="15">
      <c r="A41" s="427" t="s">
        <v>1708</v>
      </c>
      <c r="B41" s="428"/>
      <c r="C41" s="1150" t="s">
        <v>0</v>
      </c>
      <c r="D41" s="1151"/>
      <c r="E41" s="1152"/>
      <c r="F41" s="1153"/>
      <c r="G41" s="1154"/>
      <c r="H41" s="1155"/>
      <c r="I41" s="1152"/>
      <c r="J41" s="1155"/>
      <c r="K41" s="710"/>
      <c r="L41" s="922"/>
      <c r="M41" s="923"/>
      <c r="N41" s="910"/>
      <c r="O41" s="923"/>
      <c r="P41" s="3737" t="str">
        <f>A41</f>
        <v>成交单价（元/平方米）</v>
      </c>
      <c r="Q41" s="3737"/>
      <c r="R41" s="3805">
        <f>E41</f>
        <v>0</v>
      </c>
      <c r="S41" s="3805"/>
      <c r="T41" s="3805">
        <f>G41</f>
        <v>0</v>
      </c>
      <c r="U41" s="3805"/>
      <c r="V41" s="3805">
        <f>I41</f>
        <v>0</v>
      </c>
      <c r="W41" s="3805"/>
      <c r="X41" s="686"/>
      <c r="Y41" s="708"/>
      <c r="Z41" s="686"/>
      <c r="AA41" s="686"/>
      <c r="AB41" s="686"/>
      <c r="AC41" s="686"/>
    </row>
    <row r="42" spans="1:29" ht="15.75" thickBot="1">
      <c r="A42" s="434" t="s">
        <v>1793</v>
      </c>
      <c r="B42" s="435"/>
      <c r="C42" s="1156" t="e">
        <f>R43</f>
        <v>#DIV/0!</v>
      </c>
      <c r="D42" s="2310" t="s">
        <v>2138</v>
      </c>
      <c r="E42" s="1157" t="e">
        <f>R42</f>
        <v>#DIV/0!</v>
      </c>
      <c r="F42" s="2311"/>
      <c r="G42" s="1156" t="e">
        <f>T42</f>
        <v>#DIV/0!</v>
      </c>
      <c r="H42" s="2311"/>
      <c r="I42" s="1157" t="e">
        <f>V42</f>
        <v>#DIV/0!</v>
      </c>
      <c r="J42" s="2311"/>
      <c r="K42" s="2313">
        <f>F42+H42+J42</f>
        <v>0</v>
      </c>
      <c r="L42" s="922"/>
      <c r="M42" s="923"/>
      <c r="N42" s="910"/>
      <c r="O42" s="923"/>
      <c r="P42" s="3737" t="str">
        <f>A42</f>
        <v>比较价值（元/平方米）</v>
      </c>
      <c r="Q42" s="3737"/>
      <c r="R42" s="3805" t="e">
        <f>IF(F1="售价",ROUND(PRODUCT(R41,AA7:AA40),0),ROUND(PRODUCT(R41,AA7:AA40),1))</f>
        <v>#DIV/0!</v>
      </c>
      <c r="S42" s="3805"/>
      <c r="T42" s="3805" t="e">
        <f>IF(F1="售价",ROUND(PRODUCT(T41,AB7:AB40),0),ROUND(PRODUCT(T41,AB7:AB40),1))</f>
        <v>#DIV/0!</v>
      </c>
      <c r="U42" s="3805"/>
      <c r="V42" s="3805" t="e">
        <f>IF(F1="售价",ROUND(PRODUCT(V41,AC7:AC40),0),ROUND(PRODUCT(V41,AC7:AC40),1))</f>
        <v>#DIV/0!</v>
      </c>
      <c r="W42" s="3805"/>
      <c r="X42" s="686"/>
      <c r="Y42" s="686"/>
      <c r="Z42" s="686"/>
      <c r="AA42" s="686"/>
      <c r="AB42" s="686"/>
      <c r="AC42" s="686"/>
    </row>
    <row r="43" spans="1:29" ht="15.75" thickBot="1">
      <c r="A43" s="438" t="s">
        <v>1794</v>
      </c>
      <c r="B43" s="439"/>
      <c r="C43" s="1159" t="e">
        <f>R43</f>
        <v>#DIV/0!</v>
      </c>
      <c r="D43" s="1159"/>
      <c r="E43" s="1159"/>
      <c r="F43" s="1159"/>
      <c r="G43" s="1159"/>
      <c r="H43" s="1159"/>
      <c r="I43" s="1159"/>
      <c r="J43" s="1159"/>
      <c r="K43" s="711"/>
      <c r="L43" s="922"/>
      <c r="M43" s="923"/>
      <c r="N43" s="923"/>
      <c r="O43" s="923"/>
      <c r="P43" s="3757" t="str">
        <f>A43</f>
        <v>估价对象XX用房的比较价值（楼面单价，元/平方米）</v>
      </c>
      <c r="Q43" s="3758"/>
      <c r="R43" s="3804" t="e">
        <f>IF(F1="售价",ROUND(IF(D42="简单平均",AVERAGE(R42:V42),R42*F42+T42*H42+V42*J42),0),ROUND(IF(D42="简单平均",AVERAGE(R42:V42),R42*F42+T42*H42+V42*J42),1))</f>
        <v>#DIV/0!</v>
      </c>
      <c r="S43" s="3804"/>
      <c r="T43" s="3804"/>
      <c r="U43" s="3804"/>
      <c r="V43" s="3804"/>
      <c r="W43" s="3804"/>
      <c r="X43" s="686"/>
      <c r="Y43" s="686"/>
      <c r="Z43" s="686"/>
      <c r="AA43" s="686"/>
      <c r="AB43" s="686"/>
      <c r="AC43" s="686"/>
    </row>
    <row r="44" spans="1:29">
      <c r="A44" s="2717"/>
      <c r="B44" s="2717"/>
      <c r="C44" s="2717"/>
      <c r="D44" s="2717"/>
      <c r="E44" s="2717"/>
      <c r="F44" s="2717"/>
      <c r="G44" s="2721"/>
      <c r="H44" s="2717"/>
      <c r="I44" s="2717"/>
      <c r="J44" s="2717"/>
      <c r="K44" s="2722"/>
      <c r="L44" s="885"/>
      <c r="M44" s="923"/>
      <c r="N44" s="923"/>
      <c r="O44" s="923"/>
    </row>
    <row r="45" spans="1:29">
      <c r="A45" s="2717"/>
      <c r="B45" s="2717"/>
      <c r="C45" s="2717"/>
      <c r="D45" s="2717"/>
      <c r="E45" s="2717"/>
      <c r="F45" s="2717"/>
      <c r="G45" s="2717"/>
      <c r="H45" s="2717"/>
      <c r="I45" s="2717"/>
      <c r="J45" s="2717"/>
      <c r="K45" s="2722"/>
      <c r="L45" s="885"/>
      <c r="M45" s="923"/>
      <c r="N45" s="923"/>
      <c r="O45" s="923"/>
    </row>
    <row r="46" spans="1:29" ht="13.5" customHeight="1">
      <c r="A46" s="2717"/>
      <c r="B46" s="2717"/>
      <c r="C46" s="443" t="s">
        <v>1795</v>
      </c>
      <c r="D46" s="444"/>
      <c r="E46" s="445" t="e">
        <f>IF(E41&lt;E42,E42/E41-1,E41/E42-1)</f>
        <v>#DIV/0!</v>
      </c>
      <c r="F46" s="446" t="e">
        <f>IF(OR(E46&gt;=0.3,E46&lt;=-0.3),"超过30%","")</f>
        <v>#DIV/0!</v>
      </c>
      <c r="G46" s="445" t="e">
        <f>IF(G41&lt;G42,G42/G41-1,G41/G42-1)</f>
        <v>#DIV/0!</v>
      </c>
      <c r="H46" s="446" t="e">
        <f>IF(OR(G46&gt;=0.3,G46&lt;=-0.3),"超过30%","")</f>
        <v>#DIV/0!</v>
      </c>
      <c r="I46" s="445" t="e">
        <f>IF(I41&lt;I42,I42/I41-1,I41/I42-1)</f>
        <v>#DIV/0!</v>
      </c>
      <c r="J46" s="446" t="e">
        <f>IF(OR(I46&gt;=0.3,I46&lt;=-0.3),"超过30%","")</f>
        <v>#DIV/0!</v>
      </c>
      <c r="K46" s="2722"/>
      <c r="L46" s="885"/>
      <c r="M46" s="923"/>
      <c r="N46" s="923"/>
      <c r="O46" s="923"/>
    </row>
    <row r="47" spans="1:29" ht="13.5" customHeight="1">
      <c r="A47" s="2717"/>
      <c r="B47" s="2717"/>
      <c r="C47" s="443" t="s">
        <v>1796</v>
      </c>
      <c r="D47" s="447"/>
      <c r="E47" s="445" t="e">
        <f>IF(E42&lt;G42,G42/E42-1,E42/G42-1)</f>
        <v>#DIV/0!</v>
      </c>
      <c r="F47" s="446" t="e">
        <f>IF(OR(E47&gt;=0.2,E47&lt;=-0.2),"超过20%","")</f>
        <v>#DIV/0!</v>
      </c>
      <c r="G47" s="445" t="e">
        <f>IF(G42&lt;I42,I42/G42-1,G42/I42-1)</f>
        <v>#DIV/0!</v>
      </c>
      <c r="H47" s="446" t="e">
        <f>IF(OR(G47&gt;=0.2,G47&lt;=-0.2),"超过20%","")</f>
        <v>#DIV/0!</v>
      </c>
      <c r="I47" s="445" t="e">
        <f>IF(I42&lt;E42,E42/I42-1,I42/E42-1)</f>
        <v>#DIV/0!</v>
      </c>
      <c r="J47" s="446" t="e">
        <f>IF(OR(I47&gt;=0.2,I47&lt;=-0.2),"超过20%","")</f>
        <v>#DIV/0!</v>
      </c>
      <c r="K47" s="2722"/>
      <c r="L47" s="885"/>
      <c r="M47" s="923"/>
      <c r="N47" s="923"/>
      <c r="O47" s="923"/>
    </row>
    <row r="48" spans="1:29" s="448" customFormat="1" ht="13.5" customHeight="1">
      <c r="A48" s="2720"/>
      <c r="B48" s="2720"/>
      <c r="C48" s="443" t="s">
        <v>1797</v>
      </c>
      <c r="D48" s="447"/>
      <c r="E48" s="445" t="e">
        <f>IF(E41&lt;G41,G41/E41-1,E41/G41-1)</f>
        <v>#DIV/0!</v>
      </c>
      <c r="F48" s="446" t="e">
        <f>IF(OR(E48&gt;=0.3,E48&lt;=-0.3),"超过30%","")</f>
        <v>#DIV/0!</v>
      </c>
      <c r="G48" s="445" t="e">
        <f>IF(G41&lt;I41,I41/G41-1,G41/I41-1)</f>
        <v>#DIV/0!</v>
      </c>
      <c r="H48" s="446" t="e">
        <f>IF(OR(G48&gt;=0.3,G48&lt;=-0.3),"超过30%","")</f>
        <v>#DIV/0!</v>
      </c>
      <c r="I48" s="445" t="e">
        <f>IF(I41&lt;E41,E41/I41-1,I41/E41-1)</f>
        <v>#DIV/0!</v>
      </c>
      <c r="J48" s="446" t="e">
        <f>IF(OR(I48&gt;=0.3,I48&lt;=-0.3),"超过30%","")</f>
        <v>#DIV/0!</v>
      </c>
      <c r="K48" s="2725"/>
      <c r="L48" s="926"/>
      <c r="M48" s="924"/>
      <c r="N48" s="924"/>
      <c r="O48" s="924"/>
    </row>
    <row r="49" spans="1:17" s="448" customFormat="1">
      <c r="A49" s="2720"/>
      <c r="B49" s="2723"/>
      <c r="C49" s="2724"/>
      <c r="D49" s="2720"/>
      <c r="E49" s="2720"/>
      <c r="F49" s="2720"/>
      <c r="G49" s="2720"/>
      <c r="H49" s="2720"/>
      <c r="I49" s="2720"/>
      <c r="J49" s="2720"/>
      <c r="K49" s="2725"/>
      <c r="L49" s="926"/>
      <c r="M49" s="924"/>
      <c r="N49" s="924"/>
      <c r="O49" s="924"/>
    </row>
    <row r="50" spans="1:17">
      <c r="A50" s="2717"/>
      <c r="B50" s="2723"/>
      <c r="C50" s="2724"/>
      <c r="D50" s="2717"/>
      <c r="E50" s="2717"/>
      <c r="F50" s="2717"/>
      <c r="G50" s="2717"/>
      <c r="H50" s="2717"/>
      <c r="I50" s="2717"/>
      <c r="J50" s="2717"/>
      <c r="K50" s="2722"/>
      <c r="L50" s="885"/>
      <c r="M50" s="923"/>
      <c r="N50" s="923"/>
      <c r="O50" s="923"/>
    </row>
    <row r="51" spans="1:17" ht="21.75" thickBot="1">
      <c r="A51" s="690" t="s">
        <v>1798</v>
      </c>
      <c r="B51" s="686"/>
      <c r="C51" s="691"/>
      <c r="D51" s="691"/>
      <c r="E51" s="691"/>
      <c r="F51" s="692"/>
      <c r="G51" s="692"/>
      <c r="H51" s="691"/>
      <c r="I51" s="691"/>
      <c r="J51" s="691"/>
      <c r="K51" s="937"/>
      <c r="L51" s="938"/>
      <c r="M51" s="936"/>
      <c r="N51" s="936"/>
      <c r="O51" s="936"/>
      <c r="P51" s="449"/>
      <c r="Q51" s="450"/>
    </row>
    <row r="52" spans="1:17" s="454" customFormat="1" ht="15">
      <c r="A52" s="451" t="s">
        <v>1679</v>
      </c>
      <c r="B52" s="452"/>
      <c r="C52" s="1180" t="str">
        <f>YEAR(C7)&amp;"-"&amp;MONTH(C7)</f>
        <v>2023-7</v>
      </c>
      <c r="D52" s="1181">
        <f>EDATE(C52,-1)</f>
        <v>45078</v>
      </c>
      <c r="E52" s="1181">
        <f t="shared" ref="E52:O52" si="16">EDATE(D52,-1)</f>
        <v>45047</v>
      </c>
      <c r="F52" s="1181">
        <f t="shared" si="16"/>
        <v>45017</v>
      </c>
      <c r="G52" s="1181">
        <f t="shared" si="16"/>
        <v>44986</v>
      </c>
      <c r="H52" s="1181">
        <f t="shared" si="16"/>
        <v>44958</v>
      </c>
      <c r="I52" s="1181">
        <f t="shared" si="16"/>
        <v>44927</v>
      </c>
      <c r="J52" s="1181">
        <f t="shared" si="16"/>
        <v>44896</v>
      </c>
      <c r="K52" s="1181">
        <f t="shared" si="16"/>
        <v>44866</v>
      </c>
      <c r="L52" s="1181">
        <f t="shared" si="16"/>
        <v>44835</v>
      </c>
      <c r="M52" s="1181">
        <f t="shared" si="16"/>
        <v>44805</v>
      </c>
      <c r="N52" s="1181">
        <f t="shared" si="16"/>
        <v>44774</v>
      </c>
      <c r="O52" s="1181">
        <f t="shared" si="16"/>
        <v>44743</v>
      </c>
      <c r="P52" s="453"/>
    </row>
    <row r="53" spans="1:17" s="108" customFormat="1" ht="15">
      <c r="A53" s="455"/>
      <c r="B53" s="456"/>
      <c r="C53" s="1179">
        <v>100</v>
      </c>
      <c r="D53" s="458"/>
      <c r="E53" s="458"/>
      <c r="F53" s="458"/>
      <c r="G53" s="458"/>
      <c r="H53" s="458"/>
      <c r="I53" s="458"/>
      <c r="J53" s="458"/>
      <c r="K53" s="458"/>
      <c r="L53" s="458"/>
      <c r="M53" s="459"/>
      <c r="N53" s="458"/>
      <c r="O53" s="460"/>
      <c r="P53" s="450"/>
    </row>
    <row r="54" spans="1:17" s="108" customFormat="1" ht="15.75" thickBot="1">
      <c r="A54" s="461" t="s">
        <v>1716</v>
      </c>
      <c r="B54" s="462"/>
      <c r="C54" s="463"/>
      <c r="D54" s="464"/>
      <c r="E54" s="464"/>
      <c r="F54" s="464"/>
      <c r="G54" s="464"/>
      <c r="H54" s="464"/>
      <c r="I54" s="464"/>
      <c r="J54" s="464"/>
      <c r="K54" s="464"/>
      <c r="L54" s="464"/>
      <c r="M54" s="465"/>
      <c r="N54" s="2762"/>
      <c r="O54" s="2763"/>
      <c r="P54" s="450"/>
      <c r="Q54" s="450"/>
    </row>
    <row r="55" spans="1:17" s="108" customFormat="1" ht="15">
      <c r="A55" s="467" t="s">
        <v>1681</v>
      </c>
      <c r="B55" s="456"/>
      <c r="C55" s="468" t="s">
        <v>1776</v>
      </c>
      <c r="D55" s="469"/>
      <c r="E55" s="469"/>
      <c r="F55" s="469"/>
      <c r="G55" s="469"/>
      <c r="H55" s="469"/>
      <c r="I55" s="469"/>
      <c r="J55" s="469"/>
      <c r="K55" s="469"/>
      <c r="L55" s="470"/>
      <c r="M55" s="471"/>
      <c r="N55" s="928"/>
      <c r="O55" s="928"/>
      <c r="P55" s="472"/>
      <c r="Q55" s="450"/>
    </row>
    <row r="56" spans="1:17" s="108" customFormat="1" ht="15.75" thickBot="1">
      <c r="A56" s="467"/>
      <c r="B56" s="456"/>
      <c r="C56" s="584">
        <v>100</v>
      </c>
      <c r="D56" s="458"/>
      <c r="E56" s="458"/>
      <c r="F56" s="458"/>
      <c r="G56" s="458"/>
      <c r="H56" s="458"/>
      <c r="I56" s="458"/>
      <c r="J56" s="458"/>
      <c r="K56" s="458"/>
      <c r="L56" s="458"/>
      <c r="M56" s="460"/>
      <c r="N56" s="928"/>
      <c r="O56" s="928"/>
      <c r="P56" s="450"/>
      <c r="Q56" s="450"/>
    </row>
    <row r="57" spans="1:17">
      <c r="A57" s="473" t="s">
        <v>1719</v>
      </c>
      <c r="B57" s="474" t="s">
        <v>1685</v>
      </c>
      <c r="C57" s="475">
        <f>C9</f>
        <v>0</v>
      </c>
      <c r="D57" s="476"/>
      <c r="E57" s="476"/>
      <c r="F57" s="476"/>
      <c r="G57" s="476"/>
      <c r="H57" s="476"/>
      <c r="I57" s="476"/>
      <c r="J57" s="476"/>
      <c r="K57" s="477"/>
      <c r="L57" s="478"/>
      <c r="M57" s="479"/>
      <c r="N57" s="929"/>
      <c r="O57" s="929"/>
      <c r="P57" s="42"/>
      <c r="Q57" s="450"/>
    </row>
    <row r="58" spans="1:17" ht="15.75" thickBot="1">
      <c r="A58" s="480"/>
      <c r="B58" s="481"/>
      <c r="C58" s="482">
        <v>100</v>
      </c>
      <c r="D58" s="482"/>
      <c r="E58" s="482"/>
      <c r="F58" s="482"/>
      <c r="G58" s="482"/>
      <c r="H58" s="482"/>
      <c r="I58" s="482"/>
      <c r="J58" s="482"/>
      <c r="K58" s="482"/>
      <c r="L58" s="482"/>
      <c r="M58" s="483"/>
      <c r="N58" s="930"/>
      <c r="O58" s="930"/>
      <c r="P58" s="42"/>
      <c r="Q58" s="450"/>
    </row>
    <row r="59" spans="1:17" ht="27.75" thickTop="1">
      <c r="A59" s="480"/>
      <c r="B59" s="484" t="s">
        <v>1688</v>
      </c>
      <c r="C59" s="529"/>
      <c r="D59" s="529"/>
      <c r="E59" s="529"/>
      <c r="F59" s="529"/>
      <c r="G59" s="529"/>
      <c r="H59" s="529"/>
      <c r="I59" s="529"/>
      <c r="J59" s="529"/>
      <c r="K59" s="530"/>
      <c r="L59" s="531"/>
      <c r="M59" s="532"/>
      <c r="N59" s="929"/>
      <c r="O59" s="929"/>
      <c r="P59" s="42"/>
      <c r="Q59" s="450"/>
    </row>
    <row r="60" spans="1:17" ht="15.75" thickBot="1">
      <c r="A60" s="480"/>
      <c r="B60" s="489"/>
      <c r="C60" s="482"/>
      <c r="D60" s="482"/>
      <c r="E60" s="482"/>
      <c r="F60" s="482"/>
      <c r="G60" s="482"/>
      <c r="H60" s="482"/>
      <c r="I60" s="482"/>
      <c r="J60" s="482"/>
      <c r="K60" s="482"/>
      <c r="L60" s="482"/>
      <c r="M60" s="483"/>
      <c r="N60" s="930"/>
      <c r="O60" s="930"/>
      <c r="P60" s="42"/>
      <c r="Q60" s="450"/>
    </row>
    <row r="61" spans="1:17" ht="15.75" thickTop="1">
      <c r="A61" s="480"/>
      <c r="B61" s="492" t="s">
        <v>1689</v>
      </c>
      <c r="C61" s="493" t="str">
        <f>C62&amp;"（含）"&amp;"-"&amp;D62</f>
        <v>0（含）-2</v>
      </c>
      <c r="D61" s="493" t="str">
        <f t="shared" ref="D61:L61" si="17">D62&amp;"（含）"&amp;"-"&amp;E62</f>
        <v>2（含）-</v>
      </c>
      <c r="E61" s="493" t="str">
        <f t="shared" si="17"/>
        <v>（含）-</v>
      </c>
      <c r="F61" s="493" t="str">
        <f t="shared" si="17"/>
        <v>（含）-</v>
      </c>
      <c r="G61" s="493" t="str">
        <f t="shared" si="17"/>
        <v>（含）-</v>
      </c>
      <c r="H61" s="493" t="str">
        <f t="shared" si="17"/>
        <v>（含）-</v>
      </c>
      <c r="I61" s="493" t="str">
        <f t="shared" si="17"/>
        <v>（含）-</v>
      </c>
      <c r="J61" s="493" t="str">
        <f t="shared" si="17"/>
        <v>（含）-</v>
      </c>
      <c r="K61" s="493" t="str">
        <f t="shared" si="17"/>
        <v>（含）-</v>
      </c>
      <c r="L61" s="493" t="str">
        <f t="shared" si="17"/>
        <v>（含）-</v>
      </c>
      <c r="M61" s="396" t="str">
        <f>M62&amp;"（含）"&amp;"-"&amp;P62</f>
        <v>（含）-</v>
      </c>
      <c r="N61" s="930"/>
      <c r="O61" s="930"/>
      <c r="P61" s="42"/>
      <c r="Q61" s="450"/>
    </row>
    <row r="62" spans="1:17" ht="15">
      <c r="A62" s="480"/>
      <c r="B62" s="494"/>
      <c r="C62" s="495">
        <v>0</v>
      </c>
      <c r="D62" s="495">
        <v>2</v>
      </c>
      <c r="E62" s="495"/>
      <c r="F62" s="495"/>
      <c r="G62" s="495"/>
      <c r="H62" s="495"/>
      <c r="I62" s="495"/>
      <c r="J62" s="495"/>
      <c r="K62" s="496"/>
      <c r="L62" s="497"/>
      <c r="M62" s="498"/>
      <c r="N62" s="929"/>
      <c r="O62" s="929"/>
      <c r="P62" s="42"/>
      <c r="Q62" s="450"/>
    </row>
    <row r="63" spans="1:17" ht="15.75" thickBot="1">
      <c r="A63" s="480"/>
      <c r="B63" s="481"/>
      <c r="C63" s="490">
        <v>100</v>
      </c>
      <c r="D63" s="490">
        <f t="shared" ref="D63:M63" si="18">C63-$K11</f>
        <v>100</v>
      </c>
      <c r="E63" s="490">
        <f t="shared" si="18"/>
        <v>100</v>
      </c>
      <c r="F63" s="490">
        <f t="shared" si="18"/>
        <v>100</v>
      </c>
      <c r="G63" s="490">
        <f t="shared" si="18"/>
        <v>100</v>
      </c>
      <c r="H63" s="490">
        <f t="shared" si="18"/>
        <v>100</v>
      </c>
      <c r="I63" s="490">
        <f t="shared" si="18"/>
        <v>100</v>
      </c>
      <c r="J63" s="490">
        <f t="shared" si="18"/>
        <v>100</v>
      </c>
      <c r="K63" s="490">
        <f t="shared" si="18"/>
        <v>100</v>
      </c>
      <c r="L63" s="490">
        <f t="shared" si="18"/>
        <v>100</v>
      </c>
      <c r="M63" s="491">
        <f t="shared" si="18"/>
        <v>100</v>
      </c>
      <c r="N63" s="930"/>
      <c r="O63" s="930"/>
      <c r="P63" s="42"/>
      <c r="Q63" s="450"/>
    </row>
    <row r="64" spans="1:17" s="419" customFormat="1" ht="15.75" thickTop="1">
      <c r="A64" s="499"/>
      <c r="B64" s="484">
        <f>B12</f>
        <v>111</v>
      </c>
      <c r="C64" s="500"/>
      <c r="D64" s="500"/>
      <c r="E64" s="500"/>
      <c r="F64" s="500"/>
      <c r="G64" s="500"/>
      <c r="H64" s="501"/>
      <c r="I64" s="501"/>
      <c r="J64" s="501"/>
      <c r="K64" s="501"/>
      <c r="L64" s="502"/>
      <c r="M64" s="503"/>
      <c r="N64" s="931"/>
      <c r="O64" s="931"/>
      <c r="P64" s="504"/>
      <c r="Q64" s="505"/>
    </row>
    <row r="65" spans="1:17" s="419" customFormat="1" ht="15.75" thickBot="1">
      <c r="A65" s="499"/>
      <c r="B65" s="489"/>
      <c r="C65" s="506"/>
      <c r="D65" s="482"/>
      <c r="E65" s="482"/>
      <c r="F65" s="482"/>
      <c r="G65" s="482"/>
      <c r="H65" s="482"/>
      <c r="I65" s="482"/>
      <c r="J65" s="482"/>
      <c r="K65" s="482"/>
      <c r="L65" s="482"/>
      <c r="M65" s="483"/>
      <c r="N65" s="930"/>
      <c r="O65" s="930"/>
      <c r="P65" s="504"/>
      <c r="Q65" s="505"/>
    </row>
    <row r="66" spans="1:17" s="419" customFormat="1" ht="15.75" thickTop="1">
      <c r="A66" s="499"/>
      <c r="B66" s="484">
        <f>B13</f>
        <v>111</v>
      </c>
      <c r="C66" s="500"/>
      <c r="D66" s="500"/>
      <c r="E66" s="500"/>
      <c r="F66" s="500"/>
      <c r="G66" s="500"/>
      <c r="H66" s="501"/>
      <c r="I66" s="501"/>
      <c r="J66" s="501"/>
      <c r="K66" s="501"/>
      <c r="L66" s="502"/>
      <c r="M66" s="503"/>
      <c r="N66" s="931"/>
      <c r="O66" s="931"/>
      <c r="P66" s="418"/>
      <c r="Q66" s="507"/>
    </row>
    <row r="67" spans="1:17" s="419" customFormat="1" ht="15.75" thickBot="1">
      <c r="A67" s="499"/>
      <c r="B67" s="489"/>
      <c r="C67" s="506"/>
      <c r="D67" s="482"/>
      <c r="E67" s="482"/>
      <c r="F67" s="482"/>
      <c r="G67" s="506"/>
      <c r="H67" s="508"/>
      <c r="I67" s="508"/>
      <c r="J67" s="508"/>
      <c r="K67" s="508"/>
      <c r="L67" s="508"/>
      <c r="M67" s="509"/>
      <c r="N67" s="931"/>
      <c r="O67" s="931"/>
      <c r="P67" s="504"/>
      <c r="Q67" s="505"/>
    </row>
    <row r="68" spans="1:17" s="419" customFormat="1" ht="15.75" thickTop="1">
      <c r="A68" s="499"/>
      <c r="B68" s="492">
        <f>B14</f>
        <v>111</v>
      </c>
      <c r="C68" s="469"/>
      <c r="D68" s="469"/>
      <c r="E68" s="469"/>
      <c r="F68" s="469"/>
      <c r="G68" s="469"/>
      <c r="H68" s="510"/>
      <c r="I68" s="510"/>
      <c r="J68" s="510"/>
      <c r="K68" s="510"/>
      <c r="L68" s="511"/>
      <c r="M68" s="512"/>
      <c r="N68" s="931"/>
      <c r="O68" s="931"/>
      <c r="P68" s="513"/>
      <c r="Q68" s="505"/>
    </row>
    <row r="69" spans="1:17" s="419" customFormat="1" ht="15.75" thickBot="1">
      <c r="A69" s="514"/>
      <c r="B69" s="515"/>
      <c r="C69" s="516"/>
      <c r="D69" s="516"/>
      <c r="E69" s="516"/>
      <c r="F69" s="516"/>
      <c r="G69" s="516"/>
      <c r="H69" s="517"/>
      <c r="I69" s="517"/>
      <c r="J69" s="517"/>
      <c r="K69" s="517"/>
      <c r="L69" s="517"/>
      <c r="M69" s="518"/>
      <c r="N69" s="931"/>
      <c r="O69" s="931"/>
      <c r="P69" s="504"/>
      <c r="Q69" s="505"/>
    </row>
    <row r="70" spans="1:17">
      <c r="A70" s="473" t="s">
        <v>1690</v>
      </c>
      <c r="B70" s="474" t="s">
        <v>1829</v>
      </c>
      <c r="C70" s="519" t="s">
        <v>1721</v>
      </c>
      <c r="D70" s="519" t="s">
        <v>1722</v>
      </c>
      <c r="E70" s="519" t="s">
        <v>1723</v>
      </c>
      <c r="F70" s="519" t="s">
        <v>1724</v>
      </c>
      <c r="G70" s="519" t="s">
        <v>1725</v>
      </c>
      <c r="H70" s="475"/>
      <c r="I70" s="475"/>
      <c r="J70" s="475"/>
      <c r="K70" s="520"/>
      <c r="L70" s="521"/>
      <c r="M70" s="522"/>
      <c r="N70" s="929"/>
      <c r="O70" s="929"/>
      <c r="P70" s="523"/>
      <c r="Q70" s="450"/>
    </row>
    <row r="71" spans="1:17" ht="15.75" thickBot="1">
      <c r="A71" s="480"/>
      <c r="B71" s="489"/>
      <c r="C71" s="490">
        <v>100</v>
      </c>
      <c r="D71" s="490">
        <f>C71-$K15</f>
        <v>100</v>
      </c>
      <c r="E71" s="490">
        <f>D71-$K15</f>
        <v>100</v>
      </c>
      <c r="F71" s="490">
        <f>E71-$K15</f>
        <v>100</v>
      </c>
      <c r="G71" s="490">
        <f>F71-$K15</f>
        <v>100</v>
      </c>
      <c r="H71" s="490"/>
      <c r="I71" s="490"/>
      <c r="J71" s="490"/>
      <c r="K71" s="490"/>
      <c r="L71" s="490"/>
      <c r="M71" s="491"/>
      <c r="N71" s="930"/>
      <c r="O71" s="930"/>
      <c r="P71" s="42"/>
      <c r="Q71" s="450"/>
    </row>
    <row r="72" spans="1:17" ht="15.75" thickTop="1">
      <c r="A72" s="480"/>
      <c r="B72" s="484" t="s">
        <v>1726</v>
      </c>
      <c r="C72" s="524" t="s">
        <v>1721</v>
      </c>
      <c r="D72" s="524" t="s">
        <v>1722</v>
      </c>
      <c r="E72" s="524" t="s">
        <v>1723</v>
      </c>
      <c r="F72" s="524" t="s">
        <v>1724</v>
      </c>
      <c r="G72" s="524" t="s">
        <v>1725</v>
      </c>
      <c r="H72" s="485"/>
      <c r="I72" s="485"/>
      <c r="J72" s="485"/>
      <c r="K72" s="486"/>
      <c r="L72" s="487"/>
      <c r="M72" s="488"/>
      <c r="N72" s="929"/>
      <c r="O72" s="929"/>
      <c r="P72" s="42"/>
      <c r="Q72" s="450"/>
    </row>
    <row r="73" spans="1:17" ht="15.75" thickBot="1">
      <c r="A73" s="480"/>
      <c r="B73" s="489"/>
      <c r="C73" s="490">
        <v>100</v>
      </c>
      <c r="D73" s="490">
        <f>C73-$K17</f>
        <v>100</v>
      </c>
      <c r="E73" s="490">
        <f>D73-$K17</f>
        <v>100</v>
      </c>
      <c r="F73" s="490">
        <f>E73-$K17</f>
        <v>100</v>
      </c>
      <c r="G73" s="490">
        <f>F73-$K17</f>
        <v>100</v>
      </c>
      <c r="H73" s="490"/>
      <c r="I73" s="490"/>
      <c r="J73" s="490"/>
      <c r="K73" s="490"/>
      <c r="L73" s="490"/>
      <c r="M73" s="491"/>
      <c r="N73" s="930"/>
      <c r="O73" s="930"/>
      <c r="P73" s="42"/>
      <c r="Q73" s="450"/>
    </row>
    <row r="74" spans="1:17" ht="15.75" thickTop="1">
      <c r="A74" s="480"/>
      <c r="B74" s="484" t="s">
        <v>1727</v>
      </c>
      <c r="C74" s="524" t="s">
        <v>1721</v>
      </c>
      <c r="D74" s="524" t="s">
        <v>1722</v>
      </c>
      <c r="E74" s="524" t="s">
        <v>1723</v>
      </c>
      <c r="F74" s="524" t="s">
        <v>1724</v>
      </c>
      <c r="G74" s="524" t="s">
        <v>1725</v>
      </c>
      <c r="H74" s="485"/>
      <c r="I74" s="485"/>
      <c r="J74" s="485"/>
      <c r="K74" s="486"/>
      <c r="L74" s="487"/>
      <c r="M74" s="488"/>
      <c r="N74" s="929"/>
      <c r="O74" s="929"/>
      <c r="P74" s="42"/>
      <c r="Q74" s="450"/>
    </row>
    <row r="75" spans="1:17" ht="15.75" thickBot="1">
      <c r="A75" s="480"/>
      <c r="B75" s="489"/>
      <c r="C75" s="490">
        <v>100</v>
      </c>
      <c r="D75" s="490">
        <f>C75-$K19</f>
        <v>100</v>
      </c>
      <c r="E75" s="490">
        <f>D75-$K19</f>
        <v>100</v>
      </c>
      <c r="F75" s="490">
        <f>E75-$K19</f>
        <v>100</v>
      </c>
      <c r="G75" s="490">
        <f>F75-$K19</f>
        <v>100</v>
      </c>
      <c r="H75" s="490"/>
      <c r="I75" s="490"/>
      <c r="J75" s="490"/>
      <c r="K75" s="490"/>
      <c r="L75" s="490"/>
      <c r="M75" s="491"/>
      <c r="N75" s="930"/>
      <c r="O75" s="930"/>
      <c r="P75" s="42"/>
      <c r="Q75" s="450"/>
    </row>
    <row r="76" spans="1:17" ht="15.75" thickTop="1">
      <c r="A76" s="480"/>
      <c r="B76" s="492" t="s">
        <v>1813</v>
      </c>
      <c r="C76" s="605" t="s">
        <v>1799</v>
      </c>
      <c r="D76" s="605" t="s">
        <v>1800</v>
      </c>
      <c r="E76" s="605" t="s">
        <v>1801</v>
      </c>
      <c r="F76" s="605" t="s">
        <v>1802</v>
      </c>
      <c r="G76" s="605" t="s">
        <v>1803</v>
      </c>
      <c r="H76" s="485"/>
      <c r="I76" s="485"/>
      <c r="J76" s="485"/>
      <c r="K76" s="485"/>
      <c r="L76" s="485"/>
      <c r="M76" s="1125"/>
      <c r="N76" s="930"/>
      <c r="O76" s="930"/>
      <c r="P76" s="42"/>
      <c r="Q76" s="450"/>
    </row>
    <row r="77" spans="1:17" ht="15.75" thickBot="1">
      <c r="A77" s="480"/>
      <c r="B77" s="492"/>
      <c r="C77" s="490">
        <v>100</v>
      </c>
      <c r="D77" s="490">
        <f>C77-$K21</f>
        <v>100</v>
      </c>
      <c r="E77" s="490">
        <f>D77-$K21</f>
        <v>100</v>
      </c>
      <c r="F77" s="490">
        <f>E77-$K21</f>
        <v>100</v>
      </c>
      <c r="G77" s="490">
        <f>F77-$K21</f>
        <v>100</v>
      </c>
      <c r="H77" s="605"/>
      <c r="I77" s="605"/>
      <c r="J77" s="605"/>
      <c r="K77" s="605"/>
      <c r="L77" s="605"/>
      <c r="M77" s="398"/>
      <c r="N77" s="930"/>
      <c r="O77" s="930"/>
      <c r="P77" s="42"/>
      <c r="Q77" s="450"/>
    </row>
    <row r="78" spans="1:17" ht="15.75" thickTop="1">
      <c r="A78" s="480"/>
      <c r="B78" s="484" t="s">
        <v>1822</v>
      </c>
      <c r="C78" s="524" t="s">
        <v>1721</v>
      </c>
      <c r="D78" s="524" t="s">
        <v>1722</v>
      </c>
      <c r="E78" s="524" t="s">
        <v>1723</v>
      </c>
      <c r="F78" s="524" t="s">
        <v>1724</v>
      </c>
      <c r="G78" s="524" t="s">
        <v>1725</v>
      </c>
      <c r="H78" s="485"/>
      <c r="I78" s="485"/>
      <c r="J78" s="485"/>
      <c r="K78" s="486"/>
      <c r="L78" s="487"/>
      <c r="M78" s="488"/>
      <c r="N78" s="929"/>
      <c r="O78" s="929"/>
      <c r="P78" s="42"/>
      <c r="Q78" s="450"/>
    </row>
    <row r="79" spans="1:17" ht="15.75" thickBot="1">
      <c r="A79" s="480"/>
      <c r="B79" s="489"/>
      <c r="C79" s="490">
        <v>100</v>
      </c>
      <c r="D79" s="490">
        <f>C79-$K23</f>
        <v>100</v>
      </c>
      <c r="E79" s="490">
        <f>D79-$K23</f>
        <v>100</v>
      </c>
      <c r="F79" s="490">
        <f>E79-$K23</f>
        <v>100</v>
      </c>
      <c r="G79" s="490">
        <f>F79-$K23</f>
        <v>100</v>
      </c>
      <c r="H79" s="490"/>
      <c r="I79" s="490"/>
      <c r="J79" s="490"/>
      <c r="K79" s="490"/>
      <c r="L79" s="490"/>
      <c r="M79" s="491"/>
      <c r="N79" s="930"/>
      <c r="O79" s="930"/>
      <c r="P79" s="42"/>
      <c r="Q79" s="450"/>
    </row>
    <row r="80" spans="1:17" s="108" customFormat="1" ht="15.75" thickTop="1">
      <c r="A80" s="525"/>
      <c r="B80" s="484">
        <f>B25</f>
        <v>111</v>
      </c>
      <c r="C80" s="500"/>
      <c r="D80" s="500"/>
      <c r="E80" s="500"/>
      <c r="F80" s="500"/>
      <c r="G80" s="500"/>
      <c r="H80" s="500"/>
      <c r="I80" s="500"/>
      <c r="J80" s="500"/>
      <c r="K80" s="500"/>
      <c r="L80" s="526"/>
      <c r="M80" s="527"/>
      <c r="N80" s="928"/>
      <c r="O80" s="928"/>
      <c r="P80" s="42"/>
      <c r="Q80" s="450"/>
    </row>
    <row r="81" spans="1:17" s="108" customFormat="1" ht="15.75" thickBot="1">
      <c r="A81" s="525"/>
      <c r="B81" s="489"/>
      <c r="C81" s="506"/>
      <c r="D81" s="482"/>
      <c r="E81" s="482"/>
      <c r="F81" s="482"/>
      <c r="G81" s="482"/>
      <c r="H81" s="482"/>
      <c r="I81" s="482"/>
      <c r="J81" s="482"/>
      <c r="K81" s="482"/>
      <c r="L81" s="482"/>
      <c r="M81" s="483"/>
      <c r="N81" s="930"/>
      <c r="O81" s="930"/>
      <c r="P81" s="42"/>
      <c r="Q81" s="450"/>
    </row>
    <row r="82" spans="1:17" s="108" customFormat="1" ht="15.75" thickTop="1">
      <c r="A82" s="525"/>
      <c r="B82" s="484">
        <f>B26</f>
        <v>111</v>
      </c>
      <c r="C82" s="500"/>
      <c r="D82" s="500"/>
      <c r="E82" s="500"/>
      <c r="F82" s="500"/>
      <c r="G82" s="500"/>
      <c r="H82" s="500"/>
      <c r="I82" s="500"/>
      <c r="J82" s="500"/>
      <c r="K82" s="500"/>
      <c r="L82" s="526"/>
      <c r="M82" s="527"/>
      <c r="N82" s="928"/>
      <c r="O82" s="928"/>
      <c r="P82" s="42"/>
      <c r="Q82" s="450"/>
    </row>
    <row r="83" spans="1:17" s="108" customFormat="1" ht="15.75" thickBot="1">
      <c r="A83" s="525"/>
      <c r="B83" s="489"/>
      <c r="C83" s="506"/>
      <c r="D83" s="482"/>
      <c r="E83" s="482"/>
      <c r="F83" s="482"/>
      <c r="G83" s="482"/>
      <c r="H83" s="482"/>
      <c r="I83" s="482"/>
      <c r="J83" s="482"/>
      <c r="K83" s="482"/>
      <c r="L83" s="482"/>
      <c r="M83" s="483"/>
      <c r="N83" s="930"/>
      <c r="O83" s="930"/>
      <c r="P83" s="42"/>
      <c r="Q83" s="450"/>
    </row>
    <row r="84" spans="1:17" s="419" customFormat="1" ht="15.75" thickTop="1">
      <c r="A84" s="499"/>
      <c r="B84" s="484">
        <f>B27</f>
        <v>111</v>
      </c>
      <c r="C84" s="500"/>
      <c r="D84" s="500"/>
      <c r="E84" s="500"/>
      <c r="F84" s="500"/>
      <c r="G84" s="500"/>
      <c r="H84" s="500"/>
      <c r="I84" s="500"/>
      <c r="J84" s="500"/>
      <c r="K84" s="500"/>
      <c r="L84" s="526"/>
      <c r="M84" s="527"/>
      <c r="N84" s="931"/>
      <c r="O84" s="931"/>
      <c r="P84" s="504"/>
      <c r="Q84" s="505"/>
    </row>
    <row r="85" spans="1:17" s="419" customFormat="1" ht="15.75" thickBot="1">
      <c r="A85" s="499"/>
      <c r="B85" s="489"/>
      <c r="C85" s="506"/>
      <c r="D85" s="482"/>
      <c r="E85" s="482"/>
      <c r="F85" s="482"/>
      <c r="G85" s="482"/>
      <c r="H85" s="482"/>
      <c r="I85" s="482"/>
      <c r="J85" s="482"/>
      <c r="K85" s="482"/>
      <c r="L85" s="482"/>
      <c r="M85" s="483"/>
      <c r="N85" s="931"/>
      <c r="O85" s="931"/>
      <c r="P85" s="504"/>
      <c r="Q85" s="505"/>
    </row>
    <row r="86" spans="1:17" ht="15.75" thickTop="1">
      <c r="A86" s="480"/>
      <c r="B86" s="492">
        <f>B28</f>
        <v>111</v>
      </c>
      <c r="C86" s="469"/>
      <c r="D86" s="469"/>
      <c r="E86" s="469"/>
      <c r="F86" s="469"/>
      <c r="G86" s="533"/>
      <c r="H86" s="533"/>
      <c r="I86" s="533"/>
      <c r="J86" s="533"/>
      <c r="K86" s="534"/>
      <c r="L86" s="535"/>
      <c r="M86" s="536"/>
      <c r="N86" s="929"/>
      <c r="O86" s="929"/>
      <c r="P86" s="42"/>
      <c r="Q86" s="450"/>
    </row>
    <row r="87" spans="1:17" ht="15.75" thickBot="1">
      <c r="A87" s="1921"/>
      <c r="B87" s="515"/>
      <c r="C87" s="516"/>
      <c r="D87" s="516"/>
      <c r="E87" s="516"/>
      <c r="F87" s="516"/>
      <c r="G87" s="537"/>
      <c r="H87" s="537"/>
      <c r="I87" s="537"/>
      <c r="J87" s="537"/>
      <c r="K87" s="537"/>
      <c r="L87" s="537"/>
      <c r="M87" s="538"/>
      <c r="N87" s="930"/>
      <c r="O87" s="930"/>
      <c r="P87" s="42"/>
      <c r="Q87" s="450"/>
    </row>
    <row r="88" spans="1:17">
      <c r="A88" s="473" t="s">
        <v>1694</v>
      </c>
      <c r="B88" s="474" t="s">
        <v>1736</v>
      </c>
      <c r="C88" s="476"/>
      <c r="D88" s="476"/>
      <c r="E88" s="476"/>
      <c r="F88" s="476"/>
      <c r="G88" s="476"/>
      <c r="H88" s="476"/>
      <c r="I88" s="476"/>
      <c r="J88" s="476"/>
      <c r="K88" s="477"/>
      <c r="L88" s="478"/>
      <c r="M88" s="479"/>
      <c r="N88" s="929"/>
      <c r="O88" s="929"/>
      <c r="P88" s="42"/>
      <c r="Q88" s="450"/>
    </row>
    <row r="89" spans="1:17" ht="15.75" thickBot="1">
      <c r="A89" s="480"/>
      <c r="B89" s="489"/>
      <c r="C89" s="490">
        <v>100</v>
      </c>
      <c r="D89" s="490">
        <f t="shared" ref="D89:M89" si="19">C89-$K29</f>
        <v>100</v>
      </c>
      <c r="E89" s="490">
        <f t="shared" si="19"/>
        <v>100</v>
      </c>
      <c r="F89" s="490">
        <f t="shared" si="19"/>
        <v>100</v>
      </c>
      <c r="G89" s="490">
        <f t="shared" si="19"/>
        <v>100</v>
      </c>
      <c r="H89" s="490">
        <f t="shared" si="19"/>
        <v>100</v>
      </c>
      <c r="I89" s="490">
        <f t="shared" si="19"/>
        <v>100</v>
      </c>
      <c r="J89" s="490">
        <f t="shared" si="19"/>
        <v>100</v>
      </c>
      <c r="K89" s="490">
        <f t="shared" si="19"/>
        <v>100</v>
      </c>
      <c r="L89" s="490">
        <f t="shared" si="19"/>
        <v>100</v>
      </c>
      <c r="M89" s="491">
        <f t="shared" si="19"/>
        <v>100</v>
      </c>
      <c r="N89" s="930"/>
      <c r="O89" s="930"/>
      <c r="P89" s="42"/>
      <c r="Q89" s="450"/>
    </row>
    <row r="90" spans="1:17" ht="15.75" thickTop="1">
      <c r="A90" s="480"/>
      <c r="B90" s="484" t="s">
        <v>1737</v>
      </c>
      <c r="C90" s="524" t="str">
        <f>C91&amp;"(含)"&amp;"-"&amp;D91</f>
        <v>(含)-</v>
      </c>
      <c r="D90" s="524" t="str">
        <f t="shared" ref="D90:L90" si="20">D91&amp;"(含)"&amp;"-"&amp;E91</f>
        <v>(含)-</v>
      </c>
      <c r="E90" s="524" t="str">
        <f t="shared" si="20"/>
        <v>(含)-</v>
      </c>
      <c r="F90" s="524" t="str">
        <f t="shared" si="20"/>
        <v>(含)-</v>
      </c>
      <c r="G90" s="524" t="str">
        <f t="shared" si="20"/>
        <v>(含)-</v>
      </c>
      <c r="H90" s="524" t="str">
        <f t="shared" si="20"/>
        <v>(含)-</v>
      </c>
      <c r="I90" s="524" t="str">
        <f t="shared" si="20"/>
        <v>(含)-</v>
      </c>
      <c r="J90" s="524" t="str">
        <f t="shared" si="20"/>
        <v>(含)-</v>
      </c>
      <c r="K90" s="524" t="str">
        <f t="shared" si="20"/>
        <v>(含)-</v>
      </c>
      <c r="L90" s="524" t="str">
        <f t="shared" si="20"/>
        <v>(含)-</v>
      </c>
      <c r="M90" s="567" t="str">
        <f>M91&amp;"(含)"&amp;"-"&amp;P91</f>
        <v>(含)-</v>
      </c>
      <c r="N90" s="928"/>
      <c r="O90" s="928"/>
      <c r="P90" s="42"/>
      <c r="Q90" s="450"/>
    </row>
    <row r="91" spans="1:17" s="419" customFormat="1">
      <c r="A91" s="539"/>
      <c r="B91" s="540"/>
      <c r="C91" s="541"/>
      <c r="D91" s="541"/>
      <c r="E91" s="541"/>
      <c r="F91" s="541"/>
      <c r="G91" s="541"/>
      <c r="H91" s="541"/>
      <c r="I91" s="541"/>
      <c r="J91" s="542"/>
      <c r="K91" s="542"/>
      <c r="L91" s="543"/>
      <c r="M91" s="544"/>
      <c r="N91" s="931"/>
      <c r="O91" s="931"/>
      <c r="P91" s="504"/>
      <c r="Q91" s="505"/>
    </row>
    <row r="92" spans="1:17" s="419" customFormat="1" ht="15.75" thickBot="1">
      <c r="A92" s="499"/>
      <c r="B92" s="489"/>
      <c r="C92" s="506"/>
      <c r="D92" s="482"/>
      <c r="E92" s="482"/>
      <c r="F92" s="482"/>
      <c r="G92" s="482"/>
      <c r="H92" s="482"/>
      <c r="I92" s="482"/>
      <c r="J92" s="482"/>
      <c r="K92" s="482"/>
      <c r="L92" s="482"/>
      <c r="M92" s="483"/>
      <c r="N92" s="930"/>
      <c r="O92" s="930"/>
      <c r="P92" s="504"/>
      <c r="Q92" s="505"/>
    </row>
    <row r="93" spans="1:17" ht="15" thickTop="1">
      <c r="A93" s="545"/>
      <c r="B93" s="484" t="s">
        <v>1738</v>
      </c>
      <c r="C93" s="500"/>
      <c r="D93" s="500"/>
      <c r="E93" s="529"/>
      <c r="F93" s="529"/>
      <c r="G93" s="529"/>
      <c r="H93" s="529"/>
      <c r="I93" s="529"/>
      <c r="J93" s="529"/>
      <c r="K93" s="530"/>
      <c r="L93" s="531"/>
      <c r="M93" s="532"/>
      <c r="N93" s="929"/>
      <c r="O93" s="929"/>
      <c r="P93" s="42"/>
      <c r="Q93" s="450"/>
    </row>
    <row r="94" spans="1:17" ht="15.75" thickBot="1">
      <c r="A94" s="480"/>
      <c r="B94" s="489"/>
      <c r="C94" s="490">
        <v>100</v>
      </c>
      <c r="D94" s="490">
        <f t="shared" ref="D94:M94" si="21">C94-$K31</f>
        <v>100</v>
      </c>
      <c r="E94" s="490">
        <f t="shared" si="21"/>
        <v>100</v>
      </c>
      <c r="F94" s="490">
        <f t="shared" si="21"/>
        <v>100</v>
      </c>
      <c r="G94" s="490">
        <f t="shared" si="21"/>
        <v>100</v>
      </c>
      <c r="H94" s="490">
        <f t="shared" si="21"/>
        <v>100</v>
      </c>
      <c r="I94" s="490">
        <f t="shared" si="21"/>
        <v>100</v>
      </c>
      <c r="J94" s="490">
        <f t="shared" si="21"/>
        <v>100</v>
      </c>
      <c r="K94" s="490">
        <f t="shared" si="21"/>
        <v>100</v>
      </c>
      <c r="L94" s="490">
        <f t="shared" si="21"/>
        <v>100</v>
      </c>
      <c r="M94" s="491">
        <f t="shared" si="21"/>
        <v>100</v>
      </c>
      <c r="N94" s="930"/>
      <c r="O94" s="930"/>
      <c r="P94" s="42"/>
      <c r="Q94" s="450"/>
    </row>
    <row r="95" spans="1:17" ht="15" thickTop="1">
      <c r="A95" s="545"/>
      <c r="B95" s="484" t="s">
        <v>1740</v>
      </c>
      <c r="C95" s="500"/>
      <c r="D95" s="500"/>
      <c r="E95" s="500"/>
      <c r="F95" s="529"/>
      <c r="G95" s="529"/>
      <c r="H95" s="529"/>
      <c r="I95" s="529"/>
      <c r="J95" s="529"/>
      <c r="K95" s="530"/>
      <c r="L95" s="531"/>
      <c r="M95" s="532"/>
      <c r="N95" s="929"/>
      <c r="O95" s="929"/>
      <c r="P95" s="42"/>
      <c r="Q95" s="450"/>
    </row>
    <row r="96" spans="1:17" ht="15.75" thickBot="1">
      <c r="A96" s="480"/>
      <c r="B96" s="489"/>
      <c r="C96" s="490">
        <v>100</v>
      </c>
      <c r="D96" s="490">
        <f t="shared" ref="D96:M96" si="22">C96-$K32</f>
        <v>100</v>
      </c>
      <c r="E96" s="490">
        <f t="shared" si="22"/>
        <v>100</v>
      </c>
      <c r="F96" s="490">
        <f t="shared" si="22"/>
        <v>100</v>
      </c>
      <c r="G96" s="490">
        <f t="shared" si="22"/>
        <v>100</v>
      </c>
      <c r="H96" s="490">
        <f t="shared" si="22"/>
        <v>100</v>
      </c>
      <c r="I96" s="490">
        <f t="shared" si="22"/>
        <v>100</v>
      </c>
      <c r="J96" s="490">
        <f t="shared" si="22"/>
        <v>100</v>
      </c>
      <c r="K96" s="490">
        <f t="shared" si="22"/>
        <v>100</v>
      </c>
      <c r="L96" s="490">
        <f t="shared" si="22"/>
        <v>100</v>
      </c>
      <c r="M96" s="491">
        <f t="shared" si="22"/>
        <v>100</v>
      </c>
      <c r="N96" s="930"/>
      <c r="O96" s="930"/>
      <c r="P96" s="42"/>
      <c r="Q96" s="450"/>
    </row>
    <row r="97" spans="1:17" ht="15" thickTop="1">
      <c r="A97" s="545"/>
      <c r="B97" s="484" t="s">
        <v>1190</v>
      </c>
      <c r="C97" s="524" t="str">
        <f>C98&amp;"(含)"&amp;"-"&amp;D98</f>
        <v>0.5(含)-0.6</v>
      </c>
      <c r="D97" s="524" t="str">
        <f>D98&amp;"(含)"&amp;"-"&amp;E98</f>
        <v>0.6(含)-0.7</v>
      </c>
      <c r="E97" s="524" t="str">
        <f>E98&amp;"(含)"&amp;"-"&amp;F98</f>
        <v>0.7(含)-0.8</v>
      </c>
      <c r="F97" s="524" t="str">
        <f>F98&amp;"(含)"&amp;"-"&amp;G98</f>
        <v>0.8(含)-0.9</v>
      </c>
      <c r="G97" s="524" t="str">
        <f>G98&amp;"(含)"&amp;"-"&amp;ROUND(H98,0)&amp;"(含)"</f>
        <v>0.9(含)-1(含)</v>
      </c>
      <c r="H97" s="524"/>
      <c r="I97" s="529"/>
      <c r="J97" s="529"/>
      <c r="K97" s="530"/>
      <c r="L97" s="531"/>
      <c r="M97" s="532"/>
      <c r="N97" s="929"/>
      <c r="O97" s="929"/>
      <c r="P97" s="42"/>
      <c r="Q97" s="450"/>
    </row>
    <row r="98" spans="1:17">
      <c r="A98" s="545"/>
      <c r="B98" s="492"/>
      <c r="C98" s="549">
        <v>0.5</v>
      </c>
      <c r="D98" s="549">
        <v>0.6</v>
      </c>
      <c r="E98" s="549">
        <v>0.7</v>
      </c>
      <c r="F98" s="549">
        <v>0.8</v>
      </c>
      <c r="G98" s="549">
        <v>0.9</v>
      </c>
      <c r="H98" s="549">
        <v>1.0001</v>
      </c>
      <c r="I98" s="568"/>
      <c r="J98" s="568"/>
      <c r="K98" s="569"/>
      <c r="L98" s="570"/>
      <c r="M98" s="571"/>
      <c r="N98" s="929"/>
      <c r="O98" s="929"/>
      <c r="P98" s="42"/>
      <c r="Q98" s="450"/>
    </row>
    <row r="99" spans="1:17" ht="15.75" thickBot="1">
      <c r="A99" s="480"/>
      <c r="B99" s="489"/>
      <c r="C99" s="528">
        <v>100</v>
      </c>
      <c r="D99" s="490">
        <f>C99+$K33</f>
        <v>100</v>
      </c>
      <c r="E99" s="490">
        <f t="shared" ref="E99:M99" si="23">D99+$K33</f>
        <v>100</v>
      </c>
      <c r="F99" s="490">
        <f t="shared" si="23"/>
        <v>100</v>
      </c>
      <c r="G99" s="490">
        <f t="shared" si="23"/>
        <v>100</v>
      </c>
      <c r="H99" s="490">
        <f t="shared" si="23"/>
        <v>100</v>
      </c>
      <c r="I99" s="490">
        <f t="shared" si="23"/>
        <v>100</v>
      </c>
      <c r="J99" s="490">
        <f t="shared" si="23"/>
        <v>100</v>
      </c>
      <c r="K99" s="490">
        <f t="shared" si="23"/>
        <v>100</v>
      </c>
      <c r="L99" s="490">
        <f t="shared" si="23"/>
        <v>100</v>
      </c>
      <c r="M99" s="490">
        <f t="shared" si="23"/>
        <v>100</v>
      </c>
      <c r="N99" s="930"/>
      <c r="O99" s="930"/>
      <c r="P99" s="42"/>
      <c r="Q99" s="450"/>
    </row>
    <row r="100" spans="1:17" s="419" customFormat="1" ht="15" thickTop="1">
      <c r="A100" s="539"/>
      <c r="B100" s="484" t="s">
        <v>1741</v>
      </c>
      <c r="C100" s="500"/>
      <c r="D100" s="500"/>
      <c r="E100" s="500"/>
      <c r="F100" s="500"/>
      <c r="G100" s="500"/>
      <c r="H100" s="529"/>
      <c r="I100" s="529"/>
      <c r="J100" s="529"/>
      <c r="K100" s="530"/>
      <c r="L100" s="531"/>
      <c r="M100" s="532"/>
      <c r="N100" s="931"/>
      <c r="O100" s="931"/>
      <c r="P100" s="504"/>
      <c r="Q100" s="505"/>
    </row>
    <row r="101" spans="1:17" s="419" customFormat="1" ht="15.75" thickBot="1">
      <c r="A101" s="499"/>
      <c r="B101" s="489"/>
      <c r="C101" s="490">
        <v>100</v>
      </c>
      <c r="D101" s="490">
        <f>C101-$K34</f>
        <v>100</v>
      </c>
      <c r="E101" s="490">
        <f t="shared" ref="E101:M101" si="24">D101-$K34</f>
        <v>100</v>
      </c>
      <c r="F101" s="490">
        <f t="shared" si="24"/>
        <v>100</v>
      </c>
      <c r="G101" s="490">
        <f t="shared" si="24"/>
        <v>100</v>
      </c>
      <c r="H101" s="490">
        <f t="shared" si="24"/>
        <v>100</v>
      </c>
      <c r="I101" s="490">
        <f t="shared" si="24"/>
        <v>100</v>
      </c>
      <c r="J101" s="490">
        <f t="shared" si="24"/>
        <v>100</v>
      </c>
      <c r="K101" s="490">
        <f t="shared" si="24"/>
        <v>100</v>
      </c>
      <c r="L101" s="490">
        <f t="shared" si="24"/>
        <v>100</v>
      </c>
      <c r="M101" s="490">
        <f t="shared" si="24"/>
        <v>100</v>
      </c>
      <c r="N101" s="931"/>
      <c r="O101" s="931"/>
      <c r="P101" s="504"/>
      <c r="Q101" s="505"/>
    </row>
    <row r="102" spans="1:17" ht="15" thickTop="1">
      <c r="A102" s="545"/>
      <c r="B102" s="484" t="s">
        <v>1742</v>
      </c>
      <c r="C102" s="500"/>
      <c r="D102" s="500"/>
      <c r="E102" s="500"/>
      <c r="F102" s="500"/>
      <c r="G102" s="500"/>
      <c r="H102" s="529"/>
      <c r="I102" s="529"/>
      <c r="J102" s="529"/>
      <c r="K102" s="530"/>
      <c r="L102" s="531"/>
      <c r="M102" s="532"/>
      <c r="N102" s="929"/>
      <c r="O102" s="929"/>
      <c r="P102" s="42"/>
      <c r="Q102" s="450"/>
    </row>
    <row r="103" spans="1:17" ht="15.75" thickBot="1">
      <c r="A103" s="480"/>
      <c r="B103" s="489"/>
      <c r="C103" s="490">
        <v>100</v>
      </c>
      <c r="D103" s="490">
        <f t="shared" ref="D103:M103" si="25">C103-$K35</f>
        <v>100</v>
      </c>
      <c r="E103" s="490">
        <f t="shared" si="25"/>
        <v>100</v>
      </c>
      <c r="F103" s="490">
        <f t="shared" si="25"/>
        <v>100</v>
      </c>
      <c r="G103" s="490">
        <f t="shared" si="25"/>
        <v>100</v>
      </c>
      <c r="H103" s="490">
        <f t="shared" si="25"/>
        <v>100</v>
      </c>
      <c r="I103" s="490">
        <f t="shared" si="25"/>
        <v>100</v>
      </c>
      <c r="J103" s="490">
        <f t="shared" si="25"/>
        <v>100</v>
      </c>
      <c r="K103" s="490">
        <f t="shared" si="25"/>
        <v>100</v>
      </c>
      <c r="L103" s="490">
        <f t="shared" si="25"/>
        <v>100</v>
      </c>
      <c r="M103" s="491">
        <f t="shared" si="25"/>
        <v>100</v>
      </c>
      <c r="N103" s="930"/>
      <c r="O103" s="930"/>
      <c r="P103" s="42"/>
      <c r="Q103" s="450"/>
    </row>
    <row r="104" spans="1:17" ht="15" thickTop="1">
      <c r="A104" s="545"/>
      <c r="B104" s="484" t="s">
        <v>1744</v>
      </c>
      <c r="C104" s="500"/>
      <c r="D104" s="500"/>
      <c r="E104" s="500"/>
      <c r="F104" s="500"/>
      <c r="G104" s="500"/>
      <c r="H104" s="529"/>
      <c r="I104" s="529"/>
      <c r="J104" s="529"/>
      <c r="K104" s="530"/>
      <c r="L104" s="531"/>
      <c r="M104" s="532"/>
      <c r="N104" s="929"/>
      <c r="O104" s="929"/>
      <c r="P104" s="42"/>
      <c r="Q104" s="450"/>
    </row>
    <row r="105" spans="1:17" ht="15.75" thickBot="1">
      <c r="A105" s="480"/>
      <c r="B105" s="489"/>
      <c r="C105" s="490">
        <v>100</v>
      </c>
      <c r="D105" s="490">
        <f>C105-$K36</f>
        <v>100</v>
      </c>
      <c r="E105" s="490">
        <f>D105-$K36</f>
        <v>100</v>
      </c>
      <c r="F105" s="490">
        <f>E105-$K36</f>
        <v>100</v>
      </c>
      <c r="G105" s="490">
        <f>F105-$K36</f>
        <v>100</v>
      </c>
      <c r="H105" s="490"/>
      <c r="I105" s="490"/>
      <c r="J105" s="490"/>
      <c r="K105" s="490"/>
      <c r="L105" s="490"/>
      <c r="M105" s="491"/>
      <c r="N105" s="930"/>
      <c r="O105" s="930"/>
      <c r="P105" s="42"/>
      <c r="Q105" s="450"/>
    </row>
    <row r="106" spans="1:17" ht="15" thickTop="1">
      <c r="A106" s="545"/>
      <c r="B106" s="581" t="s">
        <v>1830</v>
      </c>
      <c r="C106" s="524" t="s">
        <v>1721</v>
      </c>
      <c r="D106" s="524" t="s">
        <v>1722</v>
      </c>
      <c r="E106" s="524" t="s">
        <v>1723</v>
      </c>
      <c r="F106" s="524" t="s">
        <v>1724</v>
      </c>
      <c r="G106" s="524" t="s">
        <v>1725</v>
      </c>
      <c r="H106" s="485"/>
      <c r="I106" s="485"/>
      <c r="J106" s="485"/>
      <c r="K106" s="486"/>
      <c r="L106" s="487"/>
      <c r="M106" s="488"/>
      <c r="N106" s="930"/>
      <c r="O106" s="930"/>
      <c r="P106" s="582"/>
      <c r="Q106" s="583"/>
    </row>
    <row r="107" spans="1:17" ht="15.75" thickBot="1">
      <c r="A107" s="480"/>
      <c r="B107" s="489"/>
      <c r="C107" s="528">
        <v>100</v>
      </c>
      <c r="D107" s="490">
        <f t="shared" ref="D107:M107" si="26">C107-$K37</f>
        <v>100</v>
      </c>
      <c r="E107" s="490">
        <f t="shared" si="26"/>
        <v>100</v>
      </c>
      <c r="F107" s="490">
        <f t="shared" si="26"/>
        <v>100</v>
      </c>
      <c r="G107" s="490">
        <f t="shared" si="26"/>
        <v>100</v>
      </c>
      <c r="H107" s="490">
        <f t="shared" si="26"/>
        <v>100</v>
      </c>
      <c r="I107" s="490">
        <f t="shared" si="26"/>
        <v>100</v>
      </c>
      <c r="J107" s="490">
        <f t="shared" si="26"/>
        <v>100</v>
      </c>
      <c r="K107" s="490">
        <f t="shared" si="26"/>
        <v>100</v>
      </c>
      <c r="L107" s="490">
        <f t="shared" si="26"/>
        <v>100</v>
      </c>
      <c r="M107" s="490">
        <f t="shared" si="26"/>
        <v>100</v>
      </c>
      <c r="N107" s="930"/>
      <c r="O107" s="930"/>
      <c r="P107" s="42"/>
      <c r="Q107" s="450"/>
    </row>
    <row r="108" spans="1:17" s="419" customFormat="1" ht="15" thickTop="1">
      <c r="A108" s="539"/>
      <c r="B108" s="484">
        <f>B38</f>
        <v>111</v>
      </c>
      <c r="C108" s="500"/>
      <c r="D108" s="500"/>
      <c r="E108" s="500"/>
      <c r="F108" s="500"/>
      <c r="G108" s="500"/>
      <c r="H108" s="501"/>
      <c r="I108" s="501"/>
      <c r="J108" s="501"/>
      <c r="K108" s="501"/>
      <c r="L108" s="502"/>
      <c r="M108" s="503"/>
      <c r="N108" s="931"/>
      <c r="O108" s="931"/>
      <c r="P108" s="504"/>
      <c r="Q108" s="505"/>
    </row>
    <row r="109" spans="1:17" s="419" customFormat="1" ht="15.75" thickBot="1">
      <c r="A109" s="499"/>
      <c r="B109" s="481"/>
      <c r="C109" s="506"/>
      <c r="D109" s="482"/>
      <c r="E109" s="482"/>
      <c r="F109" s="482"/>
      <c r="G109" s="506"/>
      <c r="H109" s="508"/>
      <c r="I109" s="508"/>
      <c r="J109" s="508"/>
      <c r="K109" s="508"/>
      <c r="L109" s="508"/>
      <c r="M109" s="509"/>
      <c r="N109" s="931"/>
      <c r="O109" s="931"/>
      <c r="P109" s="504"/>
      <c r="Q109" s="505"/>
    </row>
    <row r="110" spans="1:17" ht="15" thickTop="1">
      <c r="A110" s="545"/>
      <c r="B110" s="484">
        <f>B39</f>
        <v>111</v>
      </c>
      <c r="C110" s="500"/>
      <c r="D110" s="500"/>
      <c r="E110" s="500"/>
      <c r="F110" s="500"/>
      <c r="G110" s="500"/>
      <c r="H110" s="501"/>
      <c r="I110" s="501"/>
      <c r="J110" s="501"/>
      <c r="K110" s="501"/>
      <c r="L110" s="502"/>
      <c r="M110" s="503"/>
      <c r="N110" s="929"/>
      <c r="O110" s="929"/>
      <c r="P110" s="42"/>
      <c r="Q110" s="450"/>
    </row>
    <row r="111" spans="1:17" ht="15.75" thickBot="1">
      <c r="A111" s="480"/>
      <c r="B111" s="489"/>
      <c r="C111" s="506"/>
      <c r="D111" s="482"/>
      <c r="E111" s="482"/>
      <c r="F111" s="482"/>
      <c r="G111" s="506"/>
      <c r="H111" s="508"/>
      <c r="I111" s="508"/>
      <c r="J111" s="508"/>
      <c r="K111" s="508"/>
      <c r="L111" s="508"/>
      <c r="M111" s="509"/>
      <c r="N111" s="930"/>
      <c r="O111" s="930"/>
      <c r="P111" s="42"/>
      <c r="Q111" s="450"/>
    </row>
    <row r="112" spans="1:17" ht="15" thickTop="1">
      <c r="A112" s="545"/>
      <c r="B112" s="492">
        <f>B40</f>
        <v>111</v>
      </c>
      <c r="C112" s="469"/>
      <c r="D112" s="469"/>
      <c r="E112" s="469"/>
      <c r="F112" s="469"/>
      <c r="G112" s="533"/>
      <c r="H112" s="533"/>
      <c r="I112" s="533"/>
      <c r="J112" s="533"/>
      <c r="K112" s="469"/>
      <c r="L112" s="470"/>
      <c r="M112" s="536"/>
      <c r="N112" s="929"/>
      <c r="O112" s="929"/>
      <c r="P112" s="42"/>
      <c r="Q112" s="450"/>
    </row>
    <row r="113" spans="1:17" ht="15.75" thickBot="1">
      <c r="A113" s="1921"/>
      <c r="B113" s="515"/>
      <c r="C113" s="516"/>
      <c r="D113" s="516"/>
      <c r="E113" s="516"/>
      <c r="F113" s="516"/>
      <c r="G113" s="537"/>
      <c r="H113" s="537"/>
      <c r="I113" s="537"/>
      <c r="J113" s="537"/>
      <c r="K113" s="537"/>
      <c r="L113" s="537"/>
      <c r="M113" s="538"/>
      <c r="N113" s="930"/>
      <c r="O113" s="930"/>
      <c r="P113" s="42"/>
      <c r="Q113" s="450"/>
    </row>
  </sheetData>
  <sheetProtection password="CEE9"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46 H46">
    <cfRule type="containsText" dxfId="80" priority="20" stopIfTrue="1" operator="containsText" text="超过">
      <formula>NOT(ISERROR(SEARCH("超过",F46)))</formula>
    </cfRule>
  </conditionalFormatting>
  <conditionalFormatting sqref="H48">
    <cfRule type="containsText" dxfId="79" priority="19" stopIfTrue="1" operator="containsText" text="超过">
      <formula>NOT(ISERROR(SEARCH("超过",H48)))</formula>
    </cfRule>
  </conditionalFormatting>
  <conditionalFormatting sqref="F48">
    <cfRule type="containsText" dxfId="78" priority="18" stopIfTrue="1" operator="containsText" text="超过">
      <formula>NOT(ISERROR(SEARCH("超过",F48)))</formula>
    </cfRule>
  </conditionalFormatting>
  <conditionalFormatting sqref="F47 H47">
    <cfRule type="containsText" dxfId="77" priority="17" stopIfTrue="1" operator="containsText" text="超过">
      <formula>NOT(ISERROR(SEARCH("超过",F47)))</formula>
    </cfRule>
  </conditionalFormatting>
  <conditionalFormatting sqref="E46">
    <cfRule type="expression" dxfId="76" priority="16" stopIfTrue="1">
      <formula>$F$46="超过30%"</formula>
    </cfRule>
  </conditionalFormatting>
  <conditionalFormatting sqref="E47">
    <cfRule type="expression" dxfId="75" priority="15" stopIfTrue="1">
      <formula>$F$47="超过20%"</formula>
    </cfRule>
  </conditionalFormatting>
  <conditionalFormatting sqref="E48">
    <cfRule type="expression" dxfId="74" priority="14" stopIfTrue="1">
      <formula>$F$48="超过30%"</formula>
    </cfRule>
  </conditionalFormatting>
  <conditionalFormatting sqref="G48">
    <cfRule type="expression" dxfId="73" priority="13" stopIfTrue="1">
      <formula>$H$48="超过30%"</formula>
    </cfRule>
  </conditionalFormatting>
  <conditionalFormatting sqref="G46">
    <cfRule type="expression" dxfId="72" priority="12" stopIfTrue="1">
      <formula>$H$46="超过30%"</formula>
    </cfRule>
  </conditionalFormatting>
  <conditionalFormatting sqref="G47">
    <cfRule type="expression" dxfId="71" priority="11" stopIfTrue="1">
      <formula>$H$47="超过20%"</formula>
    </cfRule>
  </conditionalFormatting>
  <conditionalFormatting sqref="J46">
    <cfRule type="containsText" dxfId="70" priority="10" stopIfTrue="1" operator="containsText" text="超过">
      <formula>NOT(ISERROR(SEARCH("超过",J46)))</formula>
    </cfRule>
  </conditionalFormatting>
  <conditionalFormatting sqref="J48">
    <cfRule type="containsText" dxfId="69" priority="9" stopIfTrue="1" operator="containsText" text="超过">
      <formula>NOT(ISERROR(SEARCH("超过",J48)))</formula>
    </cfRule>
  </conditionalFormatting>
  <conditionalFormatting sqref="J47">
    <cfRule type="containsText" dxfId="68" priority="8" stopIfTrue="1" operator="containsText" text="超过">
      <formula>NOT(ISERROR(SEARCH("超过",J47)))</formula>
    </cfRule>
  </conditionalFormatting>
  <conditionalFormatting sqref="I46">
    <cfRule type="expression" dxfId="67" priority="7" stopIfTrue="1">
      <formula>$J$46="超过30%"</formula>
    </cfRule>
  </conditionalFormatting>
  <conditionalFormatting sqref="I47">
    <cfRule type="expression" dxfId="66" priority="6" stopIfTrue="1">
      <formula>$J$47="超过20%"</formula>
    </cfRule>
  </conditionalFormatting>
  <conditionalFormatting sqref="I48">
    <cfRule type="expression" dxfId="65" priority="5" stopIfTrue="1">
      <formula>$J$48="超过30%"</formula>
    </cfRule>
  </conditionalFormatting>
  <conditionalFormatting sqref="F42">
    <cfRule type="expression" dxfId="64" priority="4">
      <formula>$D$42="简单平均"</formula>
    </cfRule>
  </conditionalFormatting>
  <conditionalFormatting sqref="H42">
    <cfRule type="expression" dxfId="63" priority="3">
      <formula>$D$42="简单平均"</formula>
    </cfRule>
  </conditionalFormatting>
  <conditionalFormatting sqref="J42">
    <cfRule type="expression" dxfId="62" priority="2">
      <formula>$D$42="简单平均"</formula>
    </cfRule>
  </conditionalFormatting>
  <conditionalFormatting sqref="F7:F40 H7:H40 J7:J40">
    <cfRule type="cellIs" dxfId="61"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60" zoomScaleNormal="60" workbookViewId="0">
      <selection activeCell="N18" sqref="N18"/>
    </sheetView>
  </sheetViews>
  <sheetFormatPr defaultColWidth="9" defaultRowHeight="14.25"/>
  <cols>
    <col min="1" max="1" width="10.5" style="354" customWidth="1"/>
    <col min="2" max="2" width="15.875" style="354" customWidth="1"/>
    <col min="3" max="3" width="14.375" style="354" customWidth="1"/>
    <col min="4" max="4" width="12.125" style="354" customWidth="1"/>
    <col min="5" max="5" width="14.375" style="354" customWidth="1"/>
    <col min="6" max="6" width="12.125" style="354" customWidth="1"/>
    <col min="7" max="7" width="14.5" style="354" customWidth="1"/>
    <col min="8" max="8" width="12.125" style="354" customWidth="1"/>
    <col min="9" max="9" width="15.5" style="354" customWidth="1"/>
    <col min="10" max="10" width="12.125" style="354" customWidth="1"/>
    <col min="11" max="11" width="12.125" style="441" customWidth="1"/>
    <col min="12" max="12" width="12.125" style="442" customWidth="1"/>
    <col min="13" max="15" width="12.125" style="354" customWidth="1"/>
    <col min="16" max="16" width="4.875" style="902" customWidth="1"/>
    <col min="17" max="17" width="19.5" style="354" customWidth="1"/>
    <col min="18" max="22" width="6.125" style="354" customWidth="1"/>
    <col min="23" max="23" width="5.875" style="354" customWidth="1"/>
    <col min="24" max="24" width="4.125" style="354" customWidth="1"/>
    <col min="25" max="25" width="3.5" style="354" customWidth="1"/>
    <col min="26" max="26" width="19.875" style="354" customWidth="1"/>
    <col min="27" max="28" width="9.375" style="354" customWidth="1"/>
    <col min="29" max="16384" width="9" style="354"/>
  </cols>
  <sheetData>
    <row r="1" spans="1:29" s="1229" customFormat="1" ht="28.5" customHeight="1" thickBot="1">
      <c r="A1" s="1218" t="s">
        <v>1831</v>
      </c>
      <c r="B1" s="1219" t="s">
        <v>3337</v>
      </c>
      <c r="C1" s="1220" t="s">
        <v>1662</v>
      </c>
      <c r="D1" s="1221"/>
      <c r="E1" s="3425"/>
      <c r="F1" s="1875"/>
      <c r="G1" s="1223" t="s">
        <v>1767</v>
      </c>
      <c r="H1" s="1222"/>
      <c r="I1" s="1222"/>
      <c r="J1" s="1222"/>
      <c r="K1" s="1224"/>
      <c r="L1" s="1225"/>
      <c r="M1" s="1226"/>
      <c r="N1" s="1226"/>
      <c r="O1" s="1226"/>
      <c r="P1" s="1227"/>
      <c r="Q1" s="1220"/>
      <c r="R1" s="1220"/>
      <c r="S1" s="1220"/>
      <c r="T1" s="1220"/>
      <c r="U1" s="1220"/>
      <c r="V1" s="1220"/>
      <c r="W1" s="1220"/>
      <c r="X1" s="1220"/>
      <c r="Y1" s="1220"/>
      <c r="Z1" s="1220"/>
      <c r="AA1" s="1220"/>
      <c r="AB1" s="1220"/>
      <c r="AC1" s="1228"/>
    </row>
    <row r="2" spans="1:29" s="349" customFormat="1" ht="28.5" customHeight="1" thickTop="1">
      <c r="A2" s="1217" t="s">
        <v>1462</v>
      </c>
      <c r="B2" s="1160" t="b">
        <f>IF(E1="项目模式",IF(C2="——",IF(B37="元/平方米",ROUND(C39*D3/10000,0),ROUND(F3*C39/10000,0)),IF(B37="元/平方米",ROUND(C39*D3/10000,0),ROUND(F3*C39/10000,0))-D2),IF(E1="单套模式",IF(C2="——",IF(B37="元/平方米",ROUND(C39*D3/10000,0),ROUND(F3*C39/10000,0)),IF(B37="元/平方米",ROUND(C39*D3/10000,0),ROUND(F3*C39/10000,0))-D2)))</f>
        <v>0</v>
      </c>
      <c r="C2" s="1877"/>
      <c r="D2" s="903" t="e">
        <f ca="1">IF(E1="项目模式",SUMIF(INDIRECT("'"&amp;F2&amp;"'"&amp;"!A:A"),"承租人权益价值",INDIRECT("'"&amp;F2&amp;"'"&amp;"!c:c")),SUMIF(INDIRECT("'"&amp;F2&amp;"'"&amp;"!A:A"),"承租人权益价值（单套）",INDIRECT("'"&amp;F2&amp;"'"&amp;"!c:c")))</f>
        <v>#REF!</v>
      </c>
      <c r="E2" s="1878" t="s">
        <v>1463</v>
      </c>
      <c r="F2" s="1879"/>
      <c r="G2" s="904"/>
      <c r="H2" s="904"/>
      <c r="I2" s="904"/>
      <c r="J2" s="904"/>
      <c r="K2" s="906"/>
      <c r="L2" s="2726"/>
      <c r="M2" s="2727"/>
      <c r="N2" s="2727"/>
      <c r="O2" s="2727"/>
      <c r="P2" s="1161"/>
      <c r="Q2" s="695"/>
      <c r="R2" s="695"/>
      <c r="S2" s="695"/>
      <c r="T2" s="695"/>
      <c r="U2" s="695"/>
      <c r="V2" s="695"/>
      <c r="W2" s="695"/>
      <c r="X2" s="695"/>
      <c r="Y2" s="695"/>
      <c r="Z2" s="695"/>
      <c r="AA2" s="695"/>
      <c r="AB2" s="695"/>
      <c r="AC2" s="696"/>
    </row>
    <row r="3" spans="1:29" s="349" customFormat="1" ht="28.5" customHeight="1" thickBot="1">
      <c r="A3" s="200" t="s">
        <v>1464</v>
      </c>
      <c r="B3" s="555" t="e">
        <f>IF(AND(C2="——",B37="元/平方米"),C39,ROUND(B2*10000/D3,0))</f>
        <v>#DIV/0!</v>
      </c>
      <c r="C3" s="351" t="s">
        <v>1768</v>
      </c>
      <c r="D3" s="350">
        <f>SUMIF('数据-汇总表'!$C19:$C33,D1,'数据-汇总表'!$E19:$E33)</f>
        <v>0</v>
      </c>
      <c r="E3" s="351" t="s">
        <v>1832</v>
      </c>
      <c r="F3" s="350">
        <f>SUMIF('数据-取费表'!A5:A15,D1,'数据-取费表'!AH5:AH15)</f>
        <v>0</v>
      </c>
      <c r="G3" s="904"/>
      <c r="H3" s="904"/>
      <c r="I3" s="904"/>
      <c r="J3" s="904"/>
      <c r="K3" s="906"/>
      <c r="L3" s="2726"/>
      <c r="M3" s="2727" t="e">
        <f ca="1">IF(C2="——",IF(B37="元/平方米",ROUND(C39*D3/10000,0),ROUND(F3*C39/10000,0)),IF(B37="元/平方米",ROUND(C39*D3/10000,0),ROUND(F3*C39/10000,0))-D2)</f>
        <v>#DIV/0!</v>
      </c>
      <c r="N3" s="2727"/>
      <c r="O3" s="2727"/>
      <c r="P3" s="1161"/>
      <c r="Q3" s="695"/>
      <c r="R3" s="695"/>
      <c r="S3" s="695"/>
      <c r="T3" s="695"/>
      <c r="U3" s="695"/>
      <c r="V3" s="695"/>
      <c r="W3" s="695"/>
      <c r="X3" s="695"/>
      <c r="Y3" s="695"/>
      <c r="Z3" s="695"/>
      <c r="AA3" s="695"/>
      <c r="AB3" s="712"/>
      <c r="AC3" s="709"/>
    </row>
    <row r="4" spans="1:29" ht="15">
      <c r="A4" s="352" t="s">
        <v>1769</v>
      </c>
      <c r="B4" s="353"/>
      <c r="C4" s="3738" t="s">
        <v>1770</v>
      </c>
      <c r="D4" s="3739"/>
      <c r="E4" s="3740" t="s">
        <v>1771</v>
      </c>
      <c r="F4" s="3741"/>
      <c r="G4" s="3738" t="s">
        <v>1772</v>
      </c>
      <c r="H4" s="3739"/>
      <c r="I4" s="3738" t="s">
        <v>1773</v>
      </c>
      <c r="J4" s="3739"/>
      <c r="K4" s="556" t="s">
        <v>1774</v>
      </c>
      <c r="L4" s="2707"/>
      <c r="M4" s="2708"/>
      <c r="N4" s="2708"/>
      <c r="O4" s="2708"/>
      <c r="P4" s="3742" t="s">
        <v>1775</v>
      </c>
      <c r="Q4" s="3743"/>
      <c r="R4" s="3722" t="s">
        <v>1771</v>
      </c>
      <c r="S4" s="3723"/>
      <c r="T4" s="3722" t="s">
        <v>1772</v>
      </c>
      <c r="U4" s="3723"/>
      <c r="V4" s="3750" t="s">
        <v>1773</v>
      </c>
      <c r="W4" s="3750"/>
      <c r="X4" s="1351"/>
      <c r="Y4" s="3722" t="s">
        <v>1775</v>
      </c>
      <c r="Z4" s="3723"/>
      <c r="AA4" s="3717" t="s">
        <v>1771</v>
      </c>
      <c r="AB4" s="3718" t="s">
        <v>1772</v>
      </c>
      <c r="AC4" s="3717" t="s">
        <v>1773</v>
      </c>
    </row>
    <row r="5" spans="1:29" ht="15">
      <c r="A5" s="355"/>
      <c r="B5" s="356"/>
      <c r="C5" s="3822" t="s">
        <v>1673</v>
      </c>
      <c r="D5" s="3823"/>
      <c r="E5" s="3820" t="s">
        <v>1674</v>
      </c>
      <c r="F5" s="3821"/>
      <c r="G5" s="3822" t="s">
        <v>1675</v>
      </c>
      <c r="H5" s="3823"/>
      <c r="I5" s="3822" t="s">
        <v>1676</v>
      </c>
      <c r="J5" s="3823"/>
      <c r="K5" s="556"/>
      <c r="L5" s="2707"/>
      <c r="M5" s="2708"/>
      <c r="N5" s="2708"/>
      <c r="O5" s="2708"/>
      <c r="P5" s="3744"/>
      <c r="Q5" s="3745"/>
      <c r="R5" s="3724"/>
      <c r="S5" s="3725"/>
      <c r="T5" s="3724"/>
      <c r="U5" s="3725"/>
      <c r="V5" s="3750"/>
      <c r="W5" s="3750"/>
      <c r="X5" s="1351"/>
      <c r="Y5" s="3724"/>
      <c r="Z5" s="3725"/>
      <c r="AA5" s="3718"/>
      <c r="AB5" s="3718"/>
      <c r="AC5" s="3718"/>
    </row>
    <row r="6" spans="1:29" ht="15.75" thickBot="1">
      <c r="A6" s="357"/>
      <c r="B6" s="358"/>
      <c r="C6" s="3730" t="s">
        <v>1677</v>
      </c>
      <c r="D6" s="3731"/>
      <c r="E6" s="3824" t="s">
        <v>1677</v>
      </c>
      <c r="F6" s="3825"/>
      <c r="G6" s="3730" t="s">
        <v>1677</v>
      </c>
      <c r="H6" s="3731"/>
      <c r="I6" s="3730" t="s">
        <v>1677</v>
      </c>
      <c r="J6" s="3731"/>
      <c r="K6" s="556" t="s">
        <v>1678</v>
      </c>
      <c r="L6" s="2707"/>
      <c r="M6" s="2708"/>
      <c r="N6" s="2708"/>
      <c r="O6" s="2708"/>
      <c r="P6" s="3746"/>
      <c r="Q6" s="3747"/>
      <c r="R6" s="3724"/>
      <c r="S6" s="3725"/>
      <c r="T6" s="3748"/>
      <c r="U6" s="3749"/>
      <c r="V6" s="3750"/>
      <c r="W6" s="3750"/>
      <c r="X6" s="1351"/>
      <c r="Y6" s="3748"/>
      <c r="Z6" s="3749"/>
      <c r="AA6" s="3719"/>
      <c r="AB6" s="3719"/>
      <c r="AC6" s="3719"/>
    </row>
    <row r="7" spans="1:29" s="108" customFormat="1" ht="15.75" thickBot="1">
      <c r="A7" s="359" t="s">
        <v>1679</v>
      </c>
      <c r="B7" s="360"/>
      <c r="C7" s="361">
        <f>'数据-取费表'!B2</f>
        <v>45114</v>
      </c>
      <c r="D7" s="362">
        <v>100</v>
      </c>
      <c r="E7" s="363"/>
      <c r="F7" s="364">
        <f>SUMIF(48:48,YEAR(E7)&amp;"-"&amp;MONTH(E7),49:49)</f>
        <v>0</v>
      </c>
      <c r="G7" s="363"/>
      <c r="H7" s="362">
        <f>SUMIF(48:48,YEAR(G7)&amp;"-"&amp;MONTH(G7),49:49)</f>
        <v>0</v>
      </c>
      <c r="I7" s="363"/>
      <c r="J7" s="362">
        <f>SUMIF(48:48,YEAR(I7)&amp;"-"&amp;MONTH(I7),49:49)</f>
        <v>0</v>
      </c>
      <c r="K7" s="557"/>
      <c r="L7" s="2709"/>
      <c r="M7" s="2710"/>
      <c r="N7" s="2710"/>
      <c r="O7" s="2710"/>
      <c r="P7" s="3720" t="s">
        <v>1680</v>
      </c>
      <c r="Q7" s="3751"/>
      <c r="R7" s="697" t="s">
        <v>14</v>
      </c>
      <c r="S7" s="698">
        <f t="shared" ref="S7:S14" si="0">F7</f>
        <v>0</v>
      </c>
      <c r="T7" s="697" t="s">
        <v>14</v>
      </c>
      <c r="U7" s="698">
        <f t="shared" ref="U7:U14" si="1">H7</f>
        <v>0</v>
      </c>
      <c r="V7" s="697" t="s">
        <v>14</v>
      </c>
      <c r="W7" s="698">
        <f t="shared" ref="W7:W14" si="2">J7</f>
        <v>0</v>
      </c>
      <c r="X7" s="699"/>
      <c r="Y7" s="3720" t="s">
        <v>1680</v>
      </c>
      <c r="Z7" s="3721"/>
      <c r="AA7" s="700" t="e">
        <f>D7/F7</f>
        <v>#DIV/0!</v>
      </c>
      <c r="AB7" s="700" t="e">
        <f>D7/H7</f>
        <v>#DIV/0!</v>
      </c>
      <c r="AC7" s="700" t="e">
        <f>D7/J7</f>
        <v>#DIV/0!</v>
      </c>
    </row>
    <row r="8" spans="1:29" s="108" customFormat="1" ht="15.75" thickBot="1">
      <c r="A8" s="359" t="s">
        <v>1681</v>
      </c>
      <c r="B8" s="360"/>
      <c r="C8" s="365"/>
      <c r="D8" s="362">
        <v>100</v>
      </c>
      <c r="E8" s="365"/>
      <c r="F8" s="364">
        <f>SUMIF(51:51,E8,52:52)-SUMIF(51:51,C8,52:52)+100</f>
        <v>100</v>
      </c>
      <c r="G8" s="365"/>
      <c r="H8" s="362">
        <f>SUMIF(51:51,G8,52:52)-SUMIF(51:51,C8,52:52)+100</f>
        <v>100</v>
      </c>
      <c r="I8" s="365"/>
      <c r="J8" s="362">
        <f>SUMIF(51:51,I8,52:52)-SUMIF(51:51,C8,52:52)+100</f>
        <v>100</v>
      </c>
      <c r="K8" s="557"/>
      <c r="L8" s="2709"/>
      <c r="M8" s="2710"/>
      <c r="N8" s="2710"/>
      <c r="O8" s="2710"/>
      <c r="P8" s="3720" t="s">
        <v>1683</v>
      </c>
      <c r="Q8" s="3721"/>
      <c r="R8" s="697" t="s">
        <v>14</v>
      </c>
      <c r="S8" s="698">
        <f t="shared" si="0"/>
        <v>100</v>
      </c>
      <c r="T8" s="697" t="s">
        <v>14</v>
      </c>
      <c r="U8" s="698">
        <f t="shared" si="1"/>
        <v>100</v>
      </c>
      <c r="V8" s="697" t="s">
        <v>14</v>
      </c>
      <c r="W8" s="698">
        <f t="shared" si="2"/>
        <v>100</v>
      </c>
      <c r="X8" s="699"/>
      <c r="Y8" s="3720" t="s">
        <v>1683</v>
      </c>
      <c r="Z8" s="3721"/>
      <c r="AA8" s="700">
        <f t="shared" ref="AA8:AA36" si="3">D8/F8</f>
        <v>1</v>
      </c>
      <c r="AB8" s="700">
        <f t="shared" ref="AB8:AB36" si="4">D8/H8</f>
        <v>1</v>
      </c>
      <c r="AC8" s="700">
        <f t="shared" ref="AC8:AC36" si="5">D8/J8</f>
        <v>1</v>
      </c>
    </row>
    <row r="9" spans="1:29" s="108" customFormat="1">
      <c r="A9" s="60" t="s">
        <v>1684</v>
      </c>
      <c r="B9" s="585" t="s">
        <v>1685</v>
      </c>
      <c r="C9" s="367"/>
      <c r="D9" s="124">
        <v>100</v>
      </c>
      <c r="E9" s="370"/>
      <c r="F9" s="124">
        <f>SUMIF(53:53,E9,54:54)-SUMIF(53:53,C9,54:54)+100</f>
        <v>100</v>
      </c>
      <c r="G9" s="368"/>
      <c r="H9" s="124">
        <f>SUMIF(53:53,G9,54:54)-SUMIF(53:53,C9,54:54)+100</f>
        <v>100</v>
      </c>
      <c r="I9" s="368"/>
      <c r="J9" s="124">
        <f>SUMIF(53:53,I9,54:54)-SUMIF(53:53,C9,54:54)+100</f>
        <v>100</v>
      </c>
      <c r="K9" s="557"/>
      <c r="L9" s="2709"/>
      <c r="M9" s="2710"/>
      <c r="N9" s="2710"/>
      <c r="O9" s="2710"/>
      <c r="P9" s="3737" t="s">
        <v>1686</v>
      </c>
      <c r="Q9" s="1339" t="str">
        <f t="shared" ref="Q9:Q14" si="6">B9</f>
        <v>用途</v>
      </c>
      <c r="R9" s="697" t="s">
        <v>14</v>
      </c>
      <c r="S9" s="698">
        <f t="shared" si="0"/>
        <v>100</v>
      </c>
      <c r="T9" s="697" t="s">
        <v>14</v>
      </c>
      <c r="U9" s="698">
        <f t="shared" si="1"/>
        <v>100</v>
      </c>
      <c r="V9" s="697" t="s">
        <v>14</v>
      </c>
      <c r="W9" s="698">
        <f t="shared" si="2"/>
        <v>100</v>
      </c>
      <c r="X9" s="699"/>
      <c r="Y9" s="3685" t="s">
        <v>1687</v>
      </c>
      <c r="Z9" s="52" t="str">
        <f t="shared" ref="Z9:Z14" si="7">Q9</f>
        <v>用途</v>
      </c>
      <c r="AA9" s="700">
        <f t="shared" si="3"/>
        <v>1</v>
      </c>
      <c r="AB9" s="700">
        <f t="shared" si="4"/>
        <v>1</v>
      </c>
      <c r="AC9" s="700">
        <f t="shared" si="5"/>
        <v>1</v>
      </c>
    </row>
    <row r="10" spans="1:29" s="375" customFormat="1" ht="27">
      <c r="A10" s="586"/>
      <c r="B10" s="587" t="s">
        <v>1688</v>
      </c>
      <c r="C10" s="3426"/>
      <c r="D10" s="125">
        <v>100</v>
      </c>
      <c r="E10" s="3426"/>
      <c r="F10" s="125">
        <f>SUMIF(55:55,E10,56:56)-SUMIF(55:55,C10,56:56)+100</f>
        <v>100</v>
      </c>
      <c r="G10" s="3427"/>
      <c r="H10" s="125">
        <f>SUMIF(55:55,G10,56:56)-SUMIF(55:55,C10,56:56)+100</f>
        <v>100</v>
      </c>
      <c r="I10" s="3426"/>
      <c r="J10" s="125">
        <f>SUMIF(55:55,I10,56:56)-SUMIF(55:55,C10,56:56)+100</f>
        <v>100</v>
      </c>
      <c r="K10" s="557"/>
      <c r="L10" s="2711"/>
      <c r="M10" s="2712"/>
      <c r="N10" s="2712"/>
      <c r="O10" s="2712"/>
      <c r="P10" s="3737"/>
      <c r="Q10" s="1339" t="str">
        <f t="shared" si="6"/>
        <v>土地使用年限（年）</v>
      </c>
      <c r="R10" s="697" t="s">
        <v>14</v>
      </c>
      <c r="S10" s="698">
        <f t="shared" si="0"/>
        <v>100</v>
      </c>
      <c r="T10" s="697" t="s">
        <v>14</v>
      </c>
      <c r="U10" s="698">
        <f t="shared" si="1"/>
        <v>100</v>
      </c>
      <c r="V10" s="697" t="s">
        <v>14</v>
      </c>
      <c r="W10" s="698">
        <f t="shared" si="2"/>
        <v>100</v>
      </c>
      <c r="X10" s="699"/>
      <c r="Y10" s="3685"/>
      <c r="Z10" s="52" t="str">
        <f t="shared" si="7"/>
        <v>土地使用年限（年）</v>
      </c>
      <c r="AA10" s="700">
        <f t="shared" si="3"/>
        <v>1</v>
      </c>
      <c r="AB10" s="700">
        <f t="shared" si="4"/>
        <v>1</v>
      </c>
      <c r="AC10" s="700">
        <f t="shared" si="5"/>
        <v>1</v>
      </c>
    </row>
    <row r="11" spans="1:29" ht="15">
      <c r="A11" s="588"/>
      <c r="B11" s="589">
        <v>111</v>
      </c>
      <c r="C11" s="380"/>
      <c r="D11" s="125">
        <v>100</v>
      </c>
      <c r="E11" s="380"/>
      <c r="F11" s="125">
        <f>SUMIF(57:57,E11,58:58)-SUMIF(57:57,C11,58:58)+100</f>
        <v>100</v>
      </c>
      <c r="G11" s="380"/>
      <c r="H11" s="125">
        <f>SUMIF(57:57,G11,58:58)-SUMIF(57:57,C11,58:58)+100</f>
        <v>100</v>
      </c>
      <c r="I11" s="380"/>
      <c r="J11" s="125">
        <f>SUMIF(57:57,I11,58:58)-SUMIF(57:57,C11,58:58)+100</f>
        <v>100</v>
      </c>
      <c r="K11" s="559"/>
      <c r="L11" s="2713"/>
      <c r="M11" s="2708"/>
      <c r="N11" s="2708"/>
      <c r="O11" s="2708"/>
      <c r="P11" s="3737"/>
      <c r="Q11" s="1339">
        <f t="shared" si="6"/>
        <v>111</v>
      </c>
      <c r="R11" s="697" t="s">
        <v>14</v>
      </c>
      <c r="S11" s="698">
        <f t="shared" si="0"/>
        <v>100</v>
      </c>
      <c r="T11" s="697" t="s">
        <v>14</v>
      </c>
      <c r="U11" s="698">
        <f t="shared" si="1"/>
        <v>100</v>
      </c>
      <c r="V11" s="697" t="s">
        <v>14</v>
      </c>
      <c r="W11" s="698">
        <f t="shared" si="2"/>
        <v>100</v>
      </c>
      <c r="X11" s="699"/>
      <c r="Y11" s="3685"/>
      <c r="Z11" s="52">
        <f t="shared" si="7"/>
        <v>111</v>
      </c>
      <c r="AA11" s="700">
        <f t="shared" si="3"/>
        <v>1</v>
      </c>
      <c r="AB11" s="700">
        <f t="shared" si="4"/>
        <v>1</v>
      </c>
      <c r="AC11" s="700">
        <f t="shared" si="5"/>
        <v>1</v>
      </c>
    </row>
    <row r="12" spans="1:29" s="108" customFormat="1" ht="15">
      <c r="A12" s="590"/>
      <c r="B12" s="589">
        <v>111</v>
      </c>
      <c r="C12" s="380"/>
      <c r="D12" s="381">
        <v>100</v>
      </c>
      <c r="E12" s="380"/>
      <c r="F12" s="125">
        <f>SUMIF(59:59,E12,60:60)-SUMIF(59:59,C12,60:60)+100</f>
        <v>100</v>
      </c>
      <c r="G12" s="380"/>
      <c r="H12" s="125">
        <f>SUMIF(59:59,G12,60:60)-SUMIF(59:59,C12,60:60)+100</f>
        <v>100</v>
      </c>
      <c r="I12" s="380"/>
      <c r="J12" s="125">
        <f>SUMIF(59:59,I12,60:60)-SUMIF(59:59,C12,60:60)+100</f>
        <v>100</v>
      </c>
      <c r="K12" s="559"/>
      <c r="L12" s="2709"/>
      <c r="M12" s="2710"/>
      <c r="N12" s="2710"/>
      <c r="O12" s="2710"/>
      <c r="P12" s="3737"/>
      <c r="Q12" s="1339">
        <f t="shared" si="6"/>
        <v>111</v>
      </c>
      <c r="R12" s="697" t="s">
        <v>14</v>
      </c>
      <c r="S12" s="698">
        <f t="shared" si="0"/>
        <v>100</v>
      </c>
      <c r="T12" s="697" t="s">
        <v>14</v>
      </c>
      <c r="U12" s="698">
        <f t="shared" si="1"/>
        <v>100</v>
      </c>
      <c r="V12" s="697" t="s">
        <v>14</v>
      </c>
      <c r="W12" s="698">
        <f t="shared" si="2"/>
        <v>100</v>
      </c>
      <c r="X12" s="699"/>
      <c r="Y12" s="3685"/>
      <c r="Z12" s="52">
        <f t="shared" si="7"/>
        <v>111</v>
      </c>
      <c r="AA12" s="700">
        <f>D12/F12</f>
        <v>1</v>
      </c>
      <c r="AB12" s="700">
        <f>D12/H12</f>
        <v>1</v>
      </c>
      <c r="AC12" s="700">
        <f>D12/J12</f>
        <v>1</v>
      </c>
    </row>
    <row r="13" spans="1:29" ht="15.75" thickBot="1">
      <c r="A13" s="591"/>
      <c r="B13" s="589">
        <v>111</v>
      </c>
      <c r="C13" s="382"/>
      <c r="D13" s="383">
        <v>100</v>
      </c>
      <c r="E13" s="380"/>
      <c r="F13" s="125">
        <f>SUMIF(61:61,E13,62:62)-SUMIF(61:61,C13,62:62)+100</f>
        <v>100</v>
      </c>
      <c r="G13" s="380"/>
      <c r="H13" s="383">
        <f>SUMIF(61:61,G13,62:62)-SUMIF(61:61,C13,62:62)+100</f>
        <v>100</v>
      </c>
      <c r="I13" s="380"/>
      <c r="J13" s="383">
        <f>SUMIF(61:61,I13,62:62)-SUMIF(61:61,C13,62:62)+100</f>
        <v>100</v>
      </c>
      <c r="K13" s="559"/>
      <c r="L13" s="2714"/>
      <c r="M13" s="2708"/>
      <c r="N13" s="2708"/>
      <c r="O13" s="2708"/>
      <c r="P13" s="3737"/>
      <c r="Q13" s="1339">
        <f t="shared" si="6"/>
        <v>111</v>
      </c>
      <c r="R13" s="697" t="s">
        <v>14</v>
      </c>
      <c r="S13" s="698">
        <f t="shared" si="0"/>
        <v>100</v>
      </c>
      <c r="T13" s="697" t="s">
        <v>14</v>
      </c>
      <c r="U13" s="698">
        <f t="shared" si="1"/>
        <v>100</v>
      </c>
      <c r="V13" s="697" t="s">
        <v>14</v>
      </c>
      <c r="W13" s="698">
        <f t="shared" si="2"/>
        <v>100</v>
      </c>
      <c r="X13" s="699"/>
      <c r="Y13" s="3685"/>
      <c r="Z13" s="52">
        <f t="shared" si="7"/>
        <v>111</v>
      </c>
      <c r="AA13" s="700">
        <f t="shared" si="3"/>
        <v>1</v>
      </c>
      <c r="AB13" s="700">
        <f t="shared" si="4"/>
        <v>1</v>
      </c>
      <c r="AC13" s="700">
        <f t="shared" si="5"/>
        <v>1</v>
      </c>
    </row>
    <row r="14" spans="1:29" ht="156.75">
      <c r="A14" s="352" t="s">
        <v>1690</v>
      </c>
      <c r="B14" s="574" t="s">
        <v>1833</v>
      </c>
      <c r="C14" s="1964" t="str">
        <f>IF(B1="工业",估价对象房地状况!G4,估价对象房地状况!C6)</f>
        <v>估价对象邻近城市高速路-京台高速，附近有兴16路、兴38路、专83路等公交线路，周边道路状况、公共交通通达情况、停车便捷程度，综合评价交通便捷度较好</v>
      </c>
      <c r="D14" s="389">
        <v>100</v>
      </c>
      <c r="E14" s="390"/>
      <c r="F14" s="391">
        <f>SUMIF(63:63,E15,64:64)-SUMIF(63:63,C15,64:64)+100</f>
        <v>100</v>
      </c>
      <c r="G14" s="392"/>
      <c r="H14" s="389">
        <f>SUMIF(63:63,G15,64:64)-SUMIF(63:63,C15,64:64)+100</f>
        <v>100</v>
      </c>
      <c r="I14" s="390"/>
      <c r="J14" s="389">
        <f>SUMIF(63:63,I15,64:64)-SUMIF(63:63,C15,64:64)+100</f>
        <v>100</v>
      </c>
      <c r="K14" s="560"/>
      <c r="L14" s="2714"/>
      <c r="M14" s="2708"/>
      <c r="N14" s="2708"/>
      <c r="O14" s="2708"/>
      <c r="P14" s="3752" t="s">
        <v>1691</v>
      </c>
      <c r="Q14" s="1348" t="str">
        <f t="shared" si="6"/>
        <v>交通便捷度</v>
      </c>
      <c r="R14" s="701" t="s">
        <v>14</v>
      </c>
      <c r="S14" s="702">
        <f t="shared" si="0"/>
        <v>100</v>
      </c>
      <c r="T14" s="701" t="s">
        <v>14</v>
      </c>
      <c r="U14" s="702">
        <f t="shared" si="1"/>
        <v>100</v>
      </c>
      <c r="V14" s="701" t="s">
        <v>14</v>
      </c>
      <c r="W14" s="702">
        <f t="shared" si="2"/>
        <v>100</v>
      </c>
      <c r="X14" s="1351"/>
      <c r="Y14" s="3752" t="s">
        <v>1691</v>
      </c>
      <c r="Z14" s="1352" t="str">
        <f t="shared" si="7"/>
        <v>交通便捷度</v>
      </c>
      <c r="AA14" s="1349">
        <f t="shared" si="3"/>
        <v>1</v>
      </c>
      <c r="AB14" s="1349">
        <f t="shared" si="4"/>
        <v>1</v>
      </c>
      <c r="AC14" s="1349">
        <f t="shared" si="5"/>
        <v>1</v>
      </c>
    </row>
    <row r="15" spans="1:29" ht="15">
      <c r="A15" s="355"/>
      <c r="B15" s="592"/>
      <c r="C15" s="395"/>
      <c r="D15" s="396"/>
      <c r="E15" s="395"/>
      <c r="F15" s="397"/>
      <c r="G15" s="395"/>
      <c r="H15" s="398"/>
      <c r="I15" s="395"/>
      <c r="J15" s="396"/>
      <c r="K15" s="561"/>
      <c r="L15" s="2714"/>
      <c r="M15" s="2708"/>
      <c r="N15" s="2708"/>
      <c r="O15" s="2708"/>
      <c r="P15" s="3753"/>
      <c r="Q15" s="1348"/>
      <c r="R15" s="701"/>
      <c r="S15" s="702"/>
      <c r="T15" s="701"/>
      <c r="U15" s="702"/>
      <c r="V15" s="701"/>
      <c r="W15" s="702"/>
      <c r="X15" s="1351"/>
      <c r="Y15" s="3753"/>
      <c r="Z15" s="1352"/>
      <c r="AA15" s="1349">
        <v>1</v>
      </c>
      <c r="AB15" s="1349">
        <v>1</v>
      </c>
      <c r="AC15" s="1349">
        <v>1</v>
      </c>
    </row>
    <row r="16" spans="1:29" ht="142.5">
      <c r="A16" s="355"/>
      <c r="B16" s="576" t="s">
        <v>1812</v>
      </c>
      <c r="C16" s="1895" t="str">
        <f>IF(B1="工业",估价对象房地状况!G5,估价对象房地状况!C7)</f>
        <v>估价对象周边有红星中学、瀛海镇第一中心小学、瀛海一幼幼儿园等教育机构，有肃宁正骨医院医疗设施，有北京农商银行等金融机构，公共配套设施状况一般</v>
      </c>
      <c r="D16" s="403">
        <v>100</v>
      </c>
      <c r="E16" s="405"/>
      <c r="F16" s="406">
        <f>SUMIF(65:65,E17,66:66)-SUMIF(65:65,C17,66:66)+100</f>
        <v>100</v>
      </c>
      <c r="G16" s="407"/>
      <c r="H16" s="403">
        <f>SUMIF(65:65,G17,66:66)-SUMIF(65:65,C17,66:66)+100</f>
        <v>100</v>
      </c>
      <c r="I16" s="405"/>
      <c r="J16" s="403">
        <f>SUMIF(65:65,I17,66:66)-SUMIF(65:65,C17,66:66)+100</f>
        <v>100</v>
      </c>
      <c r="K16" s="560"/>
      <c r="L16" s="2714"/>
      <c r="M16" s="2708"/>
      <c r="N16" s="2708"/>
      <c r="O16" s="2708"/>
      <c r="P16" s="3753"/>
      <c r="Q16" s="1348" t="str">
        <f>B16</f>
        <v>公共配套设施</v>
      </c>
      <c r="R16" s="701" t="s">
        <v>14</v>
      </c>
      <c r="S16" s="702">
        <f>F16</f>
        <v>100</v>
      </c>
      <c r="T16" s="701" t="s">
        <v>14</v>
      </c>
      <c r="U16" s="702">
        <f>H16</f>
        <v>100</v>
      </c>
      <c r="V16" s="701" t="s">
        <v>14</v>
      </c>
      <c r="W16" s="702">
        <f>J16</f>
        <v>100</v>
      </c>
      <c r="X16" s="1351"/>
      <c r="Y16" s="3753"/>
      <c r="Z16" s="1352" t="str">
        <f>Q16</f>
        <v>公共配套设施</v>
      </c>
      <c r="AA16" s="1349">
        <f t="shared" si="3"/>
        <v>1</v>
      </c>
      <c r="AB16" s="1349">
        <f t="shared" si="4"/>
        <v>1</v>
      </c>
      <c r="AC16" s="1349">
        <f t="shared" si="5"/>
        <v>1</v>
      </c>
    </row>
    <row r="17" spans="1:29" ht="15">
      <c r="A17" s="355"/>
      <c r="B17" s="577"/>
      <c r="C17" s="1896"/>
      <c r="D17" s="396"/>
      <c r="E17" s="395"/>
      <c r="F17" s="397"/>
      <c r="G17" s="395"/>
      <c r="H17" s="396"/>
      <c r="I17" s="395"/>
      <c r="J17" s="396"/>
      <c r="K17" s="561"/>
      <c r="L17" s="2714"/>
      <c r="M17" s="2708"/>
      <c r="N17" s="2708"/>
      <c r="O17" s="2708"/>
      <c r="P17" s="3753"/>
      <c r="Q17" s="1348"/>
      <c r="R17" s="701"/>
      <c r="S17" s="702"/>
      <c r="T17" s="701"/>
      <c r="U17" s="702"/>
      <c r="V17" s="701"/>
      <c r="W17" s="702"/>
      <c r="X17" s="1351"/>
      <c r="Y17" s="3753"/>
      <c r="Z17" s="1352"/>
      <c r="AA17" s="1349">
        <v>1</v>
      </c>
      <c r="AB17" s="1349">
        <v>1</v>
      </c>
      <c r="AC17" s="1349">
        <v>1</v>
      </c>
    </row>
    <row r="18" spans="1:29" ht="42.75">
      <c r="A18" s="355"/>
      <c r="B18" s="578" t="s">
        <v>1813</v>
      </c>
      <c r="C18" s="1895" t="str">
        <f>IF(B1="工业",估价对象房地状况!G6,估价对象房地状况!C8)</f>
        <v>估价对象所在区域基础设施水平-六通</v>
      </c>
      <c r="D18" s="398">
        <v>100</v>
      </c>
      <c r="E18" s="400"/>
      <c r="F18" s="406">
        <f>SUMIF(67:67,E19,68:68)-SUMIF(67:67,C19,68:68)+100</f>
        <v>100</v>
      </c>
      <c r="G18" s="402"/>
      <c r="H18" s="403">
        <f>SUMIF(67:67,G19,68:68)-SUMIF(67:67,C19,68:68)+100</f>
        <v>100</v>
      </c>
      <c r="I18" s="400"/>
      <c r="J18" s="403">
        <f>SUMIF(67:67,I19,68:68)-SUMIF(67:67,C19,68:68)+100</f>
        <v>100</v>
      </c>
      <c r="K18" s="560"/>
      <c r="L18" s="2714"/>
      <c r="M18" s="2708"/>
      <c r="N18" s="2708"/>
      <c r="O18" s="2708"/>
      <c r="P18" s="3753"/>
      <c r="Q18" s="1348" t="str">
        <f>B18</f>
        <v>基础设施水平</v>
      </c>
      <c r="R18" s="701" t="s">
        <v>14</v>
      </c>
      <c r="S18" s="702">
        <f>F18</f>
        <v>100</v>
      </c>
      <c r="T18" s="701" t="s">
        <v>14</v>
      </c>
      <c r="U18" s="702">
        <f>H18</f>
        <v>100</v>
      </c>
      <c r="V18" s="701" t="s">
        <v>14</v>
      </c>
      <c r="W18" s="702">
        <f>J18</f>
        <v>100</v>
      </c>
      <c r="X18" s="1351"/>
      <c r="Y18" s="3753"/>
      <c r="Z18" s="1352" t="str">
        <f>Q18</f>
        <v>基础设施水平</v>
      </c>
      <c r="AA18" s="1349">
        <f t="shared" ref="AA18" si="8">D18/F18</f>
        <v>1</v>
      </c>
      <c r="AB18" s="1349">
        <f t="shared" ref="AB18" si="9">D18/H18</f>
        <v>1</v>
      </c>
      <c r="AC18" s="1349">
        <f t="shared" ref="AC18" si="10">D18/J18</f>
        <v>1</v>
      </c>
    </row>
    <row r="19" spans="1:29" ht="15">
      <c r="A19" s="355"/>
      <c r="B19" s="578"/>
      <c r="C19" s="1896"/>
      <c r="D19" s="398"/>
      <c r="E19" s="1896"/>
      <c r="F19" s="401"/>
      <c r="G19" s="1896"/>
      <c r="H19" s="396"/>
      <c r="I19" s="395"/>
      <c r="J19" s="396"/>
      <c r="K19" s="1126"/>
      <c r="L19" s="2714"/>
      <c r="M19" s="2708"/>
      <c r="N19" s="2708"/>
      <c r="O19" s="2708"/>
      <c r="P19" s="3753"/>
      <c r="Q19" s="1348"/>
      <c r="R19" s="701"/>
      <c r="S19" s="702"/>
      <c r="T19" s="701"/>
      <c r="U19" s="702"/>
      <c r="V19" s="701"/>
      <c r="W19" s="702"/>
      <c r="X19" s="1351"/>
      <c r="Y19" s="3753"/>
      <c r="Z19" s="1352"/>
      <c r="AA19" s="1349">
        <v>1</v>
      </c>
      <c r="AB19" s="1349">
        <v>1</v>
      </c>
      <c r="AC19" s="1349">
        <v>1</v>
      </c>
    </row>
    <row r="20" spans="1:29" ht="99.75">
      <c r="A20" s="355"/>
      <c r="B20" s="576" t="s">
        <v>1834</v>
      </c>
      <c r="C20" s="1895" t="str">
        <f>IF(B1="工业",估价对象房地状况!G7,估价对象房地状况!C9)</f>
        <v>周边1公里范围内有南海子公园、志远庄公园等自然景观，人文景观较少，综合评价环境状况一般</v>
      </c>
      <c r="D20" s="403">
        <v>100</v>
      </c>
      <c r="E20" s="405"/>
      <c r="F20" s="406">
        <f>SUMIF(69:69,E21,70:70)-SUMIF(69:69,C21,70:70)+100</f>
        <v>100</v>
      </c>
      <c r="G20" s="407"/>
      <c r="H20" s="398">
        <f>SUMIF(69:69,G21,70:70)-SUMIF(69:69,C21,70:70)+100</f>
        <v>100</v>
      </c>
      <c r="I20" s="400"/>
      <c r="J20" s="398">
        <f>SUMIF(69:69,I21,70:70)-SUMIF(69:69,C21,70:70)+100</f>
        <v>100</v>
      </c>
      <c r="K20" s="560"/>
      <c r="L20" s="2714"/>
      <c r="M20" s="2708"/>
      <c r="N20" s="2708"/>
      <c r="O20" s="2708"/>
      <c r="P20" s="3753"/>
      <c r="Q20" s="1348" t="str">
        <f>B20</f>
        <v>自然及人文环境</v>
      </c>
      <c r="R20" s="701" t="s">
        <v>14</v>
      </c>
      <c r="S20" s="702">
        <f>F20</f>
        <v>100</v>
      </c>
      <c r="T20" s="701" t="s">
        <v>14</v>
      </c>
      <c r="U20" s="702">
        <f>H20</f>
        <v>100</v>
      </c>
      <c r="V20" s="701" t="s">
        <v>14</v>
      </c>
      <c r="W20" s="702">
        <f>J20</f>
        <v>100</v>
      </c>
      <c r="X20" s="1351"/>
      <c r="Y20" s="3753"/>
      <c r="Z20" s="1352" t="str">
        <f>Q20</f>
        <v>自然及人文环境</v>
      </c>
      <c r="AA20" s="1349">
        <f t="shared" si="3"/>
        <v>1</v>
      </c>
      <c r="AB20" s="1349">
        <f t="shared" si="4"/>
        <v>1</v>
      </c>
      <c r="AC20" s="1349">
        <f t="shared" si="5"/>
        <v>1</v>
      </c>
    </row>
    <row r="21" spans="1:29" ht="15">
      <c r="A21" s="355"/>
      <c r="B21" s="577"/>
      <c r="C21" s="395"/>
      <c r="D21" s="396"/>
      <c r="E21" s="395"/>
      <c r="F21" s="397"/>
      <c r="G21" s="395"/>
      <c r="H21" s="396"/>
      <c r="I21" s="395"/>
      <c r="J21" s="396"/>
      <c r="K21" s="561"/>
      <c r="L21" s="2714"/>
      <c r="M21" s="2708"/>
      <c r="N21" s="2708"/>
      <c r="O21" s="2708"/>
      <c r="P21" s="3753"/>
      <c r="Q21" s="1348"/>
      <c r="R21" s="701"/>
      <c r="S21" s="702"/>
      <c r="T21" s="701"/>
      <c r="U21" s="702"/>
      <c r="V21" s="701"/>
      <c r="W21" s="702"/>
      <c r="X21" s="1351"/>
      <c r="Y21" s="3753"/>
      <c r="Z21" s="1352"/>
      <c r="AA21" s="1349">
        <v>1</v>
      </c>
      <c r="AB21" s="1349">
        <v>1</v>
      </c>
      <c r="AC21" s="1349">
        <v>1</v>
      </c>
    </row>
    <row r="22" spans="1:29" ht="15">
      <c r="A22" s="355"/>
      <c r="B22" s="576" t="s">
        <v>1835</v>
      </c>
      <c r="C22" s="562"/>
      <c r="D22" s="398">
        <v>100</v>
      </c>
      <c r="E22" s="562"/>
      <c r="F22" s="409">
        <f>SUMIF(71:71,E22,72:72)-SUMIF(71:71,C22,72:72)+100</f>
        <v>100</v>
      </c>
      <c r="G22" s="562"/>
      <c r="H22" s="383">
        <f>SUMIF(71:71,G22,72:72)-SUMIF(71:71,C22,72:72)+100</f>
        <v>100</v>
      </c>
      <c r="I22" s="562"/>
      <c r="J22" s="383">
        <f>SUMIF(71:71,I22,72:72)-SUMIF(71:71,C22,72:72)+100</f>
        <v>100</v>
      </c>
      <c r="K22" s="558"/>
      <c r="L22" s="2714"/>
      <c r="M22" s="2708"/>
      <c r="N22" s="2708"/>
      <c r="O22" s="2708"/>
      <c r="P22" s="3753"/>
      <c r="Q22" s="1348" t="str">
        <f>B22</f>
        <v>楼层</v>
      </c>
      <c r="R22" s="701" t="s">
        <v>14</v>
      </c>
      <c r="S22" s="702">
        <f>F22</f>
        <v>100</v>
      </c>
      <c r="T22" s="701" t="s">
        <v>14</v>
      </c>
      <c r="U22" s="702">
        <f>H22</f>
        <v>100</v>
      </c>
      <c r="V22" s="701" t="s">
        <v>14</v>
      </c>
      <c r="W22" s="702">
        <f>J22</f>
        <v>100</v>
      </c>
      <c r="X22" s="1351"/>
      <c r="Y22" s="3753"/>
      <c r="Z22" s="1352" t="str">
        <f>Q22</f>
        <v>楼层</v>
      </c>
      <c r="AA22" s="1349">
        <f t="shared" si="3"/>
        <v>1</v>
      </c>
      <c r="AB22" s="1349">
        <f t="shared" si="4"/>
        <v>1</v>
      </c>
      <c r="AC22" s="1349">
        <f t="shared" si="5"/>
        <v>1</v>
      </c>
    </row>
    <row r="23" spans="1:29" ht="15">
      <c r="A23" s="355"/>
      <c r="B23" s="593">
        <v>111</v>
      </c>
      <c r="C23" s="380"/>
      <c r="D23" s="383">
        <v>100</v>
      </c>
      <c r="E23" s="380"/>
      <c r="F23" s="409">
        <f>SUMIF(73:73,E23,74:74)-SUMIF(73:73,C23,74:74)+100</f>
        <v>100</v>
      </c>
      <c r="G23" s="380"/>
      <c r="H23" s="383">
        <f>SUMIF(73:73,G23,74:74)-SUMIF(73:73,C23,74:74)+100</f>
        <v>100</v>
      </c>
      <c r="I23" s="380"/>
      <c r="J23" s="383">
        <f>SUMIF(73:73,I23,74:74)-SUMIF(73:73,C23,74:74)+100</f>
        <v>100</v>
      </c>
      <c r="K23" s="559"/>
      <c r="L23" s="2714"/>
      <c r="M23" s="2708"/>
      <c r="N23" s="2708"/>
      <c r="O23" s="2708"/>
      <c r="P23" s="3753"/>
      <c r="Q23" s="1348">
        <f>B23</f>
        <v>111</v>
      </c>
      <c r="R23" s="701" t="s">
        <v>14</v>
      </c>
      <c r="S23" s="702">
        <f>F23</f>
        <v>100</v>
      </c>
      <c r="T23" s="701" t="s">
        <v>14</v>
      </c>
      <c r="U23" s="702">
        <f>H23</f>
        <v>100</v>
      </c>
      <c r="V23" s="701" t="s">
        <v>14</v>
      </c>
      <c r="W23" s="702">
        <f>J23</f>
        <v>100</v>
      </c>
      <c r="X23" s="1351"/>
      <c r="Y23" s="3753"/>
      <c r="Z23" s="1352">
        <f>Q23</f>
        <v>111</v>
      </c>
      <c r="AA23" s="1349">
        <f t="shared" si="3"/>
        <v>1</v>
      </c>
      <c r="AB23" s="1349">
        <f t="shared" si="4"/>
        <v>1</v>
      </c>
      <c r="AC23" s="1349">
        <f t="shared" si="5"/>
        <v>1</v>
      </c>
    </row>
    <row r="24" spans="1:29" ht="15">
      <c r="A24" s="355"/>
      <c r="B24" s="593">
        <v>111</v>
      </c>
      <c r="C24" s="380"/>
      <c r="D24" s="383">
        <v>100</v>
      </c>
      <c r="E24" s="380"/>
      <c r="F24" s="409">
        <f>SUMIF(75:75,E24,76:76)-SUMIF(75:75,C24,76:76)+100</f>
        <v>100</v>
      </c>
      <c r="G24" s="380"/>
      <c r="H24" s="383">
        <f>SUMIF(75:75,G24,76:76)-SUMIF(75:75,C24,76:76)+100</f>
        <v>100</v>
      </c>
      <c r="I24" s="380"/>
      <c r="J24" s="383">
        <f>SUMIF(75:75,I24,76:76)-SUMIF(75:75,C24,76:76)+100</f>
        <v>100</v>
      </c>
      <c r="K24" s="559"/>
      <c r="L24" s="2714"/>
      <c r="M24" s="2708"/>
      <c r="N24" s="2708"/>
      <c r="O24" s="2708"/>
      <c r="P24" s="3753"/>
      <c r="Q24" s="1348">
        <f t="shared" ref="Q24:Q36" si="11">B24</f>
        <v>111</v>
      </c>
      <c r="R24" s="701" t="s">
        <v>14</v>
      </c>
      <c r="S24" s="702">
        <f>F24</f>
        <v>100</v>
      </c>
      <c r="T24" s="701" t="s">
        <v>14</v>
      </c>
      <c r="U24" s="702">
        <f>H24</f>
        <v>100</v>
      </c>
      <c r="V24" s="701" t="s">
        <v>14</v>
      </c>
      <c r="W24" s="702">
        <f>J24</f>
        <v>100</v>
      </c>
      <c r="X24" s="1351"/>
      <c r="Y24" s="3753"/>
      <c r="Z24" s="1352">
        <f>Q24</f>
        <v>111</v>
      </c>
      <c r="AA24" s="1349">
        <f t="shared" si="3"/>
        <v>1</v>
      </c>
      <c r="AB24" s="1349">
        <f t="shared" si="4"/>
        <v>1</v>
      </c>
      <c r="AC24" s="1349">
        <f t="shared" si="5"/>
        <v>1</v>
      </c>
    </row>
    <row r="25" spans="1:29" s="108" customFormat="1" ht="15.75" thickBot="1">
      <c r="A25" s="594"/>
      <c r="B25" s="580">
        <v>111</v>
      </c>
      <c r="C25" s="385"/>
      <c r="D25" s="595">
        <v>100</v>
      </c>
      <c r="E25" s="573"/>
      <c r="F25" s="596">
        <f>SUMIF(77:77,E25,78:78)-SUMIF(77:77,C25,78:78)+100</f>
        <v>100</v>
      </c>
      <c r="G25" s="573"/>
      <c r="H25" s="595">
        <f>SUMIF(77:77,G25,78:78)-SUMIF(77:77,C25,78:78)+100</f>
        <v>100</v>
      </c>
      <c r="I25" s="573"/>
      <c r="J25" s="595">
        <f>SUMIF(77:77,I25,78:78)-SUMIF(77:77,C25,78:78)+100</f>
        <v>100</v>
      </c>
      <c r="K25" s="559"/>
      <c r="L25" s="2709"/>
      <c r="M25" s="2710"/>
      <c r="N25" s="2710"/>
      <c r="O25" s="2710"/>
      <c r="P25" s="3753"/>
      <c r="Q25" s="1339">
        <f t="shared" si="11"/>
        <v>111</v>
      </c>
      <c r="R25" s="697" t="s">
        <v>14</v>
      </c>
      <c r="S25" s="698">
        <f>F25</f>
        <v>100</v>
      </c>
      <c r="T25" s="697" t="s">
        <v>14</v>
      </c>
      <c r="U25" s="698">
        <f>H25</f>
        <v>100</v>
      </c>
      <c r="V25" s="697" t="s">
        <v>14</v>
      </c>
      <c r="W25" s="698">
        <f>J25</f>
        <v>100</v>
      </c>
      <c r="X25" s="699"/>
      <c r="Y25" s="3753"/>
      <c r="Z25" s="52">
        <f>Q25</f>
        <v>111</v>
      </c>
      <c r="AA25" s="1349">
        <f>D25/F25</f>
        <v>1</v>
      </c>
      <c r="AB25" s="1349">
        <f>D25/H25</f>
        <v>1</v>
      </c>
      <c r="AC25" s="1349">
        <f>D25/J25</f>
        <v>1</v>
      </c>
    </row>
    <row r="26" spans="1:29" ht="15">
      <c r="A26" s="597" t="s">
        <v>1694</v>
      </c>
      <c r="B26" s="62" t="s">
        <v>1836</v>
      </c>
      <c r="C26" s="1965" t="str">
        <f>B1</f>
        <v>车库</v>
      </c>
      <c r="D26" s="396">
        <v>100</v>
      </c>
      <c r="E26" s="395"/>
      <c r="F26" s="397">
        <f>SUMIF(79:79,E26,80:80)-SUMIF(79:79,C26,80:80)+100</f>
        <v>0</v>
      </c>
      <c r="G26" s="395"/>
      <c r="H26" s="396">
        <f>SUMIF(79:79,G26,80:80)-SUMIF(79:79,C26,80:80)+100</f>
        <v>0</v>
      </c>
      <c r="I26" s="395"/>
      <c r="J26" s="396">
        <f>SUMIF(79:79,I26,80:80)-SUMIF(79:79,C26,80:80)+100</f>
        <v>0</v>
      </c>
      <c r="K26" s="558"/>
      <c r="L26" s="2714"/>
      <c r="M26" s="2708"/>
      <c r="N26" s="2708"/>
      <c r="O26" s="2708"/>
      <c r="P26" s="3754" t="s">
        <v>1696</v>
      </c>
      <c r="Q26" s="1348" t="str">
        <f t="shared" si="11"/>
        <v>配套类型</v>
      </c>
      <c r="R26" s="701" t="s">
        <v>14</v>
      </c>
      <c r="S26" s="702">
        <f t="shared" ref="S26:S36" si="12">F26</f>
        <v>0</v>
      </c>
      <c r="T26" s="701" t="s">
        <v>14</v>
      </c>
      <c r="U26" s="702">
        <f t="shared" ref="U26:U36" si="13">H26</f>
        <v>0</v>
      </c>
      <c r="V26" s="701" t="s">
        <v>14</v>
      </c>
      <c r="W26" s="702">
        <f t="shared" ref="W26:W36" si="14">J26</f>
        <v>0</v>
      </c>
      <c r="X26" s="1351"/>
      <c r="Y26" s="3755" t="s">
        <v>1696</v>
      </c>
      <c r="Z26" s="1352" t="str">
        <f t="shared" ref="Z26:Z36" si="15">Q26</f>
        <v>配套类型</v>
      </c>
      <c r="AA26" s="1349" t="e">
        <f t="shared" si="3"/>
        <v>#DIV/0!</v>
      </c>
      <c r="AB26" s="1349" t="e">
        <f t="shared" si="4"/>
        <v>#DIV/0!</v>
      </c>
      <c r="AC26" s="1349" t="e">
        <f t="shared" si="5"/>
        <v>#DIV/0!</v>
      </c>
    </row>
    <row r="27" spans="1:29" s="419" customFormat="1" ht="15">
      <c r="A27" s="598"/>
      <c r="B27" s="599" t="s">
        <v>1837</v>
      </c>
      <c r="C27" s="600"/>
      <c r="D27" s="125">
        <v>100</v>
      </c>
      <c r="E27" s="600"/>
      <c r="F27" s="409">
        <f>SUMIF(81:81,E27,82:82)-SUMIF(81:81,C27,82:82)+100</f>
        <v>100</v>
      </c>
      <c r="G27" s="600"/>
      <c r="H27" s="383">
        <f>SUMIF(81:81,G27,82:82)-SUMIF(81:81,C27,82:82)+100</f>
        <v>100</v>
      </c>
      <c r="I27" s="600"/>
      <c r="J27" s="383">
        <f>SUMIF(81:81,I27,82:82)-SUMIF(81:81,C27,82:82)+100</f>
        <v>100</v>
      </c>
      <c r="K27" s="559"/>
      <c r="L27" s="2713"/>
      <c r="M27" s="2715"/>
      <c r="N27" s="2715"/>
      <c r="O27" s="2715"/>
      <c r="P27" s="3755"/>
      <c r="Q27" s="703" t="str">
        <f t="shared" si="11"/>
        <v>项目停车位配比</v>
      </c>
      <c r="R27" s="704" t="s">
        <v>14</v>
      </c>
      <c r="S27" s="705">
        <f t="shared" si="12"/>
        <v>100</v>
      </c>
      <c r="T27" s="704" t="s">
        <v>14</v>
      </c>
      <c r="U27" s="705">
        <f t="shared" si="13"/>
        <v>100</v>
      </c>
      <c r="V27" s="704" t="s">
        <v>14</v>
      </c>
      <c r="W27" s="705">
        <f t="shared" si="14"/>
        <v>100</v>
      </c>
      <c r="X27" s="706"/>
      <c r="Y27" s="3755"/>
      <c r="Z27" s="707" t="str">
        <f t="shared" si="15"/>
        <v>项目停车位配比</v>
      </c>
      <c r="AA27" s="1349">
        <f t="shared" si="3"/>
        <v>1</v>
      </c>
      <c r="AB27" s="1349">
        <f t="shared" si="4"/>
        <v>1</v>
      </c>
      <c r="AC27" s="1349">
        <f t="shared" si="5"/>
        <v>1</v>
      </c>
    </row>
    <row r="28" spans="1:29" ht="15">
      <c r="A28" s="601"/>
      <c r="B28" s="599" t="s">
        <v>1838</v>
      </c>
      <c r="C28" s="408"/>
      <c r="D28" s="383">
        <v>100</v>
      </c>
      <c r="E28" s="408"/>
      <c r="F28" s="409">
        <f>SUMIF(83:83,E28,84:84)-SUMIF(83:83,C28,84:84)+100</f>
        <v>100</v>
      </c>
      <c r="G28" s="408"/>
      <c r="H28" s="383">
        <f>SUMIF(83:83,G28,84:84)-SUMIF(83:83,C28,84:84)+100</f>
        <v>100</v>
      </c>
      <c r="I28" s="408"/>
      <c r="J28" s="383">
        <f>SUMIF(83:83,I28,84:84)-SUMIF(83:83,C28,84:84)+100</f>
        <v>100</v>
      </c>
      <c r="K28" s="558"/>
      <c r="L28" s="2714"/>
      <c r="M28" s="2708"/>
      <c r="N28" s="2708"/>
      <c r="O28" s="2708"/>
      <c r="P28" s="3755"/>
      <c r="Q28" s="1348" t="str">
        <f t="shared" si="11"/>
        <v>公共部分装修</v>
      </c>
      <c r="R28" s="701" t="s">
        <v>14</v>
      </c>
      <c r="S28" s="702">
        <f t="shared" si="12"/>
        <v>100</v>
      </c>
      <c r="T28" s="701" t="s">
        <v>14</v>
      </c>
      <c r="U28" s="702">
        <f t="shared" si="13"/>
        <v>100</v>
      </c>
      <c r="V28" s="701" t="s">
        <v>14</v>
      </c>
      <c r="W28" s="702">
        <f t="shared" si="14"/>
        <v>100</v>
      </c>
      <c r="X28" s="1351"/>
      <c r="Y28" s="3755"/>
      <c r="Z28" s="1352" t="str">
        <f t="shared" si="15"/>
        <v>公共部分装修</v>
      </c>
      <c r="AA28" s="1349">
        <f t="shared" si="3"/>
        <v>1</v>
      </c>
      <c r="AB28" s="1349">
        <f t="shared" si="4"/>
        <v>1</v>
      </c>
      <c r="AC28" s="1349">
        <f t="shared" si="5"/>
        <v>1</v>
      </c>
    </row>
    <row r="29" spans="1:29" ht="15">
      <c r="A29" s="601"/>
      <c r="B29" s="599" t="s">
        <v>1839</v>
      </c>
      <c r="C29" s="422"/>
      <c r="D29" s="383">
        <v>100</v>
      </c>
      <c r="E29" s="422"/>
      <c r="F29" s="409" t="e">
        <f>LOOKUP(E29,86:86,87:87)-LOOKUP(C29,86:86,87:87)+100</f>
        <v>#N/A</v>
      </c>
      <c r="G29" s="422"/>
      <c r="H29" s="409" t="e">
        <f>LOOKUP(G29,86:86,87:87)-LOOKUP(C29,86:86,87:87)+100</f>
        <v>#N/A</v>
      </c>
      <c r="I29" s="422"/>
      <c r="J29" s="383" t="e">
        <f>LOOKUP(I29,86:86,87:87)-LOOKUP(C29,86:86,87:87)+100</f>
        <v>#N/A</v>
      </c>
      <c r="K29" s="558"/>
      <c r="L29" s="2714"/>
      <c r="M29" s="2708"/>
      <c r="N29" s="2708"/>
      <c r="O29" s="2708"/>
      <c r="P29" s="3755"/>
      <c r="Q29" s="1348" t="str">
        <f t="shared" si="11"/>
        <v>成新率</v>
      </c>
      <c r="R29" s="701" t="s">
        <v>14</v>
      </c>
      <c r="S29" s="702" t="e">
        <f t="shared" si="12"/>
        <v>#N/A</v>
      </c>
      <c r="T29" s="701" t="s">
        <v>14</v>
      </c>
      <c r="U29" s="702" t="e">
        <f t="shared" si="13"/>
        <v>#N/A</v>
      </c>
      <c r="V29" s="701" t="s">
        <v>14</v>
      </c>
      <c r="W29" s="702" t="e">
        <f t="shared" si="14"/>
        <v>#N/A</v>
      </c>
      <c r="X29" s="1351"/>
      <c r="Y29" s="3755"/>
      <c r="Z29" s="1352" t="str">
        <f t="shared" si="15"/>
        <v>成新率</v>
      </c>
      <c r="AA29" s="1349" t="e">
        <f t="shared" si="3"/>
        <v>#N/A</v>
      </c>
      <c r="AB29" s="1349" t="e">
        <f t="shared" si="4"/>
        <v>#N/A</v>
      </c>
      <c r="AC29" s="1349" t="e">
        <f t="shared" si="5"/>
        <v>#N/A</v>
      </c>
    </row>
    <row r="30" spans="1:29" ht="15">
      <c r="A30" s="601"/>
      <c r="B30" s="599" t="s">
        <v>1840</v>
      </c>
      <c r="C30" s="602"/>
      <c r="D30" s="383">
        <v>100</v>
      </c>
      <c r="E30" s="602"/>
      <c r="F30" s="409">
        <f>SUMIF(88:88,E30,89:89)-SUMIF(88:88,C30,89:89)+100</f>
        <v>100</v>
      </c>
      <c r="G30" s="602"/>
      <c r="H30" s="383">
        <f>SUMIF(88:88,E30,89:89)-SUMIF(88:88,C30,89:89)+100</f>
        <v>100</v>
      </c>
      <c r="I30" s="602"/>
      <c r="J30" s="383">
        <f>SUMIF(88:88,E30,89:89)-SUMIF(88:88,C30,89:89)+100</f>
        <v>100</v>
      </c>
      <c r="K30" s="558"/>
      <c r="L30" s="2714"/>
      <c r="M30" s="2708"/>
      <c r="N30" s="2708"/>
      <c r="O30" s="2708"/>
      <c r="P30" s="3755"/>
      <c r="Q30" s="1348" t="str">
        <f t="shared" si="11"/>
        <v>物业等级</v>
      </c>
      <c r="R30" s="701" t="s">
        <v>14</v>
      </c>
      <c r="S30" s="702">
        <f t="shared" si="12"/>
        <v>100</v>
      </c>
      <c r="T30" s="701" t="s">
        <v>14</v>
      </c>
      <c r="U30" s="702">
        <f t="shared" si="13"/>
        <v>100</v>
      </c>
      <c r="V30" s="701" t="s">
        <v>14</v>
      </c>
      <c r="W30" s="702">
        <f t="shared" si="14"/>
        <v>100</v>
      </c>
      <c r="X30" s="1351"/>
      <c r="Y30" s="3755"/>
      <c r="Z30" s="1352" t="str">
        <f t="shared" si="15"/>
        <v>物业等级</v>
      </c>
      <c r="AA30" s="1349">
        <f t="shared" si="3"/>
        <v>1</v>
      </c>
      <c r="AB30" s="1349">
        <f t="shared" si="4"/>
        <v>1</v>
      </c>
      <c r="AC30" s="1349">
        <f t="shared" si="5"/>
        <v>1</v>
      </c>
    </row>
    <row r="31" spans="1:29" s="108" customFormat="1" ht="15">
      <c r="A31" s="603"/>
      <c r="B31" s="599" t="s">
        <v>1841</v>
      </c>
      <c r="C31" s="417"/>
      <c r="D31" s="125">
        <v>100</v>
      </c>
      <c r="E31" s="417"/>
      <c r="F31" s="409" t="e">
        <f>LOOKUP(E31,91:91,92:92)-LOOKUP(C31,91:91,92:92)+100</f>
        <v>#N/A</v>
      </c>
      <c r="G31" s="417"/>
      <c r="H31" s="383" t="e">
        <f>LOOKUP(G31,91:91,92:92)-LOOKUP(C31,91:91,92:92)+100</f>
        <v>#N/A</v>
      </c>
      <c r="I31" s="417"/>
      <c r="J31" s="383" t="e">
        <f>LOOKUP(I31,91:91,92:92)-LOOKUP(C31,91:91,92:92)+100</f>
        <v>#N/A</v>
      </c>
      <c r="K31" s="558"/>
      <c r="L31" s="2709"/>
      <c r="M31" s="2710"/>
      <c r="N31" s="2710"/>
      <c r="O31" s="2710"/>
      <c r="P31" s="3755"/>
      <c r="Q31" s="1339" t="str">
        <f t="shared" si="11"/>
        <v>停车位面积</v>
      </c>
      <c r="R31" s="697" t="s">
        <v>14</v>
      </c>
      <c r="S31" s="698" t="e">
        <f t="shared" si="12"/>
        <v>#N/A</v>
      </c>
      <c r="T31" s="697" t="s">
        <v>14</v>
      </c>
      <c r="U31" s="698" t="e">
        <f t="shared" si="13"/>
        <v>#N/A</v>
      </c>
      <c r="V31" s="697" t="s">
        <v>14</v>
      </c>
      <c r="W31" s="698" t="e">
        <f t="shared" si="14"/>
        <v>#N/A</v>
      </c>
      <c r="X31" s="699"/>
      <c r="Y31" s="3755"/>
      <c r="Z31" s="52" t="str">
        <f t="shared" si="15"/>
        <v>停车位面积</v>
      </c>
      <c r="AA31" s="700" t="e">
        <f t="shared" si="3"/>
        <v>#N/A</v>
      </c>
      <c r="AB31" s="700" t="e">
        <f t="shared" si="4"/>
        <v>#N/A</v>
      </c>
      <c r="AC31" s="700" t="e">
        <f t="shared" si="5"/>
        <v>#N/A</v>
      </c>
    </row>
    <row r="32" spans="1:29" ht="15">
      <c r="A32" s="601"/>
      <c r="B32" s="599" t="s">
        <v>1842</v>
      </c>
      <c r="C32" s="408"/>
      <c r="D32" s="383">
        <v>100</v>
      </c>
      <c r="E32" s="408"/>
      <c r="F32" s="409">
        <f>SUMIF(93:93,E32,94:94)-SUMIF(93:93,C32,94:94)+100</f>
        <v>100</v>
      </c>
      <c r="G32" s="408"/>
      <c r="H32" s="383">
        <f>SUMIF(93:93,G32,94:94)-SUMIF(93:93,C32,94:94)+100</f>
        <v>100</v>
      </c>
      <c r="I32" s="408"/>
      <c r="J32" s="383">
        <f>SUMIF(93:93,I32,94:94)-SUMIF(93:93,C32,94:94)+100</f>
        <v>100</v>
      </c>
      <c r="K32" s="558"/>
      <c r="L32" s="2714"/>
      <c r="M32" s="2708"/>
      <c r="N32" s="2708"/>
      <c r="O32" s="2708"/>
      <c r="P32" s="3755" t="s">
        <v>1696</v>
      </c>
      <c r="Q32" s="1348" t="str">
        <f t="shared" si="11"/>
        <v>车位类型</v>
      </c>
      <c r="R32" s="701" t="s">
        <v>14</v>
      </c>
      <c r="S32" s="702">
        <f t="shared" si="12"/>
        <v>100</v>
      </c>
      <c r="T32" s="701" t="s">
        <v>14</v>
      </c>
      <c r="U32" s="702">
        <f t="shared" si="13"/>
        <v>100</v>
      </c>
      <c r="V32" s="701" t="s">
        <v>14</v>
      </c>
      <c r="W32" s="702">
        <f t="shared" si="14"/>
        <v>100</v>
      </c>
      <c r="X32" s="1351"/>
      <c r="Y32" s="3755" t="s">
        <v>1696</v>
      </c>
      <c r="Z32" s="1352" t="str">
        <f t="shared" si="15"/>
        <v>车位类型</v>
      </c>
      <c r="AA32" s="1349">
        <f t="shared" si="3"/>
        <v>1</v>
      </c>
      <c r="AB32" s="1349">
        <f t="shared" si="4"/>
        <v>1</v>
      </c>
      <c r="AC32" s="1349">
        <f t="shared" si="5"/>
        <v>1</v>
      </c>
    </row>
    <row r="33" spans="1:29" ht="15">
      <c r="A33" s="601"/>
      <c r="B33" s="599" t="s">
        <v>1843</v>
      </c>
      <c r="C33" s="408"/>
      <c r="D33" s="383">
        <v>100</v>
      </c>
      <c r="E33" s="408"/>
      <c r="F33" s="409">
        <f>SUMIF(95:95,E33,96:96)-SUMIF(95:95,C33,96:96)+100</f>
        <v>100</v>
      </c>
      <c r="G33" s="408"/>
      <c r="H33" s="383">
        <f>SUMIF(95:95,G33,96:96)-SUMIF(95:95,C33,96:96)+100</f>
        <v>100</v>
      </c>
      <c r="I33" s="408"/>
      <c r="J33" s="383">
        <f>SUMIF(95:95,I33,96:96)-SUMIF(95:95,C33,96:96)+100</f>
        <v>100</v>
      </c>
      <c r="K33" s="558"/>
      <c r="L33" s="2714"/>
      <c r="M33" s="2708"/>
      <c r="N33" s="2708"/>
      <c r="O33" s="2708"/>
      <c r="P33" s="3755"/>
      <c r="Q33" s="1348" t="str">
        <f t="shared" si="11"/>
        <v>是否直接入户</v>
      </c>
      <c r="R33" s="701" t="s">
        <v>14</v>
      </c>
      <c r="S33" s="702">
        <f t="shared" si="12"/>
        <v>100</v>
      </c>
      <c r="T33" s="701" t="s">
        <v>14</v>
      </c>
      <c r="U33" s="702">
        <f t="shared" si="13"/>
        <v>100</v>
      </c>
      <c r="V33" s="701" t="s">
        <v>14</v>
      </c>
      <c r="W33" s="702">
        <f t="shared" si="14"/>
        <v>100</v>
      </c>
      <c r="X33" s="1351"/>
      <c r="Y33" s="3755"/>
      <c r="Z33" s="1352" t="str">
        <f t="shared" si="15"/>
        <v>是否直接入户</v>
      </c>
      <c r="AA33" s="1349">
        <f t="shared" si="3"/>
        <v>1</v>
      </c>
      <c r="AB33" s="1349">
        <f t="shared" si="4"/>
        <v>1</v>
      </c>
      <c r="AC33" s="1349">
        <f t="shared" si="5"/>
        <v>1</v>
      </c>
    </row>
    <row r="34" spans="1:29" ht="15">
      <c r="A34" s="601"/>
      <c r="B34" s="593">
        <v>111</v>
      </c>
      <c r="C34" s="380"/>
      <c r="D34" s="383">
        <v>100</v>
      </c>
      <c r="E34" s="380"/>
      <c r="F34" s="409">
        <f>SUMIF(97:97,E34,98:98)-SUMIF(97:97,C34,98:98)+100</f>
        <v>100</v>
      </c>
      <c r="G34" s="380"/>
      <c r="H34" s="383">
        <f>SUMIF(97:97,G34,98:98)-SUMIF(97:97,C34,98:98)+100</f>
        <v>100</v>
      </c>
      <c r="I34" s="380"/>
      <c r="J34" s="383">
        <f>SUMIF(97:97,I34,98:98)-SUMIF(97:97,C34,98:98)+100</f>
        <v>100</v>
      </c>
      <c r="K34" s="559"/>
      <c r="L34" s="2714"/>
      <c r="M34" s="2708"/>
      <c r="N34" s="2708"/>
      <c r="O34" s="2708"/>
      <c r="P34" s="3755"/>
      <c r="Q34" s="1348">
        <f t="shared" si="11"/>
        <v>111</v>
      </c>
      <c r="R34" s="701" t="s">
        <v>14</v>
      </c>
      <c r="S34" s="702">
        <f t="shared" si="12"/>
        <v>100</v>
      </c>
      <c r="T34" s="701" t="s">
        <v>14</v>
      </c>
      <c r="U34" s="702">
        <f t="shared" si="13"/>
        <v>100</v>
      </c>
      <c r="V34" s="701" t="s">
        <v>14</v>
      </c>
      <c r="W34" s="702">
        <f t="shared" si="14"/>
        <v>100</v>
      </c>
      <c r="X34" s="1351"/>
      <c r="Y34" s="3755"/>
      <c r="Z34" s="1352">
        <f t="shared" si="15"/>
        <v>111</v>
      </c>
      <c r="AA34" s="1349">
        <f t="shared" si="3"/>
        <v>1</v>
      </c>
      <c r="AB34" s="1349">
        <f t="shared" si="4"/>
        <v>1</v>
      </c>
      <c r="AC34" s="1349">
        <f t="shared" si="5"/>
        <v>1</v>
      </c>
    </row>
    <row r="35" spans="1:29" s="419" customFormat="1" ht="15">
      <c r="A35" s="598"/>
      <c r="B35" s="593">
        <v>111</v>
      </c>
      <c r="C35" s="380"/>
      <c r="D35" s="383">
        <v>100</v>
      </c>
      <c r="E35" s="380"/>
      <c r="F35" s="409">
        <f>SUMIF(99:99,E35,100:100)-SUMIF(99:99,C35,100:100)+100</f>
        <v>100</v>
      </c>
      <c r="G35" s="380"/>
      <c r="H35" s="383">
        <f>SUMIF(99:99,G35,100:100)-SUMIF(99:99,C35,100:100)+100</f>
        <v>100</v>
      </c>
      <c r="I35" s="380"/>
      <c r="J35" s="383">
        <f>SUMIF(99:99,I35,100:100)-SUMIF(99:99,C35,100:100)+100</f>
        <v>100</v>
      </c>
      <c r="K35" s="559"/>
      <c r="L35" s="2713"/>
      <c r="M35" s="2715"/>
      <c r="N35" s="2715"/>
      <c r="O35" s="2715"/>
      <c r="P35" s="3755"/>
      <c r="Q35" s="703">
        <f t="shared" si="11"/>
        <v>111</v>
      </c>
      <c r="R35" s="704" t="s">
        <v>14</v>
      </c>
      <c r="S35" s="705">
        <f t="shared" si="12"/>
        <v>100</v>
      </c>
      <c r="T35" s="704" t="s">
        <v>14</v>
      </c>
      <c r="U35" s="705">
        <f t="shared" si="13"/>
        <v>100</v>
      </c>
      <c r="V35" s="704" t="s">
        <v>14</v>
      </c>
      <c r="W35" s="705">
        <f t="shared" si="14"/>
        <v>100</v>
      </c>
      <c r="X35" s="706"/>
      <c r="Y35" s="3755"/>
      <c r="Z35" s="707">
        <f t="shared" si="15"/>
        <v>111</v>
      </c>
      <c r="AA35" s="1349">
        <f t="shared" si="3"/>
        <v>1</v>
      </c>
      <c r="AB35" s="1349">
        <f t="shared" si="4"/>
        <v>1</v>
      </c>
      <c r="AC35" s="1349">
        <f t="shared" si="5"/>
        <v>1</v>
      </c>
    </row>
    <row r="36" spans="1:29" ht="15.75" thickBot="1">
      <c r="A36" s="604"/>
      <c r="B36" s="580">
        <v>111</v>
      </c>
      <c r="C36" s="382"/>
      <c r="D36" s="383">
        <v>100</v>
      </c>
      <c r="E36" s="380"/>
      <c r="F36" s="409">
        <f>SUMIF(101:101,E36,102:102)-SUMIF(101:101,C36,102:102)+100</f>
        <v>100</v>
      </c>
      <c r="G36" s="380"/>
      <c r="H36" s="383">
        <f>SUMIF(101:101,G36,102:102)-SUMIF(101:101,C36,102:102)+100</f>
        <v>100</v>
      </c>
      <c r="I36" s="380"/>
      <c r="J36" s="383">
        <f>SUMIF(101:101,I36,102:102)-SUMIF(101:101,C36,102:102)+100</f>
        <v>100</v>
      </c>
      <c r="K36" s="559"/>
      <c r="L36" s="2714"/>
      <c r="M36" s="2708"/>
      <c r="N36" s="2708"/>
      <c r="O36" s="2708"/>
      <c r="P36" s="3755"/>
      <c r="Q36" s="1348">
        <f t="shared" si="11"/>
        <v>111</v>
      </c>
      <c r="R36" s="701" t="s">
        <v>14</v>
      </c>
      <c r="S36" s="702">
        <f t="shared" si="12"/>
        <v>100</v>
      </c>
      <c r="T36" s="701" t="s">
        <v>14</v>
      </c>
      <c r="U36" s="702">
        <f t="shared" si="13"/>
        <v>100</v>
      </c>
      <c r="V36" s="701" t="s">
        <v>14</v>
      </c>
      <c r="W36" s="702">
        <f t="shared" si="14"/>
        <v>100</v>
      </c>
      <c r="X36" s="1351"/>
      <c r="Y36" s="3755"/>
      <c r="Z36" s="1352">
        <f t="shared" si="15"/>
        <v>111</v>
      </c>
      <c r="AA36" s="1349">
        <f t="shared" si="3"/>
        <v>1</v>
      </c>
      <c r="AB36" s="1349">
        <f t="shared" si="4"/>
        <v>1</v>
      </c>
      <c r="AC36" s="1349">
        <f t="shared" si="5"/>
        <v>1</v>
      </c>
    </row>
    <row r="37" spans="1:29" ht="15">
      <c r="A37" s="427" t="s">
        <v>1844</v>
      </c>
      <c r="B37" s="1966" t="s">
        <v>3358</v>
      </c>
      <c r="C37" s="1150" t="s">
        <v>0</v>
      </c>
      <c r="D37" s="1151"/>
      <c r="E37" s="1152"/>
      <c r="F37" s="1153"/>
      <c r="G37" s="1154"/>
      <c r="H37" s="1155"/>
      <c r="I37" s="1152"/>
      <c r="J37" s="1155"/>
      <c r="K37" s="565"/>
      <c r="L37" s="2716"/>
      <c r="M37" s="2717"/>
      <c r="N37" s="2708"/>
      <c r="O37" s="2717"/>
      <c r="P37" s="3737" t="str">
        <f>A37</f>
        <v>成交单价</v>
      </c>
      <c r="Q37" s="3737"/>
      <c r="R37" s="3805">
        <f>E37</f>
        <v>0</v>
      </c>
      <c r="S37" s="3805"/>
      <c r="T37" s="3805">
        <f>G37</f>
        <v>0</v>
      </c>
      <c r="U37" s="3805"/>
      <c r="V37" s="3805">
        <f>I37</f>
        <v>0</v>
      </c>
      <c r="W37" s="3805"/>
      <c r="X37" s="686"/>
      <c r="Y37" s="708"/>
      <c r="Z37" s="686"/>
      <c r="AA37" s="686"/>
      <c r="AB37" s="686"/>
      <c r="AC37" s="686"/>
    </row>
    <row r="38" spans="1:29" ht="15.75" thickBot="1">
      <c r="A38" s="434" t="s">
        <v>1845</v>
      </c>
      <c r="B38" s="435" t="str">
        <f>B37</f>
        <v>元/平方米</v>
      </c>
      <c r="C38" s="1156" t="e">
        <f>R39</f>
        <v>#DIV/0!</v>
      </c>
      <c r="D38" s="2310" t="s">
        <v>2138</v>
      </c>
      <c r="E38" s="1157" t="e">
        <f>R38</f>
        <v>#DIV/0!</v>
      </c>
      <c r="F38" s="2311"/>
      <c r="G38" s="1156" t="e">
        <f>T38</f>
        <v>#DIV/0!</v>
      </c>
      <c r="H38" s="2311"/>
      <c r="I38" s="1157" t="e">
        <f>V38</f>
        <v>#DIV/0!</v>
      </c>
      <c r="J38" s="2311"/>
      <c r="K38" s="2313">
        <f>F38+H38+J38</f>
        <v>0</v>
      </c>
      <c r="L38" s="2716"/>
      <c r="M38" s="2717"/>
      <c r="N38" s="2717"/>
      <c r="O38" s="2717"/>
      <c r="P38" s="3737" t="str">
        <f>A38</f>
        <v>比较价值（元/平方米）</v>
      </c>
      <c r="Q38" s="3737"/>
      <c r="R38" s="3805" t="e">
        <f>IF(F1="售价",ROUND(PRODUCT(R37,AA7:AA36),0),ROUND(PRODUCT(R37,AA7:AA36),1))</f>
        <v>#DIV/0!</v>
      </c>
      <c r="S38" s="3805"/>
      <c r="T38" s="3805" t="e">
        <f>IF(F1="售价",ROUND(PRODUCT(T37,AB7:AB36),0),ROUND(PRODUCT(T37,AB7:AB36),1))</f>
        <v>#DIV/0!</v>
      </c>
      <c r="U38" s="3805"/>
      <c r="V38" s="3805" t="e">
        <f>IF(F1="售价",ROUND(PRODUCT(V37,AC7:AC36),0),ROUND(PRODUCT(V37,AC7:AC36),1))</f>
        <v>#DIV/0!</v>
      </c>
      <c r="W38" s="3805"/>
      <c r="X38" s="686"/>
      <c r="Y38" s="686"/>
      <c r="Z38" s="686"/>
      <c r="AA38" s="686"/>
      <c r="AB38" s="686"/>
      <c r="AC38" s="686"/>
    </row>
    <row r="39" spans="1:29" ht="15.75" thickBot="1">
      <c r="A39" s="438" t="s">
        <v>1846</v>
      </c>
      <c r="B39" s="439"/>
      <c r="C39" s="1159" t="e">
        <f>R39</f>
        <v>#DIV/0!</v>
      </c>
      <c r="D39" s="1159"/>
      <c r="E39" s="1159"/>
      <c r="F39" s="1159"/>
      <c r="G39" s="1159"/>
      <c r="H39" s="1159"/>
      <c r="I39" s="1159"/>
      <c r="J39" s="1159"/>
      <c r="K39" s="566"/>
      <c r="L39" s="2716"/>
      <c r="M39" s="2717"/>
      <c r="N39" s="2717"/>
      <c r="O39" s="2717"/>
      <c r="P39" s="3757" t="str">
        <f>A39</f>
        <v>估价对象XX用房的比较价值（楼面单价，元/平方米）</v>
      </c>
      <c r="Q39" s="3758"/>
      <c r="R39" s="3841" t="e">
        <f>IF(F1="售价",ROUND(IF(D38="简单平均",AVERAGE(R38:W38),R38*F38+T38*H38+V38*J38),0),ROUND(IF(D38="简单平均",AVERAGE(R38:V38),R38*F38+T38*H38+V38*J38),1))</f>
        <v>#DIV/0!</v>
      </c>
      <c r="S39" s="3841"/>
      <c r="T39" s="3841"/>
      <c r="U39" s="3841"/>
      <c r="V39" s="3841"/>
      <c r="W39" s="3841"/>
      <c r="X39" s="686"/>
      <c r="Y39" s="686"/>
      <c r="Z39" s="686"/>
      <c r="AA39" s="686"/>
      <c r="AB39" s="686"/>
      <c r="AC39" s="686"/>
    </row>
    <row r="40" spans="1:29">
      <c r="A40" s="2717"/>
      <c r="B40" s="2717"/>
      <c r="C40" s="2717"/>
      <c r="D40" s="2717"/>
      <c r="E40" s="2717"/>
      <c r="F40" s="2717"/>
      <c r="G40" s="2721"/>
      <c r="H40" s="2717"/>
      <c r="I40" s="2717"/>
      <c r="J40" s="2717"/>
      <c r="K40" s="2722"/>
      <c r="L40" s="2718"/>
      <c r="M40" s="2717"/>
      <c r="N40" s="2717"/>
      <c r="O40" s="2717"/>
      <c r="P40" s="2748"/>
      <c r="Q40" s="2717"/>
      <c r="R40" s="2717"/>
      <c r="S40" s="2717"/>
      <c r="T40" s="2717"/>
      <c r="U40" s="2717"/>
      <c r="V40" s="2717"/>
      <c r="W40" s="2717"/>
      <c r="X40" s="2717"/>
      <c r="Y40" s="2717"/>
      <c r="Z40" s="2717"/>
      <c r="AA40" s="2717"/>
      <c r="AB40" s="2717"/>
      <c r="AC40" s="2717"/>
    </row>
    <row r="41" spans="1:29">
      <c r="A41" s="2717"/>
      <c r="B41" s="2717"/>
      <c r="C41" s="2717"/>
      <c r="D41" s="2717"/>
      <c r="E41" s="2717"/>
      <c r="F41" s="2717"/>
      <c r="G41" s="2717"/>
      <c r="H41" s="2717"/>
      <c r="I41" s="2717"/>
      <c r="J41" s="2717"/>
      <c r="K41" s="2722"/>
      <c r="L41" s="2718"/>
      <c r="M41" s="2717"/>
      <c r="N41" s="2717"/>
      <c r="O41" s="2717"/>
      <c r="P41" s="2748"/>
      <c r="Q41" s="2717"/>
      <c r="R41" s="2717"/>
      <c r="S41" s="2717"/>
      <c r="T41" s="2717"/>
      <c r="U41" s="2717"/>
      <c r="V41" s="2717"/>
      <c r="W41" s="2717"/>
      <c r="X41" s="2717"/>
      <c r="Y41" s="2717"/>
      <c r="Z41" s="2717"/>
      <c r="AA41" s="2717"/>
      <c r="AB41" s="2717"/>
      <c r="AC41" s="2717"/>
    </row>
    <row r="42" spans="1:29" ht="13.5" customHeight="1">
      <c r="A42" s="2717"/>
      <c r="B42" s="2717"/>
      <c r="C42" s="443" t="s">
        <v>1847</v>
      </c>
      <c r="D42" s="444"/>
      <c r="E42" s="445" t="e">
        <f>IF(E37&lt;E38,E38/E37-1,E37/E38-1)</f>
        <v>#DIV/0!</v>
      </c>
      <c r="F42" s="446" t="e">
        <f>IF(OR(E42&gt;=0.3,E42&lt;=-0.3),"超过30%","")</f>
        <v>#DIV/0!</v>
      </c>
      <c r="G42" s="445" t="e">
        <f>IF(G37&lt;G38,G38/G37-1,G37/G38-1)</f>
        <v>#DIV/0!</v>
      </c>
      <c r="H42" s="446" t="e">
        <f>IF(OR(G42&gt;=0.3,G42&lt;=-0.3),"超过30%","")</f>
        <v>#DIV/0!</v>
      </c>
      <c r="I42" s="445" t="e">
        <f>IF(I37&lt;I38,I38/I37-1,I37/I38-1)</f>
        <v>#DIV/0!</v>
      </c>
      <c r="J42" s="446" t="e">
        <f>IF(OR(I42&gt;=0.3,I42&lt;=-0.3),"超过30%","")</f>
        <v>#DIV/0!</v>
      </c>
      <c r="K42" s="2722"/>
      <c r="L42" s="2718"/>
      <c r="M42" s="2717"/>
      <c r="N42" s="2717"/>
      <c r="O42" s="2717"/>
      <c r="P42" s="2748"/>
      <c r="Q42" s="2717"/>
      <c r="R42" s="2717"/>
      <c r="S42" s="2717"/>
      <c r="T42" s="2717"/>
      <c r="U42" s="2717"/>
      <c r="V42" s="2717"/>
      <c r="W42" s="2717"/>
      <c r="X42" s="2717"/>
      <c r="Y42" s="2717"/>
      <c r="Z42" s="2717"/>
      <c r="AA42" s="2717"/>
      <c r="AB42" s="2717"/>
      <c r="AC42" s="2717"/>
    </row>
    <row r="43" spans="1:29" ht="13.5" customHeight="1">
      <c r="A43" s="2717"/>
      <c r="B43" s="2717"/>
      <c r="C43" s="443" t="s">
        <v>1848</v>
      </c>
      <c r="D43" s="447"/>
      <c r="E43" s="445" t="e">
        <f>IF(E38&lt;G38,G38/E38-1,E38/G38-1)</f>
        <v>#DIV/0!</v>
      </c>
      <c r="F43" s="446" t="e">
        <f>IF(OR(E43&gt;=0.2,E43&lt;=-0.2),"超过20%","")</f>
        <v>#DIV/0!</v>
      </c>
      <c r="G43" s="445" t="e">
        <f>IF(G38&lt;I38,I38/G38-1,G38/I38-1)</f>
        <v>#DIV/0!</v>
      </c>
      <c r="H43" s="446" t="e">
        <f>IF(OR(G43&gt;=0.2,G43&lt;=-0.2),"超过20%","")</f>
        <v>#DIV/0!</v>
      </c>
      <c r="I43" s="445" t="e">
        <f>IF(I38&lt;E38,E38/I38-1,I38/E38-1)</f>
        <v>#DIV/0!</v>
      </c>
      <c r="J43" s="446" t="e">
        <f>IF(OR(I43&gt;=0.2,I43&lt;=-0.2),"超过20%","")</f>
        <v>#DIV/0!</v>
      </c>
      <c r="K43" s="2722"/>
      <c r="L43" s="2718"/>
      <c r="M43" s="2717"/>
      <c r="N43" s="2717"/>
      <c r="O43" s="2717"/>
      <c r="P43" s="2748"/>
      <c r="Q43" s="2717"/>
      <c r="R43" s="2717"/>
      <c r="S43" s="2717"/>
      <c r="T43" s="2717"/>
      <c r="U43" s="2717"/>
      <c r="V43" s="2717"/>
      <c r="W43" s="2717"/>
      <c r="X43" s="2717"/>
      <c r="Y43" s="2717"/>
      <c r="Z43" s="2717"/>
      <c r="AA43" s="2717"/>
      <c r="AB43" s="2717"/>
      <c r="AC43" s="2717"/>
    </row>
    <row r="44" spans="1:29" s="448" customFormat="1" ht="13.5" customHeight="1">
      <c r="A44" s="2720"/>
      <c r="B44" s="2720"/>
      <c r="C44" s="443" t="s">
        <v>1849</v>
      </c>
      <c r="D44" s="447"/>
      <c r="E44" s="445" t="e">
        <f>IF(E37&lt;G37,G37/E37-1,E37/G37-1)</f>
        <v>#DIV/0!</v>
      </c>
      <c r="F44" s="446" t="e">
        <f>IF(OR(E44&gt;=0.3,E44&lt;=-0.3),"超过30%","")</f>
        <v>#DIV/0!</v>
      </c>
      <c r="G44" s="445" t="e">
        <f>IF(G37&lt;I37,I37/G37-1,G37/I37-1)</f>
        <v>#DIV/0!</v>
      </c>
      <c r="H44" s="446" t="e">
        <f>IF(OR(G44&gt;=0.3,G44&lt;=-0.3),"超过30%","")</f>
        <v>#DIV/0!</v>
      </c>
      <c r="I44" s="445" t="e">
        <f>IF(I37&lt;E37,E37/I37-1,I37/E37-1)</f>
        <v>#DIV/0!</v>
      </c>
      <c r="J44" s="446" t="e">
        <f>IF(OR(I44&gt;=0.3,I44&lt;=-0.3),"超过30%","")</f>
        <v>#DIV/0!</v>
      </c>
      <c r="K44" s="2725"/>
      <c r="L44" s="2719"/>
      <c r="M44" s="2720"/>
      <c r="N44" s="2720"/>
      <c r="O44" s="2720"/>
      <c r="P44" s="2749"/>
      <c r="Q44" s="2720"/>
      <c r="R44" s="2720"/>
      <c r="S44" s="2720"/>
      <c r="T44" s="2720"/>
      <c r="U44" s="2720"/>
      <c r="V44" s="2720"/>
      <c r="W44" s="2720"/>
      <c r="X44" s="2720"/>
      <c r="Y44" s="2720"/>
      <c r="Z44" s="2720"/>
      <c r="AA44" s="2720"/>
      <c r="AB44" s="2720"/>
      <c r="AC44" s="2720"/>
    </row>
    <row r="45" spans="1:29" s="448" customFormat="1">
      <c r="A45" s="2720"/>
      <c r="B45" s="2723"/>
      <c r="C45" s="2724"/>
      <c r="D45" s="2720"/>
      <c r="E45" s="2720"/>
      <c r="F45" s="2720"/>
      <c r="G45" s="2720"/>
      <c r="H45" s="2720"/>
      <c r="I45" s="2720"/>
      <c r="J45" s="2720"/>
      <c r="K45" s="2725"/>
      <c r="L45" s="2719"/>
      <c r="M45" s="2720"/>
      <c r="N45" s="2720"/>
      <c r="O45" s="2720"/>
      <c r="P45" s="2749"/>
      <c r="Q45" s="2720"/>
      <c r="R45" s="2720"/>
      <c r="S45" s="2720"/>
      <c r="T45" s="2720"/>
      <c r="U45" s="2720"/>
      <c r="V45" s="2720"/>
      <c r="W45" s="2720"/>
      <c r="X45" s="2720"/>
      <c r="Y45" s="2720"/>
      <c r="Z45" s="2720"/>
      <c r="AA45" s="2720"/>
      <c r="AB45" s="2720"/>
      <c r="AC45" s="2720"/>
    </row>
    <row r="46" spans="1:29">
      <c r="A46" s="2717"/>
      <c r="B46" s="2723"/>
      <c r="C46" s="2724"/>
      <c r="D46" s="2717"/>
      <c r="E46" s="2717"/>
      <c r="F46" s="2717"/>
      <c r="G46" s="2717"/>
      <c r="H46" s="2717"/>
      <c r="I46" s="2717"/>
      <c r="J46" s="2717"/>
      <c r="K46" s="2722"/>
      <c r="L46" s="2718"/>
      <c r="M46" s="2717"/>
      <c r="N46" s="2717"/>
      <c r="O46" s="2717"/>
      <c r="P46" s="2748"/>
      <c r="Q46" s="2717"/>
      <c r="R46" s="2717"/>
      <c r="S46" s="2717"/>
      <c r="T46" s="2717"/>
      <c r="U46" s="2717"/>
      <c r="V46" s="2717"/>
      <c r="W46" s="2717"/>
      <c r="X46" s="2717"/>
      <c r="Y46" s="2717"/>
      <c r="Z46" s="2717"/>
      <c r="AA46" s="2717"/>
      <c r="AB46" s="2717"/>
      <c r="AC46" s="2717"/>
    </row>
    <row r="47" spans="1:29" ht="21.75" thickBot="1">
      <c r="A47" s="1162" t="s">
        <v>1850</v>
      </c>
      <c r="B47" s="923"/>
      <c r="C47" s="936"/>
      <c r="D47" s="936"/>
      <c r="E47" s="936"/>
      <c r="F47" s="1163"/>
      <c r="G47" s="1163"/>
      <c r="H47" s="936"/>
      <c r="I47" s="936"/>
      <c r="J47" s="936"/>
      <c r="K47" s="937"/>
      <c r="L47" s="938"/>
      <c r="M47" s="936"/>
      <c r="N47" s="2761"/>
      <c r="O47" s="2761"/>
      <c r="P47" s="2750"/>
      <c r="Q47" s="2731"/>
      <c r="R47" s="2717"/>
      <c r="S47" s="2717"/>
      <c r="T47" s="2717"/>
      <c r="U47" s="2717"/>
      <c r="V47" s="2717"/>
      <c r="W47" s="2717"/>
      <c r="X47" s="2717"/>
      <c r="Y47" s="2717"/>
      <c r="Z47" s="2717"/>
      <c r="AA47" s="2717"/>
      <c r="AB47" s="2717"/>
      <c r="AC47" s="2717"/>
    </row>
    <row r="48" spans="1:29" s="454" customFormat="1" ht="15">
      <c r="A48" s="451" t="s">
        <v>1851</v>
      </c>
      <c r="B48" s="452"/>
      <c r="C48" s="1180" t="str">
        <f>YEAR(C7)&amp;"-"&amp;MONTH(C7)</f>
        <v>2023-7</v>
      </c>
      <c r="D48" s="1181">
        <f>EDATE(C48,-1)</f>
        <v>45078</v>
      </c>
      <c r="E48" s="1181">
        <f t="shared" ref="E48:O48" si="16">EDATE(D48,-1)</f>
        <v>45047</v>
      </c>
      <c r="F48" s="1181">
        <f t="shared" si="16"/>
        <v>45017</v>
      </c>
      <c r="G48" s="1181">
        <f t="shared" si="16"/>
        <v>44986</v>
      </c>
      <c r="H48" s="1181">
        <f t="shared" si="16"/>
        <v>44958</v>
      </c>
      <c r="I48" s="1181">
        <f t="shared" si="16"/>
        <v>44927</v>
      </c>
      <c r="J48" s="1181">
        <f t="shared" si="16"/>
        <v>44896</v>
      </c>
      <c r="K48" s="1181">
        <f t="shared" si="16"/>
        <v>44866</v>
      </c>
      <c r="L48" s="1181">
        <f t="shared" si="16"/>
        <v>44835</v>
      </c>
      <c r="M48" s="1181">
        <f t="shared" si="16"/>
        <v>44805</v>
      </c>
      <c r="N48" s="1181">
        <f t="shared" si="16"/>
        <v>44774</v>
      </c>
      <c r="O48" s="1181">
        <f t="shared" si="16"/>
        <v>44743</v>
      </c>
      <c r="P48" s="2751"/>
      <c r="Q48" s="2733"/>
      <c r="R48" s="2733"/>
      <c r="S48" s="2733"/>
      <c r="T48" s="2733"/>
      <c r="U48" s="2733"/>
      <c r="V48" s="2733"/>
      <c r="W48" s="2733"/>
      <c r="X48" s="2733"/>
      <c r="Y48" s="2733"/>
      <c r="Z48" s="2733"/>
      <c r="AA48" s="2733"/>
      <c r="AB48" s="2733"/>
      <c r="AC48" s="2733"/>
    </row>
    <row r="49" spans="1:29" s="108" customFormat="1" ht="15">
      <c r="A49" s="455"/>
      <c r="B49" s="456"/>
      <c r="C49" s="1173">
        <v>100</v>
      </c>
      <c r="D49" s="458"/>
      <c r="E49" s="458"/>
      <c r="F49" s="458"/>
      <c r="G49" s="458"/>
      <c r="H49" s="458"/>
      <c r="I49" s="458"/>
      <c r="J49" s="458"/>
      <c r="K49" s="458"/>
      <c r="L49" s="458"/>
      <c r="M49" s="459"/>
      <c r="N49" s="458"/>
      <c r="O49" s="459"/>
      <c r="P49" s="2752"/>
      <c r="Q49" s="2653"/>
      <c r="R49" s="2653"/>
      <c r="S49" s="2653"/>
      <c r="T49" s="2653"/>
      <c r="U49" s="2653"/>
      <c r="V49" s="2653"/>
      <c r="W49" s="2653"/>
      <c r="X49" s="2653"/>
      <c r="Y49" s="2653"/>
      <c r="Z49" s="2653"/>
      <c r="AA49" s="2653"/>
      <c r="AB49" s="2653"/>
      <c r="AC49" s="2653"/>
    </row>
    <row r="50" spans="1:29" s="108" customFormat="1" ht="15.75" thickBot="1">
      <c r="A50" s="461" t="s">
        <v>1716</v>
      </c>
      <c r="B50" s="462"/>
      <c r="C50" s="463"/>
      <c r="D50" s="464"/>
      <c r="E50" s="464"/>
      <c r="F50" s="464"/>
      <c r="G50" s="464"/>
      <c r="H50" s="464"/>
      <c r="I50" s="464"/>
      <c r="J50" s="464"/>
      <c r="K50" s="464"/>
      <c r="L50" s="464"/>
      <c r="M50" s="465"/>
      <c r="N50" s="464"/>
      <c r="O50" s="465"/>
      <c r="P50" s="2752"/>
      <c r="Q50" s="2731"/>
      <c r="R50" s="2653"/>
      <c r="S50" s="2653"/>
      <c r="T50" s="2653"/>
      <c r="U50" s="2653"/>
      <c r="V50" s="2653"/>
      <c r="W50" s="2653"/>
      <c r="X50" s="2653"/>
      <c r="Y50" s="2653"/>
      <c r="Z50" s="2653"/>
      <c r="AA50" s="2653"/>
      <c r="AB50" s="2653"/>
      <c r="AC50" s="2653"/>
    </row>
    <row r="51" spans="1:29" s="108" customFormat="1" ht="15">
      <c r="A51" s="467" t="s">
        <v>1681</v>
      </c>
      <c r="B51" s="456"/>
      <c r="C51" s="468" t="s">
        <v>1776</v>
      </c>
      <c r="D51" s="469"/>
      <c r="E51" s="469"/>
      <c r="F51" s="469"/>
      <c r="G51" s="469"/>
      <c r="H51" s="469"/>
      <c r="I51" s="469"/>
      <c r="J51" s="469"/>
      <c r="K51" s="469"/>
      <c r="L51" s="470"/>
      <c r="M51" s="471"/>
      <c r="N51" s="2744"/>
      <c r="O51" s="2744"/>
      <c r="P51" s="2753"/>
      <c r="Q51" s="2731"/>
      <c r="R51" s="2653"/>
      <c r="S51" s="2653"/>
      <c r="T51" s="2653"/>
      <c r="U51" s="2653"/>
      <c r="V51" s="2653"/>
      <c r="W51" s="2653"/>
      <c r="X51" s="2653"/>
      <c r="Y51" s="2653"/>
      <c r="Z51" s="2653"/>
      <c r="AA51" s="2653"/>
      <c r="AB51" s="2653"/>
      <c r="AC51" s="2653"/>
    </row>
    <row r="52" spans="1:29" s="108" customFormat="1" ht="15.75" thickBot="1">
      <c r="A52" s="467"/>
      <c r="B52" s="456"/>
      <c r="C52" s="584">
        <v>100</v>
      </c>
      <c r="D52" s="458"/>
      <c r="E52" s="458"/>
      <c r="F52" s="458"/>
      <c r="G52" s="458"/>
      <c r="H52" s="458"/>
      <c r="I52" s="458"/>
      <c r="J52" s="458"/>
      <c r="K52" s="458"/>
      <c r="L52" s="458"/>
      <c r="M52" s="460"/>
      <c r="N52" s="2744"/>
      <c r="O52" s="2744"/>
      <c r="P52" s="2752"/>
      <c r="Q52" s="2731"/>
      <c r="R52" s="2653"/>
      <c r="S52" s="2653"/>
      <c r="T52" s="2653"/>
      <c r="U52" s="2653"/>
      <c r="V52" s="2653"/>
      <c r="W52" s="2653"/>
      <c r="X52" s="2653"/>
      <c r="Y52" s="2653"/>
      <c r="Z52" s="2653"/>
      <c r="AA52" s="2653"/>
      <c r="AB52" s="2653"/>
      <c r="AC52" s="2653"/>
    </row>
    <row r="53" spans="1:29">
      <c r="A53" s="473" t="s">
        <v>1719</v>
      </c>
      <c r="B53" s="474" t="s">
        <v>1685</v>
      </c>
      <c r="C53" s="475">
        <f>C9</f>
        <v>0</v>
      </c>
      <c r="D53" s="476"/>
      <c r="E53" s="476"/>
      <c r="F53" s="476"/>
      <c r="G53" s="476"/>
      <c r="H53" s="476"/>
      <c r="I53" s="476"/>
      <c r="J53" s="476"/>
      <c r="K53" s="477"/>
      <c r="L53" s="478"/>
      <c r="M53" s="479"/>
      <c r="N53" s="2745"/>
      <c r="O53" s="2745"/>
      <c r="P53" s="2754"/>
      <c r="Q53" s="2731"/>
      <c r="R53" s="2717"/>
      <c r="S53" s="2717"/>
      <c r="T53" s="2717"/>
      <c r="U53" s="2717"/>
      <c r="V53" s="2717"/>
      <c r="W53" s="2717"/>
      <c r="X53" s="2717"/>
      <c r="Y53" s="2717"/>
      <c r="Z53" s="2717"/>
      <c r="AA53" s="2717"/>
      <c r="AB53" s="2717"/>
      <c r="AC53" s="2717"/>
    </row>
    <row r="54" spans="1:29" ht="15.75" thickBot="1">
      <c r="A54" s="480"/>
      <c r="B54" s="481"/>
      <c r="C54" s="482">
        <v>100</v>
      </c>
      <c r="D54" s="482"/>
      <c r="E54" s="482"/>
      <c r="F54" s="482"/>
      <c r="G54" s="482"/>
      <c r="H54" s="482"/>
      <c r="I54" s="482"/>
      <c r="J54" s="482"/>
      <c r="K54" s="482"/>
      <c r="L54" s="482"/>
      <c r="M54" s="483"/>
      <c r="N54" s="2746"/>
      <c r="O54" s="2746"/>
      <c r="P54" s="2754"/>
      <c r="Q54" s="2731"/>
      <c r="R54" s="2717"/>
      <c r="S54" s="2717"/>
      <c r="T54" s="2717"/>
      <c r="U54" s="2717"/>
      <c r="V54" s="2717"/>
      <c r="W54" s="2717"/>
      <c r="X54" s="2717"/>
      <c r="Y54" s="2717"/>
      <c r="Z54" s="2717"/>
      <c r="AA54" s="2717"/>
      <c r="AB54" s="2717"/>
      <c r="AC54" s="2717"/>
    </row>
    <row r="55" spans="1:29" ht="27.75" thickTop="1">
      <c r="A55" s="480"/>
      <c r="B55" s="484" t="s">
        <v>1688</v>
      </c>
      <c r="C55" s="529"/>
      <c r="D55" s="529"/>
      <c r="E55" s="529"/>
      <c r="F55" s="529"/>
      <c r="G55" s="529"/>
      <c r="H55" s="529"/>
      <c r="I55" s="529"/>
      <c r="J55" s="529"/>
      <c r="K55" s="530"/>
      <c r="L55" s="531"/>
      <c r="M55" s="532"/>
      <c r="N55" s="2745"/>
      <c r="O55" s="2745"/>
      <c r="P55" s="2754"/>
      <c r="Q55" s="2731"/>
      <c r="R55" s="2717"/>
      <c r="S55" s="2717"/>
      <c r="T55" s="2717"/>
      <c r="U55" s="2717"/>
      <c r="V55" s="2717"/>
      <c r="W55" s="2717"/>
      <c r="X55" s="2717"/>
      <c r="Y55" s="2717"/>
      <c r="Z55" s="2717"/>
      <c r="AA55" s="2717"/>
      <c r="AB55" s="2717"/>
      <c r="AC55" s="2717"/>
    </row>
    <row r="56" spans="1:29" ht="15.75" thickBot="1">
      <c r="A56" s="480"/>
      <c r="B56" s="489"/>
      <c r="C56" s="482"/>
      <c r="D56" s="482"/>
      <c r="E56" s="482"/>
      <c r="F56" s="482"/>
      <c r="G56" s="482"/>
      <c r="H56" s="482"/>
      <c r="I56" s="482"/>
      <c r="J56" s="482"/>
      <c r="K56" s="482"/>
      <c r="L56" s="482"/>
      <c r="M56" s="483"/>
      <c r="N56" s="2746"/>
      <c r="O56" s="2746"/>
      <c r="P56" s="2754"/>
      <c r="Q56" s="2731"/>
      <c r="R56" s="2717"/>
      <c r="S56" s="2717"/>
      <c r="T56" s="2717"/>
      <c r="U56" s="2717"/>
      <c r="V56" s="2717"/>
      <c r="W56" s="2717"/>
      <c r="X56" s="2717"/>
      <c r="Y56" s="2717"/>
      <c r="Z56" s="2717"/>
      <c r="AA56" s="2717"/>
      <c r="AB56" s="2717"/>
      <c r="AC56" s="2717"/>
    </row>
    <row r="57" spans="1:29" ht="15.75" thickTop="1">
      <c r="A57" s="480"/>
      <c r="B57" s="605">
        <f>B11</f>
        <v>111</v>
      </c>
      <c r="C57" s="495"/>
      <c r="D57" s="495"/>
      <c r="E57" s="495"/>
      <c r="F57" s="495"/>
      <c r="G57" s="495"/>
      <c r="H57" s="495"/>
      <c r="I57" s="495"/>
      <c r="J57" s="495"/>
      <c r="K57" s="496"/>
      <c r="L57" s="497"/>
      <c r="M57" s="498"/>
      <c r="N57" s="2745"/>
      <c r="O57" s="2745"/>
      <c r="P57" s="2754"/>
      <c r="Q57" s="2731"/>
      <c r="R57" s="2717"/>
      <c r="S57" s="2717"/>
      <c r="T57" s="2717"/>
      <c r="U57" s="2717"/>
      <c r="V57" s="2717"/>
      <c r="W57" s="2717"/>
      <c r="X57" s="2717"/>
      <c r="Y57" s="2717"/>
      <c r="Z57" s="2717"/>
      <c r="AA57" s="2717"/>
      <c r="AB57" s="2717"/>
      <c r="AC57" s="2717"/>
    </row>
    <row r="58" spans="1:29" ht="15.75" thickBot="1">
      <c r="A58" s="480"/>
      <c r="B58" s="481"/>
      <c r="C58" s="506"/>
      <c r="D58" s="482"/>
      <c r="E58" s="482"/>
      <c r="F58" s="482"/>
      <c r="G58" s="482"/>
      <c r="H58" s="482"/>
      <c r="I58" s="482"/>
      <c r="J58" s="482"/>
      <c r="K58" s="482"/>
      <c r="L58" s="482"/>
      <c r="M58" s="483"/>
      <c r="N58" s="2746"/>
      <c r="O58" s="2746"/>
      <c r="P58" s="2754"/>
      <c r="Q58" s="2731"/>
      <c r="R58" s="2717"/>
      <c r="S58" s="2717"/>
      <c r="T58" s="2717"/>
      <c r="U58" s="2717"/>
      <c r="V58" s="2717"/>
      <c r="W58" s="2717"/>
      <c r="X58" s="2717"/>
      <c r="Y58" s="2717"/>
      <c r="Z58" s="2717"/>
      <c r="AA58" s="2717"/>
      <c r="AB58" s="2717"/>
      <c r="AC58" s="2717"/>
    </row>
    <row r="59" spans="1:29" s="419" customFormat="1" ht="15.75" thickTop="1">
      <c r="A59" s="499"/>
      <c r="B59" s="484">
        <f>B12</f>
        <v>111</v>
      </c>
      <c r="C59" s="495"/>
      <c r="D59" s="495"/>
      <c r="E59" s="495"/>
      <c r="F59" s="495"/>
      <c r="G59" s="500"/>
      <c r="H59" s="501"/>
      <c r="I59" s="501"/>
      <c r="J59" s="501"/>
      <c r="K59" s="501"/>
      <c r="L59" s="502"/>
      <c r="M59" s="503"/>
      <c r="N59" s="2747"/>
      <c r="O59" s="2747"/>
      <c r="P59" s="2755"/>
      <c r="Q59" s="2738"/>
      <c r="R59" s="2739"/>
      <c r="S59" s="2739"/>
      <c r="T59" s="2739"/>
      <c r="U59" s="2739"/>
      <c r="V59" s="2739"/>
      <c r="W59" s="2739"/>
      <c r="X59" s="2739"/>
      <c r="Y59" s="2739"/>
      <c r="Z59" s="2739"/>
      <c r="AA59" s="2739"/>
      <c r="AB59" s="2739"/>
      <c r="AC59" s="2739"/>
    </row>
    <row r="60" spans="1:29" s="419" customFormat="1" ht="15.75" thickBot="1">
      <c r="A60" s="499"/>
      <c r="B60" s="489"/>
      <c r="C60" s="506"/>
      <c r="D60" s="482"/>
      <c r="E60" s="482"/>
      <c r="F60" s="482"/>
      <c r="G60" s="482"/>
      <c r="H60" s="482"/>
      <c r="I60" s="482"/>
      <c r="J60" s="482"/>
      <c r="K60" s="482"/>
      <c r="L60" s="482"/>
      <c r="M60" s="483"/>
      <c r="N60" s="2746"/>
      <c r="O60" s="2746"/>
      <c r="P60" s="2755"/>
      <c r="Q60" s="2738"/>
      <c r="R60" s="2739"/>
      <c r="S60" s="2739"/>
      <c r="T60" s="2739"/>
      <c r="U60" s="2739"/>
      <c r="V60" s="2739"/>
      <c r="W60" s="2739"/>
      <c r="X60" s="2739"/>
      <c r="Y60" s="2739"/>
      <c r="Z60" s="2739"/>
      <c r="AA60" s="2739"/>
      <c r="AB60" s="2739"/>
      <c r="AC60" s="2739"/>
    </row>
    <row r="61" spans="1:29" s="419" customFormat="1" ht="15.75" thickTop="1">
      <c r="A61" s="499"/>
      <c r="B61" s="484">
        <f>B13</f>
        <v>111</v>
      </c>
      <c r="C61" s="500"/>
      <c r="D61" s="500"/>
      <c r="E61" s="500"/>
      <c r="F61" s="500"/>
      <c r="G61" s="500"/>
      <c r="H61" s="501"/>
      <c r="I61" s="501"/>
      <c r="J61" s="501"/>
      <c r="K61" s="501"/>
      <c r="L61" s="502"/>
      <c r="M61" s="503"/>
      <c r="N61" s="2747"/>
      <c r="O61" s="2747"/>
      <c r="P61" s="2756"/>
      <c r="Q61" s="2741"/>
      <c r="R61" s="2739"/>
      <c r="S61" s="2739"/>
      <c r="T61" s="2739"/>
      <c r="U61" s="2739"/>
      <c r="V61" s="2739"/>
      <c r="W61" s="2739"/>
      <c r="X61" s="2739"/>
      <c r="Y61" s="2739"/>
      <c r="Z61" s="2739"/>
      <c r="AA61" s="2739"/>
      <c r="AB61" s="2739"/>
      <c r="AC61" s="2739"/>
    </row>
    <row r="62" spans="1:29" s="419" customFormat="1" ht="15.75" thickBot="1">
      <c r="A62" s="499"/>
      <c r="B62" s="489"/>
      <c r="C62" s="506"/>
      <c r="D62" s="506"/>
      <c r="E62" s="506"/>
      <c r="F62" s="506"/>
      <c r="G62" s="506"/>
      <c r="H62" s="508"/>
      <c r="I62" s="508"/>
      <c r="J62" s="508"/>
      <c r="K62" s="508"/>
      <c r="L62" s="508"/>
      <c r="M62" s="509"/>
      <c r="N62" s="2747"/>
      <c r="O62" s="2747"/>
      <c r="P62" s="2755"/>
      <c r="Q62" s="2738"/>
      <c r="R62" s="2739"/>
      <c r="S62" s="2739"/>
      <c r="T62" s="2739"/>
      <c r="U62" s="2739"/>
      <c r="V62" s="2739"/>
      <c r="W62" s="2739"/>
      <c r="X62" s="2739"/>
      <c r="Y62" s="2739"/>
      <c r="Z62" s="2739"/>
      <c r="AA62" s="2739"/>
      <c r="AB62" s="2739"/>
      <c r="AC62" s="2739"/>
    </row>
    <row r="63" spans="1:29" ht="15" thickTop="1">
      <c r="A63" s="473" t="s">
        <v>1690</v>
      </c>
      <c r="B63" s="474" t="s">
        <v>1726</v>
      </c>
      <c r="C63" s="519" t="s">
        <v>1721</v>
      </c>
      <c r="D63" s="519" t="s">
        <v>1722</v>
      </c>
      <c r="E63" s="519" t="s">
        <v>1723</v>
      </c>
      <c r="F63" s="519" t="s">
        <v>1724</v>
      </c>
      <c r="G63" s="519" t="s">
        <v>1725</v>
      </c>
      <c r="H63" s="475"/>
      <c r="I63" s="475"/>
      <c r="J63" s="475"/>
      <c r="K63" s="520"/>
      <c r="L63" s="521"/>
      <c r="M63" s="522"/>
      <c r="N63" s="2745"/>
      <c r="O63" s="2745"/>
      <c r="P63" s="2758"/>
      <c r="Q63" s="2731"/>
      <c r="R63" s="2717"/>
      <c r="S63" s="2717"/>
      <c r="T63" s="2717"/>
      <c r="U63" s="2717"/>
      <c r="V63" s="2717"/>
      <c r="W63" s="2717"/>
      <c r="X63" s="2717"/>
      <c r="Y63" s="2717"/>
      <c r="Z63" s="2717"/>
      <c r="AA63" s="2717"/>
      <c r="AB63" s="2717"/>
      <c r="AC63" s="2717"/>
    </row>
    <row r="64" spans="1:29" ht="15.75" thickBot="1">
      <c r="A64" s="480"/>
      <c r="B64" s="489"/>
      <c r="C64" s="490">
        <v>100</v>
      </c>
      <c r="D64" s="490">
        <f>C64-$K14</f>
        <v>100</v>
      </c>
      <c r="E64" s="490">
        <f>D64-$K14</f>
        <v>100</v>
      </c>
      <c r="F64" s="490">
        <f>E64-$K14</f>
        <v>100</v>
      </c>
      <c r="G64" s="490">
        <f>F64-$K14</f>
        <v>100</v>
      </c>
      <c r="H64" s="490"/>
      <c r="I64" s="490"/>
      <c r="J64" s="490"/>
      <c r="K64" s="490"/>
      <c r="L64" s="490"/>
      <c r="M64" s="491"/>
      <c r="N64" s="2746"/>
      <c r="O64" s="2746"/>
      <c r="P64" s="2754"/>
      <c r="Q64" s="2731"/>
      <c r="R64" s="2717"/>
      <c r="S64" s="2717"/>
      <c r="T64" s="2717"/>
      <c r="U64" s="2717"/>
      <c r="V64" s="2717"/>
      <c r="W64" s="2717"/>
      <c r="X64" s="2717"/>
      <c r="Y64" s="2717"/>
      <c r="Z64" s="2717"/>
      <c r="AA64" s="2717"/>
      <c r="AB64" s="2717"/>
      <c r="AC64" s="2717"/>
    </row>
    <row r="65" spans="1:29" ht="15.75" thickTop="1">
      <c r="A65" s="480"/>
      <c r="B65" s="484" t="s">
        <v>1727</v>
      </c>
      <c r="C65" s="524" t="s">
        <v>1721</v>
      </c>
      <c r="D65" s="524" t="s">
        <v>1722</v>
      </c>
      <c r="E65" s="524" t="s">
        <v>1723</v>
      </c>
      <c r="F65" s="524" t="s">
        <v>1724</v>
      </c>
      <c r="G65" s="524" t="s">
        <v>1725</v>
      </c>
      <c r="H65" s="485"/>
      <c r="I65" s="485"/>
      <c r="J65" s="485"/>
      <c r="K65" s="486"/>
      <c r="L65" s="487"/>
      <c r="M65" s="488"/>
      <c r="N65" s="2745"/>
      <c r="O65" s="2745"/>
      <c r="P65" s="2754"/>
      <c r="Q65" s="2731"/>
      <c r="R65" s="2717"/>
      <c r="S65" s="2717"/>
      <c r="T65" s="2717"/>
      <c r="U65" s="2717"/>
      <c r="V65" s="2717"/>
      <c r="W65" s="2717"/>
      <c r="X65" s="2717"/>
      <c r="Y65" s="2717"/>
      <c r="Z65" s="2717"/>
      <c r="AA65" s="2717"/>
      <c r="AB65" s="2717"/>
      <c r="AC65" s="2717"/>
    </row>
    <row r="66" spans="1:29" ht="15.75" thickBot="1">
      <c r="A66" s="480"/>
      <c r="B66" s="489"/>
      <c r="C66" s="490">
        <v>100</v>
      </c>
      <c r="D66" s="490">
        <f>C66-$K16</f>
        <v>100</v>
      </c>
      <c r="E66" s="490">
        <f>D66-$K16</f>
        <v>100</v>
      </c>
      <c r="F66" s="490">
        <f>E66-$K16</f>
        <v>100</v>
      </c>
      <c r="G66" s="490">
        <f>F66-$K16</f>
        <v>100</v>
      </c>
      <c r="H66" s="490"/>
      <c r="I66" s="490"/>
      <c r="J66" s="490"/>
      <c r="K66" s="490"/>
      <c r="L66" s="490"/>
      <c r="M66" s="491"/>
      <c r="N66" s="2746"/>
      <c r="O66" s="2746"/>
      <c r="P66" s="2754"/>
      <c r="Q66" s="2731"/>
      <c r="R66" s="2717"/>
      <c r="S66" s="2717"/>
      <c r="T66" s="2717"/>
      <c r="U66" s="2717"/>
      <c r="V66" s="2717"/>
      <c r="W66" s="2717"/>
      <c r="X66" s="2717"/>
      <c r="Y66" s="2717"/>
      <c r="Z66" s="2717"/>
      <c r="AA66" s="2717"/>
      <c r="AB66" s="2717"/>
      <c r="AC66" s="2717"/>
    </row>
    <row r="67" spans="1:29" ht="15.75" thickTop="1">
      <c r="A67" s="480"/>
      <c r="B67" s="492" t="s">
        <v>1813</v>
      </c>
      <c r="C67" s="605" t="s">
        <v>1799</v>
      </c>
      <c r="D67" s="605" t="s">
        <v>1800</v>
      </c>
      <c r="E67" s="605" t="s">
        <v>1801</v>
      </c>
      <c r="F67" s="605" t="s">
        <v>1802</v>
      </c>
      <c r="G67" s="605" t="s">
        <v>1803</v>
      </c>
      <c r="H67" s="485"/>
      <c r="I67" s="485"/>
      <c r="J67" s="485"/>
      <c r="K67" s="485"/>
      <c r="L67" s="485"/>
      <c r="M67" s="1125"/>
      <c r="N67" s="2746"/>
      <c r="O67" s="2746"/>
      <c r="P67" s="2754"/>
      <c r="Q67" s="2731"/>
      <c r="R67" s="2717"/>
      <c r="S67" s="2717"/>
      <c r="T67" s="2717"/>
      <c r="U67" s="2717"/>
      <c r="V67" s="2717"/>
      <c r="W67" s="2717"/>
      <c r="X67" s="2717"/>
      <c r="Y67" s="2717"/>
      <c r="Z67" s="2717"/>
      <c r="AA67" s="2717"/>
      <c r="AB67" s="2717"/>
      <c r="AC67" s="2717"/>
    </row>
    <row r="68" spans="1:29" ht="15.75" thickBot="1">
      <c r="A68" s="480"/>
      <c r="B68" s="492"/>
      <c r="C68" s="490">
        <v>100</v>
      </c>
      <c r="D68" s="490">
        <f>C68-$K18</f>
        <v>100</v>
      </c>
      <c r="E68" s="490">
        <f>D68-$K18</f>
        <v>100</v>
      </c>
      <c r="F68" s="490">
        <f>E68-$K18</f>
        <v>100</v>
      </c>
      <c r="G68" s="490">
        <f>F68-$K18</f>
        <v>100</v>
      </c>
      <c r="H68" s="605"/>
      <c r="I68" s="605"/>
      <c r="J68" s="605"/>
      <c r="K68" s="605"/>
      <c r="L68" s="605"/>
      <c r="M68" s="398"/>
      <c r="N68" s="2746"/>
      <c r="O68" s="2746"/>
      <c r="P68" s="2754"/>
      <c r="Q68" s="2731"/>
      <c r="R68" s="2717"/>
      <c r="S68" s="2717"/>
      <c r="T68" s="2717"/>
      <c r="U68" s="2717"/>
      <c r="V68" s="2717"/>
      <c r="W68" s="2717"/>
      <c r="X68" s="2717"/>
      <c r="Y68" s="2717"/>
      <c r="Z68" s="2717"/>
      <c r="AA68" s="2717"/>
      <c r="AB68" s="2717"/>
      <c r="AC68" s="2717"/>
    </row>
    <row r="69" spans="1:29" ht="15.75" thickTop="1">
      <c r="A69" s="480"/>
      <c r="B69" s="484" t="s">
        <v>1733</v>
      </c>
      <c r="C69" s="524" t="s">
        <v>1721</v>
      </c>
      <c r="D69" s="524" t="s">
        <v>1722</v>
      </c>
      <c r="E69" s="524" t="s">
        <v>1723</v>
      </c>
      <c r="F69" s="524" t="s">
        <v>1724</v>
      </c>
      <c r="G69" s="524" t="s">
        <v>1725</v>
      </c>
      <c r="H69" s="485"/>
      <c r="I69" s="485"/>
      <c r="J69" s="485"/>
      <c r="K69" s="486"/>
      <c r="L69" s="487"/>
      <c r="M69" s="488"/>
      <c r="N69" s="2745"/>
      <c r="O69" s="2745"/>
      <c r="P69" s="2754"/>
      <c r="Q69" s="2731"/>
      <c r="R69" s="2717"/>
      <c r="S69" s="2717"/>
      <c r="T69" s="2717"/>
      <c r="U69" s="2717"/>
      <c r="V69" s="2717"/>
      <c r="W69" s="2717"/>
      <c r="X69" s="2717"/>
      <c r="Y69" s="2717"/>
      <c r="Z69" s="2717"/>
      <c r="AA69" s="2717"/>
      <c r="AB69" s="2717"/>
      <c r="AC69" s="2717"/>
    </row>
    <row r="70" spans="1:29" ht="15.75" thickBot="1">
      <c r="A70" s="480"/>
      <c r="B70" s="489"/>
      <c r="C70" s="490">
        <v>100</v>
      </c>
      <c r="D70" s="490">
        <f>C70-$K20</f>
        <v>100</v>
      </c>
      <c r="E70" s="490">
        <f>D70-$K20</f>
        <v>100</v>
      </c>
      <c r="F70" s="490">
        <f>E70-$K20</f>
        <v>100</v>
      </c>
      <c r="G70" s="490">
        <f>F70-$K20</f>
        <v>100</v>
      </c>
      <c r="H70" s="490"/>
      <c r="I70" s="490"/>
      <c r="J70" s="490"/>
      <c r="K70" s="490"/>
      <c r="L70" s="490"/>
      <c r="M70" s="491"/>
      <c r="N70" s="2746"/>
      <c r="O70" s="2746"/>
      <c r="P70" s="2754"/>
      <c r="Q70" s="2731"/>
      <c r="R70" s="2717"/>
      <c r="S70" s="2717"/>
      <c r="T70" s="2717"/>
      <c r="U70" s="2717"/>
      <c r="V70" s="2717"/>
      <c r="W70" s="2717"/>
      <c r="X70" s="2717"/>
      <c r="Y70" s="2717"/>
      <c r="Z70" s="2717"/>
      <c r="AA70" s="2717"/>
      <c r="AB70" s="2717"/>
      <c r="AC70" s="2717"/>
    </row>
    <row r="71" spans="1:29" ht="15.75" thickTop="1">
      <c r="A71" s="480"/>
      <c r="B71" s="484" t="s">
        <v>1852</v>
      </c>
      <c r="C71" s="500"/>
      <c r="D71" s="500"/>
      <c r="E71" s="500"/>
      <c r="F71" s="500"/>
      <c r="G71" s="500"/>
      <c r="H71" s="529"/>
      <c r="I71" s="529"/>
      <c r="J71" s="529"/>
      <c r="K71" s="530"/>
      <c r="L71" s="531"/>
      <c r="M71" s="532"/>
      <c r="N71" s="2745"/>
      <c r="O71" s="2745"/>
      <c r="P71" s="2754"/>
      <c r="Q71" s="2731"/>
      <c r="R71" s="2717"/>
      <c r="S71" s="2717"/>
      <c r="T71" s="2717"/>
      <c r="U71" s="2717"/>
      <c r="V71" s="2717"/>
      <c r="W71" s="2717"/>
      <c r="X71" s="2717"/>
      <c r="Y71" s="2717"/>
      <c r="Z71" s="2717"/>
      <c r="AA71" s="2717"/>
      <c r="AB71" s="2717"/>
      <c r="AC71" s="2717"/>
    </row>
    <row r="72" spans="1:29" ht="15.75" thickBot="1">
      <c r="A72" s="480"/>
      <c r="B72" s="489"/>
      <c r="C72" s="490">
        <v>100</v>
      </c>
      <c r="D72" s="490">
        <f>C72-$K22</f>
        <v>100</v>
      </c>
      <c r="E72" s="490">
        <f>D72-$K22</f>
        <v>100</v>
      </c>
      <c r="F72" s="490">
        <f>E72-$K22</f>
        <v>100</v>
      </c>
      <c r="G72" s="490">
        <f>F72-$K22</f>
        <v>100</v>
      </c>
      <c r="H72" s="490"/>
      <c r="I72" s="490"/>
      <c r="J72" s="490"/>
      <c r="K72" s="490"/>
      <c r="L72" s="490"/>
      <c r="M72" s="491"/>
      <c r="N72" s="2746"/>
      <c r="O72" s="2746"/>
      <c r="P72" s="2754"/>
      <c r="Q72" s="2731"/>
      <c r="R72" s="2717"/>
      <c r="S72" s="2717"/>
      <c r="T72" s="2717"/>
      <c r="U72" s="2717"/>
      <c r="V72" s="2717"/>
      <c r="W72" s="2717"/>
      <c r="X72" s="2717"/>
      <c r="Y72" s="2717"/>
      <c r="Z72" s="2717"/>
      <c r="AA72" s="2717"/>
      <c r="AB72" s="2717"/>
      <c r="AC72" s="2717"/>
    </row>
    <row r="73" spans="1:29" s="108" customFormat="1" ht="15.75" thickTop="1">
      <c r="A73" s="525"/>
      <c r="B73" s="484">
        <f>B23</f>
        <v>111</v>
      </c>
      <c r="C73" s="495"/>
      <c r="D73" s="495"/>
      <c r="E73" s="495"/>
      <c r="F73" s="495"/>
      <c r="G73" s="500"/>
      <c r="H73" s="500"/>
      <c r="I73" s="500"/>
      <c r="J73" s="500"/>
      <c r="K73" s="500"/>
      <c r="L73" s="526"/>
      <c r="M73" s="527"/>
      <c r="N73" s="2744"/>
      <c r="O73" s="2744"/>
      <c r="P73" s="2754"/>
      <c r="Q73" s="2731"/>
      <c r="R73" s="2653"/>
      <c r="S73" s="2653"/>
      <c r="T73" s="2653"/>
      <c r="U73" s="2653"/>
      <c r="V73" s="2653"/>
      <c r="W73" s="2653"/>
      <c r="X73" s="2653"/>
      <c r="Y73" s="2653"/>
      <c r="Z73" s="2653"/>
      <c r="AA73" s="2653"/>
      <c r="AB73" s="2653"/>
      <c r="AC73" s="2653"/>
    </row>
    <row r="74" spans="1:29" s="108" customFormat="1" ht="15.75" thickBot="1">
      <c r="A74" s="525"/>
      <c r="B74" s="489"/>
      <c r="C74" s="506"/>
      <c r="D74" s="482"/>
      <c r="E74" s="482"/>
      <c r="F74" s="482"/>
      <c r="G74" s="482"/>
      <c r="H74" s="482"/>
      <c r="I74" s="482"/>
      <c r="J74" s="482"/>
      <c r="K74" s="482"/>
      <c r="L74" s="482"/>
      <c r="M74" s="483"/>
      <c r="N74" s="2746"/>
      <c r="O74" s="2746"/>
      <c r="P74" s="2754"/>
      <c r="Q74" s="2731"/>
      <c r="R74" s="2653"/>
      <c r="S74" s="2653"/>
      <c r="T74" s="2653"/>
      <c r="U74" s="2653"/>
      <c r="V74" s="2653"/>
      <c r="W74" s="2653"/>
      <c r="X74" s="2653"/>
      <c r="Y74" s="2653"/>
      <c r="Z74" s="2653"/>
      <c r="AA74" s="2653"/>
      <c r="AB74" s="2653"/>
      <c r="AC74" s="2653"/>
    </row>
    <row r="75" spans="1:29" s="108" customFormat="1" ht="15.75" thickTop="1">
      <c r="A75" s="525"/>
      <c r="B75" s="484">
        <f>B24</f>
        <v>111</v>
      </c>
      <c r="C75" s="495"/>
      <c r="D75" s="495"/>
      <c r="E75" s="495"/>
      <c r="F75" s="495"/>
      <c r="G75" s="500"/>
      <c r="H75" s="500"/>
      <c r="I75" s="500"/>
      <c r="J75" s="500"/>
      <c r="K75" s="500"/>
      <c r="L75" s="500"/>
      <c r="M75" s="527"/>
      <c r="N75" s="2744"/>
      <c r="O75" s="2744"/>
      <c r="P75" s="2754"/>
      <c r="Q75" s="2731"/>
      <c r="R75" s="2653"/>
      <c r="S75" s="2653"/>
      <c r="T75" s="2653"/>
      <c r="U75" s="2653"/>
      <c r="V75" s="2653"/>
      <c r="W75" s="2653"/>
      <c r="X75" s="2653"/>
      <c r="Y75" s="2653"/>
      <c r="Z75" s="2653"/>
      <c r="AA75" s="2653"/>
      <c r="AB75" s="2653"/>
      <c r="AC75" s="2653"/>
    </row>
    <row r="76" spans="1:29" s="108" customFormat="1" ht="15.75" thickBot="1">
      <c r="A76" s="525"/>
      <c r="B76" s="489"/>
      <c r="C76" s="506"/>
      <c r="D76" s="482"/>
      <c r="E76" s="482"/>
      <c r="F76" s="482"/>
      <c r="G76" s="482"/>
      <c r="H76" s="482"/>
      <c r="I76" s="482"/>
      <c r="J76" s="482"/>
      <c r="K76" s="482"/>
      <c r="L76" s="482"/>
      <c r="M76" s="483"/>
      <c r="N76" s="2746"/>
      <c r="O76" s="2746"/>
      <c r="P76" s="2754"/>
      <c r="Q76" s="2731"/>
      <c r="R76" s="2653"/>
      <c r="S76" s="2653"/>
      <c r="T76" s="2653"/>
      <c r="U76" s="2653"/>
      <c r="V76" s="2653"/>
      <c r="W76" s="2653"/>
      <c r="X76" s="2653"/>
      <c r="Y76" s="2653"/>
      <c r="Z76" s="2653"/>
      <c r="AA76" s="2653"/>
      <c r="AB76" s="2653"/>
      <c r="AC76" s="2653"/>
    </row>
    <row r="77" spans="1:29" s="419" customFormat="1" ht="15.75" thickTop="1">
      <c r="A77" s="499"/>
      <c r="B77" s="484">
        <f>B25</f>
        <v>111</v>
      </c>
      <c r="C77" s="500"/>
      <c r="D77" s="500"/>
      <c r="E77" s="500"/>
      <c r="F77" s="500"/>
      <c r="G77" s="500"/>
      <c r="H77" s="501"/>
      <c r="I77" s="501"/>
      <c r="J77" s="501"/>
      <c r="K77" s="501"/>
      <c r="L77" s="502"/>
      <c r="M77" s="503"/>
      <c r="N77" s="2747"/>
      <c r="O77" s="2747"/>
      <c r="P77" s="2755"/>
      <c r="Q77" s="2738"/>
      <c r="R77" s="2739"/>
      <c r="S77" s="2739"/>
      <c r="T77" s="2739"/>
      <c r="U77" s="2739"/>
      <c r="V77" s="2739"/>
      <c r="W77" s="2739"/>
      <c r="X77" s="2739"/>
      <c r="Y77" s="2739"/>
      <c r="Z77" s="2739"/>
      <c r="AA77" s="2739"/>
      <c r="AB77" s="2739"/>
      <c r="AC77" s="2739"/>
    </row>
    <row r="78" spans="1:29" s="419" customFormat="1" ht="15.75" thickBot="1">
      <c r="A78" s="499"/>
      <c r="B78" s="489"/>
      <c r="C78" s="506"/>
      <c r="D78" s="506"/>
      <c r="E78" s="506"/>
      <c r="F78" s="506"/>
      <c r="G78" s="482"/>
      <c r="H78" s="482"/>
      <c r="I78" s="482"/>
      <c r="J78" s="482"/>
      <c r="K78" s="482"/>
      <c r="L78" s="482"/>
      <c r="M78" s="483"/>
      <c r="N78" s="2747"/>
      <c r="O78" s="2747"/>
      <c r="P78" s="2755"/>
      <c r="Q78" s="2738"/>
      <c r="R78" s="2739"/>
      <c r="S78" s="2739"/>
      <c r="T78" s="2739"/>
      <c r="U78" s="2739"/>
      <c r="V78" s="2739"/>
      <c r="W78" s="2739"/>
      <c r="X78" s="2739"/>
      <c r="Y78" s="2739"/>
      <c r="Z78" s="2739"/>
      <c r="AA78" s="2739"/>
      <c r="AB78" s="2739"/>
      <c r="AC78" s="2739"/>
    </row>
    <row r="79" spans="1:29" ht="27.75" thickTop="1">
      <c r="A79" s="473" t="s">
        <v>1694</v>
      </c>
      <c r="B79" s="474" t="s">
        <v>1853</v>
      </c>
      <c r="C79" s="475" t="str">
        <f>C26</f>
        <v>车库</v>
      </c>
      <c r="D79" s="476"/>
      <c r="E79" s="476"/>
      <c r="F79" s="476"/>
      <c r="G79" s="476"/>
      <c r="H79" s="476"/>
      <c r="I79" s="476"/>
      <c r="J79" s="476"/>
      <c r="K79" s="477"/>
      <c r="L79" s="478"/>
      <c r="M79" s="479"/>
      <c r="N79" s="2745"/>
      <c r="O79" s="2745"/>
      <c r="P79" s="2754"/>
      <c r="Q79" s="2731"/>
      <c r="R79" s="2717"/>
      <c r="S79" s="2717"/>
      <c r="T79" s="2717"/>
      <c r="U79" s="2717"/>
      <c r="V79" s="2717"/>
      <c r="W79" s="2717"/>
      <c r="X79" s="2717"/>
      <c r="Y79" s="2717"/>
      <c r="Z79" s="2717"/>
      <c r="AA79" s="2717"/>
      <c r="AB79" s="2717"/>
      <c r="AC79" s="2717"/>
    </row>
    <row r="80" spans="1:29" ht="15.75" thickBot="1">
      <c r="A80" s="480"/>
      <c r="B80" s="489"/>
      <c r="C80" s="490">
        <v>100</v>
      </c>
      <c r="D80" s="490">
        <f t="shared" ref="D80:M80" si="17">C80-$K26</f>
        <v>100</v>
      </c>
      <c r="E80" s="490">
        <f t="shared" si="17"/>
        <v>100</v>
      </c>
      <c r="F80" s="490">
        <f t="shared" si="17"/>
        <v>100</v>
      </c>
      <c r="G80" s="490">
        <f t="shared" si="17"/>
        <v>100</v>
      </c>
      <c r="H80" s="490">
        <f t="shared" si="17"/>
        <v>100</v>
      </c>
      <c r="I80" s="490">
        <f t="shared" si="17"/>
        <v>100</v>
      </c>
      <c r="J80" s="490">
        <f t="shared" si="17"/>
        <v>100</v>
      </c>
      <c r="K80" s="490">
        <f t="shared" si="17"/>
        <v>100</v>
      </c>
      <c r="L80" s="490">
        <f t="shared" si="17"/>
        <v>100</v>
      </c>
      <c r="M80" s="491">
        <f t="shared" si="17"/>
        <v>100</v>
      </c>
      <c r="N80" s="2746"/>
      <c r="O80" s="2746"/>
      <c r="P80" s="2754"/>
      <c r="Q80" s="2731"/>
      <c r="R80" s="2717"/>
      <c r="S80" s="2717"/>
      <c r="T80" s="2717"/>
      <c r="U80" s="2717"/>
      <c r="V80" s="2717"/>
      <c r="W80" s="2717"/>
      <c r="X80" s="2717"/>
      <c r="Y80" s="2717"/>
      <c r="Z80" s="2717"/>
      <c r="AA80" s="2717"/>
      <c r="AB80" s="2717"/>
      <c r="AC80" s="2717"/>
    </row>
    <row r="81" spans="1:29" ht="15.75" thickTop="1">
      <c r="A81" s="480"/>
      <c r="B81" s="484" t="s">
        <v>1854</v>
      </c>
      <c r="C81" s="606"/>
      <c r="D81" s="606"/>
      <c r="E81" s="606"/>
      <c r="F81" s="606"/>
      <c r="G81" s="606"/>
      <c r="H81" s="606"/>
      <c r="I81" s="606"/>
      <c r="J81" s="606"/>
      <c r="K81" s="607"/>
      <c r="L81" s="608"/>
      <c r="M81" s="609"/>
      <c r="N81" s="2744"/>
      <c r="O81" s="2744"/>
      <c r="P81" s="2754"/>
      <c r="Q81" s="2731"/>
      <c r="R81" s="2717"/>
      <c r="S81" s="2717"/>
      <c r="T81" s="2717"/>
      <c r="U81" s="2717"/>
      <c r="V81" s="2717"/>
      <c r="W81" s="2717"/>
      <c r="X81" s="2717"/>
      <c r="Y81" s="2717"/>
      <c r="Z81" s="2717"/>
      <c r="AA81" s="2717"/>
      <c r="AB81" s="2717"/>
      <c r="AC81" s="2717"/>
    </row>
    <row r="82" spans="1:29" s="419" customFormat="1" ht="15.75" thickBot="1">
      <c r="A82" s="499"/>
      <c r="B82" s="489"/>
      <c r="C82" s="506"/>
      <c r="D82" s="482"/>
      <c r="E82" s="482"/>
      <c r="F82" s="482"/>
      <c r="G82" s="482"/>
      <c r="H82" s="482"/>
      <c r="I82" s="482"/>
      <c r="J82" s="482"/>
      <c r="K82" s="482"/>
      <c r="L82" s="482"/>
      <c r="M82" s="483"/>
      <c r="N82" s="2746"/>
      <c r="O82" s="2746"/>
      <c r="P82" s="2755"/>
      <c r="Q82" s="2738"/>
      <c r="R82" s="2739"/>
      <c r="S82" s="2739"/>
      <c r="T82" s="2739"/>
      <c r="U82" s="2739"/>
      <c r="V82" s="2739"/>
      <c r="W82" s="2739"/>
      <c r="X82" s="2739"/>
      <c r="Y82" s="2739"/>
      <c r="Z82" s="2739"/>
      <c r="AA82" s="2739"/>
      <c r="AB82" s="2739"/>
      <c r="AC82" s="2739"/>
    </row>
    <row r="83" spans="1:29" ht="15" thickTop="1">
      <c r="A83" s="545"/>
      <c r="B83" s="484" t="s">
        <v>1740</v>
      </c>
      <c r="C83" s="500"/>
      <c r="D83" s="500"/>
      <c r="E83" s="529"/>
      <c r="F83" s="529"/>
      <c r="G83" s="529"/>
      <c r="H83" s="529"/>
      <c r="I83" s="529"/>
      <c r="J83" s="529"/>
      <c r="K83" s="530"/>
      <c r="L83" s="531"/>
      <c r="M83" s="532"/>
      <c r="N83" s="2745"/>
      <c r="O83" s="2745"/>
      <c r="P83" s="2754"/>
      <c r="Q83" s="2731"/>
      <c r="R83" s="2717"/>
      <c r="S83" s="2717"/>
      <c r="T83" s="2717"/>
      <c r="U83" s="2717"/>
      <c r="V83" s="2717"/>
      <c r="W83" s="2717"/>
      <c r="X83" s="2717"/>
      <c r="Y83" s="2717"/>
      <c r="Z83" s="2717"/>
      <c r="AA83" s="2717"/>
      <c r="AB83" s="2717"/>
      <c r="AC83" s="2717"/>
    </row>
    <row r="84" spans="1:29" ht="15.75" thickBot="1">
      <c r="A84" s="480"/>
      <c r="B84" s="489"/>
      <c r="C84" s="490">
        <v>100</v>
      </c>
      <c r="D84" s="490">
        <f t="shared" ref="D84:M84" si="18">C84-$K28</f>
        <v>100</v>
      </c>
      <c r="E84" s="490">
        <f t="shared" si="18"/>
        <v>100</v>
      </c>
      <c r="F84" s="490">
        <f t="shared" si="18"/>
        <v>100</v>
      </c>
      <c r="G84" s="490">
        <f t="shared" si="18"/>
        <v>100</v>
      </c>
      <c r="H84" s="490">
        <f t="shared" si="18"/>
        <v>100</v>
      </c>
      <c r="I84" s="490">
        <f t="shared" si="18"/>
        <v>100</v>
      </c>
      <c r="J84" s="490">
        <f t="shared" si="18"/>
        <v>100</v>
      </c>
      <c r="K84" s="490">
        <f t="shared" si="18"/>
        <v>100</v>
      </c>
      <c r="L84" s="490">
        <f t="shared" si="18"/>
        <v>100</v>
      </c>
      <c r="M84" s="491">
        <f t="shared" si="18"/>
        <v>100</v>
      </c>
      <c r="N84" s="2746"/>
      <c r="O84" s="2746"/>
      <c r="P84" s="2754"/>
      <c r="Q84" s="2731"/>
      <c r="R84" s="2717"/>
      <c r="S84" s="2717"/>
      <c r="T84" s="2717"/>
      <c r="U84" s="2717"/>
      <c r="V84" s="2717"/>
      <c r="W84" s="2717"/>
      <c r="X84" s="2717"/>
      <c r="Y84" s="2717"/>
      <c r="Z84" s="2717"/>
      <c r="AA84" s="2717"/>
      <c r="AB84" s="2717"/>
      <c r="AC84" s="2717"/>
    </row>
    <row r="85" spans="1:29" ht="15" thickTop="1">
      <c r="A85" s="545"/>
      <c r="B85" s="484" t="s">
        <v>1855</v>
      </c>
      <c r="C85" s="524" t="str">
        <f>C86&amp;"(含)"&amp;"-"&amp;D86</f>
        <v>0.5(含)-0.6</v>
      </c>
      <c r="D85" s="524" t="str">
        <f>D86&amp;"(含)"&amp;"-"&amp;E86</f>
        <v>0.6(含)-0.7</v>
      </c>
      <c r="E85" s="524" t="str">
        <f>E86&amp;"(含)"&amp;"-"&amp;F86</f>
        <v>0.7(含)-0.8</v>
      </c>
      <c r="F85" s="524" t="str">
        <f>F86&amp;"(含)"&amp;"-"&amp;G86</f>
        <v>0.8(含)-0.9</v>
      </c>
      <c r="G85" s="524" t="str">
        <f>G86&amp;"(含)"&amp;"-"&amp;ROUND(H86,0)&amp;"(含)"</f>
        <v>0.9(含)-1(含)</v>
      </c>
      <c r="H85" s="524"/>
      <c r="I85" s="529"/>
      <c r="J85" s="529"/>
      <c r="K85" s="530"/>
      <c r="L85" s="531"/>
      <c r="M85" s="532"/>
      <c r="N85" s="2745"/>
      <c r="O85" s="2745"/>
      <c r="P85" s="2754"/>
      <c r="Q85" s="2731"/>
      <c r="R85" s="2717"/>
      <c r="S85" s="2717"/>
      <c r="T85" s="2717"/>
      <c r="U85" s="2717"/>
      <c r="V85" s="2717"/>
      <c r="W85" s="2717"/>
      <c r="X85" s="2717"/>
      <c r="Y85" s="2717"/>
      <c r="Z85" s="2717"/>
      <c r="AA85" s="2717"/>
      <c r="AB85" s="2717"/>
      <c r="AC85" s="2717"/>
    </row>
    <row r="86" spans="1:29">
      <c r="A86" s="545"/>
      <c r="B86" s="492"/>
      <c r="C86" s="549">
        <v>0.5</v>
      </c>
      <c r="D86" s="549">
        <v>0.6</v>
      </c>
      <c r="E86" s="549">
        <v>0.7</v>
      </c>
      <c r="F86" s="549">
        <v>0.8</v>
      </c>
      <c r="G86" s="549">
        <v>0.9</v>
      </c>
      <c r="H86" s="549">
        <v>1.0001</v>
      </c>
      <c r="I86" s="568"/>
      <c r="J86" s="568"/>
      <c r="K86" s="569"/>
      <c r="L86" s="570"/>
      <c r="M86" s="571"/>
      <c r="N86" s="2745"/>
      <c r="O86" s="2745"/>
      <c r="P86" s="2754"/>
      <c r="Q86" s="2731"/>
      <c r="R86" s="2717"/>
      <c r="S86" s="2717"/>
      <c r="T86" s="2717"/>
      <c r="U86" s="2717"/>
      <c r="V86" s="2717"/>
      <c r="W86" s="2717"/>
      <c r="X86" s="2717"/>
      <c r="Y86" s="2717"/>
      <c r="Z86" s="2717"/>
      <c r="AA86" s="2717"/>
      <c r="AB86" s="2717"/>
      <c r="AC86" s="2717"/>
    </row>
    <row r="87" spans="1:29" ht="15.75" thickBot="1">
      <c r="A87" s="480"/>
      <c r="B87" s="489"/>
      <c r="C87" s="528">
        <v>100</v>
      </c>
      <c r="D87" s="490">
        <f>C87+$K$29</f>
        <v>100</v>
      </c>
      <c r="E87" s="490">
        <f t="shared" ref="E87:M87" si="19">D87+$K$29</f>
        <v>100</v>
      </c>
      <c r="F87" s="490">
        <f t="shared" si="19"/>
        <v>100</v>
      </c>
      <c r="G87" s="490">
        <f t="shared" si="19"/>
        <v>100</v>
      </c>
      <c r="H87" s="490">
        <f t="shared" si="19"/>
        <v>100</v>
      </c>
      <c r="I87" s="490">
        <f t="shared" si="19"/>
        <v>100</v>
      </c>
      <c r="J87" s="490">
        <f t="shared" si="19"/>
        <v>100</v>
      </c>
      <c r="K87" s="490">
        <f t="shared" si="19"/>
        <v>100</v>
      </c>
      <c r="L87" s="490">
        <f t="shared" si="19"/>
        <v>100</v>
      </c>
      <c r="M87" s="490">
        <f t="shared" si="19"/>
        <v>100</v>
      </c>
      <c r="N87" s="2746"/>
      <c r="O87" s="2746"/>
      <c r="P87" s="2754"/>
      <c r="Q87" s="2731"/>
      <c r="R87" s="2717"/>
      <c r="S87" s="2717"/>
      <c r="T87" s="2717"/>
      <c r="U87" s="2717"/>
      <c r="V87" s="2717"/>
      <c r="W87" s="2717"/>
      <c r="X87" s="2717"/>
      <c r="Y87" s="2717"/>
      <c r="Z87" s="2717"/>
      <c r="AA87" s="2717"/>
      <c r="AB87" s="2717"/>
      <c r="AC87" s="2717"/>
    </row>
    <row r="88" spans="1:29" ht="15" thickTop="1">
      <c r="A88" s="545"/>
      <c r="B88" s="492" t="s">
        <v>1856</v>
      </c>
      <c r="C88" s="476"/>
      <c r="D88" s="476"/>
      <c r="E88" s="476"/>
      <c r="F88" s="476"/>
      <c r="G88" s="476"/>
      <c r="H88" s="476"/>
      <c r="I88" s="476"/>
      <c r="J88" s="476"/>
      <c r="K88" s="477"/>
      <c r="L88" s="478"/>
      <c r="M88" s="479"/>
      <c r="N88" s="2745"/>
      <c r="O88" s="2745"/>
      <c r="P88" s="2754"/>
      <c r="Q88" s="2731"/>
      <c r="R88" s="2717"/>
      <c r="S88" s="2717"/>
      <c r="T88" s="2717"/>
      <c r="U88" s="2717"/>
      <c r="V88" s="2717"/>
      <c r="W88" s="2717"/>
      <c r="X88" s="2717"/>
      <c r="Y88" s="2717"/>
      <c r="Z88" s="2717"/>
      <c r="AA88" s="2717"/>
      <c r="AB88" s="2717"/>
      <c r="AC88" s="2717"/>
    </row>
    <row r="89" spans="1:29" ht="15.75" thickBot="1">
      <c r="A89" s="480"/>
      <c r="B89" s="489"/>
      <c r="C89" s="528">
        <v>100</v>
      </c>
      <c r="D89" s="490">
        <f t="shared" ref="D89:M89" si="20">C89+$K30</f>
        <v>100</v>
      </c>
      <c r="E89" s="490">
        <f t="shared" si="20"/>
        <v>100</v>
      </c>
      <c r="F89" s="490">
        <f t="shared" si="20"/>
        <v>100</v>
      </c>
      <c r="G89" s="490">
        <f t="shared" si="20"/>
        <v>100</v>
      </c>
      <c r="H89" s="490">
        <f t="shared" si="20"/>
        <v>100</v>
      </c>
      <c r="I89" s="490">
        <f t="shared" si="20"/>
        <v>100</v>
      </c>
      <c r="J89" s="490">
        <f t="shared" si="20"/>
        <v>100</v>
      </c>
      <c r="K89" s="490">
        <f t="shared" si="20"/>
        <v>100</v>
      </c>
      <c r="L89" s="490">
        <f t="shared" si="20"/>
        <v>100</v>
      </c>
      <c r="M89" s="490">
        <f t="shared" si="20"/>
        <v>100</v>
      </c>
      <c r="N89" s="2746"/>
      <c r="O89" s="2746"/>
      <c r="P89" s="2754"/>
      <c r="Q89" s="2731"/>
      <c r="R89" s="2717"/>
      <c r="S89" s="2717"/>
      <c r="T89" s="2717"/>
      <c r="U89" s="2717"/>
      <c r="V89" s="2717"/>
      <c r="W89" s="2717"/>
      <c r="X89" s="2717"/>
      <c r="Y89" s="2717"/>
      <c r="Z89" s="2717"/>
      <c r="AA89" s="2717"/>
      <c r="AB89" s="2717"/>
      <c r="AC89" s="2717"/>
    </row>
    <row r="90" spans="1:29" s="419" customFormat="1" ht="15" thickTop="1">
      <c r="A90" s="539"/>
      <c r="B90" s="484" t="s">
        <v>1857</v>
      </c>
      <c r="C90" s="524" t="str">
        <f>C91&amp;"(含)"&amp;"-"&amp;D91</f>
        <v>(含)-</v>
      </c>
      <c r="D90" s="524" t="str">
        <f t="shared" ref="D90:L90" si="21">D91&amp;"(含)"&amp;"-"&amp;E91</f>
        <v>(含)-</v>
      </c>
      <c r="E90" s="524" t="str">
        <f t="shared" si="21"/>
        <v>(含)-</v>
      </c>
      <c r="F90" s="524" t="str">
        <f t="shared" si="21"/>
        <v>(含)-</v>
      </c>
      <c r="G90" s="524" t="str">
        <f t="shared" si="21"/>
        <v>(含)-</v>
      </c>
      <c r="H90" s="524" t="str">
        <f t="shared" si="21"/>
        <v>(含)-</v>
      </c>
      <c r="I90" s="524" t="str">
        <f t="shared" si="21"/>
        <v>(含)-</v>
      </c>
      <c r="J90" s="524" t="str">
        <f t="shared" si="21"/>
        <v>(含)-</v>
      </c>
      <c r="K90" s="524" t="str">
        <f t="shared" si="21"/>
        <v>(含)-</v>
      </c>
      <c r="L90" s="524" t="str">
        <f t="shared" si="21"/>
        <v>(含)-</v>
      </c>
      <c r="M90" s="567" t="str">
        <f>M91&amp;"(含)"&amp;"-"&amp;P91</f>
        <v>(含)-</v>
      </c>
      <c r="N90" s="2747"/>
      <c r="O90" s="2747"/>
      <c r="P90" s="2755"/>
      <c r="Q90" s="2738"/>
      <c r="R90" s="2739"/>
      <c r="S90" s="2739"/>
      <c r="T90" s="2739"/>
      <c r="U90" s="2739"/>
      <c r="V90" s="2739"/>
      <c r="W90" s="2739"/>
      <c r="X90" s="2739"/>
      <c r="Y90" s="2739"/>
      <c r="Z90" s="2739"/>
      <c r="AA90" s="2739"/>
      <c r="AB90" s="2739"/>
      <c r="AC90" s="2739"/>
    </row>
    <row r="91" spans="1:29" s="419" customFormat="1">
      <c r="A91" s="539"/>
      <c r="B91" s="492"/>
      <c r="C91" s="541"/>
      <c r="D91" s="541"/>
      <c r="E91" s="541"/>
      <c r="F91" s="541"/>
      <c r="G91" s="541"/>
      <c r="H91" s="541"/>
      <c r="I91" s="541"/>
      <c r="J91" s="542"/>
      <c r="K91" s="542"/>
      <c r="L91" s="543"/>
      <c r="M91" s="544"/>
      <c r="N91" s="2747"/>
      <c r="O91" s="2747"/>
      <c r="P91" s="2755"/>
      <c r="Q91" s="2738"/>
      <c r="R91" s="2739"/>
      <c r="S91" s="2739"/>
      <c r="T91" s="2739"/>
      <c r="U91" s="2739"/>
      <c r="V91" s="2739"/>
      <c r="W91" s="2739"/>
      <c r="X91" s="2739"/>
      <c r="Y91" s="2739"/>
      <c r="Z91" s="2739"/>
      <c r="AA91" s="2739"/>
      <c r="AB91" s="2739"/>
      <c r="AC91" s="2739"/>
    </row>
    <row r="92" spans="1:29" s="419" customFormat="1" ht="15.75" thickBot="1">
      <c r="A92" s="499"/>
      <c r="B92" s="489"/>
      <c r="C92" s="506"/>
      <c r="D92" s="482"/>
      <c r="E92" s="482"/>
      <c r="F92" s="482"/>
      <c r="G92" s="482"/>
      <c r="H92" s="482"/>
      <c r="I92" s="482"/>
      <c r="J92" s="482"/>
      <c r="K92" s="482"/>
      <c r="L92" s="482"/>
      <c r="M92" s="483"/>
      <c r="N92" s="2747"/>
      <c r="O92" s="2747"/>
      <c r="P92" s="2755"/>
      <c r="Q92" s="2738"/>
      <c r="R92" s="2739"/>
      <c r="S92" s="2739"/>
      <c r="T92" s="2739"/>
      <c r="U92" s="2739"/>
      <c r="V92" s="2739"/>
      <c r="W92" s="2739"/>
      <c r="X92" s="2739"/>
      <c r="Y92" s="2739"/>
      <c r="Z92" s="2739"/>
      <c r="AA92" s="2739"/>
      <c r="AB92" s="2739"/>
      <c r="AC92" s="2739"/>
    </row>
    <row r="93" spans="1:29" ht="15" thickTop="1">
      <c r="A93" s="545"/>
      <c r="B93" s="484" t="s">
        <v>1858</v>
      </c>
      <c r="C93" s="500"/>
      <c r="D93" s="500"/>
      <c r="E93" s="529"/>
      <c r="F93" s="529"/>
      <c r="G93" s="529"/>
      <c r="H93" s="529"/>
      <c r="I93" s="529"/>
      <c r="J93" s="529"/>
      <c r="K93" s="530"/>
      <c r="L93" s="531"/>
      <c r="M93" s="532"/>
      <c r="N93" s="2745"/>
      <c r="O93" s="2745"/>
      <c r="P93" s="2754"/>
      <c r="Q93" s="2731"/>
      <c r="R93" s="2717"/>
      <c r="S93" s="2717"/>
      <c r="T93" s="2717"/>
      <c r="U93" s="2717"/>
      <c r="V93" s="2717"/>
      <c r="W93" s="2717"/>
      <c r="X93" s="2717"/>
      <c r="Y93" s="2717"/>
      <c r="Z93" s="2717"/>
      <c r="AA93" s="2717"/>
      <c r="AB93" s="2717"/>
      <c r="AC93" s="2717"/>
    </row>
    <row r="94" spans="1:29" ht="15.75" thickBot="1">
      <c r="A94" s="480"/>
      <c r="B94" s="489"/>
      <c r="C94" s="490">
        <v>100</v>
      </c>
      <c r="D94" s="490">
        <f t="shared" ref="D94:M94" si="22">C94-$K32</f>
        <v>100</v>
      </c>
      <c r="E94" s="490">
        <f t="shared" si="22"/>
        <v>100</v>
      </c>
      <c r="F94" s="490">
        <f t="shared" si="22"/>
        <v>100</v>
      </c>
      <c r="G94" s="490">
        <f t="shared" si="22"/>
        <v>100</v>
      </c>
      <c r="H94" s="490">
        <f t="shared" si="22"/>
        <v>100</v>
      </c>
      <c r="I94" s="490">
        <f t="shared" si="22"/>
        <v>100</v>
      </c>
      <c r="J94" s="490">
        <f t="shared" si="22"/>
        <v>100</v>
      </c>
      <c r="K94" s="490">
        <f t="shared" si="22"/>
        <v>100</v>
      </c>
      <c r="L94" s="490">
        <f t="shared" si="22"/>
        <v>100</v>
      </c>
      <c r="M94" s="491">
        <f t="shared" si="22"/>
        <v>100</v>
      </c>
      <c r="N94" s="2746"/>
      <c r="O94" s="2746"/>
      <c r="P94" s="2754"/>
      <c r="Q94" s="2731"/>
      <c r="R94" s="2717"/>
      <c r="S94" s="2717"/>
      <c r="T94" s="2717"/>
      <c r="U94" s="2717"/>
      <c r="V94" s="2717"/>
      <c r="W94" s="2717"/>
      <c r="X94" s="2717"/>
      <c r="Y94" s="2717"/>
      <c r="Z94" s="2717"/>
      <c r="AA94" s="2717"/>
      <c r="AB94" s="2717"/>
      <c r="AC94" s="2717"/>
    </row>
    <row r="95" spans="1:29" ht="15" thickTop="1">
      <c r="A95" s="545"/>
      <c r="B95" s="484" t="s">
        <v>1859</v>
      </c>
      <c r="C95" s="476"/>
      <c r="D95" s="476"/>
      <c r="E95" s="476"/>
      <c r="F95" s="476"/>
      <c r="G95" s="476"/>
      <c r="H95" s="476"/>
      <c r="I95" s="476"/>
      <c r="J95" s="476"/>
      <c r="K95" s="477"/>
      <c r="L95" s="478"/>
      <c r="M95" s="479"/>
      <c r="N95" s="2745"/>
      <c r="O95" s="2745"/>
      <c r="P95" s="2754"/>
      <c r="Q95" s="2731"/>
      <c r="R95" s="2717"/>
      <c r="S95" s="2717"/>
      <c r="T95" s="2717"/>
      <c r="U95" s="2717"/>
      <c r="V95" s="2717"/>
      <c r="W95" s="2717"/>
      <c r="X95" s="2717"/>
      <c r="Y95" s="2717"/>
      <c r="Z95" s="2717"/>
      <c r="AA95" s="2717"/>
      <c r="AB95" s="2717"/>
      <c r="AC95" s="2717"/>
    </row>
    <row r="96" spans="1:29" ht="15.75" thickBot="1">
      <c r="A96" s="480"/>
      <c r="B96" s="489"/>
      <c r="C96" s="490">
        <v>100</v>
      </c>
      <c r="D96" s="490">
        <f>C96-$K33</f>
        <v>100</v>
      </c>
      <c r="E96" s="490">
        <f>D96-$K33</f>
        <v>100</v>
      </c>
      <c r="F96" s="490">
        <f>E96-$K33</f>
        <v>100</v>
      </c>
      <c r="G96" s="490">
        <f>F96-$K33</f>
        <v>100</v>
      </c>
      <c r="H96" s="490"/>
      <c r="I96" s="490"/>
      <c r="J96" s="490"/>
      <c r="K96" s="490"/>
      <c r="L96" s="490"/>
      <c r="M96" s="491"/>
      <c r="N96" s="2746"/>
      <c r="O96" s="2746"/>
      <c r="P96" s="2754"/>
      <c r="Q96" s="2731"/>
      <c r="R96" s="2717"/>
      <c r="S96" s="2717"/>
      <c r="T96" s="2717"/>
      <c r="U96" s="2717"/>
      <c r="V96" s="2717"/>
      <c r="W96" s="2717"/>
      <c r="X96" s="2717"/>
      <c r="Y96" s="2717"/>
      <c r="Z96" s="2717"/>
      <c r="AA96" s="2717"/>
      <c r="AB96" s="2717"/>
      <c r="AC96" s="2717"/>
    </row>
    <row r="97" spans="1:29" ht="15" thickTop="1">
      <c r="A97" s="545"/>
      <c r="B97" s="581">
        <f>B34</f>
        <v>111</v>
      </c>
      <c r="C97" s="495"/>
      <c r="D97" s="495"/>
      <c r="E97" s="495"/>
      <c r="F97" s="495"/>
      <c r="G97" s="500"/>
      <c r="H97" s="501"/>
      <c r="I97" s="501"/>
      <c r="J97" s="501"/>
      <c r="K97" s="501"/>
      <c r="L97" s="502"/>
      <c r="M97" s="503"/>
      <c r="N97" s="2746"/>
      <c r="O97" s="2746"/>
      <c r="P97" s="2759"/>
      <c r="Q97" s="2760"/>
      <c r="R97" s="2717"/>
      <c r="S97" s="2717"/>
      <c r="T97" s="2717"/>
      <c r="U97" s="2717"/>
      <c r="V97" s="2717"/>
      <c r="W97" s="2717"/>
      <c r="X97" s="2717"/>
      <c r="Y97" s="2717"/>
      <c r="Z97" s="2717"/>
      <c r="AA97" s="2717"/>
      <c r="AB97" s="2717"/>
      <c r="AC97" s="2717"/>
    </row>
    <row r="98" spans="1:29" ht="15.75" thickBot="1">
      <c r="A98" s="480"/>
      <c r="B98" s="489"/>
      <c r="C98" s="506"/>
      <c r="D98" s="482"/>
      <c r="E98" s="482"/>
      <c r="F98" s="482"/>
      <c r="G98" s="506"/>
      <c r="H98" s="508"/>
      <c r="I98" s="508"/>
      <c r="J98" s="508"/>
      <c r="K98" s="508"/>
      <c r="L98" s="508"/>
      <c r="M98" s="509"/>
      <c r="N98" s="2746"/>
      <c r="O98" s="2746"/>
      <c r="P98" s="2754"/>
      <c r="Q98" s="2731"/>
      <c r="R98" s="2717"/>
      <c r="S98" s="2717"/>
      <c r="T98" s="2717"/>
      <c r="U98" s="2717"/>
      <c r="V98" s="2717"/>
      <c r="W98" s="2717"/>
      <c r="X98" s="2717"/>
      <c r="Y98" s="2717"/>
      <c r="Z98" s="2717"/>
      <c r="AA98" s="2717"/>
      <c r="AB98" s="2717"/>
      <c r="AC98" s="2717"/>
    </row>
    <row r="99" spans="1:29" s="419" customFormat="1" ht="15" thickTop="1">
      <c r="A99" s="539"/>
      <c r="B99" s="484">
        <f>B35</f>
        <v>111</v>
      </c>
      <c r="C99" s="495"/>
      <c r="D99" s="495"/>
      <c r="E99" s="495"/>
      <c r="F99" s="495"/>
      <c r="G99" s="500"/>
      <c r="H99" s="501"/>
      <c r="I99" s="501"/>
      <c r="J99" s="501"/>
      <c r="K99" s="501"/>
      <c r="L99" s="502"/>
      <c r="M99" s="503"/>
      <c r="N99" s="2747"/>
      <c r="O99" s="2747"/>
      <c r="P99" s="2755"/>
      <c r="Q99" s="2738"/>
      <c r="R99" s="2739"/>
      <c r="S99" s="2739"/>
      <c r="T99" s="2739"/>
      <c r="U99" s="2739"/>
      <c r="V99" s="2739"/>
      <c r="W99" s="2739"/>
      <c r="X99" s="2739"/>
      <c r="Y99" s="2739"/>
      <c r="Z99" s="2739"/>
      <c r="AA99" s="2739"/>
      <c r="AB99" s="2739"/>
      <c r="AC99" s="2739"/>
    </row>
    <row r="100" spans="1:29" s="419" customFormat="1" ht="15.75" thickBot="1">
      <c r="A100" s="499"/>
      <c r="B100" s="481"/>
      <c r="C100" s="506"/>
      <c r="D100" s="482"/>
      <c r="E100" s="482"/>
      <c r="F100" s="482"/>
      <c r="G100" s="506"/>
      <c r="H100" s="508"/>
      <c r="I100" s="508"/>
      <c r="J100" s="508"/>
      <c r="K100" s="508"/>
      <c r="L100" s="508"/>
      <c r="M100" s="509"/>
      <c r="N100" s="2747"/>
      <c r="O100" s="2747"/>
      <c r="P100" s="2755"/>
      <c r="Q100" s="2738"/>
      <c r="R100" s="2739"/>
      <c r="S100" s="2739"/>
      <c r="T100" s="2739"/>
      <c r="U100" s="2739"/>
      <c r="V100" s="2739"/>
      <c r="W100" s="2739"/>
      <c r="X100" s="2739"/>
      <c r="Y100" s="2739"/>
      <c r="Z100" s="2739"/>
      <c r="AA100" s="2739"/>
      <c r="AB100" s="2739"/>
      <c r="AC100" s="2739"/>
    </row>
    <row r="101" spans="1:29" ht="15" thickTop="1">
      <c r="A101" s="545"/>
      <c r="B101" s="484">
        <f>B36</f>
        <v>111</v>
      </c>
      <c r="C101" s="500"/>
      <c r="D101" s="500"/>
      <c r="E101" s="500"/>
      <c r="F101" s="500"/>
      <c r="G101" s="500"/>
      <c r="H101" s="501"/>
      <c r="I101" s="501"/>
      <c r="J101" s="501"/>
      <c r="K101" s="501"/>
      <c r="L101" s="502"/>
      <c r="M101" s="503"/>
      <c r="N101" s="2745"/>
      <c r="O101" s="2745"/>
      <c r="P101" s="2754"/>
      <c r="Q101" s="2731"/>
      <c r="R101" s="2717"/>
      <c r="S101" s="2717"/>
      <c r="T101" s="2717"/>
      <c r="U101" s="2717"/>
      <c r="V101" s="2717"/>
      <c r="W101" s="2717"/>
      <c r="X101" s="2717"/>
      <c r="Y101" s="2717"/>
      <c r="Z101" s="2717"/>
      <c r="AA101" s="2717"/>
      <c r="AB101" s="2717"/>
      <c r="AC101" s="2717"/>
    </row>
    <row r="102" spans="1:29" ht="15.75" thickBot="1">
      <c r="A102" s="480"/>
      <c r="B102" s="489"/>
      <c r="C102" s="506"/>
      <c r="D102" s="506"/>
      <c r="E102" s="506"/>
      <c r="F102" s="506"/>
      <c r="G102" s="506"/>
      <c r="H102" s="508"/>
      <c r="I102" s="508"/>
      <c r="J102" s="508"/>
      <c r="K102" s="508"/>
      <c r="L102" s="508"/>
      <c r="M102" s="509"/>
      <c r="N102" s="2746"/>
      <c r="O102" s="2746"/>
      <c r="P102" s="2754"/>
      <c r="Q102" s="2731"/>
      <c r="R102" s="2717"/>
      <c r="S102" s="2717"/>
      <c r="T102" s="2717"/>
      <c r="U102" s="2717"/>
      <c r="V102" s="2717"/>
      <c r="W102" s="2717"/>
      <c r="X102" s="2717"/>
      <c r="Y102" s="2717"/>
      <c r="Z102" s="2717"/>
      <c r="AA102" s="2717"/>
      <c r="AB102" s="2717"/>
      <c r="AC102" s="2717"/>
    </row>
    <row r="103" spans="1:29" ht="15" thickTop="1">
      <c r="N103" s="2717"/>
      <c r="O103" s="2717"/>
      <c r="P103" s="2748"/>
      <c r="Q103" s="2717"/>
      <c r="R103" s="2717"/>
      <c r="S103" s="2717"/>
      <c r="T103" s="2717"/>
      <c r="U103" s="2717"/>
      <c r="V103" s="2717"/>
      <c r="W103" s="2717"/>
      <c r="X103" s="2717"/>
      <c r="Y103" s="2717"/>
      <c r="Z103" s="2717"/>
      <c r="AA103" s="2717"/>
      <c r="AB103" s="2717"/>
      <c r="AC103" s="2717"/>
    </row>
  </sheetData>
  <sheetProtection password="CEE9"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42 H42 J42">
    <cfRule type="containsText" dxfId="60" priority="18" stopIfTrue="1" operator="containsText" text="超过">
      <formula>NOT(ISERROR(SEARCH("超过",F42)))</formula>
    </cfRule>
  </conditionalFormatting>
  <conditionalFormatting sqref="J44">
    <cfRule type="containsText" dxfId="59" priority="17" stopIfTrue="1" operator="containsText" text="超过">
      <formula>NOT(ISERROR(SEARCH("超过",J44)))</formula>
    </cfRule>
  </conditionalFormatting>
  <conditionalFormatting sqref="H44">
    <cfRule type="containsText" dxfId="58" priority="16" stopIfTrue="1" operator="containsText" text="超过">
      <formula>NOT(ISERROR(SEARCH("超过",H44)))</formula>
    </cfRule>
  </conditionalFormatting>
  <conditionalFormatting sqref="F44">
    <cfRule type="containsText" dxfId="57" priority="15" stopIfTrue="1" operator="containsText" text="超过">
      <formula>NOT(ISERROR(SEARCH("超过",F44)))</formula>
    </cfRule>
  </conditionalFormatting>
  <conditionalFormatting sqref="F43 H43 J43">
    <cfRule type="containsText" dxfId="56" priority="14" stopIfTrue="1" operator="containsText" text="超过">
      <formula>NOT(ISERROR(SEARCH("超过",F43)))</formula>
    </cfRule>
  </conditionalFormatting>
  <conditionalFormatting sqref="E42">
    <cfRule type="expression" dxfId="55" priority="13" stopIfTrue="1">
      <formula>$F$42="超过30%"</formula>
    </cfRule>
  </conditionalFormatting>
  <conditionalFormatting sqref="G44">
    <cfRule type="expression" dxfId="54" priority="12" stopIfTrue="1">
      <formula>$H$54+$H$44="超过30%"</formula>
    </cfRule>
  </conditionalFormatting>
  <conditionalFormatting sqref="E43">
    <cfRule type="expression" dxfId="53" priority="11" stopIfTrue="1">
      <formula>$F$43="超过20%"</formula>
    </cfRule>
  </conditionalFormatting>
  <conditionalFormatting sqref="E44">
    <cfRule type="expression" dxfId="52" priority="10" stopIfTrue="1">
      <formula>$F$44="超过30%"</formula>
    </cfRule>
  </conditionalFormatting>
  <conditionalFormatting sqref="G42">
    <cfRule type="expression" dxfId="51" priority="9" stopIfTrue="1">
      <formula>$H$52+$H$42="超过30%"</formula>
    </cfRule>
  </conditionalFormatting>
  <conditionalFormatting sqref="G43">
    <cfRule type="expression" dxfId="50" priority="8" stopIfTrue="1">
      <formula>$H$43="超过20%"</formula>
    </cfRule>
  </conditionalFormatting>
  <conditionalFormatting sqref="I42">
    <cfRule type="expression" dxfId="49" priority="7" stopIfTrue="1">
      <formula>$J$52+$J$42="超过30%"</formula>
    </cfRule>
  </conditionalFormatting>
  <conditionalFormatting sqref="I43">
    <cfRule type="expression" dxfId="48" priority="6" stopIfTrue="1">
      <formula>$J$53+$J$43="超过20%"</formula>
    </cfRule>
  </conditionalFormatting>
  <conditionalFormatting sqref="I44">
    <cfRule type="expression" dxfId="47" priority="5" stopIfTrue="1">
      <formula>$J$44="超过30%"</formula>
    </cfRule>
  </conditionalFormatting>
  <conditionalFormatting sqref="F38">
    <cfRule type="expression" dxfId="46" priority="4">
      <formula>$D$38="简单平均"</formula>
    </cfRule>
  </conditionalFormatting>
  <conditionalFormatting sqref="H38">
    <cfRule type="expression" dxfId="45" priority="3">
      <formula>$D$38="简单平均"</formula>
    </cfRule>
  </conditionalFormatting>
  <conditionalFormatting sqref="J38">
    <cfRule type="expression" dxfId="44" priority="2">
      <formula>$D$38="简单平均"</formula>
    </cfRule>
  </conditionalFormatting>
  <conditionalFormatting sqref="F7:F36 H7:H36 J7:J36">
    <cfRule type="cellIs" dxfId="43"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L14" sqref="L14"/>
    </sheetView>
  </sheetViews>
  <sheetFormatPr defaultColWidth="9" defaultRowHeight="14.25"/>
  <cols>
    <col min="1" max="1" width="10.5" style="354" customWidth="1"/>
    <col min="2" max="2" width="15.875" style="354" customWidth="1"/>
    <col min="3" max="3" width="14.375" style="354" customWidth="1"/>
    <col min="4" max="4" width="12.125" style="354" customWidth="1"/>
    <col min="5" max="5" width="14.375" style="354" customWidth="1"/>
    <col min="6" max="6" width="12.125" style="354" customWidth="1"/>
    <col min="7" max="7" width="14.5" style="354" customWidth="1"/>
    <col min="8" max="8" width="12.125" style="354" customWidth="1"/>
    <col min="9" max="9" width="14.5" style="354" customWidth="1"/>
    <col min="10" max="10" width="12.125" style="354" customWidth="1"/>
    <col min="11" max="11" width="12.125" style="441" customWidth="1"/>
    <col min="12" max="12" width="12.125" style="442" customWidth="1"/>
    <col min="13" max="15" width="12.125" style="354" customWidth="1"/>
    <col min="16" max="16" width="4.875" style="354" customWidth="1"/>
    <col min="17" max="17" width="19.5" style="354" customWidth="1"/>
    <col min="18" max="22" width="6.125" style="354" customWidth="1"/>
    <col min="23" max="23" width="5.875" style="354" customWidth="1"/>
    <col min="24" max="24" width="4.125" style="354" customWidth="1"/>
    <col min="25" max="25" width="3.5" style="354" customWidth="1"/>
    <col min="26" max="26" width="19.875" style="354" customWidth="1"/>
    <col min="27" max="28" width="9.375" style="354" customWidth="1"/>
    <col min="29" max="16384" width="9" style="354"/>
  </cols>
  <sheetData>
    <row r="1" spans="1:29" s="1229" customFormat="1" ht="28.5" customHeight="1" thickBot="1">
      <c r="A1" s="1218" t="s">
        <v>1831</v>
      </c>
      <c r="B1" s="1219" t="s">
        <v>3338</v>
      </c>
      <c r="C1" s="1220" t="s">
        <v>1662</v>
      </c>
      <c r="D1" s="1221"/>
      <c r="E1" s="3425"/>
      <c r="F1" s="1875"/>
      <c r="G1" s="1231" t="s">
        <v>1767</v>
      </c>
      <c r="H1" s="1230"/>
      <c r="I1" s="1230"/>
      <c r="J1" s="1230"/>
      <c r="K1" s="1232"/>
      <c r="L1" s="1233"/>
      <c r="M1" s="1234"/>
      <c r="N1" s="1234"/>
      <c r="O1" s="1234"/>
      <c r="P1" s="1220"/>
      <c r="Q1" s="1220"/>
      <c r="R1" s="1220"/>
      <c r="S1" s="1220"/>
      <c r="T1" s="1220"/>
      <c r="U1" s="1220"/>
      <c r="V1" s="1220"/>
      <c r="W1" s="1220"/>
      <c r="X1" s="1220"/>
      <c r="Y1" s="1220"/>
      <c r="Z1" s="1220"/>
      <c r="AA1" s="1220"/>
      <c r="AB1" s="1220"/>
      <c r="AC1" s="1228"/>
    </row>
    <row r="2" spans="1:29" s="349" customFormat="1" ht="28.5" customHeight="1" thickTop="1">
      <c r="A2" s="1217" t="s">
        <v>1462</v>
      </c>
      <c r="B2" s="1160" t="b">
        <f>IF(E1="项目模式",IF(C2="——",ROUND(C37*D3/10000,0),ROUND(C37*D3/10000,0)-D2),IF(E1="单套模式",IF(C2="——",ROUND(C37*D3/10000,4),ROUND(C37*D3/10000,4)-D2)))</f>
        <v>0</v>
      </c>
      <c r="C2" s="1877"/>
      <c r="D2" s="903" t="e">
        <f ca="1">IF(E1="项目模式",SUMIF(INDIRECT("'"&amp;F2&amp;"'"&amp;"!A:A"),"承租人权益价值",INDIRECT("'"&amp;F2&amp;"'"&amp;"!c:c")),SUMIF(INDIRECT("'"&amp;F2&amp;"'"&amp;"!A:A"),"承租人权益价值（单套）",INDIRECT("'"&amp;F2&amp;"'"&amp;"!c:c")))</f>
        <v>#REF!</v>
      </c>
      <c r="E2" s="1878" t="s">
        <v>1463</v>
      </c>
      <c r="F2" s="1879"/>
      <c r="G2" s="904"/>
      <c r="H2" s="904"/>
      <c r="I2" s="904"/>
      <c r="J2" s="904"/>
      <c r="K2" s="906"/>
      <c r="L2" s="2726"/>
      <c r="M2" s="2727"/>
      <c r="N2" s="2727"/>
      <c r="O2" s="2727"/>
      <c r="P2" s="695"/>
      <c r="Q2" s="695"/>
      <c r="R2" s="695"/>
      <c r="S2" s="695"/>
      <c r="T2" s="695"/>
      <c r="U2" s="695"/>
      <c r="V2" s="695"/>
      <c r="W2" s="695"/>
      <c r="X2" s="695"/>
      <c r="Y2" s="695"/>
      <c r="Z2" s="695"/>
      <c r="AA2" s="695"/>
      <c r="AB2" s="695"/>
      <c r="AC2" s="696"/>
    </row>
    <row r="3" spans="1:29" s="349" customFormat="1" ht="28.5" customHeight="1" thickBot="1">
      <c r="A3" s="200" t="s">
        <v>1464</v>
      </c>
      <c r="B3" s="555" t="e">
        <f>IF(C2="——",C37,ROUND(B2*10000/D3,0))</f>
        <v>#DIV/0!</v>
      </c>
      <c r="C3" s="351" t="s">
        <v>1768</v>
      </c>
      <c r="D3" s="350">
        <f>SUMIF('数据-汇总表'!$C19:$C33,D1,'数据-汇总表'!$E19:$E33)</f>
        <v>0</v>
      </c>
      <c r="E3" s="904"/>
      <c r="F3" s="905"/>
      <c r="G3" s="904"/>
      <c r="H3" s="904"/>
      <c r="I3" s="904"/>
      <c r="J3" s="904"/>
      <c r="K3" s="906"/>
      <c r="L3" s="2726"/>
      <c r="M3" s="2727"/>
      <c r="N3" s="2727"/>
      <c r="O3" s="2727"/>
      <c r="P3" s="695"/>
      <c r="Q3" s="695"/>
      <c r="R3" s="695"/>
      <c r="S3" s="695"/>
      <c r="T3" s="695"/>
      <c r="U3" s="695"/>
      <c r="V3" s="695"/>
      <c r="W3" s="695"/>
      <c r="X3" s="695"/>
      <c r="Y3" s="695"/>
      <c r="Z3" s="695"/>
      <c r="AA3" s="695"/>
      <c r="AB3" s="712"/>
      <c r="AC3" s="709"/>
    </row>
    <row r="4" spans="1:29" ht="15">
      <c r="A4" s="352" t="s">
        <v>1769</v>
      </c>
      <c r="B4" s="353"/>
      <c r="C4" s="3738" t="s">
        <v>1770</v>
      </c>
      <c r="D4" s="3739"/>
      <c r="E4" s="3740" t="s">
        <v>1771</v>
      </c>
      <c r="F4" s="3741"/>
      <c r="G4" s="3738" t="s">
        <v>1772</v>
      </c>
      <c r="H4" s="3739"/>
      <c r="I4" s="3738" t="s">
        <v>1773</v>
      </c>
      <c r="J4" s="3739"/>
      <c r="K4" s="556" t="s">
        <v>1774</v>
      </c>
      <c r="L4" s="2707"/>
      <c r="M4" s="2708"/>
      <c r="N4" s="2708"/>
      <c r="O4" s="2708"/>
      <c r="P4" s="3742" t="s">
        <v>1775</v>
      </c>
      <c r="Q4" s="3743"/>
      <c r="R4" s="3722" t="s">
        <v>1771</v>
      </c>
      <c r="S4" s="3723"/>
      <c r="T4" s="3722" t="s">
        <v>1772</v>
      </c>
      <c r="U4" s="3723"/>
      <c r="V4" s="3750" t="s">
        <v>1773</v>
      </c>
      <c r="W4" s="3750"/>
      <c r="X4" s="1351"/>
      <c r="Y4" s="3722" t="s">
        <v>1775</v>
      </c>
      <c r="Z4" s="3723"/>
      <c r="AA4" s="3717" t="s">
        <v>1771</v>
      </c>
      <c r="AB4" s="3718" t="s">
        <v>1772</v>
      </c>
      <c r="AC4" s="3717" t="s">
        <v>1773</v>
      </c>
    </row>
    <row r="5" spans="1:29" ht="15">
      <c r="A5" s="355"/>
      <c r="B5" s="356"/>
      <c r="C5" s="3822" t="s">
        <v>1673</v>
      </c>
      <c r="D5" s="3823"/>
      <c r="E5" s="3820" t="s">
        <v>1674</v>
      </c>
      <c r="F5" s="3821"/>
      <c r="G5" s="3822" t="s">
        <v>1675</v>
      </c>
      <c r="H5" s="3823"/>
      <c r="I5" s="3822" t="s">
        <v>1676</v>
      </c>
      <c r="J5" s="3823"/>
      <c r="K5" s="556"/>
      <c r="L5" s="2707"/>
      <c r="M5" s="2708"/>
      <c r="N5" s="2708"/>
      <c r="O5" s="2708"/>
      <c r="P5" s="3744"/>
      <c r="Q5" s="3745"/>
      <c r="R5" s="3724"/>
      <c r="S5" s="3725"/>
      <c r="T5" s="3724"/>
      <c r="U5" s="3725"/>
      <c r="V5" s="3750"/>
      <c r="W5" s="3750"/>
      <c r="X5" s="1351"/>
      <c r="Y5" s="3724"/>
      <c r="Z5" s="3725"/>
      <c r="AA5" s="3718"/>
      <c r="AB5" s="3718"/>
      <c r="AC5" s="3718"/>
    </row>
    <row r="6" spans="1:29" ht="15.75" thickBot="1">
      <c r="A6" s="357"/>
      <c r="B6" s="358"/>
      <c r="C6" s="3730" t="s">
        <v>1677</v>
      </c>
      <c r="D6" s="3731"/>
      <c r="E6" s="3824" t="s">
        <v>1677</v>
      </c>
      <c r="F6" s="3825"/>
      <c r="G6" s="3730" t="s">
        <v>1677</v>
      </c>
      <c r="H6" s="3731"/>
      <c r="I6" s="3730" t="s">
        <v>1677</v>
      </c>
      <c r="J6" s="3731"/>
      <c r="K6" s="556" t="s">
        <v>1678</v>
      </c>
      <c r="L6" s="2707"/>
      <c r="M6" s="2708"/>
      <c r="N6" s="2708"/>
      <c r="O6" s="2708"/>
      <c r="P6" s="3746"/>
      <c r="Q6" s="3747"/>
      <c r="R6" s="3724"/>
      <c r="S6" s="3725"/>
      <c r="T6" s="3748"/>
      <c r="U6" s="3749"/>
      <c r="V6" s="3750"/>
      <c r="W6" s="3750"/>
      <c r="X6" s="1351"/>
      <c r="Y6" s="3748"/>
      <c r="Z6" s="3749"/>
      <c r="AA6" s="3719"/>
      <c r="AB6" s="3719"/>
      <c r="AC6" s="3719"/>
    </row>
    <row r="7" spans="1:29" s="108" customFormat="1" ht="15.75" thickBot="1">
      <c r="A7" s="359" t="s">
        <v>1679</v>
      </c>
      <c r="B7" s="360"/>
      <c r="C7" s="361">
        <f>'数据-取费表'!B2</f>
        <v>45114</v>
      </c>
      <c r="D7" s="362">
        <v>100</v>
      </c>
      <c r="E7" s="363"/>
      <c r="F7" s="364">
        <f>SUMIF(46:46,YEAR(E7)&amp;"-"&amp;MONTH(E7),47:47)</f>
        <v>0</v>
      </c>
      <c r="G7" s="1967"/>
      <c r="H7" s="362">
        <f>SUMIF(46:46,YEAR(G7)&amp;"-"&amp;MONTH(G7),47:47)</f>
        <v>0</v>
      </c>
      <c r="I7" s="363"/>
      <c r="J7" s="362">
        <f>SUMIF(46:46,YEAR(I7)&amp;"-"&amp;MONTH(I7),47:47)</f>
        <v>0</v>
      </c>
      <c r="K7" s="557"/>
      <c r="L7" s="2709"/>
      <c r="M7" s="2710"/>
      <c r="N7" s="2710"/>
      <c r="O7" s="2710"/>
      <c r="P7" s="3720" t="s">
        <v>1680</v>
      </c>
      <c r="Q7" s="3751"/>
      <c r="R7" s="697" t="s">
        <v>14</v>
      </c>
      <c r="S7" s="698">
        <f t="shared" ref="S7:S14" si="0">F7</f>
        <v>0</v>
      </c>
      <c r="T7" s="697" t="s">
        <v>14</v>
      </c>
      <c r="U7" s="698">
        <f t="shared" ref="U7:U14" si="1">H7</f>
        <v>0</v>
      </c>
      <c r="V7" s="697" t="s">
        <v>14</v>
      </c>
      <c r="W7" s="698">
        <f t="shared" ref="W7:W14" si="2">J7</f>
        <v>0</v>
      </c>
      <c r="X7" s="699"/>
      <c r="Y7" s="3720" t="s">
        <v>1680</v>
      </c>
      <c r="Z7" s="3721"/>
      <c r="AA7" s="700" t="e">
        <f>D7/F7</f>
        <v>#DIV/0!</v>
      </c>
      <c r="AB7" s="700" t="e">
        <f>D7/H7</f>
        <v>#DIV/0!</v>
      </c>
      <c r="AC7" s="700" t="e">
        <f>D7/J7</f>
        <v>#DIV/0!</v>
      </c>
    </row>
    <row r="8" spans="1:29" s="108" customFormat="1" ht="15.75" thickBot="1">
      <c r="A8" s="359" t="s">
        <v>1681</v>
      </c>
      <c r="B8" s="360"/>
      <c r="C8" s="365"/>
      <c r="D8" s="362">
        <v>100</v>
      </c>
      <c r="E8" s="365"/>
      <c r="F8" s="364">
        <f>SUMIF(49:49,E8,50:50)-SUMIF(49:49,C8,50:50)+100</f>
        <v>100</v>
      </c>
      <c r="G8" s="365"/>
      <c r="H8" s="362">
        <f>SUMIF(49:49,G8,50:50)-SUMIF(49:49,C8,50:50)+100</f>
        <v>100</v>
      </c>
      <c r="I8" s="365"/>
      <c r="J8" s="362">
        <f>SUMIF(49:49,I8,50:50)-SUMIF(49:49,C8,50:50)+100</f>
        <v>100</v>
      </c>
      <c r="K8" s="557"/>
      <c r="L8" s="2709"/>
      <c r="M8" s="2710"/>
      <c r="N8" s="2710"/>
      <c r="O8" s="2710"/>
      <c r="P8" s="3720" t="s">
        <v>1683</v>
      </c>
      <c r="Q8" s="3721"/>
      <c r="R8" s="697" t="s">
        <v>14</v>
      </c>
      <c r="S8" s="698">
        <f t="shared" si="0"/>
        <v>100</v>
      </c>
      <c r="T8" s="697" t="s">
        <v>14</v>
      </c>
      <c r="U8" s="698">
        <f t="shared" si="1"/>
        <v>100</v>
      </c>
      <c r="V8" s="697" t="s">
        <v>14</v>
      </c>
      <c r="W8" s="698">
        <f t="shared" si="2"/>
        <v>100</v>
      </c>
      <c r="X8" s="699"/>
      <c r="Y8" s="3720" t="s">
        <v>1683</v>
      </c>
      <c r="Z8" s="3721"/>
      <c r="AA8" s="700">
        <f t="shared" ref="AA8:AA34" si="3">D8/F8</f>
        <v>1</v>
      </c>
      <c r="AB8" s="700">
        <f t="shared" ref="AB8:AB34" si="4">D8/H8</f>
        <v>1</v>
      </c>
      <c r="AC8" s="700">
        <f t="shared" ref="AC8:AC34" si="5">D8/J8</f>
        <v>1</v>
      </c>
    </row>
    <row r="9" spans="1:29" s="108" customFormat="1">
      <c r="A9" s="366" t="s">
        <v>1684</v>
      </c>
      <c r="B9" s="63" t="s">
        <v>1685</v>
      </c>
      <c r="C9" s="367"/>
      <c r="D9" s="124">
        <v>100</v>
      </c>
      <c r="E9" s="370"/>
      <c r="F9" s="369">
        <f>SUMIF(51:51,E9,52:52)-SUMIF(51:51,C9,52:52)+100</f>
        <v>100</v>
      </c>
      <c r="G9" s="370"/>
      <c r="H9" s="124">
        <f>SUMIF(51:51,G9,52:52)-SUMIF(51:51,C9,52:52)+100</f>
        <v>100</v>
      </c>
      <c r="I9" s="370"/>
      <c r="J9" s="124">
        <f>SUMIF(51:51,I9,52:52)-SUMIF(51:51,C9,52:52)+100</f>
        <v>100</v>
      </c>
      <c r="K9" s="557"/>
      <c r="L9" s="2709"/>
      <c r="M9" s="2710"/>
      <c r="N9" s="2710"/>
      <c r="O9" s="2764"/>
      <c r="P9" s="3737" t="s">
        <v>1686</v>
      </c>
      <c r="Q9" s="1339" t="str">
        <f t="shared" ref="Q9:Q14" si="6">B9</f>
        <v>用途</v>
      </c>
      <c r="R9" s="697" t="s">
        <v>14</v>
      </c>
      <c r="S9" s="698">
        <f t="shared" si="0"/>
        <v>100</v>
      </c>
      <c r="T9" s="697" t="s">
        <v>14</v>
      </c>
      <c r="U9" s="698">
        <f t="shared" si="1"/>
        <v>100</v>
      </c>
      <c r="V9" s="697" t="s">
        <v>14</v>
      </c>
      <c r="W9" s="698">
        <f t="shared" si="2"/>
        <v>100</v>
      </c>
      <c r="X9" s="699"/>
      <c r="Y9" s="3685" t="s">
        <v>1687</v>
      </c>
      <c r="Z9" s="52" t="str">
        <f t="shared" ref="Z9:Z14" si="7">Q9</f>
        <v>用途</v>
      </c>
      <c r="AA9" s="700">
        <f t="shared" si="3"/>
        <v>1</v>
      </c>
      <c r="AB9" s="700">
        <f t="shared" si="4"/>
        <v>1</v>
      </c>
      <c r="AC9" s="700">
        <f t="shared" si="5"/>
        <v>1</v>
      </c>
    </row>
    <row r="10" spans="1:29" s="375" customFormat="1" ht="27">
      <c r="A10" s="371"/>
      <c r="B10" s="372" t="s">
        <v>1688</v>
      </c>
      <c r="C10" s="3426"/>
      <c r="D10" s="125">
        <v>100</v>
      </c>
      <c r="E10" s="3426"/>
      <c r="F10" s="373">
        <f>SUMIF(53:53,E10,54:54)-SUMIF(53:53,C10,54:54)+100</f>
        <v>100</v>
      </c>
      <c r="G10" s="3426"/>
      <c r="H10" s="125">
        <f>SUMIF(53:53,G10,54:54)-SUMIF(53:53,C10,54:54)+100</f>
        <v>100</v>
      </c>
      <c r="I10" s="3426"/>
      <c r="J10" s="125">
        <f>SUMIF(53:53,I10,54:54)-SUMIF(53:53,C10,54:54)+100</f>
        <v>100</v>
      </c>
      <c r="K10" s="557"/>
      <c r="L10" s="2711"/>
      <c r="M10" s="2712"/>
      <c r="N10" s="2712"/>
      <c r="O10" s="2765"/>
      <c r="P10" s="3737"/>
      <c r="Q10" s="1339" t="str">
        <f t="shared" si="6"/>
        <v>土地使用年限（年）</v>
      </c>
      <c r="R10" s="697" t="s">
        <v>14</v>
      </c>
      <c r="S10" s="698">
        <f t="shared" si="0"/>
        <v>100</v>
      </c>
      <c r="T10" s="697" t="s">
        <v>14</v>
      </c>
      <c r="U10" s="698">
        <f t="shared" si="1"/>
        <v>100</v>
      </c>
      <c r="V10" s="697" t="s">
        <v>14</v>
      </c>
      <c r="W10" s="698">
        <f t="shared" si="2"/>
        <v>100</v>
      </c>
      <c r="X10" s="699"/>
      <c r="Y10" s="3685"/>
      <c r="Z10" s="52" t="str">
        <f t="shared" si="7"/>
        <v>土地使用年限（年）</v>
      </c>
      <c r="AA10" s="700">
        <f t="shared" si="3"/>
        <v>1</v>
      </c>
      <c r="AB10" s="700">
        <f t="shared" si="4"/>
        <v>1</v>
      </c>
      <c r="AC10" s="700">
        <f t="shared" si="5"/>
        <v>1</v>
      </c>
    </row>
    <row r="11" spans="1:29" ht="15">
      <c r="A11" s="376"/>
      <c r="B11" s="1888">
        <v>111</v>
      </c>
      <c r="C11" s="380"/>
      <c r="D11" s="125">
        <v>100</v>
      </c>
      <c r="E11" s="417"/>
      <c r="F11" s="373">
        <f>SUMIF(55:55,E11,56:56)-SUMIF(55:55,C11,56:56)+100</f>
        <v>100</v>
      </c>
      <c r="G11" s="417"/>
      <c r="H11" s="125">
        <f>SUMIF(55:55,G11,56:56)-SUMIF(55:55,C11,56:56)+100</f>
        <v>100</v>
      </c>
      <c r="I11" s="417"/>
      <c r="J11" s="125">
        <f>SUMIF(55:55,I11,56:56)-SUMIF(55:55,C11,56:56)+100</f>
        <v>100</v>
      </c>
      <c r="K11" s="559"/>
      <c r="L11" s="2713"/>
      <c r="M11" s="2708"/>
      <c r="N11" s="2708"/>
      <c r="O11" s="2766"/>
      <c r="P11" s="3737"/>
      <c r="Q11" s="1339">
        <f t="shared" si="6"/>
        <v>111</v>
      </c>
      <c r="R11" s="697" t="s">
        <v>14</v>
      </c>
      <c r="S11" s="698">
        <f t="shared" si="0"/>
        <v>100</v>
      </c>
      <c r="T11" s="697" t="s">
        <v>14</v>
      </c>
      <c r="U11" s="698">
        <f t="shared" si="1"/>
        <v>100</v>
      </c>
      <c r="V11" s="697" t="s">
        <v>14</v>
      </c>
      <c r="W11" s="698">
        <f t="shared" si="2"/>
        <v>100</v>
      </c>
      <c r="X11" s="699"/>
      <c r="Y11" s="3685"/>
      <c r="Z11" s="52">
        <f t="shared" si="7"/>
        <v>111</v>
      </c>
      <c r="AA11" s="700">
        <f t="shared" si="3"/>
        <v>1</v>
      </c>
      <c r="AB11" s="700">
        <f t="shared" si="4"/>
        <v>1</v>
      </c>
      <c r="AC11" s="700">
        <f t="shared" si="5"/>
        <v>1</v>
      </c>
    </row>
    <row r="12" spans="1:29" s="108" customFormat="1" ht="15">
      <c r="A12" s="379"/>
      <c r="B12" s="1888">
        <v>111</v>
      </c>
      <c r="C12" s="380"/>
      <c r="D12" s="381">
        <v>100</v>
      </c>
      <c r="E12" s="417"/>
      <c r="F12" s="373">
        <f>SUMIF(57:57,E12,58:58)-SUMIF(57:57,C12,58:58)+100</f>
        <v>100</v>
      </c>
      <c r="G12" s="417"/>
      <c r="H12" s="125">
        <f>SUMIF(57:57,G12,58:58)-SUMIF(57:57,C12,58:58)+100</f>
        <v>100</v>
      </c>
      <c r="I12" s="417"/>
      <c r="J12" s="125">
        <f>SUMIF(57:57,I12,58:58)-SUMIF(57:57,C12,58:58)+100</f>
        <v>100</v>
      </c>
      <c r="K12" s="559"/>
      <c r="L12" s="2709"/>
      <c r="M12" s="2710"/>
      <c r="N12" s="2710"/>
      <c r="O12" s="2764"/>
      <c r="P12" s="3737"/>
      <c r="Q12" s="1339">
        <f t="shared" si="6"/>
        <v>111</v>
      </c>
      <c r="R12" s="697" t="s">
        <v>14</v>
      </c>
      <c r="S12" s="698">
        <f t="shared" si="0"/>
        <v>100</v>
      </c>
      <c r="T12" s="697" t="s">
        <v>14</v>
      </c>
      <c r="U12" s="698">
        <f t="shared" si="1"/>
        <v>100</v>
      </c>
      <c r="V12" s="697" t="s">
        <v>14</v>
      </c>
      <c r="W12" s="698">
        <f t="shared" si="2"/>
        <v>100</v>
      </c>
      <c r="X12" s="699"/>
      <c r="Y12" s="3685"/>
      <c r="Z12" s="52">
        <f t="shared" si="7"/>
        <v>111</v>
      </c>
      <c r="AA12" s="700">
        <f>D12/F12</f>
        <v>1</v>
      </c>
      <c r="AB12" s="700">
        <f>D12/H12</f>
        <v>1</v>
      </c>
      <c r="AC12" s="700">
        <f>D12/J12</f>
        <v>1</v>
      </c>
    </row>
    <row r="13" spans="1:29" ht="15.75" thickBot="1">
      <c r="A13" s="376"/>
      <c r="B13" s="1888">
        <v>111</v>
      </c>
      <c r="C13" s="382"/>
      <c r="D13" s="383">
        <v>100</v>
      </c>
      <c r="E13" s="417"/>
      <c r="F13" s="373">
        <f>SUMIF(59:59,E13,60:60)-SUMIF(59:59,C13,60:60)+100</f>
        <v>100</v>
      </c>
      <c r="G13" s="1968"/>
      <c r="H13" s="386">
        <f>SUMIF(59:59,G13,60:60)-SUMIF(59:59,C13,60:60)+100</f>
        <v>100</v>
      </c>
      <c r="I13" s="417"/>
      <c r="J13" s="383">
        <f>SUMIF(59:59,I13,60:60)-SUMIF(59:59,C13,60:60)+100</f>
        <v>100</v>
      </c>
      <c r="K13" s="559"/>
      <c r="L13" s="2714"/>
      <c r="M13" s="2708"/>
      <c r="N13" s="2708"/>
      <c r="O13" s="2766"/>
      <c r="P13" s="3737"/>
      <c r="Q13" s="1339">
        <f t="shared" si="6"/>
        <v>111</v>
      </c>
      <c r="R13" s="697" t="s">
        <v>14</v>
      </c>
      <c r="S13" s="698">
        <f t="shared" si="0"/>
        <v>100</v>
      </c>
      <c r="T13" s="697" t="s">
        <v>14</v>
      </c>
      <c r="U13" s="698">
        <f t="shared" si="1"/>
        <v>100</v>
      </c>
      <c r="V13" s="697" t="s">
        <v>14</v>
      </c>
      <c r="W13" s="698">
        <f t="shared" si="2"/>
        <v>100</v>
      </c>
      <c r="X13" s="699"/>
      <c r="Y13" s="3685"/>
      <c r="Z13" s="52">
        <f t="shared" si="7"/>
        <v>111</v>
      </c>
      <c r="AA13" s="700">
        <f t="shared" si="3"/>
        <v>1</v>
      </c>
      <c r="AB13" s="700">
        <f t="shared" si="4"/>
        <v>1</v>
      </c>
      <c r="AC13" s="700">
        <f t="shared" si="5"/>
        <v>1</v>
      </c>
    </row>
    <row r="14" spans="1:29" ht="156.75">
      <c r="A14" s="388" t="s">
        <v>1690</v>
      </c>
      <c r="B14" s="61" t="s">
        <v>1833</v>
      </c>
      <c r="C14" s="1964" t="str">
        <f>IF(B1="工业",估价对象房地状况!G4,估价对象房地状况!C6)</f>
        <v>估价对象邻近城市高速路-京台高速，附近有兴16路、兴38路、专83路等公交线路，周边道路状况、公共交通通达情况、停车便捷程度，综合评价交通便捷度较好</v>
      </c>
      <c r="D14" s="389">
        <v>100</v>
      </c>
      <c r="E14" s="390"/>
      <c r="F14" s="391">
        <f>SUMIF(61:61,E15,62:62)-SUMIF(61:61,C15,62:62)+100</f>
        <v>100</v>
      </c>
      <c r="G14" s="392"/>
      <c r="H14" s="389">
        <f>SUMIF(61:61,G15,62:62)-SUMIF(61:61,C15,62:62)+100</f>
        <v>100</v>
      </c>
      <c r="I14" s="390"/>
      <c r="J14" s="389">
        <f>SUMIF(61:61,I15,62:62)-SUMIF(61:61,C15,62:62)+100</f>
        <v>100</v>
      </c>
      <c r="K14" s="560"/>
      <c r="L14" s="2714"/>
      <c r="M14" s="2708"/>
      <c r="N14" s="2708"/>
      <c r="O14" s="2766"/>
      <c r="P14" s="3752" t="s">
        <v>1691</v>
      </c>
      <c r="Q14" s="1348" t="str">
        <f t="shared" si="6"/>
        <v>交通便捷度</v>
      </c>
      <c r="R14" s="701" t="s">
        <v>14</v>
      </c>
      <c r="S14" s="702">
        <f t="shared" si="0"/>
        <v>100</v>
      </c>
      <c r="T14" s="701" t="s">
        <v>14</v>
      </c>
      <c r="U14" s="702">
        <f t="shared" si="1"/>
        <v>100</v>
      </c>
      <c r="V14" s="701" t="s">
        <v>14</v>
      </c>
      <c r="W14" s="702">
        <f t="shared" si="2"/>
        <v>100</v>
      </c>
      <c r="X14" s="1351"/>
      <c r="Y14" s="3752" t="s">
        <v>1691</v>
      </c>
      <c r="Z14" s="1352" t="str">
        <f t="shared" si="7"/>
        <v>交通便捷度</v>
      </c>
      <c r="AA14" s="1349">
        <f t="shared" si="3"/>
        <v>1</v>
      </c>
      <c r="AB14" s="1349">
        <f t="shared" si="4"/>
        <v>1</v>
      </c>
      <c r="AC14" s="1349">
        <f t="shared" si="5"/>
        <v>1</v>
      </c>
    </row>
    <row r="15" spans="1:29" ht="15">
      <c r="A15" s="376"/>
      <c r="B15" s="394"/>
      <c r="C15" s="395"/>
      <c r="D15" s="396"/>
      <c r="E15" s="395"/>
      <c r="F15" s="397"/>
      <c r="G15" s="395"/>
      <c r="H15" s="398"/>
      <c r="I15" s="395"/>
      <c r="J15" s="396"/>
      <c r="K15" s="561"/>
      <c r="L15" s="2714"/>
      <c r="M15" s="2708"/>
      <c r="N15" s="2708"/>
      <c r="O15" s="2766"/>
      <c r="P15" s="3753"/>
      <c r="Q15" s="1348"/>
      <c r="R15" s="701"/>
      <c r="S15" s="702"/>
      <c r="T15" s="701"/>
      <c r="U15" s="702"/>
      <c r="V15" s="701"/>
      <c r="W15" s="702"/>
      <c r="X15" s="1351"/>
      <c r="Y15" s="3753"/>
      <c r="Z15" s="1352"/>
      <c r="AA15" s="1349">
        <v>1</v>
      </c>
      <c r="AB15" s="1349">
        <v>1</v>
      </c>
      <c r="AC15" s="1349">
        <v>1</v>
      </c>
    </row>
    <row r="16" spans="1:29" ht="142.5">
      <c r="A16" s="376"/>
      <c r="B16" s="399" t="s">
        <v>1812</v>
      </c>
      <c r="C16" s="1895" t="str">
        <f>IF(B1="工业",估价对象房地状况!G5,估价对象房地状况!C7)</f>
        <v>估价对象周边有红星中学、瀛海镇第一中心小学、瀛海一幼幼儿园等教育机构，有肃宁正骨医院医疗设施，有北京农商银行等金融机构，公共配套设施状况一般</v>
      </c>
      <c r="D16" s="403">
        <v>100</v>
      </c>
      <c r="E16" s="405"/>
      <c r="F16" s="406">
        <f>SUMIF(63:63,E17,64:64)-SUMIF(63:63,C17,64:64)+100</f>
        <v>100</v>
      </c>
      <c r="G16" s="407"/>
      <c r="H16" s="403">
        <f>SUMIF(63:63,G17,64:64)-SUMIF(63:63,C17,64:64)+100</f>
        <v>100</v>
      </c>
      <c r="I16" s="405"/>
      <c r="J16" s="403">
        <f>SUMIF(63:63,I17,64:64)-SUMIF(63:63,C17,64:64)+100</f>
        <v>100</v>
      </c>
      <c r="K16" s="560"/>
      <c r="L16" s="2714"/>
      <c r="M16" s="2708"/>
      <c r="N16" s="2708"/>
      <c r="O16" s="2766"/>
      <c r="P16" s="3753"/>
      <c r="Q16" s="1348" t="str">
        <f>B16</f>
        <v>公共配套设施</v>
      </c>
      <c r="R16" s="701" t="s">
        <v>14</v>
      </c>
      <c r="S16" s="702">
        <f>F16</f>
        <v>100</v>
      </c>
      <c r="T16" s="701" t="s">
        <v>14</v>
      </c>
      <c r="U16" s="702">
        <f>H16</f>
        <v>100</v>
      </c>
      <c r="V16" s="701" t="s">
        <v>14</v>
      </c>
      <c r="W16" s="702">
        <f>J16</f>
        <v>100</v>
      </c>
      <c r="X16" s="1351"/>
      <c r="Y16" s="3753"/>
      <c r="Z16" s="1352" t="str">
        <f>Q16</f>
        <v>公共配套设施</v>
      </c>
      <c r="AA16" s="1349">
        <f t="shared" si="3"/>
        <v>1</v>
      </c>
      <c r="AB16" s="1349">
        <f t="shared" si="4"/>
        <v>1</v>
      </c>
      <c r="AC16" s="1349">
        <f t="shared" si="5"/>
        <v>1</v>
      </c>
    </row>
    <row r="17" spans="1:29" ht="15">
      <c r="A17" s="376"/>
      <c r="B17" s="404"/>
      <c r="C17" s="1896"/>
      <c r="D17" s="396"/>
      <c r="E17" s="395"/>
      <c r="F17" s="397"/>
      <c r="G17" s="395"/>
      <c r="H17" s="396"/>
      <c r="I17" s="395"/>
      <c r="J17" s="396"/>
      <c r="K17" s="561"/>
      <c r="L17" s="2714"/>
      <c r="M17" s="2708"/>
      <c r="N17" s="2708"/>
      <c r="O17" s="2766"/>
      <c r="P17" s="3753"/>
      <c r="Q17" s="1348"/>
      <c r="R17" s="701"/>
      <c r="S17" s="702"/>
      <c r="T17" s="701"/>
      <c r="U17" s="702"/>
      <c r="V17" s="701"/>
      <c r="W17" s="702"/>
      <c r="X17" s="1351"/>
      <c r="Y17" s="3753"/>
      <c r="Z17" s="1352"/>
      <c r="AA17" s="1349">
        <v>1</v>
      </c>
      <c r="AB17" s="1349">
        <v>1</v>
      </c>
      <c r="AC17" s="1349">
        <v>1</v>
      </c>
    </row>
    <row r="18" spans="1:29" ht="42.75">
      <c r="A18" s="376"/>
      <c r="B18" s="1127" t="s">
        <v>1813</v>
      </c>
      <c r="C18" s="1895" t="str">
        <f>IF(B1="工业",估价对象房地状况!G6,估价对象房地状况!C8)</f>
        <v>估价对象所在区域基础设施水平-六通</v>
      </c>
      <c r="D18" s="403">
        <v>100</v>
      </c>
      <c r="E18" s="400"/>
      <c r="F18" s="406">
        <f>SUMIF(65:65,E19,66:66)-SUMIF(65:65,C19,66:66)+100</f>
        <v>100</v>
      </c>
      <c r="G18" s="402"/>
      <c r="H18" s="403">
        <f>SUMIF(65:65,G19,66:66)-SUMIF(65:65,C19,66:66)+100</f>
        <v>100</v>
      </c>
      <c r="I18" s="405"/>
      <c r="J18" s="403">
        <f>SUMIF(65:65,I19,66:66)-SUMIF(65:65,C19,66:66)+100</f>
        <v>100</v>
      </c>
      <c r="K18" s="560"/>
      <c r="L18" s="2714"/>
      <c r="M18" s="2708"/>
      <c r="N18" s="2708"/>
      <c r="O18" s="2766"/>
      <c r="P18" s="3753"/>
      <c r="Q18" s="1348" t="str">
        <f>B18</f>
        <v>基础设施水平</v>
      </c>
      <c r="R18" s="701" t="s">
        <v>14</v>
      </c>
      <c r="S18" s="702">
        <f>F18</f>
        <v>100</v>
      </c>
      <c r="T18" s="701" t="s">
        <v>14</v>
      </c>
      <c r="U18" s="702">
        <f>H18</f>
        <v>100</v>
      </c>
      <c r="V18" s="701" t="s">
        <v>14</v>
      </c>
      <c r="W18" s="702">
        <f>J18</f>
        <v>100</v>
      </c>
      <c r="X18" s="1351"/>
      <c r="Y18" s="3753"/>
      <c r="Z18" s="1352" t="str">
        <f>Q18</f>
        <v>基础设施水平</v>
      </c>
      <c r="AA18" s="1349">
        <f t="shared" ref="AA18" si="8">D18/F18</f>
        <v>1</v>
      </c>
      <c r="AB18" s="1349">
        <f t="shared" ref="AB18" si="9">D18/H18</f>
        <v>1</v>
      </c>
      <c r="AC18" s="1349">
        <f t="shared" ref="AC18" si="10">D18/J18</f>
        <v>1</v>
      </c>
    </row>
    <row r="19" spans="1:29" ht="15">
      <c r="A19" s="376"/>
      <c r="B19" s="1127"/>
      <c r="C19" s="1896"/>
      <c r="D19" s="398"/>
      <c r="E19" s="1896"/>
      <c r="F19" s="401"/>
      <c r="G19" s="1896"/>
      <c r="H19" s="396"/>
      <c r="I19" s="395"/>
      <c r="J19" s="396"/>
      <c r="K19" s="1126"/>
      <c r="L19" s="2714"/>
      <c r="M19" s="2708"/>
      <c r="N19" s="2708"/>
      <c r="O19" s="2766"/>
      <c r="P19" s="3753"/>
      <c r="Q19" s="1348"/>
      <c r="R19" s="701"/>
      <c r="S19" s="702"/>
      <c r="T19" s="701"/>
      <c r="U19" s="702"/>
      <c r="V19" s="701"/>
      <c r="W19" s="702"/>
      <c r="X19" s="1351"/>
      <c r="Y19" s="3753"/>
      <c r="Z19" s="1352"/>
      <c r="AA19" s="1349">
        <v>1</v>
      </c>
      <c r="AB19" s="1349">
        <v>1</v>
      </c>
      <c r="AC19" s="1349">
        <v>1</v>
      </c>
    </row>
    <row r="20" spans="1:29" ht="99.75">
      <c r="A20" s="376"/>
      <c r="B20" s="399" t="s">
        <v>1834</v>
      </c>
      <c r="C20" s="1895" t="str">
        <f>IF(B1="工业",估价对象房地状况!G7,估价对象房地状况!C9)</f>
        <v>周边1公里范围内有南海子公园、志远庄公园等自然景观，人文景观较少，综合评价环境状况一般</v>
      </c>
      <c r="D20" s="403">
        <v>100</v>
      </c>
      <c r="E20" s="405"/>
      <c r="F20" s="406">
        <f>SUMIF(67:67,E21,68:68)-SUMIF(67:67,C21,68:68)+100</f>
        <v>100</v>
      </c>
      <c r="G20" s="407"/>
      <c r="H20" s="398">
        <f>SUMIF(67:67,G21,68:68)-SUMIF(67:67,C21,68:68)+100</f>
        <v>100</v>
      </c>
      <c r="I20" s="400"/>
      <c r="J20" s="398">
        <f>SUMIF(67:67,I21,68:68)-SUMIF(67:67,C21,68:68)+100</f>
        <v>100</v>
      </c>
      <c r="K20" s="560"/>
      <c r="L20" s="2714"/>
      <c r="M20" s="2708"/>
      <c r="N20" s="2708"/>
      <c r="O20" s="2766"/>
      <c r="P20" s="3753"/>
      <c r="Q20" s="1348" t="str">
        <f>B20</f>
        <v>自然及人文环境</v>
      </c>
      <c r="R20" s="701" t="s">
        <v>14</v>
      </c>
      <c r="S20" s="702">
        <f>F20</f>
        <v>100</v>
      </c>
      <c r="T20" s="701" t="s">
        <v>14</v>
      </c>
      <c r="U20" s="702">
        <f>H20</f>
        <v>100</v>
      </c>
      <c r="V20" s="701" t="s">
        <v>14</v>
      </c>
      <c r="W20" s="702">
        <f>J20</f>
        <v>100</v>
      </c>
      <c r="X20" s="1351"/>
      <c r="Y20" s="3753"/>
      <c r="Z20" s="1352" t="str">
        <f>Q20</f>
        <v>自然及人文环境</v>
      </c>
      <c r="AA20" s="1349">
        <f t="shared" si="3"/>
        <v>1</v>
      </c>
      <c r="AB20" s="1349">
        <f t="shared" si="4"/>
        <v>1</v>
      </c>
      <c r="AC20" s="1349">
        <f t="shared" si="5"/>
        <v>1</v>
      </c>
    </row>
    <row r="21" spans="1:29" ht="15">
      <c r="A21" s="376"/>
      <c r="B21" s="404"/>
      <c r="C21" s="395"/>
      <c r="D21" s="396"/>
      <c r="E21" s="395"/>
      <c r="F21" s="397"/>
      <c r="G21" s="395"/>
      <c r="H21" s="396"/>
      <c r="I21" s="395"/>
      <c r="J21" s="396"/>
      <c r="K21" s="561"/>
      <c r="L21" s="2714"/>
      <c r="M21" s="2708"/>
      <c r="N21" s="2708"/>
      <c r="O21" s="2766"/>
      <c r="P21" s="3753"/>
      <c r="Q21" s="1348"/>
      <c r="R21" s="701"/>
      <c r="S21" s="702"/>
      <c r="T21" s="701"/>
      <c r="U21" s="702"/>
      <c r="V21" s="701"/>
      <c r="W21" s="702"/>
      <c r="X21" s="1351"/>
      <c r="Y21" s="3753"/>
      <c r="Z21" s="1352"/>
      <c r="AA21" s="1349">
        <v>1</v>
      </c>
      <c r="AB21" s="1349">
        <v>1</v>
      </c>
      <c r="AC21" s="1349">
        <v>1</v>
      </c>
    </row>
    <row r="22" spans="1:29" ht="15">
      <c r="A22" s="376"/>
      <c r="B22" s="399" t="s">
        <v>1835</v>
      </c>
      <c r="C22" s="562"/>
      <c r="D22" s="398">
        <v>100</v>
      </c>
      <c r="E22" s="562"/>
      <c r="F22" s="409">
        <f>SUMIF(69:69,E22,70:70)-SUMIF(69:69,C22,70:70)+100</f>
        <v>100</v>
      </c>
      <c r="G22" s="562"/>
      <c r="H22" s="383">
        <f>SUMIF(69:69,G22,70:70)-SUMIF(69:69,C22,70:70)+100</f>
        <v>100</v>
      </c>
      <c r="I22" s="562"/>
      <c r="J22" s="383">
        <f>SUMIF(69:69,I22,70:70)-SUMIF(69:69,C22,70:70)+100</f>
        <v>100</v>
      </c>
      <c r="K22" s="558"/>
      <c r="L22" s="2714"/>
      <c r="M22" s="2708"/>
      <c r="N22" s="2708"/>
      <c r="O22" s="2766"/>
      <c r="P22" s="3753"/>
      <c r="Q22" s="1348" t="str">
        <f>B22</f>
        <v>楼层</v>
      </c>
      <c r="R22" s="701" t="s">
        <v>14</v>
      </c>
      <c r="S22" s="702">
        <f>F22</f>
        <v>100</v>
      </c>
      <c r="T22" s="701" t="s">
        <v>14</v>
      </c>
      <c r="U22" s="702">
        <f>H22</f>
        <v>100</v>
      </c>
      <c r="V22" s="701" t="s">
        <v>14</v>
      </c>
      <c r="W22" s="702">
        <f>J22</f>
        <v>100</v>
      </c>
      <c r="X22" s="1351"/>
      <c r="Y22" s="3753"/>
      <c r="Z22" s="1352" t="str">
        <f>Q22</f>
        <v>楼层</v>
      </c>
      <c r="AA22" s="1349">
        <f t="shared" si="3"/>
        <v>1</v>
      </c>
      <c r="AB22" s="1349">
        <f t="shared" si="4"/>
        <v>1</v>
      </c>
      <c r="AC22" s="1349">
        <f t="shared" si="5"/>
        <v>1</v>
      </c>
    </row>
    <row r="23" spans="1:29" ht="15">
      <c r="A23" s="355"/>
      <c r="B23" s="1888">
        <v>111</v>
      </c>
      <c r="C23" s="380"/>
      <c r="D23" s="383">
        <v>100</v>
      </c>
      <c r="E23" s="382"/>
      <c r="F23" s="409">
        <f>SUMIF(71:71,E23,72:72)-SUMIF(71:71,C23,72:72)+100</f>
        <v>100</v>
      </c>
      <c r="G23" s="382"/>
      <c r="H23" s="383">
        <f>SUMIF(71:71,G23,72:72)-SUMIF(71:71,C23,72:72)+100</f>
        <v>100</v>
      </c>
      <c r="I23" s="382"/>
      <c r="J23" s="383">
        <f>SUMIF(71:71,I23,72:72)-SUMIF(71:71,C23,72:72)+100</f>
        <v>100</v>
      </c>
      <c r="K23" s="559"/>
      <c r="L23" s="2714"/>
      <c r="M23" s="2708"/>
      <c r="N23" s="2708"/>
      <c r="O23" s="2766"/>
      <c r="P23" s="3753"/>
      <c r="Q23" s="1348">
        <f>B23</f>
        <v>111</v>
      </c>
      <c r="R23" s="701" t="s">
        <v>14</v>
      </c>
      <c r="S23" s="702">
        <f>F23</f>
        <v>100</v>
      </c>
      <c r="T23" s="701" t="s">
        <v>14</v>
      </c>
      <c r="U23" s="702">
        <f>H23</f>
        <v>100</v>
      </c>
      <c r="V23" s="701" t="s">
        <v>14</v>
      </c>
      <c r="W23" s="702">
        <f>J23</f>
        <v>100</v>
      </c>
      <c r="X23" s="1351"/>
      <c r="Y23" s="3753"/>
      <c r="Z23" s="1352">
        <f>Q23</f>
        <v>111</v>
      </c>
      <c r="AA23" s="1349">
        <f t="shared" si="3"/>
        <v>1</v>
      </c>
      <c r="AB23" s="1349">
        <f t="shared" si="4"/>
        <v>1</v>
      </c>
      <c r="AC23" s="1349">
        <f t="shared" si="5"/>
        <v>1</v>
      </c>
    </row>
    <row r="24" spans="1:29" ht="15">
      <c r="A24" s="376"/>
      <c r="B24" s="1888">
        <v>111</v>
      </c>
      <c r="C24" s="380"/>
      <c r="D24" s="383">
        <v>100</v>
      </c>
      <c r="E24" s="382"/>
      <c r="F24" s="409">
        <f>SUMIF(73:73,E24,74:74)-SUMIF(73:73,C24,74:74)+100</f>
        <v>100</v>
      </c>
      <c r="G24" s="382"/>
      <c r="H24" s="383">
        <f>SUMIF(73:73,G24,74:74)-SUMIF(73:73,C24,74:74)+100</f>
        <v>100</v>
      </c>
      <c r="I24" s="382"/>
      <c r="J24" s="383">
        <f>SUMIF(73:73,I24,74:74)-SUMIF(73:73,C24,74:74)+100</f>
        <v>100</v>
      </c>
      <c r="K24" s="559"/>
      <c r="L24" s="2714"/>
      <c r="M24" s="2708"/>
      <c r="N24" s="2708"/>
      <c r="O24" s="2766"/>
      <c r="P24" s="3753"/>
      <c r="Q24" s="1348">
        <f t="shared" ref="Q24:Q34" si="11">B24</f>
        <v>111</v>
      </c>
      <c r="R24" s="701" t="s">
        <v>14</v>
      </c>
      <c r="S24" s="702">
        <f>F24</f>
        <v>100</v>
      </c>
      <c r="T24" s="701" t="s">
        <v>14</v>
      </c>
      <c r="U24" s="702">
        <f>H24</f>
        <v>100</v>
      </c>
      <c r="V24" s="701" t="s">
        <v>14</v>
      </c>
      <c r="W24" s="702">
        <f>J24</f>
        <v>100</v>
      </c>
      <c r="X24" s="1351"/>
      <c r="Y24" s="3753"/>
      <c r="Z24" s="1352">
        <f>Q24</f>
        <v>111</v>
      </c>
      <c r="AA24" s="1349">
        <f t="shared" si="3"/>
        <v>1</v>
      </c>
      <c r="AB24" s="1349">
        <f t="shared" si="4"/>
        <v>1</v>
      </c>
      <c r="AC24" s="1349">
        <f t="shared" si="5"/>
        <v>1</v>
      </c>
    </row>
    <row r="25" spans="1:29" s="108" customFormat="1" ht="15.75" thickBot="1">
      <c r="A25" s="379"/>
      <c r="B25" s="1888">
        <v>111</v>
      </c>
      <c r="C25" s="1969"/>
      <c r="D25" s="610">
        <v>100</v>
      </c>
      <c r="E25" s="1969"/>
      <c r="F25" s="611">
        <f>SUMIF(75:75,E25,76:76)-SUMIF(75:75,C25,76:76)+100</f>
        <v>100</v>
      </c>
      <c r="G25" s="1969"/>
      <c r="H25" s="610">
        <f>SUMIF(75:75,G25,76:76)-SUMIF(75:75,C25,76:76)+100</f>
        <v>100</v>
      </c>
      <c r="I25" s="1969"/>
      <c r="J25" s="610">
        <f>SUMIF(75:75,I25,76:76)-SUMIF(75:75,C25,76:76)+100</f>
        <v>100</v>
      </c>
      <c r="K25" s="559"/>
      <c r="L25" s="2709"/>
      <c r="M25" s="2710"/>
      <c r="N25" s="2710"/>
      <c r="O25" s="2764"/>
      <c r="P25" s="3753"/>
      <c r="Q25" s="1339">
        <f t="shared" si="11"/>
        <v>111</v>
      </c>
      <c r="R25" s="697" t="s">
        <v>14</v>
      </c>
      <c r="S25" s="698">
        <f>F25</f>
        <v>100</v>
      </c>
      <c r="T25" s="697" t="s">
        <v>14</v>
      </c>
      <c r="U25" s="698">
        <f>H25</f>
        <v>100</v>
      </c>
      <c r="V25" s="697" t="s">
        <v>14</v>
      </c>
      <c r="W25" s="698">
        <f>J25</f>
        <v>100</v>
      </c>
      <c r="X25" s="699"/>
      <c r="Y25" s="3753"/>
      <c r="Z25" s="52">
        <f>Q25</f>
        <v>111</v>
      </c>
      <c r="AA25" s="1349">
        <f>D25/F25</f>
        <v>1</v>
      </c>
      <c r="AB25" s="1349">
        <f>D25/H25</f>
        <v>1</v>
      </c>
      <c r="AC25" s="1349">
        <f>D25/J25</f>
        <v>1</v>
      </c>
    </row>
    <row r="26" spans="1:29" ht="15">
      <c r="A26" s="414" t="s">
        <v>1694</v>
      </c>
      <c r="B26" s="63" t="s">
        <v>1838</v>
      </c>
      <c r="C26" s="1960"/>
      <c r="D26" s="415">
        <v>100</v>
      </c>
      <c r="E26" s="1960"/>
      <c r="F26" s="612">
        <f>SUMIF(77:77,E26,78:78)-SUMIF(77:77,C26,78:78)+100</f>
        <v>100</v>
      </c>
      <c r="G26" s="1960"/>
      <c r="H26" s="415">
        <f>SUMIF(77:77,G26,78:78)-SUMIF(77:77,C26,78:78)+100</f>
        <v>100</v>
      </c>
      <c r="I26" s="1960"/>
      <c r="J26" s="415">
        <f>SUMIF(77:77,I26,78:78)-SUMIF(77:77,C26,78:78)+100</f>
        <v>100</v>
      </c>
      <c r="K26" s="558"/>
      <c r="L26" s="2714"/>
      <c r="M26" s="2708"/>
      <c r="N26" s="2708"/>
      <c r="O26" s="2766"/>
      <c r="P26" s="3754" t="s">
        <v>1696</v>
      </c>
      <c r="Q26" s="1348" t="str">
        <f t="shared" si="11"/>
        <v>公共部分装修</v>
      </c>
      <c r="R26" s="701" t="s">
        <v>14</v>
      </c>
      <c r="S26" s="702">
        <f t="shared" ref="S26:S34" si="12">F26</f>
        <v>100</v>
      </c>
      <c r="T26" s="701" t="s">
        <v>14</v>
      </c>
      <c r="U26" s="702">
        <f t="shared" ref="U26:U34" si="13">H26</f>
        <v>100</v>
      </c>
      <c r="V26" s="701" t="s">
        <v>14</v>
      </c>
      <c r="W26" s="702">
        <f t="shared" ref="W26:W34" si="14">J26</f>
        <v>100</v>
      </c>
      <c r="X26" s="1351"/>
      <c r="Y26" s="3755" t="s">
        <v>1696</v>
      </c>
      <c r="Z26" s="1352" t="str">
        <f t="shared" ref="Z26:Z34" si="15">Q26</f>
        <v>公共部分装修</v>
      </c>
      <c r="AA26" s="1349">
        <f t="shared" si="3"/>
        <v>1</v>
      </c>
      <c r="AB26" s="1349">
        <f t="shared" si="4"/>
        <v>1</v>
      </c>
      <c r="AC26" s="1349">
        <f t="shared" si="5"/>
        <v>1</v>
      </c>
    </row>
    <row r="27" spans="1:29" s="419" customFormat="1" ht="15">
      <c r="A27" s="416"/>
      <c r="B27" s="372" t="s">
        <v>1839</v>
      </c>
      <c r="C27" s="422"/>
      <c r="D27" s="125">
        <v>100</v>
      </c>
      <c r="E27" s="423"/>
      <c r="F27" s="409" t="e">
        <f>LOOKUP(E27,80:80,81:81)-LOOKUP(C27,80:80,81:81)+100</f>
        <v>#N/A</v>
      </c>
      <c r="G27" s="424"/>
      <c r="H27" s="383" t="e">
        <f>LOOKUP(G27,80:80,81:81)-LOOKUP(C27,80:80,81:81)+100</f>
        <v>#N/A</v>
      </c>
      <c r="I27" s="424"/>
      <c r="J27" s="383" t="e">
        <f>LOOKUP(I27,80:80,81:81)-LOOKUP(C27,80:80,81:81)+100</f>
        <v>#N/A</v>
      </c>
      <c r="K27" s="558"/>
      <c r="L27" s="2713"/>
      <c r="M27" s="2715"/>
      <c r="N27" s="2715"/>
      <c r="O27" s="2767"/>
      <c r="P27" s="3755"/>
      <c r="Q27" s="703" t="str">
        <f t="shared" si="11"/>
        <v>成新率</v>
      </c>
      <c r="R27" s="704" t="s">
        <v>14</v>
      </c>
      <c r="S27" s="705" t="e">
        <f t="shared" si="12"/>
        <v>#N/A</v>
      </c>
      <c r="T27" s="704" t="s">
        <v>14</v>
      </c>
      <c r="U27" s="705" t="e">
        <f t="shared" si="13"/>
        <v>#N/A</v>
      </c>
      <c r="V27" s="704" t="s">
        <v>14</v>
      </c>
      <c r="W27" s="705" t="e">
        <f t="shared" si="14"/>
        <v>#N/A</v>
      </c>
      <c r="X27" s="706"/>
      <c r="Y27" s="3755"/>
      <c r="Z27" s="707" t="str">
        <f t="shared" si="15"/>
        <v>成新率</v>
      </c>
      <c r="AA27" s="1349" t="e">
        <f t="shared" si="3"/>
        <v>#N/A</v>
      </c>
      <c r="AB27" s="1349" t="e">
        <f t="shared" si="4"/>
        <v>#N/A</v>
      </c>
      <c r="AC27" s="1349" t="e">
        <f t="shared" si="5"/>
        <v>#N/A</v>
      </c>
    </row>
    <row r="28" spans="1:29" ht="15">
      <c r="A28" s="420"/>
      <c r="B28" s="372" t="s">
        <v>1840</v>
      </c>
      <c r="C28" s="408"/>
      <c r="D28" s="383">
        <v>100</v>
      </c>
      <c r="E28" s="408"/>
      <c r="F28" s="409">
        <f>SUMIF(82:82,E28,83:83)-SUMIF(82:82,C28,83:83)+100</f>
        <v>100</v>
      </c>
      <c r="G28" s="408"/>
      <c r="H28" s="383">
        <f>SUMIF(82:82,G28,83:83)-SUMIF(82:82,C28,83:83)+100</f>
        <v>100</v>
      </c>
      <c r="I28" s="408"/>
      <c r="J28" s="383">
        <f>SUMIF(82:82,I28,83:83)-SUMIF(82:82,C28,83:83)+100</f>
        <v>100</v>
      </c>
      <c r="K28" s="558"/>
      <c r="L28" s="2714"/>
      <c r="M28" s="2708"/>
      <c r="N28" s="2708"/>
      <c r="O28" s="2766"/>
      <c r="P28" s="3755"/>
      <c r="Q28" s="1348" t="str">
        <f t="shared" si="11"/>
        <v>物业等级</v>
      </c>
      <c r="R28" s="701" t="s">
        <v>14</v>
      </c>
      <c r="S28" s="702">
        <f t="shared" si="12"/>
        <v>100</v>
      </c>
      <c r="T28" s="701" t="s">
        <v>14</v>
      </c>
      <c r="U28" s="702">
        <f t="shared" si="13"/>
        <v>100</v>
      </c>
      <c r="V28" s="701" t="s">
        <v>14</v>
      </c>
      <c r="W28" s="702">
        <f t="shared" si="14"/>
        <v>100</v>
      </c>
      <c r="X28" s="1351"/>
      <c r="Y28" s="3755"/>
      <c r="Z28" s="1352" t="str">
        <f t="shared" si="15"/>
        <v>物业等级</v>
      </c>
      <c r="AA28" s="1349">
        <f t="shared" si="3"/>
        <v>1</v>
      </c>
      <c r="AB28" s="1349">
        <f t="shared" si="4"/>
        <v>1</v>
      </c>
      <c r="AC28" s="1349">
        <f t="shared" si="5"/>
        <v>1</v>
      </c>
    </row>
    <row r="29" spans="1:29" ht="15">
      <c r="A29" s="420"/>
      <c r="B29" s="372" t="s">
        <v>1860</v>
      </c>
      <c r="C29" s="602"/>
      <c r="D29" s="383">
        <v>100</v>
      </c>
      <c r="E29" s="602"/>
      <c r="F29" s="409">
        <f>SUMIF(84:84,E29,85:85)-SUMIF(84:84,C29,85:85)+100</f>
        <v>100</v>
      </c>
      <c r="G29" s="602"/>
      <c r="H29" s="383">
        <f>SUMIF(84:84,G29,85:85)-SUMIF(84:84,C29,85:85)+100</f>
        <v>100</v>
      </c>
      <c r="I29" s="602"/>
      <c r="J29" s="383">
        <f>SUMIF(84:84,I29,85:85)-SUMIF(84:84,C29,85:85)+100</f>
        <v>100</v>
      </c>
      <c r="K29" s="558"/>
      <c r="L29" s="2714"/>
      <c r="M29" s="2708"/>
      <c r="N29" s="2708"/>
      <c r="O29" s="2766"/>
      <c r="P29" s="3755"/>
      <c r="Q29" s="1348" t="str">
        <f t="shared" si="11"/>
        <v>有无电梯</v>
      </c>
      <c r="R29" s="701" t="s">
        <v>14</v>
      </c>
      <c r="S29" s="702">
        <f t="shared" si="12"/>
        <v>100</v>
      </c>
      <c r="T29" s="701" t="s">
        <v>14</v>
      </c>
      <c r="U29" s="702">
        <f t="shared" si="13"/>
        <v>100</v>
      </c>
      <c r="V29" s="701" t="s">
        <v>14</v>
      </c>
      <c r="W29" s="702">
        <f t="shared" si="14"/>
        <v>100</v>
      </c>
      <c r="X29" s="1351"/>
      <c r="Y29" s="3755"/>
      <c r="Z29" s="1352" t="str">
        <f t="shared" si="15"/>
        <v>有无电梯</v>
      </c>
      <c r="AA29" s="1349">
        <f t="shared" si="3"/>
        <v>1</v>
      </c>
      <c r="AB29" s="1349">
        <f t="shared" si="4"/>
        <v>1</v>
      </c>
      <c r="AC29" s="1349">
        <f t="shared" si="5"/>
        <v>1</v>
      </c>
    </row>
    <row r="30" spans="1:29" ht="15">
      <c r="A30" s="420"/>
      <c r="B30" s="372" t="s">
        <v>1861</v>
      </c>
      <c r="C30" s="417"/>
      <c r="D30" s="383">
        <v>100</v>
      </c>
      <c r="E30" s="417"/>
      <c r="F30" s="409" t="e">
        <f>LOOKUP(E30,87:87,88:88)-LOOKUP(C30,87:87,88:88)+100</f>
        <v>#N/A</v>
      </c>
      <c r="G30" s="417"/>
      <c r="H30" s="383" t="e">
        <f>LOOKUP(G30,87:87,88:88)-LOOKUP(C30,87:87,88:88)+100</f>
        <v>#N/A</v>
      </c>
      <c r="I30" s="417"/>
      <c r="J30" s="383" t="e">
        <f>LOOKUP(I30,87:87,88:88)-LOOKUP(C30,87:87,88:88)+100</f>
        <v>#N/A</v>
      </c>
      <c r="K30" s="559"/>
      <c r="L30" s="2714"/>
      <c r="M30" s="2708"/>
      <c r="N30" s="2708"/>
      <c r="O30" s="2766"/>
      <c r="P30" s="3755"/>
      <c r="Q30" s="1348" t="str">
        <f t="shared" si="11"/>
        <v>建筑面积</v>
      </c>
      <c r="R30" s="701" t="s">
        <v>14</v>
      </c>
      <c r="S30" s="702" t="e">
        <f t="shared" si="12"/>
        <v>#N/A</v>
      </c>
      <c r="T30" s="701" t="s">
        <v>14</v>
      </c>
      <c r="U30" s="702" t="e">
        <f t="shared" si="13"/>
        <v>#N/A</v>
      </c>
      <c r="V30" s="701" t="s">
        <v>14</v>
      </c>
      <c r="W30" s="702" t="e">
        <f t="shared" si="14"/>
        <v>#N/A</v>
      </c>
      <c r="X30" s="1351"/>
      <c r="Y30" s="3755"/>
      <c r="Z30" s="1352" t="str">
        <f t="shared" si="15"/>
        <v>建筑面积</v>
      </c>
      <c r="AA30" s="1349" t="e">
        <f t="shared" si="3"/>
        <v>#N/A</v>
      </c>
      <c r="AB30" s="1349" t="e">
        <f t="shared" si="4"/>
        <v>#N/A</v>
      </c>
      <c r="AC30" s="1349" t="e">
        <f t="shared" si="5"/>
        <v>#N/A</v>
      </c>
    </row>
    <row r="31" spans="1:29" s="108" customFormat="1" ht="15">
      <c r="A31" s="421"/>
      <c r="B31" s="372" t="s">
        <v>1862</v>
      </c>
      <c r="C31" s="602"/>
      <c r="D31" s="125">
        <v>100</v>
      </c>
      <c r="E31" s="602"/>
      <c r="F31" s="409">
        <f>SUMIF(89:89,E31,90:90)-SUMIF(89:89,C31,90:90)+100</f>
        <v>100</v>
      </c>
      <c r="G31" s="602"/>
      <c r="H31" s="383">
        <f>SUMIF(89:89,G31,90:90)-SUMIF(89:89,C31,90:90)+100</f>
        <v>100</v>
      </c>
      <c r="I31" s="602"/>
      <c r="J31" s="383">
        <f>SUMIF(89:89,I31,90:90)-SUMIF(89:89,C31,90:90)+100</f>
        <v>100</v>
      </c>
      <c r="K31" s="558"/>
      <c r="L31" s="2709"/>
      <c r="M31" s="2710"/>
      <c r="N31" s="2710"/>
      <c r="O31" s="2764"/>
      <c r="P31" s="3755"/>
      <c r="Q31" s="1339" t="str">
        <f t="shared" si="11"/>
        <v>是否封闭</v>
      </c>
      <c r="R31" s="697" t="s">
        <v>14</v>
      </c>
      <c r="S31" s="698">
        <f t="shared" si="12"/>
        <v>100</v>
      </c>
      <c r="T31" s="697" t="s">
        <v>14</v>
      </c>
      <c r="U31" s="698">
        <f t="shared" si="13"/>
        <v>100</v>
      </c>
      <c r="V31" s="697" t="s">
        <v>14</v>
      </c>
      <c r="W31" s="698">
        <f t="shared" si="14"/>
        <v>100</v>
      </c>
      <c r="X31" s="699"/>
      <c r="Y31" s="3755"/>
      <c r="Z31" s="52" t="str">
        <f t="shared" si="15"/>
        <v>是否封闭</v>
      </c>
      <c r="AA31" s="700">
        <f t="shared" si="3"/>
        <v>1</v>
      </c>
      <c r="AB31" s="700">
        <f t="shared" si="4"/>
        <v>1</v>
      </c>
      <c r="AC31" s="700">
        <f t="shared" si="5"/>
        <v>1</v>
      </c>
    </row>
    <row r="32" spans="1:29" ht="15">
      <c r="A32" s="420"/>
      <c r="B32" s="1888">
        <v>111</v>
      </c>
      <c r="C32" s="380"/>
      <c r="D32" s="383">
        <v>100</v>
      </c>
      <c r="E32" s="417"/>
      <c r="F32" s="409">
        <f>SUMIF(91:91,E32,92:92)-SUMIF(91:91,C32,92:92)+100</f>
        <v>100</v>
      </c>
      <c r="G32" s="417"/>
      <c r="H32" s="383">
        <f>SUMIF(91:91,G32,92:92)-SUMIF(91:91,C32,92:92)+100</f>
        <v>100</v>
      </c>
      <c r="I32" s="417"/>
      <c r="J32" s="383">
        <f>SUMIF(91:91,I32,92:92)-SUMIF(91:91,C32,92:92)+100</f>
        <v>100</v>
      </c>
      <c r="K32" s="559"/>
      <c r="L32" s="2714"/>
      <c r="M32" s="2708"/>
      <c r="N32" s="2708"/>
      <c r="O32" s="2766"/>
      <c r="P32" s="3755" t="s">
        <v>1696</v>
      </c>
      <c r="Q32" s="1348">
        <f t="shared" si="11"/>
        <v>111</v>
      </c>
      <c r="R32" s="701" t="s">
        <v>14</v>
      </c>
      <c r="S32" s="702">
        <f t="shared" si="12"/>
        <v>100</v>
      </c>
      <c r="T32" s="701" t="s">
        <v>14</v>
      </c>
      <c r="U32" s="702">
        <f t="shared" si="13"/>
        <v>100</v>
      </c>
      <c r="V32" s="701" t="s">
        <v>14</v>
      </c>
      <c r="W32" s="702">
        <f t="shared" si="14"/>
        <v>100</v>
      </c>
      <c r="X32" s="1351"/>
      <c r="Y32" s="3755" t="s">
        <v>1696</v>
      </c>
      <c r="Z32" s="1352">
        <f t="shared" si="15"/>
        <v>111</v>
      </c>
      <c r="AA32" s="1349">
        <f t="shared" si="3"/>
        <v>1</v>
      </c>
      <c r="AB32" s="1349">
        <f t="shared" si="4"/>
        <v>1</v>
      </c>
      <c r="AC32" s="1349">
        <f t="shared" si="5"/>
        <v>1</v>
      </c>
    </row>
    <row r="33" spans="1:30" ht="15">
      <c r="A33" s="420"/>
      <c r="B33" s="1888">
        <v>111</v>
      </c>
      <c r="C33" s="380"/>
      <c r="D33" s="383">
        <v>100</v>
      </c>
      <c r="E33" s="417"/>
      <c r="F33" s="409">
        <f>SUMIF(93:93,E33,94:94)-SUMIF(93:93,C33,94:94)+100</f>
        <v>100</v>
      </c>
      <c r="G33" s="417"/>
      <c r="H33" s="383">
        <f>SUMIF(93:93,G33,94:94)-SUMIF(93:93,C33,94:94)+100</f>
        <v>100</v>
      </c>
      <c r="I33" s="417"/>
      <c r="J33" s="383">
        <f>SUMIF(93:93,I33,94:94)-SUMIF(93:93,C33,94:94)+100</f>
        <v>100</v>
      </c>
      <c r="K33" s="559"/>
      <c r="L33" s="2714"/>
      <c r="M33" s="2708"/>
      <c r="N33" s="2708"/>
      <c r="O33" s="2766"/>
      <c r="P33" s="3755"/>
      <c r="Q33" s="1348">
        <f t="shared" si="11"/>
        <v>111</v>
      </c>
      <c r="R33" s="701" t="s">
        <v>14</v>
      </c>
      <c r="S33" s="702">
        <f t="shared" si="12"/>
        <v>100</v>
      </c>
      <c r="T33" s="701" t="s">
        <v>14</v>
      </c>
      <c r="U33" s="702">
        <f t="shared" si="13"/>
        <v>100</v>
      </c>
      <c r="V33" s="701" t="s">
        <v>14</v>
      </c>
      <c r="W33" s="702">
        <f t="shared" si="14"/>
        <v>100</v>
      </c>
      <c r="X33" s="1351"/>
      <c r="Y33" s="3755"/>
      <c r="Z33" s="1352">
        <f t="shared" si="15"/>
        <v>111</v>
      </c>
      <c r="AA33" s="1349">
        <f t="shared" si="3"/>
        <v>1</v>
      </c>
      <c r="AB33" s="1349">
        <f t="shared" si="4"/>
        <v>1</v>
      </c>
      <c r="AC33" s="1349">
        <f t="shared" si="5"/>
        <v>1</v>
      </c>
    </row>
    <row r="34" spans="1:30" ht="15.75" thickBot="1">
      <c r="A34" s="426"/>
      <c r="B34" s="1890">
        <v>111</v>
      </c>
      <c r="C34" s="385"/>
      <c r="D34" s="386">
        <v>100</v>
      </c>
      <c r="E34" s="1968"/>
      <c r="F34" s="387">
        <f>SUMIF(95:95,E34,96:96)-SUMIF(95:95,C34,96:96)+100</f>
        <v>100</v>
      </c>
      <c r="G34" s="1968"/>
      <c r="H34" s="386">
        <f>SUMIF(95:95,G34,96:96)-SUMIF(95:95,C34,96:96)+100</f>
        <v>100</v>
      </c>
      <c r="I34" s="1968"/>
      <c r="J34" s="386">
        <f>SUMIF(95:95,I34,96:96)-SUMIF(95:95,C34,96:96)+100</f>
        <v>100</v>
      </c>
      <c r="K34" s="559"/>
      <c r="L34" s="2714"/>
      <c r="M34" s="2708"/>
      <c r="N34" s="2708"/>
      <c r="O34" s="2766"/>
      <c r="P34" s="3755"/>
      <c r="Q34" s="1348">
        <f t="shared" si="11"/>
        <v>111</v>
      </c>
      <c r="R34" s="701" t="s">
        <v>14</v>
      </c>
      <c r="S34" s="702">
        <f t="shared" si="12"/>
        <v>100</v>
      </c>
      <c r="T34" s="701" t="s">
        <v>14</v>
      </c>
      <c r="U34" s="702">
        <f t="shared" si="13"/>
        <v>100</v>
      </c>
      <c r="V34" s="701" t="s">
        <v>14</v>
      </c>
      <c r="W34" s="702">
        <f t="shared" si="14"/>
        <v>100</v>
      </c>
      <c r="X34" s="1351"/>
      <c r="Y34" s="3755"/>
      <c r="Z34" s="1352">
        <f t="shared" si="15"/>
        <v>111</v>
      </c>
      <c r="AA34" s="1349">
        <f t="shared" si="3"/>
        <v>1</v>
      </c>
      <c r="AB34" s="1349">
        <f t="shared" si="4"/>
        <v>1</v>
      </c>
      <c r="AC34" s="1349">
        <f t="shared" si="5"/>
        <v>1</v>
      </c>
    </row>
    <row r="35" spans="1:30" ht="15">
      <c r="A35" s="427" t="s">
        <v>1708</v>
      </c>
      <c r="B35" s="428"/>
      <c r="C35" s="1150" t="s">
        <v>0</v>
      </c>
      <c r="D35" s="1151"/>
      <c r="E35" s="1152"/>
      <c r="F35" s="1153"/>
      <c r="G35" s="1154"/>
      <c r="H35" s="1155"/>
      <c r="I35" s="1152"/>
      <c r="J35" s="1155"/>
      <c r="K35" s="710"/>
      <c r="L35" s="2716"/>
      <c r="M35" s="2717"/>
      <c r="N35" s="2708"/>
      <c r="O35" s="2717"/>
      <c r="P35" s="3737" t="str">
        <f>A35</f>
        <v>成交单价（元/平方米）</v>
      </c>
      <c r="Q35" s="3737"/>
      <c r="R35" s="3805">
        <f>E35</f>
        <v>0</v>
      </c>
      <c r="S35" s="3805"/>
      <c r="T35" s="3805">
        <f>G35</f>
        <v>0</v>
      </c>
      <c r="U35" s="3805"/>
      <c r="V35" s="3805">
        <f>I35</f>
        <v>0</v>
      </c>
      <c r="W35" s="3805"/>
      <c r="X35" s="686"/>
      <c r="Y35" s="708"/>
      <c r="Z35" s="686"/>
      <c r="AA35" s="686"/>
      <c r="AB35" s="686"/>
      <c r="AC35" s="686"/>
    </row>
    <row r="36" spans="1:30" ht="15.75" thickBot="1">
      <c r="A36" s="434" t="s">
        <v>1793</v>
      </c>
      <c r="B36" s="435"/>
      <c r="C36" s="1156" t="e">
        <f>R37</f>
        <v>#DIV/0!</v>
      </c>
      <c r="D36" s="2310" t="s">
        <v>2138</v>
      </c>
      <c r="E36" s="1157" t="e">
        <f>R36</f>
        <v>#DIV/0!</v>
      </c>
      <c r="F36" s="2311"/>
      <c r="G36" s="1156" t="e">
        <f>T36</f>
        <v>#DIV/0!</v>
      </c>
      <c r="H36" s="2311"/>
      <c r="I36" s="1157" t="e">
        <f>V36</f>
        <v>#DIV/0!</v>
      </c>
      <c r="J36" s="2311"/>
      <c r="K36" s="2313">
        <f>F36+H36+J36</f>
        <v>0</v>
      </c>
      <c r="L36" s="2716"/>
      <c r="M36" s="2717"/>
      <c r="N36" s="2708"/>
      <c r="O36" s="2717"/>
      <c r="P36" s="3737" t="str">
        <f>A36</f>
        <v>比较价值（元/平方米）</v>
      </c>
      <c r="Q36" s="3737"/>
      <c r="R36" s="3805" t="e">
        <f>IF(F1="售价",ROUND(PRODUCT(R35,AA7:AA34),0),ROUND(PRODUCT(R35,AA7:AA34),1))</f>
        <v>#DIV/0!</v>
      </c>
      <c r="S36" s="3805"/>
      <c r="T36" s="3805" t="e">
        <f>IF(F1="售价",ROUND(PRODUCT(T35,AB7:AB34),0),ROUND(PRODUCT(T35,AB7:AB34),1))</f>
        <v>#DIV/0!</v>
      </c>
      <c r="U36" s="3805"/>
      <c r="V36" s="3805" t="e">
        <f>IF(F1="售价",ROUND(PRODUCT(V35,AC7:AC34),0),ROUND(PRODUCT(V35,AC7:AC34),1))</f>
        <v>#DIV/0!</v>
      </c>
      <c r="W36" s="3805"/>
      <c r="X36" s="686"/>
      <c r="Y36" s="686"/>
      <c r="Z36" s="686"/>
      <c r="AA36" s="686"/>
      <c r="AB36" s="686"/>
      <c r="AC36" s="686"/>
    </row>
    <row r="37" spans="1:30" ht="15.75" thickBot="1">
      <c r="A37" s="438" t="s">
        <v>1794</v>
      </c>
      <c r="B37" s="439"/>
      <c r="C37" s="1159" t="e">
        <f>R37</f>
        <v>#DIV/0!</v>
      </c>
      <c r="D37" s="1159"/>
      <c r="E37" s="1159"/>
      <c r="F37" s="1159"/>
      <c r="G37" s="1159"/>
      <c r="H37" s="1159"/>
      <c r="I37" s="1159"/>
      <c r="J37" s="1159"/>
      <c r="K37" s="711"/>
      <c r="L37" s="2716"/>
      <c r="M37" s="2717"/>
      <c r="N37" s="2717"/>
      <c r="O37" s="2717"/>
      <c r="P37" s="3757" t="str">
        <f>A37</f>
        <v>估价对象XX用房的比较价值（楼面单价，元/平方米）</v>
      </c>
      <c r="Q37" s="3758"/>
      <c r="R37" s="3841" t="e">
        <f>IF(F1="售价",ROUND(IF(D36="简单平均",AVERAGE(R36:W36),R36*F36+T36*H36+V36*J36),0),ROUND(IF(D36="简单平均",AVERAGE(R36:V36),R36*F36+T36*H36+V36*J36),1))</f>
        <v>#DIV/0!</v>
      </c>
      <c r="S37" s="3841"/>
      <c r="T37" s="3841"/>
      <c r="U37" s="3841"/>
      <c r="V37" s="3841"/>
      <c r="W37" s="3841"/>
      <c r="X37" s="686"/>
      <c r="Y37" s="686"/>
      <c r="Z37" s="686"/>
      <c r="AA37" s="686"/>
      <c r="AB37" s="686"/>
      <c r="AC37" s="686"/>
    </row>
    <row r="38" spans="1:30">
      <c r="A38" s="2717"/>
      <c r="B38" s="2717"/>
      <c r="C38" s="2717"/>
      <c r="D38" s="2717"/>
      <c r="E38" s="2717"/>
      <c r="F38" s="2717"/>
      <c r="G38" s="2721"/>
      <c r="H38" s="2717"/>
      <c r="I38" s="2717"/>
      <c r="J38" s="2717"/>
      <c r="K38" s="2722"/>
      <c r="L38" s="2718"/>
      <c r="M38" s="2717"/>
      <c r="N38" s="2717"/>
      <c r="O38" s="2717"/>
      <c r="P38" s="2717"/>
      <c r="Q38" s="2717"/>
      <c r="R38" s="2717"/>
      <c r="S38" s="2717"/>
      <c r="T38" s="2717"/>
      <c r="U38" s="2717"/>
      <c r="V38" s="2717"/>
      <c r="W38" s="2717"/>
      <c r="X38" s="2717"/>
      <c r="Y38" s="2717"/>
      <c r="Z38" s="2717"/>
      <c r="AA38" s="2717"/>
      <c r="AB38" s="2717"/>
      <c r="AC38" s="2717"/>
      <c r="AD38" s="2717"/>
    </row>
    <row r="39" spans="1:30">
      <c r="A39" s="2717"/>
      <c r="B39" s="2717"/>
      <c r="C39" s="2717"/>
      <c r="D39" s="2717"/>
      <c r="E39" s="2717"/>
      <c r="F39" s="2717"/>
      <c r="G39" s="2717"/>
      <c r="H39" s="2717"/>
      <c r="I39" s="2717"/>
      <c r="J39" s="2717"/>
      <c r="K39" s="2722"/>
      <c r="L39" s="2718"/>
      <c r="M39" s="2717"/>
      <c r="N39" s="2717"/>
      <c r="O39" s="2717"/>
      <c r="P39" s="2717"/>
      <c r="Q39" s="2717"/>
      <c r="R39" s="2717"/>
      <c r="S39" s="2717"/>
      <c r="T39" s="2717"/>
      <c r="U39" s="2717"/>
      <c r="V39" s="2717"/>
      <c r="W39" s="2717"/>
      <c r="X39" s="2717"/>
      <c r="Y39" s="2717"/>
      <c r="Z39" s="2717"/>
      <c r="AA39" s="2717"/>
      <c r="AB39" s="2717"/>
      <c r="AC39" s="2717"/>
      <c r="AD39" s="2717"/>
    </row>
    <row r="40" spans="1:30" ht="13.5" customHeight="1">
      <c r="A40" s="2717"/>
      <c r="B40" s="2717"/>
      <c r="C40" s="443" t="s">
        <v>1795</v>
      </c>
      <c r="D40" s="444"/>
      <c r="E40" s="445" t="e">
        <f>IF(E35&lt;E36,E36/E35-1,E35/E36-1)</f>
        <v>#DIV/0!</v>
      </c>
      <c r="F40" s="446" t="e">
        <f>IF(OR(E40&gt;=0.3,E40&lt;=-0.3),"超过30%","")</f>
        <v>#DIV/0!</v>
      </c>
      <c r="G40" s="445" t="e">
        <f>IF(G35&lt;G36,G36/G35-1,G35/G36-1)</f>
        <v>#DIV/0!</v>
      </c>
      <c r="H40" s="446" t="e">
        <f>IF(OR(G40&gt;=0.3,G40&lt;=-0.3),"超过30%","")</f>
        <v>#DIV/0!</v>
      </c>
      <c r="I40" s="445" t="e">
        <f>IF(I35&lt;I36,I36/I35-1,I35/I36-1)</f>
        <v>#DIV/0!</v>
      </c>
      <c r="J40" s="446" t="e">
        <f>IF(OR(I40&gt;=0.3,I40&lt;=-0.3),"超过30%","")</f>
        <v>#DIV/0!</v>
      </c>
      <c r="K40" s="2722"/>
      <c r="L40" s="2718"/>
      <c r="M40" s="2717"/>
      <c r="N40" s="2717"/>
      <c r="O40" s="2717"/>
      <c r="P40" s="2717"/>
      <c r="Q40" s="2717"/>
      <c r="R40" s="2717"/>
      <c r="S40" s="2717"/>
      <c r="T40" s="2717"/>
      <c r="U40" s="2717"/>
      <c r="V40" s="2717"/>
      <c r="W40" s="2717"/>
      <c r="X40" s="2717"/>
      <c r="Y40" s="2717"/>
      <c r="Z40" s="2717"/>
      <c r="AA40" s="2717"/>
      <c r="AB40" s="2717"/>
      <c r="AC40" s="2717"/>
      <c r="AD40" s="2717"/>
    </row>
    <row r="41" spans="1:30" ht="13.5" customHeight="1">
      <c r="A41" s="2717"/>
      <c r="B41" s="2717"/>
      <c r="C41" s="443" t="s">
        <v>1796</v>
      </c>
      <c r="D41" s="447"/>
      <c r="E41" s="445" t="e">
        <f>IF(E36&lt;G36,G36/E36-1,E36/G36-1)</f>
        <v>#DIV/0!</v>
      </c>
      <c r="F41" s="446" t="e">
        <f>IF(OR(E41&gt;=0.2,E41&lt;=-0.2),"超过20%","")</f>
        <v>#DIV/0!</v>
      </c>
      <c r="G41" s="445" t="e">
        <f>IF(G36&lt;I36,I36/G36-1,G36/I36-1)</f>
        <v>#DIV/0!</v>
      </c>
      <c r="H41" s="446" t="e">
        <f>IF(OR(G41&gt;=0.2,G41&lt;=-0.2),"超过20%","")</f>
        <v>#DIV/0!</v>
      </c>
      <c r="I41" s="445" t="e">
        <f>IF(I36&lt;E36,E36/I36-1,I36/E36-1)</f>
        <v>#DIV/0!</v>
      </c>
      <c r="J41" s="446" t="e">
        <f>IF(OR(I41&gt;=0.2,I41&lt;=-0.2),"超过20%","")</f>
        <v>#DIV/0!</v>
      </c>
      <c r="K41" s="2722"/>
      <c r="L41" s="2718"/>
      <c r="M41" s="2717"/>
      <c r="N41" s="2717"/>
      <c r="O41" s="2717"/>
      <c r="P41" s="2717"/>
      <c r="Q41" s="2717"/>
      <c r="R41" s="2717"/>
      <c r="S41" s="2717"/>
      <c r="T41" s="2717"/>
      <c r="U41" s="2717"/>
      <c r="V41" s="2717"/>
      <c r="W41" s="2717"/>
      <c r="X41" s="2717"/>
      <c r="Y41" s="2717"/>
      <c r="Z41" s="2717"/>
      <c r="AA41" s="2717"/>
      <c r="AB41" s="2717"/>
      <c r="AC41" s="2717"/>
      <c r="AD41" s="2717"/>
    </row>
    <row r="42" spans="1:30" s="448" customFormat="1" ht="13.5" customHeight="1">
      <c r="A42" s="2720"/>
      <c r="B42" s="2720"/>
      <c r="C42" s="443" t="s">
        <v>1797</v>
      </c>
      <c r="D42" s="447"/>
      <c r="E42" s="445" t="e">
        <f>IF(E35&lt;G35,G35/E35-1,E35/G35-1)</f>
        <v>#DIV/0!</v>
      </c>
      <c r="F42" s="446" t="e">
        <f>IF(OR(E42&gt;=0.3,E42&lt;=-0.3),"超过30%","")</f>
        <v>#DIV/0!</v>
      </c>
      <c r="G42" s="445" t="e">
        <f>IF(G35&lt;I35,I35/G35-1,G35/I35-1)</f>
        <v>#DIV/0!</v>
      </c>
      <c r="H42" s="446" t="e">
        <f>IF(OR(G42&gt;=0.3,G42&lt;=-0.3),"超过30%","")</f>
        <v>#DIV/0!</v>
      </c>
      <c r="I42" s="445" t="e">
        <f>IF(I35&lt;E35,E35/I35-1,I35/E35-1)</f>
        <v>#DIV/0!</v>
      </c>
      <c r="J42" s="446" t="e">
        <f>IF(OR(I42&gt;=0.3,I42&lt;=-0.3),"超过30%","")</f>
        <v>#DIV/0!</v>
      </c>
      <c r="K42" s="2725"/>
      <c r="L42" s="2719"/>
      <c r="M42" s="2720"/>
      <c r="N42" s="2720"/>
      <c r="O42" s="2720"/>
      <c r="P42" s="2720"/>
      <c r="Q42" s="2720"/>
      <c r="R42" s="2720"/>
      <c r="S42" s="2720"/>
      <c r="T42" s="2720"/>
      <c r="U42" s="2720"/>
      <c r="V42" s="2720"/>
      <c r="W42" s="2720"/>
      <c r="X42" s="2720"/>
      <c r="Y42" s="2720"/>
      <c r="Z42" s="2720"/>
      <c r="AA42" s="2720"/>
      <c r="AB42" s="2720"/>
      <c r="AC42" s="2720"/>
      <c r="AD42" s="2720"/>
    </row>
    <row r="43" spans="1:30" s="448" customFormat="1">
      <c r="A43" s="2720"/>
      <c r="B43" s="2723"/>
      <c r="C43" s="2724"/>
      <c r="D43" s="2720"/>
      <c r="E43" s="2720"/>
      <c r="F43" s="2720"/>
      <c r="G43" s="2720"/>
      <c r="H43" s="2720"/>
      <c r="I43" s="2720"/>
      <c r="J43" s="2720"/>
      <c r="K43" s="2725"/>
      <c r="L43" s="2719"/>
      <c r="M43" s="2720"/>
      <c r="N43" s="2720"/>
      <c r="O43" s="2720"/>
      <c r="P43" s="2720"/>
      <c r="Q43" s="2720"/>
      <c r="R43" s="2720"/>
      <c r="S43" s="2720"/>
      <c r="T43" s="2720"/>
      <c r="U43" s="2720"/>
      <c r="V43" s="2720"/>
      <c r="W43" s="2720"/>
      <c r="X43" s="2720"/>
      <c r="Y43" s="2720"/>
      <c r="Z43" s="2720"/>
      <c r="AA43" s="2720"/>
      <c r="AB43" s="2720"/>
      <c r="AC43" s="2720"/>
      <c r="AD43" s="2720"/>
    </row>
    <row r="44" spans="1:30">
      <c r="A44" s="2717"/>
      <c r="B44" s="2723"/>
      <c r="C44" s="2724"/>
      <c r="D44" s="2717"/>
      <c r="E44" s="2717"/>
      <c r="F44" s="2717"/>
      <c r="G44" s="2717"/>
      <c r="H44" s="2717"/>
      <c r="I44" s="2717"/>
      <c r="J44" s="2717"/>
      <c r="K44" s="2722"/>
      <c r="L44" s="2718"/>
      <c r="M44" s="2717"/>
      <c r="N44" s="2717"/>
      <c r="O44" s="2717"/>
      <c r="P44" s="2717"/>
      <c r="Q44" s="2717"/>
      <c r="R44" s="2717"/>
      <c r="S44" s="2717"/>
      <c r="T44" s="2717"/>
      <c r="U44" s="2717"/>
      <c r="V44" s="2717"/>
      <c r="W44" s="2717"/>
      <c r="X44" s="2717"/>
      <c r="Y44" s="2717"/>
      <c r="Z44" s="2717"/>
      <c r="AA44" s="2717"/>
      <c r="AB44" s="2717"/>
      <c r="AC44" s="2717"/>
      <c r="AD44" s="2717"/>
    </row>
    <row r="45" spans="1:30" ht="21.75" thickBot="1">
      <c r="A45" s="690" t="s">
        <v>1798</v>
      </c>
      <c r="B45" s="686"/>
      <c r="C45" s="691"/>
      <c r="D45" s="691"/>
      <c r="E45" s="691"/>
      <c r="F45" s="692"/>
      <c r="G45" s="692"/>
      <c r="H45" s="691"/>
      <c r="I45" s="691"/>
      <c r="J45" s="691"/>
      <c r="K45" s="693"/>
      <c r="L45" s="694"/>
      <c r="M45" s="691"/>
      <c r="N45" s="2761"/>
      <c r="O45" s="2761"/>
      <c r="P45" s="2761"/>
      <c r="Q45" s="2731"/>
      <c r="R45" s="2717"/>
      <c r="S45" s="2717"/>
      <c r="T45" s="2717"/>
      <c r="U45" s="2717"/>
      <c r="V45" s="2717"/>
      <c r="W45" s="2717"/>
      <c r="X45" s="2717"/>
      <c r="Y45" s="2717"/>
      <c r="Z45" s="2717"/>
      <c r="AA45" s="2717"/>
      <c r="AB45" s="2717"/>
      <c r="AC45" s="2717"/>
      <c r="AD45" s="2717"/>
    </row>
    <row r="46" spans="1:30" s="454" customFormat="1" ht="15">
      <c r="A46" s="451" t="s">
        <v>1679</v>
      </c>
      <c r="B46" s="452"/>
      <c r="C46" s="1180" t="str">
        <f>YEAR(C7)&amp;"-"&amp;MONTH(C7)</f>
        <v>2023-7</v>
      </c>
      <c r="D46" s="1181">
        <f>EDATE(C46,-1)</f>
        <v>45078</v>
      </c>
      <c r="E46" s="1181">
        <f t="shared" ref="E46:O46" si="16">EDATE(D46,-1)</f>
        <v>45047</v>
      </c>
      <c r="F46" s="1181">
        <f t="shared" si="16"/>
        <v>45017</v>
      </c>
      <c r="G46" s="1181">
        <f t="shared" si="16"/>
        <v>44986</v>
      </c>
      <c r="H46" s="1181">
        <f t="shared" si="16"/>
        <v>44958</v>
      </c>
      <c r="I46" s="1181">
        <f t="shared" si="16"/>
        <v>44927</v>
      </c>
      <c r="J46" s="1181">
        <f t="shared" si="16"/>
        <v>44896</v>
      </c>
      <c r="K46" s="1181">
        <f t="shared" si="16"/>
        <v>44866</v>
      </c>
      <c r="L46" s="1181">
        <f t="shared" si="16"/>
        <v>44835</v>
      </c>
      <c r="M46" s="1181">
        <f t="shared" si="16"/>
        <v>44805</v>
      </c>
      <c r="N46" s="1181">
        <f t="shared" si="16"/>
        <v>44774</v>
      </c>
      <c r="O46" s="1181">
        <f t="shared" si="16"/>
        <v>44743</v>
      </c>
      <c r="P46" s="2768"/>
      <c r="Q46" s="2733"/>
      <c r="R46" s="2733"/>
      <c r="S46" s="2733"/>
      <c r="T46" s="2733"/>
      <c r="U46" s="2733"/>
      <c r="V46" s="2733"/>
      <c r="W46" s="2733"/>
      <c r="X46" s="2733"/>
      <c r="Y46" s="2733"/>
      <c r="Z46" s="2733"/>
      <c r="AA46" s="2733"/>
      <c r="AB46" s="2733"/>
      <c r="AC46" s="2733"/>
      <c r="AD46" s="2733"/>
    </row>
    <row r="47" spans="1:30" s="108" customFormat="1" ht="15">
      <c r="A47" s="455"/>
      <c r="B47" s="456"/>
      <c r="C47" s="1179">
        <v>100</v>
      </c>
      <c r="D47" s="458"/>
      <c r="E47" s="458"/>
      <c r="F47" s="458"/>
      <c r="G47" s="458"/>
      <c r="H47" s="458"/>
      <c r="I47" s="458"/>
      <c r="J47" s="458"/>
      <c r="K47" s="458"/>
      <c r="L47" s="458"/>
      <c r="M47" s="459"/>
      <c r="N47" s="458"/>
      <c r="O47" s="460"/>
      <c r="P47" s="2731"/>
      <c r="Q47" s="2653"/>
      <c r="R47" s="2653"/>
      <c r="S47" s="2653"/>
      <c r="T47" s="2653"/>
      <c r="U47" s="2653"/>
      <c r="V47" s="2653"/>
      <c r="W47" s="2653"/>
      <c r="X47" s="2653"/>
      <c r="Y47" s="2653"/>
      <c r="Z47" s="2653"/>
      <c r="AA47" s="2653"/>
      <c r="AB47" s="2653"/>
      <c r="AC47" s="2653"/>
      <c r="AD47" s="2653"/>
    </row>
    <row r="48" spans="1:30" s="108" customFormat="1" ht="15.75" thickBot="1">
      <c r="A48" s="461" t="s">
        <v>1716</v>
      </c>
      <c r="B48" s="462"/>
      <c r="C48" s="463"/>
      <c r="D48" s="464"/>
      <c r="E48" s="464"/>
      <c r="F48" s="464"/>
      <c r="G48" s="464"/>
      <c r="H48" s="464"/>
      <c r="I48" s="464"/>
      <c r="J48" s="464"/>
      <c r="K48" s="464"/>
      <c r="L48" s="464"/>
      <c r="M48" s="465"/>
      <c r="N48" s="464"/>
      <c r="O48" s="466"/>
      <c r="P48" s="2731"/>
      <c r="Q48" s="2731"/>
      <c r="R48" s="2653"/>
      <c r="S48" s="2653"/>
      <c r="T48" s="2653"/>
      <c r="U48" s="2653"/>
      <c r="V48" s="2653"/>
      <c r="W48" s="2653"/>
      <c r="X48" s="2653"/>
      <c r="Y48" s="2653"/>
      <c r="Z48" s="2653"/>
      <c r="AA48" s="2653"/>
      <c r="AB48" s="2653"/>
      <c r="AC48" s="2653"/>
      <c r="AD48" s="2653"/>
    </row>
    <row r="49" spans="1:30" s="108" customFormat="1" ht="15">
      <c r="A49" s="467" t="s">
        <v>1681</v>
      </c>
      <c r="B49" s="456"/>
      <c r="C49" s="468" t="s">
        <v>1776</v>
      </c>
      <c r="D49" s="469"/>
      <c r="E49" s="469"/>
      <c r="F49" s="469"/>
      <c r="G49" s="469"/>
      <c r="H49" s="469"/>
      <c r="I49" s="469"/>
      <c r="J49" s="469"/>
      <c r="K49" s="469"/>
      <c r="L49" s="470"/>
      <c r="M49" s="471"/>
      <c r="N49" s="2744"/>
      <c r="O49" s="2744"/>
      <c r="P49" s="2769"/>
      <c r="Q49" s="2731"/>
      <c r="R49" s="2653"/>
      <c r="S49" s="2653"/>
      <c r="T49" s="2653"/>
      <c r="U49" s="2653"/>
      <c r="V49" s="2653"/>
      <c r="W49" s="2653"/>
      <c r="X49" s="2653"/>
      <c r="Y49" s="2653"/>
      <c r="Z49" s="2653"/>
      <c r="AA49" s="2653"/>
      <c r="AB49" s="2653"/>
      <c r="AC49" s="2653"/>
      <c r="AD49" s="2653"/>
    </row>
    <row r="50" spans="1:30" s="108" customFormat="1" ht="15.75" thickBot="1">
      <c r="A50" s="467"/>
      <c r="B50" s="456"/>
      <c r="C50" s="584">
        <v>100</v>
      </c>
      <c r="D50" s="458"/>
      <c r="E50" s="458"/>
      <c r="F50" s="458"/>
      <c r="G50" s="458"/>
      <c r="H50" s="458"/>
      <c r="I50" s="458"/>
      <c r="J50" s="458"/>
      <c r="K50" s="458"/>
      <c r="L50" s="458"/>
      <c r="M50" s="460"/>
      <c r="N50" s="2744"/>
      <c r="O50" s="2744"/>
      <c r="P50" s="2731"/>
      <c r="Q50" s="2731"/>
      <c r="R50" s="2653"/>
      <c r="S50" s="2653"/>
      <c r="T50" s="2653"/>
      <c r="U50" s="2653"/>
      <c r="V50" s="2653"/>
      <c r="W50" s="2653"/>
      <c r="X50" s="2653"/>
      <c r="Y50" s="2653"/>
      <c r="Z50" s="2653"/>
      <c r="AA50" s="2653"/>
      <c r="AB50" s="2653"/>
      <c r="AC50" s="2653"/>
      <c r="AD50" s="2653"/>
    </row>
    <row r="51" spans="1:30">
      <c r="A51" s="473" t="s">
        <v>1719</v>
      </c>
      <c r="B51" s="474" t="s">
        <v>1685</v>
      </c>
      <c r="C51" s="475">
        <f>C9</f>
        <v>0</v>
      </c>
      <c r="D51" s="476"/>
      <c r="E51" s="476"/>
      <c r="F51" s="476"/>
      <c r="G51" s="476"/>
      <c r="H51" s="476"/>
      <c r="I51" s="476"/>
      <c r="J51" s="476"/>
      <c r="K51" s="477"/>
      <c r="L51" s="478"/>
      <c r="M51" s="479"/>
      <c r="N51" s="2745"/>
      <c r="O51" s="2745"/>
      <c r="P51" s="2770"/>
      <c r="Q51" s="2731"/>
      <c r="R51" s="2717"/>
      <c r="S51" s="2717"/>
      <c r="T51" s="2717"/>
      <c r="U51" s="2717"/>
      <c r="V51" s="2717"/>
      <c r="W51" s="2717"/>
      <c r="X51" s="2717"/>
      <c r="Y51" s="2717"/>
      <c r="Z51" s="2717"/>
      <c r="AA51" s="2717"/>
      <c r="AB51" s="2717"/>
      <c r="AC51" s="2717"/>
      <c r="AD51" s="2717"/>
    </row>
    <row r="52" spans="1:30" ht="15.75" thickBot="1">
      <c r="A52" s="480"/>
      <c r="B52" s="481"/>
      <c r="C52" s="482">
        <v>100</v>
      </c>
      <c r="D52" s="482"/>
      <c r="E52" s="482"/>
      <c r="F52" s="482"/>
      <c r="G52" s="482"/>
      <c r="H52" s="482"/>
      <c r="I52" s="482"/>
      <c r="J52" s="482"/>
      <c r="K52" s="482"/>
      <c r="L52" s="482"/>
      <c r="M52" s="483"/>
      <c r="N52" s="2746"/>
      <c r="O52" s="2746"/>
      <c r="P52" s="2770"/>
      <c r="Q52" s="2731"/>
      <c r="R52" s="2717"/>
      <c r="S52" s="2717"/>
      <c r="T52" s="2717"/>
      <c r="U52" s="2717"/>
      <c r="V52" s="2717"/>
      <c r="W52" s="2717"/>
      <c r="X52" s="2717"/>
      <c r="Y52" s="2717"/>
      <c r="Z52" s="2717"/>
      <c r="AA52" s="2717"/>
      <c r="AB52" s="2717"/>
      <c r="AC52" s="2717"/>
      <c r="AD52" s="2717"/>
    </row>
    <row r="53" spans="1:30" ht="27.75" thickTop="1">
      <c r="A53" s="480"/>
      <c r="B53" s="484" t="s">
        <v>1688</v>
      </c>
      <c r="C53" s="529"/>
      <c r="D53" s="529"/>
      <c r="E53" s="529"/>
      <c r="F53" s="529"/>
      <c r="G53" s="529"/>
      <c r="H53" s="529"/>
      <c r="I53" s="529"/>
      <c r="J53" s="529"/>
      <c r="K53" s="530"/>
      <c r="L53" s="531"/>
      <c r="M53" s="532"/>
      <c r="N53" s="2745"/>
      <c r="O53" s="2745"/>
      <c r="P53" s="2770"/>
      <c r="Q53" s="2731"/>
      <c r="R53" s="2717"/>
      <c r="S53" s="2717"/>
      <c r="T53" s="2717"/>
      <c r="U53" s="2717"/>
      <c r="V53" s="2717"/>
      <c r="W53" s="2717"/>
      <c r="X53" s="2717"/>
      <c r="Y53" s="2717"/>
      <c r="Z53" s="2717"/>
      <c r="AA53" s="2717"/>
      <c r="AB53" s="2717"/>
      <c r="AC53" s="2717"/>
      <c r="AD53" s="2717"/>
    </row>
    <row r="54" spans="1:30" ht="15.75" thickBot="1">
      <c r="A54" s="480"/>
      <c r="B54" s="489"/>
      <c r="C54" s="482"/>
      <c r="D54" s="482"/>
      <c r="E54" s="482"/>
      <c r="F54" s="482"/>
      <c r="G54" s="482"/>
      <c r="H54" s="482"/>
      <c r="I54" s="482"/>
      <c r="J54" s="482"/>
      <c r="K54" s="482"/>
      <c r="L54" s="482"/>
      <c r="M54" s="483"/>
      <c r="N54" s="2746"/>
      <c r="O54" s="2746"/>
      <c r="P54" s="2770"/>
      <c r="Q54" s="2731"/>
      <c r="R54" s="2717"/>
      <c r="S54" s="2717"/>
      <c r="T54" s="2717"/>
      <c r="U54" s="2717"/>
      <c r="V54" s="2717"/>
      <c r="W54" s="2717"/>
      <c r="X54" s="2717"/>
      <c r="Y54" s="2717"/>
      <c r="Z54" s="2717"/>
      <c r="AA54" s="2717"/>
      <c r="AB54" s="2717"/>
      <c r="AC54" s="2717"/>
      <c r="AD54" s="2717"/>
    </row>
    <row r="55" spans="1:30" ht="15.75" thickTop="1">
      <c r="A55" s="480"/>
      <c r="B55" s="605">
        <f>B11</f>
        <v>111</v>
      </c>
      <c r="C55" s="495"/>
      <c r="D55" s="495"/>
      <c r="E55" s="495"/>
      <c r="F55" s="495"/>
      <c r="G55" s="495"/>
      <c r="H55" s="495"/>
      <c r="I55" s="495"/>
      <c r="J55" s="495"/>
      <c r="K55" s="496"/>
      <c r="L55" s="497"/>
      <c r="M55" s="498"/>
      <c r="N55" s="2745"/>
      <c r="O55" s="2745"/>
      <c r="P55" s="2770"/>
      <c r="Q55" s="2731"/>
      <c r="R55" s="2717"/>
      <c r="S55" s="2717"/>
      <c r="T55" s="2717"/>
      <c r="U55" s="2717"/>
      <c r="V55" s="2717"/>
      <c r="W55" s="2717"/>
      <c r="X55" s="2717"/>
      <c r="Y55" s="2717"/>
      <c r="Z55" s="2717"/>
      <c r="AA55" s="2717"/>
      <c r="AB55" s="2717"/>
      <c r="AC55" s="2717"/>
      <c r="AD55" s="2717"/>
    </row>
    <row r="56" spans="1:30" ht="15.75" thickBot="1">
      <c r="A56" s="480"/>
      <c r="B56" s="481"/>
      <c r="C56" s="506"/>
      <c r="D56" s="482"/>
      <c r="E56" s="482"/>
      <c r="F56" s="482"/>
      <c r="G56" s="482"/>
      <c r="H56" s="482"/>
      <c r="I56" s="482"/>
      <c r="J56" s="482"/>
      <c r="K56" s="482"/>
      <c r="L56" s="482"/>
      <c r="M56" s="483"/>
      <c r="N56" s="2746"/>
      <c r="O56" s="2746"/>
      <c r="P56" s="2770"/>
      <c r="Q56" s="2731"/>
      <c r="R56" s="2717"/>
      <c r="S56" s="2717"/>
      <c r="T56" s="2717"/>
      <c r="U56" s="2717"/>
      <c r="V56" s="2717"/>
      <c r="W56" s="2717"/>
      <c r="X56" s="2717"/>
      <c r="Y56" s="2717"/>
      <c r="Z56" s="2717"/>
      <c r="AA56" s="2717"/>
      <c r="AB56" s="2717"/>
      <c r="AC56" s="2717"/>
      <c r="AD56" s="2717"/>
    </row>
    <row r="57" spans="1:30" s="419" customFormat="1" ht="15.75" thickTop="1">
      <c r="A57" s="499"/>
      <c r="B57" s="484">
        <f>B12</f>
        <v>111</v>
      </c>
      <c r="C57" s="495"/>
      <c r="D57" s="495"/>
      <c r="E57" s="495"/>
      <c r="F57" s="495"/>
      <c r="G57" s="500"/>
      <c r="H57" s="501"/>
      <c r="I57" s="501"/>
      <c r="J57" s="501"/>
      <c r="K57" s="501"/>
      <c r="L57" s="502"/>
      <c r="M57" s="503"/>
      <c r="N57" s="2747"/>
      <c r="O57" s="2747"/>
      <c r="P57" s="2771"/>
      <c r="Q57" s="2738"/>
      <c r="R57" s="2739"/>
      <c r="S57" s="2739"/>
      <c r="T57" s="2739"/>
      <c r="U57" s="2739"/>
      <c r="V57" s="2739"/>
      <c r="W57" s="2739"/>
      <c r="X57" s="2739"/>
      <c r="Y57" s="2739"/>
      <c r="Z57" s="2739"/>
      <c r="AA57" s="2739"/>
      <c r="AB57" s="2739"/>
      <c r="AC57" s="2739"/>
      <c r="AD57" s="2739"/>
    </row>
    <row r="58" spans="1:30" s="419" customFormat="1" ht="15.75" thickBot="1">
      <c r="A58" s="499"/>
      <c r="B58" s="489"/>
      <c r="C58" s="506"/>
      <c r="D58" s="482"/>
      <c r="E58" s="482"/>
      <c r="F58" s="482"/>
      <c r="G58" s="482"/>
      <c r="H58" s="482"/>
      <c r="I58" s="482"/>
      <c r="J58" s="482"/>
      <c r="K58" s="482"/>
      <c r="L58" s="482"/>
      <c r="M58" s="483"/>
      <c r="N58" s="2746"/>
      <c r="O58" s="2746"/>
      <c r="P58" s="2771"/>
      <c r="Q58" s="2738"/>
      <c r="R58" s="2739"/>
      <c r="S58" s="2739"/>
      <c r="T58" s="2739"/>
      <c r="U58" s="2739"/>
      <c r="V58" s="2739"/>
      <c r="W58" s="2739"/>
      <c r="X58" s="2739"/>
      <c r="Y58" s="2739"/>
      <c r="Z58" s="2739"/>
      <c r="AA58" s="2739"/>
      <c r="AB58" s="2739"/>
      <c r="AC58" s="2739"/>
      <c r="AD58" s="2739"/>
    </row>
    <row r="59" spans="1:30" s="419" customFormat="1" ht="15.75" thickTop="1">
      <c r="A59" s="499"/>
      <c r="B59" s="484">
        <f>B13</f>
        <v>111</v>
      </c>
      <c r="C59" s="495"/>
      <c r="D59" s="495"/>
      <c r="E59" s="495"/>
      <c r="F59" s="495"/>
      <c r="G59" s="500"/>
      <c r="H59" s="501"/>
      <c r="I59" s="501"/>
      <c r="J59" s="501"/>
      <c r="K59" s="501"/>
      <c r="L59" s="502"/>
      <c r="M59" s="503"/>
      <c r="N59" s="2747"/>
      <c r="O59" s="2747"/>
      <c r="P59" s="2715"/>
      <c r="Q59" s="2741"/>
      <c r="R59" s="2739"/>
      <c r="S59" s="2739"/>
      <c r="T59" s="2739"/>
      <c r="U59" s="2739"/>
      <c r="V59" s="2739"/>
      <c r="W59" s="2739"/>
      <c r="X59" s="2739"/>
      <c r="Y59" s="2739"/>
      <c r="Z59" s="2739"/>
      <c r="AA59" s="2739"/>
      <c r="AB59" s="2739"/>
      <c r="AC59" s="2739"/>
      <c r="AD59" s="2739"/>
    </row>
    <row r="60" spans="1:30" s="419" customFormat="1" ht="15.75" thickBot="1">
      <c r="A60" s="499"/>
      <c r="B60" s="489"/>
      <c r="C60" s="506"/>
      <c r="D60" s="506"/>
      <c r="E60" s="506"/>
      <c r="F60" s="506"/>
      <c r="G60" s="506"/>
      <c r="H60" s="508"/>
      <c r="I60" s="508"/>
      <c r="J60" s="508"/>
      <c r="K60" s="508"/>
      <c r="L60" s="508"/>
      <c r="M60" s="509"/>
      <c r="N60" s="2747"/>
      <c r="O60" s="2747"/>
      <c r="P60" s="2771"/>
      <c r="Q60" s="2738"/>
      <c r="R60" s="2739"/>
      <c r="S60" s="2739"/>
      <c r="T60" s="2739"/>
      <c r="U60" s="2739"/>
      <c r="V60" s="2739"/>
      <c r="W60" s="2739"/>
      <c r="X60" s="2739"/>
      <c r="Y60" s="2739"/>
      <c r="Z60" s="2739"/>
      <c r="AA60" s="2739"/>
      <c r="AB60" s="2739"/>
      <c r="AC60" s="2739"/>
      <c r="AD60" s="2739"/>
    </row>
    <row r="61" spans="1:30" ht="15" thickTop="1">
      <c r="A61" s="473" t="s">
        <v>1690</v>
      </c>
      <c r="B61" s="474" t="s">
        <v>1726</v>
      </c>
      <c r="C61" s="519" t="s">
        <v>1721</v>
      </c>
      <c r="D61" s="519" t="s">
        <v>1722</v>
      </c>
      <c r="E61" s="519" t="s">
        <v>1723</v>
      </c>
      <c r="F61" s="519" t="s">
        <v>1724</v>
      </c>
      <c r="G61" s="519" t="s">
        <v>1725</v>
      </c>
      <c r="H61" s="475"/>
      <c r="I61" s="475"/>
      <c r="J61" s="475"/>
      <c r="K61" s="520"/>
      <c r="L61" s="521"/>
      <c r="M61" s="522"/>
      <c r="N61" s="2745"/>
      <c r="O61" s="2745"/>
      <c r="P61" s="2772"/>
      <c r="Q61" s="2731"/>
      <c r="R61" s="2717"/>
      <c r="S61" s="2717"/>
      <c r="T61" s="2717"/>
      <c r="U61" s="2717"/>
      <c r="V61" s="2717"/>
      <c r="W61" s="2717"/>
      <c r="X61" s="2717"/>
      <c r="Y61" s="2717"/>
      <c r="Z61" s="2717"/>
      <c r="AA61" s="2717"/>
      <c r="AB61" s="2717"/>
      <c r="AC61" s="2717"/>
      <c r="AD61" s="2717"/>
    </row>
    <row r="62" spans="1:30" ht="15.75" thickBot="1">
      <c r="A62" s="480"/>
      <c r="B62" s="489"/>
      <c r="C62" s="490">
        <v>100</v>
      </c>
      <c r="D62" s="490">
        <f>C62-$K14</f>
        <v>100</v>
      </c>
      <c r="E62" s="490">
        <f>D62-$K14</f>
        <v>100</v>
      </c>
      <c r="F62" s="490">
        <f>E62-$K14</f>
        <v>100</v>
      </c>
      <c r="G62" s="490">
        <f>F62-$K14</f>
        <v>100</v>
      </c>
      <c r="H62" s="490"/>
      <c r="I62" s="490"/>
      <c r="J62" s="490"/>
      <c r="K62" s="490"/>
      <c r="L62" s="490"/>
      <c r="M62" s="491"/>
      <c r="N62" s="2746"/>
      <c r="O62" s="2746"/>
      <c r="P62" s="2770"/>
      <c r="Q62" s="2731"/>
      <c r="R62" s="2717"/>
      <c r="S62" s="2717"/>
      <c r="T62" s="2717"/>
      <c r="U62" s="2717"/>
      <c r="V62" s="2717"/>
      <c r="W62" s="2717"/>
      <c r="X62" s="2717"/>
      <c r="Y62" s="2717"/>
      <c r="Z62" s="2717"/>
      <c r="AA62" s="2717"/>
      <c r="AB62" s="2717"/>
      <c r="AC62" s="2717"/>
      <c r="AD62" s="2717"/>
    </row>
    <row r="63" spans="1:30" ht="27.75" thickTop="1">
      <c r="A63" s="480"/>
      <c r="B63" s="484" t="s">
        <v>1863</v>
      </c>
      <c r="C63" s="524" t="s">
        <v>1721</v>
      </c>
      <c r="D63" s="524" t="s">
        <v>1722</v>
      </c>
      <c r="E63" s="524" t="s">
        <v>1723</v>
      </c>
      <c r="F63" s="524" t="s">
        <v>1724</v>
      </c>
      <c r="G63" s="524" t="s">
        <v>1725</v>
      </c>
      <c r="H63" s="485"/>
      <c r="I63" s="485"/>
      <c r="J63" s="485"/>
      <c r="K63" s="486"/>
      <c r="L63" s="487"/>
      <c r="M63" s="488"/>
      <c r="N63" s="2745"/>
      <c r="O63" s="2745"/>
      <c r="P63" s="2770"/>
      <c r="Q63" s="2731"/>
      <c r="R63" s="2717"/>
      <c r="S63" s="2717"/>
      <c r="T63" s="2717"/>
      <c r="U63" s="2717"/>
      <c r="V63" s="2717"/>
      <c r="W63" s="2717"/>
      <c r="X63" s="2717"/>
      <c r="Y63" s="2717"/>
      <c r="Z63" s="2717"/>
      <c r="AA63" s="2717"/>
      <c r="AB63" s="2717"/>
      <c r="AC63" s="2717"/>
      <c r="AD63" s="2717"/>
    </row>
    <row r="64" spans="1:30" ht="15.75" thickBot="1">
      <c r="A64" s="480"/>
      <c r="B64" s="489"/>
      <c r="C64" s="490">
        <v>100</v>
      </c>
      <c r="D64" s="490">
        <f>C64-$K16</f>
        <v>100</v>
      </c>
      <c r="E64" s="490">
        <f>D64-$K16</f>
        <v>100</v>
      </c>
      <c r="F64" s="490">
        <f>E64-$K16</f>
        <v>100</v>
      </c>
      <c r="G64" s="490">
        <f>F64-$K16</f>
        <v>100</v>
      </c>
      <c r="H64" s="490"/>
      <c r="I64" s="490"/>
      <c r="J64" s="490"/>
      <c r="K64" s="490"/>
      <c r="L64" s="490"/>
      <c r="M64" s="491"/>
      <c r="N64" s="2746"/>
      <c r="O64" s="2746"/>
      <c r="P64" s="2770"/>
      <c r="Q64" s="2731"/>
      <c r="R64" s="2717"/>
      <c r="S64" s="2717"/>
      <c r="T64" s="2717"/>
      <c r="U64" s="2717"/>
      <c r="V64" s="2717"/>
      <c r="W64" s="2717"/>
      <c r="X64" s="2717"/>
      <c r="Y64" s="2717"/>
      <c r="Z64" s="2717"/>
      <c r="AA64" s="2717"/>
      <c r="AB64" s="2717"/>
      <c r="AC64" s="2717"/>
      <c r="AD64" s="2717"/>
    </row>
    <row r="65" spans="1:30" ht="15.75" thickTop="1">
      <c r="A65" s="480"/>
      <c r="B65" s="492" t="s">
        <v>1813</v>
      </c>
      <c r="C65" s="605" t="s">
        <v>1799</v>
      </c>
      <c r="D65" s="605" t="s">
        <v>1800</v>
      </c>
      <c r="E65" s="605" t="s">
        <v>1801</v>
      </c>
      <c r="F65" s="605" t="s">
        <v>1802</v>
      </c>
      <c r="G65" s="605" t="s">
        <v>1803</v>
      </c>
      <c r="H65" s="485"/>
      <c r="I65" s="485"/>
      <c r="J65" s="485"/>
      <c r="K65" s="485"/>
      <c r="L65" s="485"/>
      <c r="M65" s="1125"/>
      <c r="N65" s="2746"/>
      <c r="O65" s="2746"/>
      <c r="P65" s="2770"/>
      <c r="Q65" s="2731"/>
      <c r="R65" s="2717"/>
      <c r="S65" s="2717"/>
      <c r="T65" s="2717"/>
      <c r="U65" s="2717"/>
      <c r="V65" s="2717"/>
      <c r="W65" s="2717"/>
      <c r="X65" s="2717"/>
      <c r="Y65" s="2717"/>
      <c r="Z65" s="2717"/>
      <c r="AA65" s="2717"/>
      <c r="AB65" s="2717"/>
      <c r="AC65" s="2717"/>
      <c r="AD65" s="2717"/>
    </row>
    <row r="66" spans="1:30" ht="15.75" thickBot="1">
      <c r="A66" s="480"/>
      <c r="B66" s="492"/>
      <c r="C66" s="490">
        <v>100</v>
      </c>
      <c r="D66" s="490">
        <f>C66-$K18</f>
        <v>100</v>
      </c>
      <c r="E66" s="490">
        <f>D66-$K18</f>
        <v>100</v>
      </c>
      <c r="F66" s="490">
        <f>E66-$K18</f>
        <v>100</v>
      </c>
      <c r="G66" s="490">
        <f>F66-$K18</f>
        <v>100</v>
      </c>
      <c r="H66" s="605"/>
      <c r="I66" s="605"/>
      <c r="J66" s="605"/>
      <c r="K66" s="605"/>
      <c r="L66" s="605"/>
      <c r="M66" s="398"/>
      <c r="N66" s="2746"/>
      <c r="O66" s="2746"/>
      <c r="P66" s="2770"/>
      <c r="Q66" s="2731"/>
      <c r="R66" s="2717"/>
      <c r="S66" s="2717"/>
      <c r="T66" s="2717"/>
      <c r="U66" s="2717"/>
      <c r="V66" s="2717"/>
      <c r="W66" s="2717"/>
      <c r="X66" s="2717"/>
      <c r="Y66" s="2717"/>
      <c r="Z66" s="2717"/>
      <c r="AA66" s="2717"/>
      <c r="AB66" s="2717"/>
      <c r="AC66" s="2717"/>
      <c r="AD66" s="2717"/>
    </row>
    <row r="67" spans="1:30" ht="15.75" thickTop="1">
      <c r="A67" s="480"/>
      <c r="B67" s="484" t="s">
        <v>1733</v>
      </c>
      <c r="C67" s="524" t="s">
        <v>1721</v>
      </c>
      <c r="D67" s="524" t="s">
        <v>1722</v>
      </c>
      <c r="E67" s="524" t="s">
        <v>1723</v>
      </c>
      <c r="F67" s="524" t="s">
        <v>1724</v>
      </c>
      <c r="G67" s="524" t="s">
        <v>1725</v>
      </c>
      <c r="H67" s="485"/>
      <c r="I67" s="485"/>
      <c r="J67" s="485"/>
      <c r="K67" s="486"/>
      <c r="L67" s="487"/>
      <c r="M67" s="488"/>
      <c r="N67" s="2745"/>
      <c r="O67" s="2745"/>
      <c r="P67" s="2770"/>
      <c r="Q67" s="2731"/>
      <c r="R67" s="2717"/>
      <c r="S67" s="2717"/>
      <c r="T67" s="2717"/>
      <c r="U67" s="2717"/>
      <c r="V67" s="2717"/>
      <c r="W67" s="2717"/>
      <c r="X67" s="2717"/>
      <c r="Y67" s="2717"/>
      <c r="Z67" s="2717"/>
      <c r="AA67" s="2717"/>
      <c r="AB67" s="2717"/>
      <c r="AC67" s="2717"/>
      <c r="AD67" s="2717"/>
    </row>
    <row r="68" spans="1:30" ht="15.75" thickBot="1">
      <c r="A68" s="480"/>
      <c r="B68" s="489"/>
      <c r="C68" s="490">
        <v>100</v>
      </c>
      <c r="D68" s="490">
        <f>C68-$K20</f>
        <v>100</v>
      </c>
      <c r="E68" s="490">
        <f>D68-$K20</f>
        <v>100</v>
      </c>
      <c r="F68" s="490">
        <f>E68-$K20</f>
        <v>100</v>
      </c>
      <c r="G68" s="490">
        <f>F68-$K20</f>
        <v>100</v>
      </c>
      <c r="H68" s="490"/>
      <c r="I68" s="490"/>
      <c r="J68" s="490"/>
      <c r="K68" s="490"/>
      <c r="L68" s="490"/>
      <c r="M68" s="491"/>
      <c r="N68" s="2746"/>
      <c r="O68" s="2746"/>
      <c r="P68" s="2770"/>
      <c r="Q68" s="2731"/>
      <c r="R68" s="2717"/>
      <c r="S68" s="2717"/>
      <c r="T68" s="2717"/>
      <c r="U68" s="2717"/>
      <c r="V68" s="2717"/>
      <c r="W68" s="2717"/>
      <c r="X68" s="2717"/>
      <c r="Y68" s="2717"/>
      <c r="Z68" s="2717"/>
      <c r="AA68" s="2717"/>
      <c r="AB68" s="2717"/>
      <c r="AC68" s="2717"/>
      <c r="AD68" s="2717"/>
    </row>
    <row r="69" spans="1:30" ht="15.75" thickTop="1">
      <c r="A69" s="480"/>
      <c r="B69" s="484" t="s">
        <v>1852</v>
      </c>
      <c r="C69" s="500"/>
      <c r="D69" s="500"/>
      <c r="E69" s="500"/>
      <c r="F69" s="500"/>
      <c r="G69" s="500"/>
      <c r="H69" s="529"/>
      <c r="I69" s="529"/>
      <c r="J69" s="529"/>
      <c r="K69" s="530"/>
      <c r="L69" s="531"/>
      <c r="M69" s="532"/>
      <c r="N69" s="2745"/>
      <c r="O69" s="2745"/>
      <c r="P69" s="2770"/>
      <c r="Q69" s="2731"/>
      <c r="R69" s="2717"/>
      <c r="S69" s="2717"/>
      <c r="T69" s="2717"/>
      <c r="U69" s="2717"/>
      <c r="V69" s="2717"/>
      <c r="W69" s="2717"/>
      <c r="X69" s="2717"/>
      <c r="Y69" s="2717"/>
      <c r="Z69" s="2717"/>
      <c r="AA69" s="2717"/>
      <c r="AB69" s="2717"/>
      <c r="AC69" s="2717"/>
      <c r="AD69" s="2717"/>
    </row>
    <row r="70" spans="1:30" ht="15.75" thickBot="1">
      <c r="A70" s="480"/>
      <c r="B70" s="489"/>
      <c r="C70" s="490">
        <v>100</v>
      </c>
      <c r="D70" s="490">
        <f>C70-$K22</f>
        <v>100</v>
      </c>
      <c r="E70" s="490"/>
      <c r="F70" s="490"/>
      <c r="G70" s="490"/>
      <c r="H70" s="490"/>
      <c r="I70" s="490"/>
      <c r="J70" s="490"/>
      <c r="K70" s="490"/>
      <c r="L70" s="490"/>
      <c r="M70" s="491"/>
      <c r="N70" s="2746"/>
      <c r="O70" s="2746"/>
      <c r="P70" s="2770"/>
      <c r="Q70" s="2731"/>
      <c r="R70" s="2717"/>
      <c r="S70" s="2717"/>
      <c r="T70" s="2717"/>
      <c r="U70" s="2717"/>
      <c r="V70" s="2717"/>
      <c r="W70" s="2717"/>
      <c r="X70" s="2717"/>
      <c r="Y70" s="2717"/>
      <c r="Z70" s="2717"/>
      <c r="AA70" s="2717"/>
      <c r="AB70" s="2717"/>
      <c r="AC70" s="2717"/>
      <c r="AD70" s="2717"/>
    </row>
    <row r="71" spans="1:30" s="108" customFormat="1" ht="15.75" thickTop="1">
      <c r="A71" s="525"/>
      <c r="B71" s="484">
        <f>B23</f>
        <v>111</v>
      </c>
      <c r="C71" s="495"/>
      <c r="D71" s="495"/>
      <c r="E71" s="495"/>
      <c r="F71" s="495"/>
      <c r="G71" s="500"/>
      <c r="H71" s="500"/>
      <c r="I71" s="500"/>
      <c r="J71" s="500"/>
      <c r="K71" s="500"/>
      <c r="L71" s="526"/>
      <c r="M71" s="527"/>
      <c r="N71" s="2744"/>
      <c r="O71" s="2744"/>
      <c r="P71" s="2770"/>
      <c r="Q71" s="2731"/>
      <c r="R71" s="2653"/>
      <c r="S71" s="2653"/>
      <c r="T71" s="2653"/>
      <c r="U71" s="2653"/>
      <c r="V71" s="2653"/>
      <c r="W71" s="2653"/>
      <c r="X71" s="2653"/>
      <c r="Y71" s="2653"/>
      <c r="Z71" s="2653"/>
      <c r="AA71" s="2653"/>
      <c r="AB71" s="2653"/>
      <c r="AC71" s="2653"/>
      <c r="AD71" s="2653"/>
    </row>
    <row r="72" spans="1:30" s="108" customFormat="1" ht="15.75" thickBot="1">
      <c r="A72" s="525"/>
      <c r="B72" s="489"/>
      <c r="C72" s="506"/>
      <c r="D72" s="482"/>
      <c r="E72" s="482"/>
      <c r="F72" s="482"/>
      <c r="G72" s="482"/>
      <c r="H72" s="482"/>
      <c r="I72" s="482"/>
      <c r="J72" s="482"/>
      <c r="K72" s="482"/>
      <c r="L72" s="482"/>
      <c r="M72" s="483"/>
      <c r="N72" s="2746"/>
      <c r="O72" s="2746"/>
      <c r="P72" s="2770"/>
      <c r="Q72" s="2731"/>
      <c r="R72" s="2653"/>
      <c r="S72" s="2653"/>
      <c r="T72" s="2653"/>
      <c r="U72" s="2653"/>
      <c r="V72" s="2653"/>
      <c r="W72" s="2653"/>
      <c r="X72" s="2653"/>
      <c r="Y72" s="2653"/>
      <c r="Z72" s="2653"/>
      <c r="AA72" s="2653"/>
      <c r="AB72" s="2653"/>
      <c r="AC72" s="2653"/>
      <c r="AD72" s="2653"/>
    </row>
    <row r="73" spans="1:30" s="108" customFormat="1" ht="15.75" thickTop="1">
      <c r="A73" s="525"/>
      <c r="B73" s="484">
        <f>B24</f>
        <v>111</v>
      </c>
      <c r="C73" s="495"/>
      <c r="D73" s="495"/>
      <c r="E73" s="495"/>
      <c r="F73" s="495"/>
      <c r="G73" s="500"/>
      <c r="H73" s="500"/>
      <c r="I73" s="500"/>
      <c r="J73" s="500"/>
      <c r="K73" s="500"/>
      <c r="L73" s="500"/>
      <c r="M73" s="527"/>
      <c r="N73" s="2744"/>
      <c r="O73" s="2744"/>
      <c r="P73" s="2770"/>
      <c r="Q73" s="2731"/>
      <c r="R73" s="2653"/>
      <c r="S73" s="2653"/>
      <c r="T73" s="2653"/>
      <c r="U73" s="2653"/>
      <c r="V73" s="2653"/>
      <c r="W73" s="2653"/>
      <c r="X73" s="2653"/>
      <c r="Y73" s="2653"/>
      <c r="Z73" s="2653"/>
      <c r="AA73" s="2653"/>
      <c r="AB73" s="2653"/>
      <c r="AC73" s="2653"/>
      <c r="AD73" s="2653"/>
    </row>
    <row r="74" spans="1:30" s="108" customFormat="1" ht="15.75" thickBot="1">
      <c r="A74" s="525"/>
      <c r="B74" s="489"/>
      <c r="C74" s="506"/>
      <c r="D74" s="482"/>
      <c r="E74" s="482"/>
      <c r="F74" s="482"/>
      <c r="G74" s="482"/>
      <c r="H74" s="482"/>
      <c r="I74" s="482"/>
      <c r="J74" s="482"/>
      <c r="K74" s="482"/>
      <c r="L74" s="482"/>
      <c r="M74" s="483"/>
      <c r="N74" s="2746"/>
      <c r="O74" s="2746"/>
      <c r="P74" s="2770"/>
      <c r="Q74" s="2731"/>
      <c r="R74" s="2653"/>
      <c r="S74" s="2653"/>
      <c r="T74" s="2653"/>
      <c r="U74" s="2653"/>
      <c r="V74" s="2653"/>
      <c r="W74" s="2653"/>
      <c r="X74" s="2653"/>
      <c r="Y74" s="2653"/>
      <c r="Z74" s="2653"/>
      <c r="AA74" s="2653"/>
      <c r="AB74" s="2653"/>
      <c r="AC74" s="2653"/>
      <c r="AD74" s="2653"/>
    </row>
    <row r="75" spans="1:30" s="419" customFormat="1" ht="15.75" thickTop="1">
      <c r="A75" s="499"/>
      <c r="B75" s="484">
        <f>B25</f>
        <v>111</v>
      </c>
      <c r="C75" s="495"/>
      <c r="D75" s="495"/>
      <c r="E75" s="495"/>
      <c r="F75" s="495"/>
      <c r="G75" s="500"/>
      <c r="H75" s="501"/>
      <c r="I75" s="501"/>
      <c r="J75" s="501"/>
      <c r="K75" s="501"/>
      <c r="L75" s="502"/>
      <c r="M75" s="503"/>
      <c r="N75" s="2747"/>
      <c r="O75" s="2747"/>
      <c r="P75" s="2771"/>
      <c r="Q75" s="2738"/>
      <c r="R75" s="2739"/>
      <c r="S75" s="2739"/>
      <c r="T75" s="2739"/>
      <c r="U75" s="2739"/>
      <c r="V75" s="2739"/>
      <c r="W75" s="2739"/>
      <c r="X75" s="2739"/>
      <c r="Y75" s="2739"/>
      <c r="Z75" s="2739"/>
      <c r="AA75" s="2739"/>
      <c r="AB75" s="2739"/>
      <c r="AC75" s="2739"/>
      <c r="AD75" s="2739"/>
    </row>
    <row r="76" spans="1:30" s="419" customFormat="1" ht="15.75" thickBot="1">
      <c r="A76" s="499"/>
      <c r="B76" s="489"/>
      <c r="C76" s="506"/>
      <c r="D76" s="506"/>
      <c r="E76" s="506"/>
      <c r="F76" s="506"/>
      <c r="G76" s="482"/>
      <c r="H76" s="482"/>
      <c r="I76" s="482"/>
      <c r="J76" s="482"/>
      <c r="K76" s="482"/>
      <c r="L76" s="482"/>
      <c r="M76" s="483"/>
      <c r="N76" s="2747"/>
      <c r="O76" s="2747"/>
      <c r="P76" s="2771"/>
      <c r="Q76" s="2738"/>
      <c r="R76" s="2739"/>
      <c r="S76" s="2739"/>
      <c r="T76" s="2739"/>
      <c r="U76" s="2739"/>
      <c r="V76" s="2739"/>
      <c r="W76" s="2739"/>
      <c r="X76" s="2739"/>
      <c r="Y76" s="2739"/>
      <c r="Z76" s="2739"/>
      <c r="AA76" s="2739"/>
      <c r="AB76" s="2739"/>
      <c r="AC76" s="2739"/>
      <c r="AD76" s="2739"/>
    </row>
    <row r="77" spans="1:30" ht="15" thickTop="1">
      <c r="A77" s="473" t="s">
        <v>1694</v>
      </c>
      <c r="B77" s="474" t="s">
        <v>1740</v>
      </c>
      <c r="C77" s="500"/>
      <c r="D77" s="500"/>
      <c r="E77" s="476"/>
      <c r="F77" s="476"/>
      <c r="G77" s="476"/>
      <c r="H77" s="476"/>
      <c r="I77" s="476"/>
      <c r="J77" s="476"/>
      <c r="K77" s="477"/>
      <c r="L77" s="478"/>
      <c r="M77" s="479"/>
      <c r="N77" s="2745"/>
      <c r="O77" s="2745"/>
      <c r="P77" s="2770"/>
      <c r="Q77" s="2731"/>
      <c r="R77" s="2717"/>
      <c r="S77" s="2717"/>
      <c r="T77" s="2717"/>
      <c r="U77" s="2717"/>
      <c r="V77" s="2717"/>
      <c r="W77" s="2717"/>
      <c r="X77" s="2717"/>
      <c r="Y77" s="2717"/>
      <c r="Z77" s="2717"/>
      <c r="AA77" s="2717"/>
      <c r="AB77" s="2717"/>
      <c r="AC77" s="2717"/>
      <c r="AD77" s="2717"/>
    </row>
    <row r="78" spans="1:30" ht="15.75" thickBot="1">
      <c r="A78" s="480"/>
      <c r="B78" s="489"/>
      <c r="C78" s="490">
        <v>100</v>
      </c>
      <c r="D78" s="490">
        <f t="shared" ref="D78:M78" si="17">C78-$K26</f>
        <v>100</v>
      </c>
      <c r="E78" s="490">
        <f t="shared" si="17"/>
        <v>100</v>
      </c>
      <c r="F78" s="490">
        <f t="shared" si="17"/>
        <v>100</v>
      </c>
      <c r="G78" s="490">
        <f t="shared" si="17"/>
        <v>100</v>
      </c>
      <c r="H78" s="490">
        <f t="shared" si="17"/>
        <v>100</v>
      </c>
      <c r="I78" s="490">
        <f t="shared" si="17"/>
        <v>100</v>
      </c>
      <c r="J78" s="490">
        <f t="shared" si="17"/>
        <v>100</v>
      </c>
      <c r="K78" s="490">
        <f t="shared" si="17"/>
        <v>100</v>
      </c>
      <c r="L78" s="490">
        <f t="shared" si="17"/>
        <v>100</v>
      </c>
      <c r="M78" s="491">
        <f t="shared" si="17"/>
        <v>100</v>
      </c>
      <c r="N78" s="2746"/>
      <c r="O78" s="2746"/>
      <c r="P78" s="2770"/>
      <c r="Q78" s="2731"/>
      <c r="R78" s="2717"/>
      <c r="S78" s="2717"/>
      <c r="T78" s="2717"/>
      <c r="U78" s="2717"/>
      <c r="V78" s="2717"/>
      <c r="W78" s="2717"/>
      <c r="X78" s="2717"/>
      <c r="Y78" s="2717"/>
      <c r="Z78" s="2717"/>
      <c r="AA78" s="2717"/>
      <c r="AB78" s="2717"/>
      <c r="AC78" s="2717"/>
      <c r="AD78" s="2717"/>
    </row>
    <row r="79" spans="1:30" ht="15.75" thickTop="1">
      <c r="A79" s="480"/>
      <c r="B79" s="484" t="s">
        <v>1855</v>
      </c>
      <c r="C79" s="524" t="str">
        <f>C80&amp;"(含)"&amp;"-"&amp;D80</f>
        <v>0.5(含)-0.6</v>
      </c>
      <c r="D79" s="524" t="str">
        <f>D80&amp;"(含)"&amp;"-"&amp;E80</f>
        <v>0.6(含)-0.7</v>
      </c>
      <c r="E79" s="524" t="str">
        <f>E80&amp;"(含)"&amp;"-"&amp;F80</f>
        <v>0.7(含)-0.8</v>
      </c>
      <c r="F79" s="524" t="str">
        <f>F80&amp;"(含)"&amp;"-"&amp;G80</f>
        <v>0.8(含)-0.9</v>
      </c>
      <c r="G79" s="524" t="str">
        <f>G80&amp;"(含)"&amp;"-"&amp;ROUND(H80,0)&amp;"(含)"</f>
        <v>0.9(含)-1(含)</v>
      </c>
      <c r="H79" s="524"/>
      <c r="I79" s="485"/>
      <c r="J79" s="485"/>
      <c r="K79" s="486"/>
      <c r="L79" s="487"/>
      <c r="M79" s="488"/>
      <c r="N79" s="2744"/>
      <c r="O79" s="2744"/>
      <c r="P79" s="2770"/>
      <c r="Q79" s="2731"/>
      <c r="R79" s="2717"/>
      <c r="S79" s="2717"/>
      <c r="T79" s="2717"/>
      <c r="U79" s="2717"/>
      <c r="V79" s="2717"/>
      <c r="W79" s="2717"/>
      <c r="X79" s="2717"/>
      <c r="Y79" s="2717"/>
      <c r="Z79" s="2717"/>
      <c r="AA79" s="2717"/>
      <c r="AB79" s="2717"/>
      <c r="AC79" s="2717"/>
      <c r="AD79" s="2717"/>
    </row>
    <row r="80" spans="1:30" ht="15">
      <c r="A80" s="480"/>
      <c r="B80" s="492"/>
      <c r="C80" s="549">
        <v>0.5</v>
      </c>
      <c r="D80" s="549">
        <v>0.6</v>
      </c>
      <c r="E80" s="549">
        <v>0.7</v>
      </c>
      <c r="F80" s="549">
        <v>0.8</v>
      </c>
      <c r="G80" s="549">
        <v>0.9</v>
      </c>
      <c r="H80" s="549">
        <v>1.0001</v>
      </c>
      <c r="I80" s="605"/>
      <c r="J80" s="605"/>
      <c r="K80" s="613"/>
      <c r="L80" s="614"/>
      <c r="M80" s="615"/>
      <c r="N80" s="2744"/>
      <c r="O80" s="2744"/>
      <c r="P80" s="2770"/>
      <c r="Q80" s="2731"/>
      <c r="R80" s="2717"/>
      <c r="S80" s="2717"/>
      <c r="T80" s="2717"/>
      <c r="U80" s="2717"/>
      <c r="V80" s="2717"/>
      <c r="W80" s="2717"/>
      <c r="X80" s="2717"/>
      <c r="Y80" s="2717"/>
      <c r="Z80" s="2717"/>
      <c r="AA80" s="2717"/>
      <c r="AB80" s="2717"/>
      <c r="AC80" s="2717"/>
      <c r="AD80" s="2717"/>
    </row>
    <row r="81" spans="1:30" s="419" customFormat="1" ht="15.75" thickBot="1">
      <c r="A81" s="499"/>
      <c r="B81" s="489"/>
      <c r="C81" s="528">
        <v>100</v>
      </c>
      <c r="D81" s="490">
        <f t="shared" ref="D81:M81" si="18">C81+$K27</f>
        <v>100</v>
      </c>
      <c r="E81" s="490">
        <f t="shared" si="18"/>
        <v>100</v>
      </c>
      <c r="F81" s="490">
        <f t="shared" si="18"/>
        <v>100</v>
      </c>
      <c r="G81" s="490">
        <f t="shared" si="18"/>
        <v>100</v>
      </c>
      <c r="H81" s="490">
        <f t="shared" si="18"/>
        <v>100</v>
      </c>
      <c r="I81" s="490">
        <f t="shared" si="18"/>
        <v>100</v>
      </c>
      <c r="J81" s="490">
        <f t="shared" si="18"/>
        <v>100</v>
      </c>
      <c r="K81" s="490">
        <f t="shared" si="18"/>
        <v>100</v>
      </c>
      <c r="L81" s="490">
        <f t="shared" si="18"/>
        <v>100</v>
      </c>
      <c r="M81" s="490">
        <f t="shared" si="18"/>
        <v>100</v>
      </c>
      <c r="N81" s="2746"/>
      <c r="O81" s="2746"/>
      <c r="P81" s="2771"/>
      <c r="Q81" s="2738"/>
      <c r="R81" s="2739"/>
      <c r="S81" s="2739"/>
      <c r="T81" s="2739"/>
      <c r="U81" s="2739"/>
      <c r="V81" s="2739"/>
      <c r="W81" s="2739"/>
      <c r="X81" s="2739"/>
      <c r="Y81" s="2739"/>
      <c r="Z81" s="2739"/>
      <c r="AA81" s="2739"/>
      <c r="AB81" s="2739"/>
      <c r="AC81" s="2739"/>
      <c r="AD81" s="2739"/>
    </row>
    <row r="82" spans="1:30" ht="15" thickTop="1">
      <c r="A82" s="545"/>
      <c r="B82" s="492" t="s">
        <v>1856</v>
      </c>
      <c r="C82" s="500"/>
      <c r="D82" s="500"/>
      <c r="E82" s="529"/>
      <c r="F82" s="529"/>
      <c r="G82" s="529"/>
      <c r="H82" s="529"/>
      <c r="I82" s="529"/>
      <c r="J82" s="529"/>
      <c r="K82" s="530"/>
      <c r="L82" s="531"/>
      <c r="M82" s="532"/>
      <c r="N82" s="2745"/>
      <c r="O82" s="2745"/>
      <c r="P82" s="2770"/>
      <c r="Q82" s="2731"/>
      <c r="R82" s="2717"/>
      <c r="S82" s="2717"/>
      <c r="T82" s="2717"/>
      <c r="U82" s="2717"/>
      <c r="V82" s="2717"/>
      <c r="W82" s="2717"/>
      <c r="X82" s="2717"/>
      <c r="Y82" s="2717"/>
      <c r="Z82" s="2717"/>
      <c r="AA82" s="2717"/>
      <c r="AB82" s="2717"/>
      <c r="AC82" s="2717"/>
      <c r="AD82" s="2717"/>
    </row>
    <row r="83" spans="1:30" ht="15.75" thickBot="1">
      <c r="A83" s="480"/>
      <c r="B83" s="489"/>
      <c r="C83" s="490">
        <v>100</v>
      </c>
      <c r="D83" s="490">
        <f t="shared" ref="D83:M83" si="19">C83-$K28</f>
        <v>100</v>
      </c>
      <c r="E83" s="490">
        <f t="shared" si="19"/>
        <v>100</v>
      </c>
      <c r="F83" s="490">
        <f t="shared" si="19"/>
        <v>100</v>
      </c>
      <c r="G83" s="490">
        <f t="shared" si="19"/>
        <v>100</v>
      </c>
      <c r="H83" s="490">
        <f t="shared" si="19"/>
        <v>100</v>
      </c>
      <c r="I83" s="490">
        <f t="shared" si="19"/>
        <v>100</v>
      </c>
      <c r="J83" s="490">
        <f t="shared" si="19"/>
        <v>100</v>
      </c>
      <c r="K83" s="490">
        <f t="shared" si="19"/>
        <v>100</v>
      </c>
      <c r="L83" s="490">
        <f t="shared" si="19"/>
        <v>100</v>
      </c>
      <c r="M83" s="491">
        <f t="shared" si="19"/>
        <v>100</v>
      </c>
      <c r="N83" s="2746"/>
      <c r="O83" s="2746"/>
      <c r="P83" s="2770"/>
      <c r="Q83" s="2731"/>
      <c r="R83" s="2717"/>
      <c r="S83" s="2717"/>
      <c r="T83" s="2717"/>
      <c r="U83" s="2717"/>
      <c r="V83" s="2717"/>
      <c r="W83" s="2717"/>
      <c r="X83" s="2717"/>
      <c r="Y83" s="2717"/>
      <c r="Z83" s="2717"/>
      <c r="AA83" s="2717"/>
      <c r="AB83" s="2717"/>
      <c r="AC83" s="2717"/>
      <c r="AD83" s="2717"/>
    </row>
    <row r="84" spans="1:30" ht="15" thickTop="1">
      <c r="A84" s="545"/>
      <c r="B84" s="484" t="s">
        <v>1864</v>
      </c>
      <c r="C84" s="500"/>
      <c r="D84" s="500"/>
      <c r="E84" s="500"/>
      <c r="F84" s="500"/>
      <c r="G84" s="500"/>
      <c r="H84" s="500"/>
      <c r="I84" s="529"/>
      <c r="J84" s="529"/>
      <c r="K84" s="530"/>
      <c r="L84" s="531"/>
      <c r="M84" s="532"/>
      <c r="N84" s="2745"/>
      <c r="O84" s="2745"/>
      <c r="P84" s="2770"/>
      <c r="Q84" s="2731"/>
      <c r="R84" s="2717"/>
      <c r="S84" s="2717"/>
      <c r="T84" s="2717"/>
      <c r="U84" s="2717"/>
      <c r="V84" s="2717"/>
      <c r="W84" s="2717"/>
      <c r="X84" s="2717"/>
      <c r="Y84" s="2717"/>
      <c r="Z84" s="2717"/>
      <c r="AA84" s="2717"/>
      <c r="AB84" s="2717"/>
      <c r="AC84" s="2717"/>
      <c r="AD84" s="2717"/>
    </row>
    <row r="85" spans="1:30" ht="15.75" thickBot="1">
      <c r="A85" s="480"/>
      <c r="B85" s="489"/>
      <c r="C85" s="528">
        <v>100</v>
      </c>
      <c r="D85" s="490">
        <f t="shared" ref="D85:M85" si="20">C85+$K29</f>
        <v>100</v>
      </c>
      <c r="E85" s="490">
        <f t="shared" si="20"/>
        <v>100</v>
      </c>
      <c r="F85" s="490">
        <f t="shared" si="20"/>
        <v>100</v>
      </c>
      <c r="G85" s="490">
        <f t="shared" si="20"/>
        <v>100</v>
      </c>
      <c r="H85" s="490">
        <f t="shared" si="20"/>
        <v>100</v>
      </c>
      <c r="I85" s="490">
        <f t="shared" si="20"/>
        <v>100</v>
      </c>
      <c r="J85" s="490">
        <f t="shared" si="20"/>
        <v>100</v>
      </c>
      <c r="K85" s="490">
        <f t="shared" si="20"/>
        <v>100</v>
      </c>
      <c r="L85" s="490">
        <f t="shared" si="20"/>
        <v>100</v>
      </c>
      <c r="M85" s="490">
        <f t="shared" si="20"/>
        <v>100</v>
      </c>
      <c r="N85" s="2746"/>
      <c r="O85" s="2746"/>
      <c r="P85" s="2770"/>
      <c r="Q85" s="2731"/>
      <c r="R85" s="2717"/>
      <c r="S85" s="2717"/>
      <c r="T85" s="2717"/>
      <c r="U85" s="2717"/>
      <c r="V85" s="2717"/>
      <c r="W85" s="2717"/>
      <c r="X85" s="2717"/>
      <c r="Y85" s="2717"/>
      <c r="Z85" s="2717"/>
      <c r="AA85" s="2717"/>
      <c r="AB85" s="2717"/>
      <c r="AC85" s="2717"/>
      <c r="AD85" s="2717"/>
    </row>
    <row r="86" spans="1:30" ht="15" thickTop="1">
      <c r="A86" s="545"/>
      <c r="B86" s="492" t="s">
        <v>1865</v>
      </c>
      <c r="C86" s="524" t="str">
        <f t="shared" ref="C86:L86" si="21">C87&amp;"(含)"&amp;"-"&amp;D87</f>
        <v>(含)-</v>
      </c>
      <c r="D86" s="524" t="str">
        <f t="shared" si="21"/>
        <v>(含)-</v>
      </c>
      <c r="E86" s="524" t="str">
        <f t="shared" si="21"/>
        <v>(含)-</v>
      </c>
      <c r="F86" s="524" t="str">
        <f t="shared" si="21"/>
        <v>(含)-</v>
      </c>
      <c r="G86" s="524" t="str">
        <f t="shared" si="21"/>
        <v>(含)-</v>
      </c>
      <c r="H86" s="524" t="str">
        <f t="shared" si="21"/>
        <v>(含)-</v>
      </c>
      <c r="I86" s="524" t="str">
        <f t="shared" si="21"/>
        <v>(含)-</v>
      </c>
      <c r="J86" s="524" t="str">
        <f t="shared" si="21"/>
        <v>(含)-</v>
      </c>
      <c r="K86" s="524" t="str">
        <f t="shared" si="21"/>
        <v>(含)-</v>
      </c>
      <c r="L86" s="524" t="str">
        <f t="shared" si="21"/>
        <v>(含)-</v>
      </c>
      <c r="M86" s="567" t="str">
        <f>M87&amp;"(含)"&amp;"-"&amp;P87</f>
        <v>(含)-</v>
      </c>
      <c r="N86" s="2745"/>
      <c r="O86" s="2745"/>
      <c r="P86" s="2770"/>
      <c r="Q86" s="2731"/>
      <c r="R86" s="2717"/>
      <c r="S86" s="2717"/>
      <c r="T86" s="2717"/>
      <c r="U86" s="2717"/>
      <c r="V86" s="2717"/>
      <c r="W86" s="2717"/>
      <c r="X86" s="2717"/>
      <c r="Y86" s="2717"/>
      <c r="Z86" s="2717"/>
      <c r="AA86" s="2717"/>
      <c r="AB86" s="2717"/>
      <c r="AC86" s="2717"/>
      <c r="AD86" s="2717"/>
    </row>
    <row r="87" spans="1:30">
      <c r="A87" s="545"/>
      <c r="B87" s="492"/>
      <c r="C87" s="541"/>
      <c r="D87" s="541"/>
      <c r="E87" s="541"/>
      <c r="F87" s="541"/>
      <c r="G87" s="541"/>
      <c r="H87" s="541"/>
      <c r="I87" s="541"/>
      <c r="J87" s="542"/>
      <c r="K87" s="542"/>
      <c r="L87" s="543"/>
      <c r="M87" s="544"/>
      <c r="N87" s="2745"/>
      <c r="O87" s="2745"/>
      <c r="P87" s="2770"/>
      <c r="Q87" s="2731"/>
      <c r="R87" s="2717"/>
      <c r="S87" s="2717"/>
      <c r="T87" s="2717"/>
      <c r="U87" s="2717"/>
      <c r="V87" s="2717"/>
      <c r="W87" s="2717"/>
      <c r="X87" s="2717"/>
      <c r="Y87" s="2717"/>
      <c r="Z87" s="2717"/>
      <c r="AA87" s="2717"/>
      <c r="AB87" s="2717"/>
      <c r="AC87" s="2717"/>
      <c r="AD87" s="2717"/>
    </row>
    <row r="88" spans="1:30" ht="15.75" thickBot="1">
      <c r="A88" s="480"/>
      <c r="B88" s="489"/>
      <c r="C88" s="506"/>
      <c r="D88" s="482"/>
      <c r="E88" s="482"/>
      <c r="F88" s="482"/>
      <c r="G88" s="482"/>
      <c r="H88" s="482"/>
      <c r="I88" s="482"/>
      <c r="J88" s="482"/>
      <c r="K88" s="482"/>
      <c r="L88" s="482"/>
      <c r="M88" s="482"/>
      <c r="N88" s="2746"/>
      <c r="O88" s="2746"/>
      <c r="P88" s="2770"/>
      <c r="Q88" s="2731"/>
      <c r="R88" s="2717"/>
      <c r="S88" s="2717"/>
      <c r="T88" s="2717"/>
      <c r="U88" s="2717"/>
      <c r="V88" s="2717"/>
      <c r="W88" s="2717"/>
      <c r="X88" s="2717"/>
      <c r="Y88" s="2717"/>
      <c r="Z88" s="2717"/>
      <c r="AA88" s="2717"/>
      <c r="AB88" s="2717"/>
      <c r="AC88" s="2717"/>
      <c r="AD88" s="2717"/>
    </row>
    <row r="89" spans="1:30" s="419" customFormat="1" ht="15" thickTop="1">
      <c r="A89" s="539"/>
      <c r="B89" s="484" t="s">
        <v>1866</v>
      </c>
      <c r="C89" s="500"/>
      <c r="D89" s="500"/>
      <c r="E89" s="500"/>
      <c r="F89" s="500"/>
      <c r="G89" s="500"/>
      <c r="H89" s="500"/>
      <c r="I89" s="500"/>
      <c r="J89" s="500"/>
      <c r="K89" s="500"/>
      <c r="L89" s="500"/>
      <c r="M89" s="527"/>
      <c r="N89" s="2747"/>
      <c r="O89" s="2747"/>
      <c r="P89" s="2771"/>
      <c r="Q89" s="2738"/>
      <c r="R89" s="2739"/>
      <c r="S89" s="2739"/>
      <c r="T89" s="2739"/>
      <c r="U89" s="2739"/>
      <c r="V89" s="2739"/>
      <c r="W89" s="2739"/>
      <c r="X89" s="2739"/>
      <c r="Y89" s="2739"/>
      <c r="Z89" s="2739"/>
      <c r="AA89" s="2739"/>
      <c r="AB89" s="2739"/>
      <c r="AC89" s="2739"/>
      <c r="AD89" s="2739"/>
    </row>
    <row r="90" spans="1:30" s="419" customFormat="1" ht="15.75" thickBot="1">
      <c r="A90" s="499"/>
      <c r="B90" s="489"/>
      <c r="C90" s="506"/>
      <c r="D90" s="482"/>
      <c r="E90" s="482"/>
      <c r="F90" s="482"/>
      <c r="G90" s="482"/>
      <c r="H90" s="482"/>
      <c r="I90" s="482"/>
      <c r="J90" s="482"/>
      <c r="K90" s="482"/>
      <c r="L90" s="482"/>
      <c r="M90" s="483"/>
      <c r="N90" s="2747"/>
      <c r="O90" s="2747"/>
      <c r="P90" s="2771"/>
      <c r="Q90" s="2738"/>
      <c r="R90" s="2739"/>
      <c r="S90" s="2739"/>
      <c r="T90" s="2739"/>
      <c r="U90" s="2739"/>
      <c r="V90" s="2739"/>
      <c r="W90" s="2739"/>
      <c r="X90" s="2739"/>
      <c r="Y90" s="2739"/>
      <c r="Z90" s="2739"/>
      <c r="AA90" s="2739"/>
      <c r="AB90" s="2739"/>
      <c r="AC90" s="2739"/>
      <c r="AD90" s="2739"/>
    </row>
    <row r="91" spans="1:30" ht="15" thickTop="1">
      <c r="A91" s="545"/>
      <c r="B91" s="484">
        <f>B32</f>
        <v>111</v>
      </c>
      <c r="C91" s="495"/>
      <c r="D91" s="495"/>
      <c r="E91" s="495"/>
      <c r="F91" s="495"/>
      <c r="G91" s="500"/>
      <c r="H91" s="501"/>
      <c r="I91" s="501"/>
      <c r="J91" s="501"/>
      <c r="K91" s="501"/>
      <c r="L91" s="502"/>
      <c r="M91" s="503"/>
      <c r="N91" s="2745"/>
      <c r="O91" s="2745"/>
      <c r="P91" s="2770"/>
      <c r="Q91" s="2731"/>
      <c r="R91" s="2717"/>
      <c r="S91" s="2717"/>
      <c r="T91" s="2717"/>
      <c r="U91" s="2717"/>
      <c r="V91" s="2717"/>
      <c r="W91" s="2717"/>
      <c r="X91" s="2717"/>
      <c r="Y91" s="2717"/>
      <c r="Z91" s="2717"/>
      <c r="AA91" s="2717"/>
      <c r="AB91" s="2717"/>
      <c r="AC91" s="2717"/>
      <c r="AD91" s="2717"/>
    </row>
    <row r="92" spans="1:30" ht="15.75" thickBot="1">
      <c r="A92" s="480"/>
      <c r="B92" s="489"/>
      <c r="C92" s="506"/>
      <c r="D92" s="482"/>
      <c r="E92" s="482"/>
      <c r="F92" s="482"/>
      <c r="G92" s="506"/>
      <c r="H92" s="508"/>
      <c r="I92" s="508"/>
      <c r="J92" s="508"/>
      <c r="K92" s="508"/>
      <c r="L92" s="508"/>
      <c r="M92" s="509"/>
      <c r="N92" s="2746"/>
      <c r="O92" s="2746"/>
      <c r="P92" s="2770"/>
      <c r="Q92" s="2731"/>
      <c r="R92" s="2717"/>
      <c r="S92" s="2717"/>
      <c r="T92" s="2717"/>
      <c r="U92" s="2717"/>
      <c r="V92" s="2717"/>
      <c r="W92" s="2717"/>
      <c r="X92" s="2717"/>
      <c r="Y92" s="2717"/>
      <c r="Z92" s="2717"/>
      <c r="AA92" s="2717"/>
      <c r="AB92" s="2717"/>
      <c r="AC92" s="2717"/>
      <c r="AD92" s="2717"/>
    </row>
    <row r="93" spans="1:30" ht="15" thickTop="1">
      <c r="A93" s="545"/>
      <c r="B93" s="484">
        <f>B33</f>
        <v>111</v>
      </c>
      <c r="C93" s="495"/>
      <c r="D93" s="495"/>
      <c r="E93" s="495"/>
      <c r="F93" s="495"/>
      <c r="G93" s="500"/>
      <c r="H93" s="501"/>
      <c r="I93" s="501"/>
      <c r="J93" s="501"/>
      <c r="K93" s="501"/>
      <c r="L93" s="502"/>
      <c r="M93" s="503"/>
      <c r="N93" s="2745"/>
      <c r="O93" s="2745"/>
      <c r="P93" s="2770"/>
      <c r="Q93" s="2731"/>
      <c r="R93" s="2717"/>
      <c r="S93" s="2717"/>
      <c r="T93" s="2717"/>
      <c r="U93" s="2717"/>
      <c r="V93" s="2717"/>
      <c r="W93" s="2717"/>
      <c r="X93" s="2717"/>
      <c r="Y93" s="2717"/>
      <c r="Z93" s="2717"/>
      <c r="AA93" s="2717"/>
      <c r="AB93" s="2717"/>
      <c r="AC93" s="2717"/>
      <c r="AD93" s="2717"/>
    </row>
    <row r="94" spans="1:30" ht="15.75" thickBot="1">
      <c r="A94" s="480"/>
      <c r="B94" s="489"/>
      <c r="C94" s="506"/>
      <c r="D94" s="482"/>
      <c r="E94" s="482"/>
      <c r="F94" s="482"/>
      <c r="G94" s="506"/>
      <c r="H94" s="508"/>
      <c r="I94" s="508"/>
      <c r="J94" s="508"/>
      <c r="K94" s="508"/>
      <c r="L94" s="508"/>
      <c r="M94" s="509"/>
      <c r="N94" s="2746"/>
      <c r="O94" s="2746"/>
      <c r="P94" s="2770"/>
      <c r="Q94" s="2731"/>
      <c r="R94" s="2717"/>
      <c r="S94" s="2717"/>
      <c r="T94" s="2717"/>
      <c r="U94" s="2717"/>
      <c r="V94" s="2717"/>
      <c r="W94" s="2717"/>
      <c r="X94" s="2717"/>
      <c r="Y94" s="2717"/>
      <c r="Z94" s="2717"/>
      <c r="AA94" s="2717"/>
      <c r="AB94" s="2717"/>
      <c r="AC94" s="2717"/>
      <c r="AD94" s="2717"/>
    </row>
    <row r="95" spans="1:30" ht="15" thickTop="1">
      <c r="A95" s="545"/>
      <c r="B95" s="581">
        <f>B34</f>
        <v>111</v>
      </c>
      <c r="C95" s="495"/>
      <c r="D95" s="495"/>
      <c r="E95" s="495"/>
      <c r="F95" s="495"/>
      <c r="G95" s="500"/>
      <c r="H95" s="501"/>
      <c r="I95" s="501"/>
      <c r="J95" s="501"/>
      <c r="K95" s="501"/>
      <c r="L95" s="502"/>
      <c r="M95" s="503"/>
      <c r="N95" s="2746"/>
      <c r="O95" s="2746"/>
      <c r="P95" s="2773"/>
      <c r="Q95" s="2760"/>
      <c r="R95" s="2717"/>
      <c r="S95" s="2717"/>
      <c r="T95" s="2717"/>
      <c r="U95" s="2717"/>
      <c r="V95" s="2717"/>
      <c r="W95" s="2717"/>
      <c r="X95" s="2717"/>
      <c r="Y95" s="2717"/>
      <c r="Z95" s="2717"/>
      <c r="AA95" s="2717"/>
      <c r="AB95" s="2717"/>
      <c r="AC95" s="2717"/>
      <c r="AD95" s="2717"/>
    </row>
    <row r="96" spans="1:30" ht="15.75" thickBot="1">
      <c r="A96" s="480"/>
      <c r="B96" s="489"/>
      <c r="C96" s="506"/>
      <c r="D96" s="506"/>
      <c r="E96" s="506"/>
      <c r="F96" s="506"/>
      <c r="G96" s="506"/>
      <c r="H96" s="508"/>
      <c r="I96" s="508"/>
      <c r="J96" s="508"/>
      <c r="K96" s="508"/>
      <c r="L96" s="508"/>
      <c r="M96" s="509"/>
      <c r="N96" s="2746"/>
      <c r="O96" s="2746"/>
      <c r="P96" s="2770"/>
      <c r="Q96" s="2731"/>
      <c r="R96" s="2717"/>
      <c r="S96" s="2717"/>
      <c r="T96" s="2717"/>
      <c r="U96" s="2717"/>
      <c r="V96" s="2717"/>
      <c r="W96" s="2717"/>
      <c r="X96" s="2717"/>
      <c r="Y96" s="2717"/>
      <c r="Z96" s="2717"/>
      <c r="AA96" s="2717"/>
      <c r="AB96" s="2717"/>
      <c r="AC96" s="2717"/>
      <c r="AD96" s="2717"/>
    </row>
    <row r="97" spans="1:30" ht="15" thickTop="1">
      <c r="N97" s="2717"/>
      <c r="O97" s="2717"/>
      <c r="P97" s="2717"/>
      <c r="Q97" s="2717"/>
      <c r="R97" s="2717"/>
      <c r="S97" s="2717"/>
      <c r="T97" s="2717"/>
      <c r="U97" s="2717"/>
      <c r="V97" s="2717"/>
      <c r="W97" s="2717"/>
      <c r="X97" s="2717"/>
      <c r="Y97" s="2717"/>
      <c r="Z97" s="2717"/>
      <c r="AA97" s="2717"/>
      <c r="AB97" s="2717"/>
      <c r="AC97" s="2717"/>
      <c r="AD97" s="2717"/>
    </row>
    <row r="98" spans="1:30">
      <c r="A98" s="932"/>
      <c r="B98" s="932"/>
      <c r="C98" s="932"/>
      <c r="D98" s="932"/>
      <c r="E98" s="932"/>
      <c r="F98" s="932"/>
      <c r="G98" s="932"/>
      <c r="H98" s="932"/>
      <c r="I98" s="932"/>
      <c r="J98" s="932"/>
      <c r="K98" s="933"/>
      <c r="L98" s="934"/>
      <c r="M98" s="932"/>
      <c r="N98" s="2717"/>
      <c r="O98" s="2717"/>
      <c r="P98" s="2717"/>
      <c r="Q98" s="2717"/>
      <c r="R98" s="2717"/>
      <c r="S98" s="2717"/>
      <c r="T98" s="2717"/>
      <c r="U98" s="2717"/>
      <c r="V98" s="2717"/>
      <c r="W98" s="2717"/>
      <c r="X98" s="2717"/>
      <c r="Y98" s="2717"/>
      <c r="Z98" s="2717"/>
      <c r="AA98" s="2717"/>
      <c r="AB98" s="2717"/>
      <c r="AC98" s="2717"/>
      <c r="AD98" s="2717"/>
    </row>
    <row r="99" spans="1:30">
      <c r="A99" s="932"/>
      <c r="B99" s="932"/>
      <c r="C99" s="932"/>
      <c r="D99" s="932"/>
      <c r="E99" s="932"/>
      <c r="F99" s="932"/>
      <c r="G99" s="932"/>
      <c r="H99" s="932"/>
      <c r="I99" s="932"/>
      <c r="J99" s="932"/>
      <c r="K99" s="933"/>
      <c r="L99" s="934"/>
      <c r="M99" s="932"/>
      <c r="N99" s="2717"/>
      <c r="O99" s="2717"/>
      <c r="P99" s="2717"/>
      <c r="Q99" s="2717"/>
      <c r="R99" s="2717"/>
      <c r="S99" s="2717"/>
      <c r="T99" s="2717"/>
      <c r="U99" s="2717"/>
      <c r="V99" s="2717"/>
      <c r="W99" s="2717"/>
      <c r="X99" s="2717"/>
      <c r="Y99" s="2717"/>
      <c r="Z99" s="2717"/>
      <c r="AA99" s="2717"/>
      <c r="AB99" s="2717"/>
      <c r="AC99" s="2717"/>
      <c r="AD99" s="2717"/>
    </row>
    <row r="100" spans="1:30">
      <c r="A100" s="932"/>
      <c r="B100" s="932"/>
      <c r="C100" s="932"/>
      <c r="D100" s="932"/>
      <c r="E100" s="932"/>
      <c r="F100" s="932"/>
      <c r="G100" s="932"/>
      <c r="H100" s="932"/>
      <c r="I100" s="932"/>
      <c r="J100" s="932"/>
      <c r="K100" s="933"/>
      <c r="L100" s="934"/>
      <c r="M100" s="932"/>
      <c r="N100" s="2717"/>
      <c r="O100" s="2717"/>
      <c r="P100" s="2717"/>
      <c r="Q100" s="2717"/>
      <c r="R100" s="2717"/>
      <c r="S100" s="2717"/>
      <c r="T100" s="2717"/>
      <c r="U100" s="2717"/>
      <c r="V100" s="2717"/>
      <c r="W100" s="2717"/>
      <c r="X100" s="2717"/>
      <c r="Y100" s="2717"/>
      <c r="Z100" s="2717"/>
      <c r="AA100" s="2717"/>
      <c r="AB100" s="2717"/>
      <c r="AC100" s="2717"/>
      <c r="AD100" s="2717"/>
    </row>
    <row r="101" spans="1:30">
      <c r="A101" s="932"/>
      <c r="B101" s="932"/>
      <c r="C101" s="932"/>
      <c r="D101" s="932"/>
      <c r="E101" s="932"/>
      <c r="F101" s="932"/>
      <c r="G101" s="932"/>
      <c r="H101" s="932"/>
      <c r="I101" s="932"/>
      <c r="J101" s="932"/>
      <c r="K101" s="933"/>
      <c r="L101" s="934"/>
      <c r="M101" s="932"/>
      <c r="N101" s="2717"/>
      <c r="O101" s="2717"/>
      <c r="P101" s="2717"/>
      <c r="Q101" s="2717"/>
      <c r="R101" s="2717"/>
      <c r="S101" s="2717"/>
      <c r="T101" s="2717"/>
      <c r="U101" s="2717"/>
      <c r="V101" s="2717"/>
      <c r="W101" s="2717"/>
      <c r="X101" s="2717"/>
      <c r="Y101" s="2717"/>
      <c r="Z101" s="2717"/>
      <c r="AA101" s="2717"/>
      <c r="AB101" s="2717"/>
      <c r="AC101" s="2717"/>
      <c r="AD101" s="2717"/>
    </row>
    <row r="102" spans="1:30">
      <c r="A102" s="932"/>
      <c r="B102" s="932"/>
      <c r="C102" s="932"/>
      <c r="D102" s="932"/>
      <c r="E102" s="932"/>
      <c r="F102" s="932"/>
      <c r="G102" s="932"/>
      <c r="H102" s="932"/>
      <c r="I102" s="932"/>
      <c r="J102" s="932"/>
      <c r="K102" s="933"/>
      <c r="L102" s="934"/>
      <c r="M102" s="932"/>
      <c r="N102" s="2717"/>
      <c r="O102" s="2717"/>
      <c r="P102" s="2717"/>
      <c r="Q102" s="2717"/>
      <c r="R102" s="2717"/>
      <c r="S102" s="2717"/>
      <c r="T102" s="2717"/>
      <c r="U102" s="2717"/>
      <c r="V102" s="2717"/>
      <c r="W102" s="2717"/>
      <c r="X102" s="2717"/>
      <c r="Y102" s="2717"/>
      <c r="Z102" s="2717"/>
      <c r="AA102" s="2717"/>
      <c r="AB102" s="2717"/>
      <c r="AC102" s="2717"/>
      <c r="AD102" s="2717"/>
    </row>
    <row r="103" spans="1:30">
      <c r="A103" s="932"/>
      <c r="B103" s="932"/>
      <c r="C103" s="932"/>
      <c r="D103" s="932"/>
      <c r="E103" s="932"/>
      <c r="F103" s="932"/>
      <c r="G103" s="932"/>
      <c r="H103" s="932"/>
      <c r="I103" s="932"/>
      <c r="J103" s="932"/>
      <c r="K103" s="933"/>
      <c r="L103" s="934"/>
      <c r="M103" s="932"/>
      <c r="N103" s="932"/>
      <c r="O103" s="932"/>
      <c r="P103" s="2717"/>
      <c r="Q103" s="2717"/>
      <c r="R103" s="2717"/>
      <c r="S103" s="2717"/>
      <c r="T103" s="2717"/>
      <c r="U103" s="2717"/>
      <c r="V103" s="2717"/>
      <c r="W103" s="2717"/>
      <c r="X103" s="2717"/>
      <c r="Y103" s="2717"/>
      <c r="Z103" s="2717"/>
      <c r="AA103" s="2717"/>
      <c r="AB103" s="2717"/>
      <c r="AC103" s="2717"/>
      <c r="AD103" s="2717"/>
    </row>
    <row r="104" spans="1:30">
      <c r="A104" s="932"/>
      <c r="B104" s="932"/>
      <c r="C104" s="932"/>
      <c r="D104" s="932"/>
      <c r="E104" s="932"/>
      <c r="F104" s="932"/>
      <c r="G104" s="932"/>
      <c r="H104" s="932"/>
      <c r="I104" s="932"/>
      <c r="J104" s="932"/>
      <c r="K104" s="933"/>
      <c r="L104" s="934"/>
      <c r="M104" s="932"/>
      <c r="N104" s="932"/>
      <c r="O104" s="932"/>
      <c r="P104" s="932"/>
      <c r="Q104" s="932"/>
      <c r="R104" s="932"/>
      <c r="S104" s="932"/>
      <c r="T104" s="932"/>
    </row>
    <row r="105" spans="1:30">
      <c r="A105" s="932"/>
      <c r="B105" s="932"/>
      <c r="C105" s="932"/>
      <c r="D105" s="932"/>
      <c r="E105" s="932"/>
      <c r="F105" s="932"/>
      <c r="G105" s="932"/>
      <c r="H105" s="932"/>
      <c r="I105" s="932"/>
      <c r="J105" s="932"/>
      <c r="K105" s="933"/>
      <c r="L105" s="934"/>
      <c r="M105" s="932"/>
      <c r="N105" s="932"/>
      <c r="O105" s="932"/>
      <c r="P105" s="932"/>
      <c r="Q105" s="932"/>
      <c r="R105" s="932"/>
      <c r="S105" s="932"/>
      <c r="T105" s="932"/>
    </row>
    <row r="106" spans="1:30">
      <c r="A106" s="932"/>
      <c r="B106" s="932"/>
      <c r="C106" s="932"/>
      <c r="D106" s="932"/>
      <c r="E106" s="932"/>
      <c r="F106" s="932"/>
      <c r="G106" s="932"/>
      <c r="H106" s="932"/>
      <c r="I106" s="932"/>
      <c r="J106" s="932"/>
      <c r="K106" s="933"/>
      <c r="L106" s="934"/>
      <c r="M106" s="932"/>
      <c r="N106" s="932"/>
      <c r="O106" s="932"/>
      <c r="P106" s="932"/>
      <c r="Q106" s="932"/>
      <c r="R106" s="932"/>
      <c r="S106" s="932"/>
      <c r="T106" s="932"/>
    </row>
    <row r="107" spans="1:30">
      <c r="A107" s="932"/>
      <c r="B107" s="932"/>
      <c r="C107" s="932"/>
      <c r="D107" s="932"/>
      <c r="E107" s="932"/>
      <c r="F107" s="932"/>
      <c r="G107" s="932"/>
      <c r="H107" s="932"/>
      <c r="I107" s="932"/>
      <c r="J107" s="932"/>
      <c r="K107" s="933"/>
      <c r="L107" s="934"/>
      <c r="M107" s="932"/>
      <c r="N107" s="932"/>
      <c r="O107" s="932"/>
      <c r="P107" s="932"/>
      <c r="Q107" s="932"/>
      <c r="R107" s="932"/>
      <c r="S107" s="932"/>
      <c r="T107" s="932"/>
    </row>
    <row r="108" spans="1:30">
      <c r="A108" s="932"/>
      <c r="B108" s="932"/>
      <c r="C108" s="932"/>
      <c r="D108" s="932"/>
      <c r="E108" s="932"/>
      <c r="F108" s="932"/>
      <c r="G108" s="932"/>
      <c r="H108" s="932"/>
      <c r="I108" s="932"/>
      <c r="J108" s="932"/>
      <c r="K108" s="933"/>
      <c r="L108" s="934"/>
      <c r="M108" s="932"/>
      <c r="N108" s="932"/>
      <c r="O108" s="932"/>
      <c r="P108" s="932"/>
      <c r="Q108" s="932"/>
      <c r="R108" s="932"/>
      <c r="S108" s="932"/>
      <c r="T108" s="932"/>
    </row>
    <row r="109" spans="1:30">
      <c r="A109" s="932"/>
      <c r="B109" s="932"/>
      <c r="C109" s="932"/>
      <c r="D109" s="932"/>
      <c r="E109" s="932"/>
      <c r="F109" s="932"/>
      <c r="G109" s="932"/>
      <c r="H109" s="932"/>
      <c r="I109" s="932"/>
      <c r="J109" s="932"/>
      <c r="K109" s="933"/>
      <c r="L109" s="934"/>
      <c r="M109" s="932"/>
      <c r="N109" s="932"/>
      <c r="O109" s="932"/>
      <c r="P109" s="932"/>
      <c r="Q109" s="932"/>
      <c r="R109" s="932"/>
      <c r="S109" s="932"/>
      <c r="T109" s="932"/>
    </row>
    <row r="110" spans="1:30">
      <c r="A110" s="932"/>
      <c r="B110" s="932"/>
      <c r="C110" s="932"/>
      <c r="D110" s="932"/>
      <c r="E110" s="932"/>
      <c r="F110" s="932"/>
      <c r="G110" s="932"/>
      <c r="H110" s="932"/>
      <c r="I110" s="932"/>
      <c r="J110" s="932"/>
      <c r="K110" s="933"/>
      <c r="L110" s="934"/>
      <c r="M110" s="932"/>
      <c r="N110" s="932"/>
      <c r="O110" s="932"/>
      <c r="P110" s="932"/>
      <c r="Q110" s="932"/>
      <c r="R110" s="932"/>
      <c r="S110" s="932"/>
      <c r="T110" s="932"/>
    </row>
    <row r="111" spans="1:30">
      <c r="A111" s="932"/>
      <c r="B111" s="932"/>
      <c r="C111" s="932"/>
      <c r="D111" s="932"/>
      <c r="E111" s="932"/>
      <c r="F111" s="932"/>
      <c r="G111" s="932"/>
      <c r="H111" s="932"/>
      <c r="I111" s="932"/>
      <c r="J111" s="932"/>
      <c r="K111" s="933"/>
      <c r="L111" s="934"/>
      <c r="M111" s="932"/>
      <c r="N111" s="932"/>
      <c r="O111" s="932"/>
      <c r="P111" s="932"/>
      <c r="Q111" s="932"/>
      <c r="R111" s="932"/>
      <c r="S111" s="932"/>
      <c r="T111" s="932"/>
    </row>
    <row r="112" spans="1:30">
      <c r="A112" s="932"/>
      <c r="B112" s="932"/>
      <c r="C112" s="932"/>
      <c r="D112" s="932"/>
      <c r="E112" s="932"/>
      <c r="F112" s="932"/>
      <c r="G112" s="932"/>
      <c r="H112" s="932"/>
      <c r="I112" s="932"/>
      <c r="J112" s="932"/>
      <c r="K112" s="933"/>
      <c r="L112" s="934"/>
      <c r="M112" s="932"/>
      <c r="N112" s="932"/>
      <c r="O112" s="932"/>
      <c r="P112" s="932"/>
      <c r="Q112" s="932"/>
      <c r="R112" s="932"/>
      <c r="S112" s="932"/>
      <c r="T112" s="932"/>
    </row>
    <row r="113" spans="1:20">
      <c r="A113" s="932"/>
      <c r="B113" s="932"/>
      <c r="C113" s="932"/>
      <c r="D113" s="932"/>
      <c r="E113" s="932"/>
      <c r="F113" s="932"/>
      <c r="G113" s="932"/>
      <c r="H113" s="932"/>
      <c r="I113" s="932"/>
      <c r="J113" s="932"/>
      <c r="K113" s="933"/>
      <c r="L113" s="934"/>
      <c r="M113" s="932"/>
      <c r="N113" s="932"/>
      <c r="O113" s="932"/>
      <c r="P113" s="932"/>
      <c r="Q113" s="932"/>
      <c r="R113" s="932"/>
      <c r="S113" s="932"/>
      <c r="T113" s="932"/>
    </row>
    <row r="114" spans="1:20">
      <c r="A114" s="932"/>
      <c r="B114" s="932"/>
      <c r="C114" s="932"/>
      <c r="D114" s="932"/>
      <c r="E114" s="932"/>
      <c r="F114" s="932"/>
      <c r="G114" s="932"/>
      <c r="H114" s="932"/>
      <c r="I114" s="932"/>
      <c r="J114" s="932"/>
      <c r="K114" s="933"/>
      <c r="L114" s="934"/>
      <c r="M114" s="932"/>
      <c r="N114" s="932"/>
      <c r="O114" s="932"/>
      <c r="P114" s="932"/>
      <c r="Q114" s="932"/>
      <c r="R114" s="932"/>
      <c r="S114" s="932"/>
      <c r="T114" s="932"/>
    </row>
    <row r="115" spans="1:20">
      <c r="A115" s="932"/>
      <c r="B115" s="932"/>
      <c r="C115" s="932"/>
      <c r="D115" s="932"/>
      <c r="E115" s="932"/>
      <c r="F115" s="932"/>
      <c r="G115" s="932"/>
      <c r="H115" s="932"/>
      <c r="I115" s="932"/>
      <c r="J115" s="932"/>
      <c r="K115" s="933"/>
      <c r="L115" s="934"/>
      <c r="M115" s="932"/>
      <c r="N115" s="932"/>
      <c r="O115" s="932"/>
      <c r="P115" s="932"/>
      <c r="Q115" s="932"/>
      <c r="R115" s="932"/>
      <c r="S115" s="932"/>
      <c r="T115" s="932"/>
    </row>
    <row r="116" spans="1:20">
      <c r="A116" s="932"/>
      <c r="B116" s="932"/>
      <c r="C116" s="932"/>
      <c r="D116" s="932"/>
      <c r="E116" s="932"/>
      <c r="F116" s="932"/>
      <c r="G116" s="932"/>
      <c r="H116" s="932"/>
      <c r="I116" s="932"/>
      <c r="J116" s="932"/>
      <c r="K116" s="933"/>
      <c r="L116" s="934"/>
      <c r="M116" s="932"/>
      <c r="N116" s="932"/>
      <c r="O116" s="932"/>
      <c r="P116" s="932"/>
      <c r="Q116" s="932"/>
      <c r="R116" s="932"/>
      <c r="S116" s="932"/>
      <c r="T116" s="932"/>
    </row>
    <row r="117" spans="1:20">
      <c r="A117" s="932"/>
      <c r="B117" s="932"/>
      <c r="C117" s="932"/>
      <c r="D117" s="932"/>
      <c r="E117" s="932"/>
      <c r="F117" s="932"/>
      <c r="G117" s="932"/>
      <c r="H117" s="932"/>
      <c r="I117" s="932"/>
      <c r="J117" s="932"/>
      <c r="K117" s="933"/>
      <c r="L117" s="934"/>
      <c r="M117" s="932"/>
      <c r="N117" s="932"/>
      <c r="O117" s="932"/>
      <c r="P117" s="932"/>
      <c r="Q117" s="932"/>
      <c r="R117" s="932"/>
      <c r="S117" s="932"/>
      <c r="T117" s="932"/>
    </row>
    <row r="118" spans="1:20">
      <c r="A118" s="932"/>
      <c r="B118" s="932"/>
      <c r="C118" s="932"/>
      <c r="D118" s="932"/>
      <c r="E118" s="932"/>
      <c r="F118" s="932"/>
      <c r="G118" s="932"/>
      <c r="H118" s="932"/>
      <c r="I118" s="932"/>
      <c r="J118" s="932"/>
      <c r="K118" s="933"/>
      <c r="L118" s="934"/>
      <c r="M118" s="932"/>
      <c r="N118" s="932"/>
      <c r="O118" s="932"/>
      <c r="P118" s="932"/>
      <c r="Q118" s="932"/>
      <c r="R118" s="932"/>
      <c r="S118" s="932"/>
      <c r="T118" s="932"/>
    </row>
    <row r="119" spans="1:20">
      <c r="A119" s="932"/>
      <c r="B119" s="932"/>
      <c r="C119" s="932"/>
      <c r="D119" s="932"/>
      <c r="E119" s="932"/>
      <c r="F119" s="932"/>
      <c r="G119" s="932"/>
      <c r="H119" s="932"/>
      <c r="I119" s="932"/>
      <c r="J119" s="932"/>
      <c r="K119" s="933"/>
      <c r="L119" s="934"/>
      <c r="M119" s="932"/>
      <c r="N119" s="932"/>
      <c r="O119" s="932"/>
      <c r="P119" s="932"/>
      <c r="Q119" s="932"/>
      <c r="R119" s="932"/>
      <c r="S119" s="932"/>
      <c r="T119" s="932"/>
    </row>
    <row r="120" spans="1:20">
      <c r="A120" s="932"/>
      <c r="B120" s="932"/>
      <c r="C120" s="932"/>
      <c r="D120" s="932"/>
      <c r="E120" s="932"/>
      <c r="F120" s="932"/>
      <c r="G120" s="932"/>
      <c r="H120" s="932"/>
      <c r="I120" s="932"/>
      <c r="J120" s="932"/>
      <c r="K120" s="933"/>
      <c r="L120" s="934"/>
      <c r="M120" s="932"/>
      <c r="N120" s="932"/>
      <c r="O120" s="932"/>
      <c r="P120" s="932"/>
      <c r="Q120" s="932"/>
      <c r="R120" s="932"/>
      <c r="S120" s="932"/>
      <c r="T120" s="932"/>
    </row>
    <row r="121" spans="1:20">
      <c r="A121" s="932"/>
      <c r="B121" s="932"/>
      <c r="C121" s="932"/>
      <c r="D121" s="932"/>
      <c r="E121" s="932"/>
      <c r="F121" s="932"/>
      <c r="G121" s="932"/>
      <c r="H121" s="932"/>
      <c r="I121" s="932"/>
      <c r="J121" s="932"/>
      <c r="K121" s="933"/>
      <c r="L121" s="934"/>
      <c r="M121" s="932"/>
      <c r="N121" s="932"/>
      <c r="O121" s="932"/>
      <c r="P121" s="932"/>
      <c r="Q121" s="932"/>
      <c r="R121" s="932"/>
      <c r="S121" s="932"/>
      <c r="T121" s="932"/>
    </row>
    <row r="122" spans="1:20">
      <c r="A122" s="932"/>
      <c r="B122" s="932"/>
      <c r="C122" s="932"/>
      <c r="D122" s="932"/>
      <c r="E122" s="932"/>
      <c r="F122" s="932"/>
      <c r="G122" s="932"/>
      <c r="H122" s="932"/>
      <c r="I122" s="932"/>
      <c r="J122" s="932"/>
      <c r="K122" s="933"/>
      <c r="L122" s="934"/>
      <c r="M122" s="932"/>
      <c r="N122" s="932"/>
      <c r="O122" s="932"/>
      <c r="P122" s="932"/>
      <c r="Q122" s="932"/>
      <c r="R122" s="932"/>
      <c r="S122" s="932"/>
      <c r="T122" s="932"/>
    </row>
    <row r="123" spans="1:20">
      <c r="A123" s="932"/>
      <c r="B123" s="932"/>
      <c r="C123" s="932"/>
      <c r="D123" s="932"/>
      <c r="E123" s="932"/>
      <c r="F123" s="932"/>
      <c r="G123" s="932"/>
      <c r="H123" s="932"/>
      <c r="I123" s="932"/>
      <c r="J123" s="932"/>
      <c r="K123" s="933"/>
      <c r="L123" s="934"/>
      <c r="M123" s="932"/>
      <c r="N123" s="932"/>
      <c r="O123" s="932"/>
      <c r="P123" s="932"/>
      <c r="Q123" s="932"/>
      <c r="R123" s="932"/>
      <c r="S123" s="932"/>
      <c r="T123" s="932"/>
    </row>
    <row r="124" spans="1:20">
      <c r="A124" s="932"/>
      <c r="B124" s="932"/>
      <c r="C124" s="932"/>
      <c r="D124" s="932"/>
      <c r="E124" s="932"/>
      <c r="F124" s="932"/>
      <c r="G124" s="932"/>
      <c r="H124" s="932"/>
      <c r="I124" s="932"/>
      <c r="J124" s="932"/>
      <c r="K124" s="933"/>
      <c r="L124" s="934"/>
      <c r="M124" s="932"/>
      <c r="N124" s="932"/>
      <c r="O124" s="932"/>
      <c r="P124" s="932"/>
      <c r="Q124" s="932"/>
      <c r="R124" s="932"/>
      <c r="S124" s="932"/>
      <c r="T124" s="932"/>
    </row>
    <row r="125" spans="1:20">
      <c r="A125" s="932"/>
      <c r="B125" s="932"/>
      <c r="C125" s="932"/>
      <c r="D125" s="932"/>
      <c r="E125" s="932"/>
      <c r="F125" s="932"/>
      <c r="G125" s="932"/>
      <c r="H125" s="932"/>
      <c r="I125" s="932"/>
      <c r="J125" s="932"/>
      <c r="K125" s="933"/>
      <c r="L125" s="934"/>
      <c r="M125" s="932"/>
      <c r="N125" s="932"/>
      <c r="O125" s="932"/>
      <c r="P125" s="932"/>
      <c r="Q125" s="932"/>
      <c r="R125" s="932"/>
      <c r="S125" s="932"/>
      <c r="T125" s="932"/>
    </row>
    <row r="126" spans="1:20">
      <c r="A126" s="932"/>
      <c r="B126" s="932"/>
      <c r="C126" s="932"/>
      <c r="D126" s="932"/>
      <c r="E126" s="932"/>
      <c r="F126" s="932"/>
      <c r="G126" s="932"/>
      <c r="H126" s="932"/>
      <c r="I126" s="932"/>
      <c r="J126" s="932"/>
      <c r="K126" s="933"/>
      <c r="L126" s="934"/>
      <c r="M126" s="932"/>
      <c r="N126" s="932"/>
      <c r="O126" s="932"/>
      <c r="P126" s="932"/>
      <c r="Q126" s="932"/>
      <c r="R126" s="932"/>
      <c r="S126" s="932"/>
      <c r="T126" s="932"/>
    </row>
    <row r="127" spans="1:20">
      <c r="A127" s="932"/>
      <c r="B127" s="932"/>
      <c r="C127" s="932"/>
      <c r="D127" s="932"/>
      <c r="E127" s="932"/>
      <c r="F127" s="932"/>
      <c r="G127" s="932"/>
      <c r="H127" s="932"/>
      <c r="I127" s="932"/>
      <c r="J127" s="932"/>
      <c r="K127" s="933"/>
      <c r="L127" s="934"/>
      <c r="M127" s="932"/>
      <c r="N127" s="932"/>
      <c r="O127" s="932"/>
      <c r="P127" s="932"/>
      <c r="Q127" s="932"/>
      <c r="R127" s="932"/>
      <c r="S127" s="932"/>
      <c r="T127" s="932"/>
    </row>
    <row r="128" spans="1:20">
      <c r="A128" s="932"/>
      <c r="B128" s="932"/>
      <c r="C128" s="932"/>
      <c r="D128" s="932"/>
      <c r="E128" s="932"/>
      <c r="F128" s="932"/>
      <c r="G128" s="932"/>
      <c r="H128" s="932"/>
      <c r="I128" s="932"/>
      <c r="J128" s="932"/>
      <c r="K128" s="933"/>
      <c r="L128" s="934"/>
      <c r="M128" s="932"/>
      <c r="N128" s="932"/>
      <c r="O128" s="932"/>
      <c r="P128" s="932"/>
      <c r="Q128" s="932"/>
      <c r="R128" s="932"/>
      <c r="S128" s="932"/>
      <c r="T128" s="932"/>
    </row>
    <row r="129" spans="1:20">
      <c r="A129" s="932"/>
      <c r="B129" s="932"/>
      <c r="C129" s="932"/>
      <c r="D129" s="932"/>
      <c r="E129" s="932"/>
      <c r="F129" s="932"/>
      <c r="G129" s="932"/>
      <c r="H129" s="932"/>
      <c r="I129" s="932"/>
      <c r="J129" s="932"/>
      <c r="K129" s="933"/>
      <c r="L129" s="934"/>
      <c r="M129" s="932"/>
      <c r="N129" s="932"/>
      <c r="O129" s="932"/>
      <c r="P129" s="932"/>
      <c r="Q129" s="932"/>
      <c r="R129" s="932"/>
      <c r="S129" s="932"/>
      <c r="T129" s="932"/>
    </row>
    <row r="130" spans="1:20">
      <c r="A130" s="932"/>
      <c r="B130" s="932"/>
      <c r="C130" s="932"/>
      <c r="D130" s="932"/>
      <c r="E130" s="932"/>
      <c r="F130" s="932"/>
      <c r="G130" s="932"/>
      <c r="H130" s="932"/>
      <c r="I130" s="932"/>
      <c r="J130" s="932"/>
      <c r="K130" s="933"/>
      <c r="L130" s="934"/>
      <c r="M130" s="932"/>
      <c r="N130" s="932"/>
      <c r="O130" s="932"/>
      <c r="P130" s="932"/>
      <c r="Q130" s="932"/>
      <c r="R130" s="932"/>
      <c r="S130" s="932"/>
      <c r="T130" s="932"/>
    </row>
    <row r="131" spans="1:20">
      <c r="A131" s="932"/>
      <c r="B131" s="932"/>
      <c r="C131" s="932"/>
      <c r="D131" s="932"/>
      <c r="E131" s="932"/>
      <c r="F131" s="932"/>
      <c r="G131" s="932"/>
      <c r="H131" s="932"/>
      <c r="I131" s="932"/>
      <c r="J131" s="932"/>
      <c r="K131" s="933"/>
      <c r="L131" s="934"/>
      <c r="M131" s="932"/>
      <c r="N131" s="932"/>
      <c r="O131" s="932"/>
      <c r="P131" s="932"/>
      <c r="Q131" s="932"/>
      <c r="R131" s="932"/>
      <c r="S131" s="932"/>
      <c r="T131" s="932"/>
    </row>
    <row r="132" spans="1:20">
      <c r="A132" s="932"/>
      <c r="B132" s="932"/>
      <c r="C132" s="932"/>
      <c r="D132" s="932"/>
      <c r="E132" s="932"/>
      <c r="F132" s="932"/>
      <c r="G132" s="932"/>
      <c r="H132" s="932"/>
      <c r="I132" s="932"/>
      <c r="J132" s="932"/>
      <c r="K132" s="933"/>
      <c r="L132" s="934"/>
      <c r="M132" s="932"/>
      <c r="N132" s="932"/>
      <c r="O132" s="932"/>
      <c r="P132" s="932"/>
      <c r="Q132" s="932"/>
      <c r="R132" s="932"/>
      <c r="S132" s="932"/>
      <c r="T132" s="932"/>
    </row>
    <row r="133" spans="1:20">
      <c r="A133" s="932"/>
      <c r="B133" s="932"/>
      <c r="C133" s="932"/>
      <c r="D133" s="932"/>
      <c r="E133" s="932"/>
      <c r="F133" s="932"/>
      <c r="G133" s="932"/>
      <c r="H133" s="932"/>
      <c r="I133" s="932"/>
      <c r="J133" s="932"/>
      <c r="K133" s="933"/>
      <c r="L133" s="934"/>
      <c r="M133" s="932"/>
      <c r="N133" s="932"/>
      <c r="O133" s="932"/>
      <c r="P133" s="932"/>
      <c r="Q133" s="932"/>
      <c r="R133" s="932"/>
      <c r="S133" s="932"/>
      <c r="T133" s="932"/>
    </row>
    <row r="134" spans="1:20">
      <c r="A134" s="932"/>
      <c r="B134" s="932"/>
      <c r="C134" s="932"/>
      <c r="D134" s="932"/>
      <c r="E134" s="932"/>
      <c r="F134" s="932"/>
      <c r="G134" s="932"/>
      <c r="H134" s="932"/>
      <c r="I134" s="932"/>
      <c r="J134" s="932"/>
      <c r="K134" s="933"/>
      <c r="L134" s="934"/>
      <c r="M134" s="932"/>
      <c r="N134" s="932"/>
      <c r="O134" s="932"/>
      <c r="P134" s="932"/>
      <c r="Q134" s="932"/>
      <c r="R134" s="932"/>
      <c r="S134" s="932"/>
      <c r="T134" s="932"/>
    </row>
    <row r="135" spans="1:20">
      <c r="A135" s="932"/>
      <c r="B135" s="932"/>
      <c r="C135" s="932"/>
      <c r="D135" s="932"/>
      <c r="E135" s="932"/>
      <c r="F135" s="932"/>
      <c r="G135" s="932"/>
      <c r="H135" s="932"/>
      <c r="I135" s="932"/>
      <c r="J135" s="932"/>
      <c r="K135" s="933"/>
      <c r="L135" s="934"/>
      <c r="M135" s="932"/>
      <c r="N135" s="932"/>
      <c r="O135" s="932"/>
      <c r="P135" s="932"/>
      <c r="Q135" s="932"/>
      <c r="R135" s="932"/>
      <c r="S135" s="932"/>
      <c r="T135" s="932"/>
    </row>
    <row r="136" spans="1:20">
      <c r="A136" s="932"/>
      <c r="B136" s="932"/>
      <c r="C136" s="932"/>
      <c r="D136" s="932"/>
      <c r="E136" s="932"/>
      <c r="F136" s="932"/>
      <c r="G136" s="932"/>
      <c r="H136" s="932"/>
      <c r="I136" s="932"/>
      <c r="J136" s="932"/>
      <c r="K136" s="933"/>
      <c r="L136" s="934"/>
      <c r="M136" s="932"/>
      <c r="N136" s="932"/>
      <c r="O136" s="932"/>
      <c r="P136" s="932"/>
      <c r="Q136" s="932"/>
      <c r="R136" s="932"/>
      <c r="S136" s="932"/>
      <c r="T136" s="932"/>
    </row>
    <row r="137" spans="1:20">
      <c r="A137" s="932"/>
      <c r="B137" s="932"/>
      <c r="C137" s="932"/>
      <c r="D137" s="932"/>
      <c r="E137" s="932"/>
      <c r="F137" s="932"/>
      <c r="G137" s="932"/>
      <c r="H137" s="932"/>
      <c r="I137" s="932"/>
      <c r="J137" s="932"/>
      <c r="K137" s="933"/>
      <c r="L137" s="934"/>
      <c r="M137" s="932"/>
      <c r="N137" s="932"/>
      <c r="O137" s="932"/>
      <c r="P137" s="932"/>
      <c r="Q137" s="932"/>
      <c r="R137" s="932"/>
      <c r="S137" s="932"/>
      <c r="T137" s="932"/>
    </row>
    <row r="138" spans="1:20">
      <c r="A138" s="932"/>
      <c r="B138" s="932"/>
      <c r="C138" s="932"/>
      <c r="D138" s="932"/>
      <c r="E138" s="932"/>
      <c r="F138" s="932"/>
      <c r="G138" s="932"/>
      <c r="H138" s="932"/>
      <c r="I138" s="932"/>
      <c r="J138" s="932"/>
      <c r="K138" s="933"/>
      <c r="L138" s="934"/>
      <c r="M138" s="932"/>
      <c r="N138" s="932"/>
      <c r="O138" s="932"/>
      <c r="P138" s="932"/>
      <c r="Q138" s="932"/>
      <c r="R138" s="932"/>
      <c r="S138" s="932"/>
      <c r="T138" s="932"/>
    </row>
    <row r="139" spans="1:20">
      <c r="A139" s="932"/>
      <c r="B139" s="932"/>
      <c r="C139" s="932"/>
      <c r="D139" s="932"/>
      <c r="E139" s="932"/>
      <c r="F139" s="932"/>
      <c r="G139" s="932"/>
      <c r="H139" s="932"/>
      <c r="I139" s="932"/>
      <c r="J139" s="932"/>
      <c r="K139" s="933"/>
      <c r="L139" s="934"/>
      <c r="M139" s="932"/>
      <c r="N139" s="932"/>
      <c r="O139" s="932"/>
      <c r="P139" s="932"/>
      <c r="Q139" s="932"/>
      <c r="R139" s="932"/>
      <c r="S139" s="932"/>
      <c r="T139" s="932"/>
    </row>
    <row r="140" spans="1:20">
      <c r="A140" s="932"/>
      <c r="B140" s="932"/>
      <c r="C140" s="932"/>
      <c r="D140" s="932"/>
      <c r="E140" s="932"/>
      <c r="F140" s="932"/>
      <c r="G140" s="932"/>
      <c r="H140" s="932"/>
      <c r="I140" s="932"/>
      <c r="J140" s="932"/>
      <c r="K140" s="933"/>
      <c r="L140" s="934"/>
      <c r="M140" s="932"/>
      <c r="N140" s="932"/>
      <c r="O140" s="932"/>
      <c r="P140" s="932"/>
      <c r="Q140" s="932"/>
      <c r="R140" s="932"/>
      <c r="S140" s="932"/>
      <c r="T140" s="932"/>
    </row>
    <row r="141" spans="1:20">
      <c r="A141" s="932"/>
      <c r="B141" s="932"/>
      <c r="C141" s="932"/>
      <c r="D141" s="932"/>
      <c r="E141" s="932"/>
      <c r="F141" s="932"/>
      <c r="G141" s="932"/>
      <c r="H141" s="932"/>
      <c r="I141" s="932"/>
      <c r="J141" s="932"/>
      <c r="K141" s="933"/>
      <c r="L141" s="934"/>
      <c r="M141" s="932"/>
      <c r="N141" s="932"/>
      <c r="O141" s="932"/>
      <c r="P141" s="932"/>
      <c r="Q141" s="932"/>
      <c r="R141" s="932"/>
      <c r="S141" s="932"/>
      <c r="T141" s="932"/>
    </row>
    <row r="142" spans="1:20">
      <c r="A142" s="932"/>
      <c r="B142" s="932"/>
      <c r="C142" s="932"/>
      <c r="D142" s="932"/>
      <c r="E142" s="932"/>
      <c r="F142" s="932"/>
      <c r="G142" s="932"/>
      <c r="H142" s="932"/>
      <c r="I142" s="932"/>
      <c r="J142" s="932"/>
      <c r="K142" s="933"/>
      <c r="L142" s="934"/>
      <c r="M142" s="932"/>
      <c r="N142" s="932"/>
      <c r="O142" s="932"/>
      <c r="P142" s="932"/>
      <c r="Q142" s="932"/>
      <c r="R142" s="932"/>
      <c r="S142" s="932"/>
      <c r="T142" s="932"/>
    </row>
    <row r="143" spans="1:20">
      <c r="A143" s="932"/>
      <c r="B143" s="932"/>
      <c r="C143" s="932"/>
      <c r="D143" s="932"/>
      <c r="E143" s="932"/>
      <c r="F143" s="932"/>
      <c r="G143" s="932"/>
      <c r="H143" s="932"/>
      <c r="I143" s="932"/>
      <c r="J143" s="932"/>
      <c r="K143" s="933"/>
      <c r="L143" s="934"/>
      <c r="M143" s="932"/>
      <c r="N143" s="932"/>
      <c r="O143" s="932"/>
      <c r="P143" s="932"/>
      <c r="Q143" s="932"/>
      <c r="R143" s="932"/>
      <c r="S143" s="932"/>
      <c r="T143" s="932"/>
    </row>
    <row r="144" spans="1:20">
      <c r="A144" s="932"/>
      <c r="B144" s="932"/>
      <c r="C144" s="932"/>
      <c r="D144" s="932"/>
      <c r="E144" s="932"/>
      <c r="F144" s="932"/>
      <c r="G144" s="932"/>
      <c r="H144" s="932"/>
      <c r="I144" s="932"/>
      <c r="J144" s="932"/>
      <c r="K144" s="933"/>
      <c r="L144" s="934"/>
      <c r="M144" s="932"/>
      <c r="N144" s="932"/>
      <c r="O144" s="932"/>
      <c r="P144" s="932"/>
      <c r="Q144" s="932"/>
      <c r="R144" s="932"/>
      <c r="S144" s="932"/>
      <c r="T144" s="932"/>
    </row>
    <row r="145" spans="1:20">
      <c r="A145" s="932"/>
      <c r="B145" s="932"/>
      <c r="C145" s="932"/>
      <c r="D145" s="932"/>
      <c r="E145" s="932"/>
      <c r="F145" s="932"/>
      <c r="G145" s="932"/>
      <c r="H145" s="932"/>
      <c r="I145" s="932"/>
      <c r="J145" s="932"/>
      <c r="K145" s="933"/>
      <c r="L145" s="934"/>
      <c r="M145" s="932"/>
      <c r="N145" s="932"/>
      <c r="O145" s="932"/>
      <c r="P145" s="932"/>
      <c r="Q145" s="932"/>
      <c r="R145" s="932"/>
      <c r="S145" s="932"/>
      <c r="T145" s="932"/>
    </row>
    <row r="146" spans="1:20">
      <c r="A146" s="932"/>
      <c r="B146" s="932"/>
      <c r="C146" s="932"/>
      <c r="D146" s="932"/>
      <c r="E146" s="932"/>
      <c r="F146" s="932"/>
      <c r="G146" s="932"/>
      <c r="H146" s="932"/>
      <c r="I146" s="932"/>
      <c r="J146" s="932"/>
      <c r="K146" s="933"/>
      <c r="L146" s="934"/>
      <c r="M146" s="932"/>
      <c r="N146" s="932"/>
      <c r="O146" s="932"/>
      <c r="P146" s="932"/>
      <c r="Q146" s="932"/>
      <c r="R146" s="932"/>
      <c r="S146" s="932"/>
      <c r="T146" s="932"/>
    </row>
    <row r="147" spans="1:20">
      <c r="A147" s="932"/>
      <c r="B147" s="932"/>
      <c r="C147" s="932"/>
      <c r="D147" s="932"/>
      <c r="E147" s="932"/>
      <c r="F147" s="932"/>
      <c r="G147" s="932"/>
      <c r="H147" s="932"/>
      <c r="I147" s="932"/>
      <c r="J147" s="932"/>
      <c r="K147" s="933"/>
      <c r="L147" s="934"/>
      <c r="M147" s="932"/>
      <c r="N147" s="932"/>
      <c r="O147" s="932"/>
      <c r="P147" s="932"/>
      <c r="Q147" s="932"/>
      <c r="R147" s="932"/>
      <c r="S147" s="932"/>
      <c r="T147" s="932"/>
    </row>
    <row r="148" spans="1:20">
      <c r="A148" s="932"/>
      <c r="B148" s="932"/>
      <c r="C148" s="932"/>
      <c r="D148" s="932"/>
      <c r="E148" s="932"/>
      <c r="F148" s="932"/>
      <c r="G148" s="932"/>
      <c r="H148" s="932"/>
      <c r="I148" s="932"/>
      <c r="J148" s="932"/>
      <c r="K148" s="933"/>
      <c r="L148" s="934"/>
      <c r="M148" s="932"/>
      <c r="N148" s="932"/>
      <c r="O148" s="932"/>
      <c r="P148" s="932"/>
      <c r="Q148" s="932"/>
      <c r="R148" s="932"/>
      <c r="S148" s="932"/>
      <c r="T148" s="932"/>
    </row>
    <row r="149" spans="1:20">
      <c r="A149" s="932"/>
      <c r="B149" s="932"/>
      <c r="C149" s="932"/>
      <c r="D149" s="932"/>
      <c r="E149" s="932"/>
      <c r="F149" s="932"/>
      <c r="G149" s="932"/>
      <c r="H149" s="932"/>
      <c r="I149" s="932"/>
      <c r="J149" s="932"/>
      <c r="K149" s="933"/>
      <c r="L149" s="934"/>
      <c r="M149" s="932"/>
      <c r="N149" s="932"/>
      <c r="O149" s="932"/>
      <c r="P149" s="932"/>
      <c r="Q149" s="932"/>
      <c r="R149" s="932"/>
      <c r="S149" s="932"/>
      <c r="T149" s="932"/>
    </row>
    <row r="150" spans="1:20">
      <c r="A150" s="932"/>
      <c r="B150" s="932"/>
      <c r="C150" s="932"/>
      <c r="D150" s="932"/>
      <c r="E150" s="932"/>
      <c r="F150" s="932"/>
      <c r="G150" s="932"/>
      <c r="H150" s="932"/>
      <c r="I150" s="932"/>
      <c r="J150" s="932"/>
      <c r="K150" s="933"/>
      <c r="L150" s="934"/>
      <c r="M150" s="932"/>
      <c r="N150" s="932"/>
      <c r="O150" s="932"/>
      <c r="P150" s="932"/>
      <c r="Q150" s="932"/>
      <c r="R150" s="932"/>
      <c r="S150" s="932"/>
      <c r="T150" s="932"/>
    </row>
    <row r="151" spans="1:20">
      <c r="A151" s="932"/>
      <c r="B151" s="932"/>
      <c r="C151" s="932"/>
      <c r="D151" s="932"/>
      <c r="E151" s="932"/>
      <c r="F151" s="932"/>
      <c r="G151" s="932"/>
      <c r="H151" s="932"/>
      <c r="I151" s="932"/>
      <c r="J151" s="932"/>
      <c r="K151" s="933"/>
      <c r="L151" s="934"/>
      <c r="M151" s="932"/>
      <c r="N151" s="932"/>
      <c r="O151" s="932"/>
      <c r="P151" s="932"/>
      <c r="Q151" s="932"/>
      <c r="R151" s="932"/>
      <c r="S151" s="932"/>
      <c r="T151" s="932"/>
    </row>
    <row r="152" spans="1:20">
      <c r="A152" s="932"/>
      <c r="B152" s="932"/>
      <c r="C152" s="932"/>
      <c r="D152" s="932"/>
      <c r="E152" s="932"/>
      <c r="F152" s="932"/>
      <c r="G152" s="932"/>
      <c r="H152" s="932"/>
      <c r="I152" s="932"/>
      <c r="J152" s="932"/>
      <c r="K152" s="933"/>
      <c r="L152" s="934"/>
      <c r="M152" s="932"/>
      <c r="N152" s="932"/>
      <c r="O152" s="932"/>
      <c r="P152" s="932"/>
      <c r="Q152" s="932"/>
      <c r="R152" s="932"/>
      <c r="S152" s="932"/>
      <c r="T152" s="932"/>
    </row>
    <row r="153" spans="1:20">
      <c r="A153" s="932"/>
      <c r="B153" s="932"/>
      <c r="C153" s="932"/>
      <c r="D153" s="932"/>
      <c r="E153" s="932"/>
      <c r="F153" s="932"/>
      <c r="G153" s="932"/>
      <c r="H153" s="932"/>
      <c r="I153" s="932"/>
      <c r="J153" s="932"/>
      <c r="K153" s="933"/>
      <c r="L153" s="934"/>
      <c r="M153" s="932"/>
      <c r="N153" s="932"/>
      <c r="O153" s="932"/>
      <c r="P153" s="932"/>
      <c r="Q153" s="932"/>
      <c r="R153" s="932"/>
      <c r="S153" s="932"/>
      <c r="T153" s="932"/>
    </row>
    <row r="154" spans="1:20">
      <c r="A154" s="932"/>
      <c r="B154" s="932"/>
      <c r="C154" s="932"/>
      <c r="D154" s="932"/>
      <c r="E154" s="932"/>
      <c r="F154" s="932"/>
      <c r="G154" s="932"/>
      <c r="H154" s="932"/>
      <c r="I154" s="932"/>
      <c r="J154" s="932"/>
      <c r="K154" s="933"/>
      <c r="L154" s="934"/>
      <c r="M154" s="932"/>
      <c r="N154" s="932"/>
      <c r="O154" s="932"/>
      <c r="P154" s="932"/>
      <c r="Q154" s="932"/>
      <c r="R154" s="932"/>
      <c r="S154" s="932"/>
      <c r="T154" s="932"/>
    </row>
    <row r="155" spans="1:20">
      <c r="A155" s="932"/>
      <c r="B155" s="932"/>
      <c r="C155" s="932"/>
      <c r="D155" s="932"/>
      <c r="E155" s="932"/>
      <c r="F155" s="932"/>
      <c r="G155" s="932"/>
      <c r="H155" s="932"/>
      <c r="I155" s="932"/>
      <c r="J155" s="932"/>
      <c r="K155" s="933"/>
      <c r="L155" s="934"/>
      <c r="M155" s="932"/>
      <c r="N155" s="932"/>
      <c r="O155" s="932"/>
      <c r="P155" s="932"/>
      <c r="Q155" s="932"/>
      <c r="R155" s="932"/>
      <c r="S155" s="932"/>
      <c r="T155" s="932"/>
    </row>
    <row r="156" spans="1:20">
      <c r="A156" s="932"/>
      <c r="B156" s="932"/>
      <c r="C156" s="932"/>
      <c r="D156" s="932"/>
      <c r="E156" s="932"/>
      <c r="F156" s="932"/>
      <c r="G156" s="932"/>
      <c r="H156" s="932"/>
      <c r="I156" s="932"/>
      <c r="J156" s="932"/>
      <c r="K156" s="933"/>
      <c r="L156" s="934"/>
      <c r="M156" s="932"/>
      <c r="N156" s="932"/>
      <c r="O156" s="932"/>
      <c r="P156" s="932"/>
      <c r="Q156" s="932"/>
      <c r="R156" s="932"/>
      <c r="S156" s="932"/>
      <c r="T156" s="932"/>
    </row>
    <row r="157" spans="1:20">
      <c r="A157" s="932"/>
      <c r="B157" s="932"/>
      <c r="C157" s="932"/>
      <c r="D157" s="932"/>
      <c r="E157" s="932"/>
      <c r="F157" s="932"/>
      <c r="G157" s="932"/>
      <c r="H157" s="932"/>
      <c r="I157" s="932"/>
      <c r="J157" s="932"/>
      <c r="K157" s="933"/>
      <c r="L157" s="934"/>
      <c r="M157" s="932"/>
      <c r="N157" s="932"/>
      <c r="O157" s="932"/>
      <c r="P157" s="932"/>
      <c r="Q157" s="932"/>
      <c r="R157" s="932"/>
      <c r="S157" s="932"/>
      <c r="T157" s="932"/>
    </row>
    <row r="158" spans="1:20">
      <c r="A158" s="932"/>
      <c r="B158" s="932"/>
      <c r="C158" s="932"/>
      <c r="D158" s="932"/>
      <c r="E158" s="932"/>
      <c r="F158" s="932"/>
      <c r="G158" s="932"/>
      <c r="H158" s="932"/>
      <c r="I158" s="932"/>
      <c r="J158" s="932"/>
      <c r="K158" s="933"/>
      <c r="L158" s="934"/>
      <c r="M158" s="932"/>
      <c r="N158" s="932"/>
      <c r="O158" s="932"/>
      <c r="P158" s="932"/>
      <c r="Q158" s="932"/>
      <c r="R158" s="932"/>
      <c r="S158" s="932"/>
      <c r="T158" s="932"/>
    </row>
    <row r="159" spans="1:20">
      <c r="A159" s="932"/>
      <c r="B159" s="932"/>
      <c r="C159" s="932"/>
      <c r="D159" s="932"/>
      <c r="E159" s="932"/>
      <c r="F159" s="932"/>
      <c r="G159" s="932"/>
      <c r="H159" s="932"/>
      <c r="I159" s="932"/>
      <c r="J159" s="932"/>
      <c r="K159" s="933"/>
      <c r="L159" s="934"/>
      <c r="M159" s="932"/>
      <c r="N159" s="932"/>
      <c r="O159" s="932"/>
      <c r="P159" s="932"/>
      <c r="Q159" s="932"/>
      <c r="R159" s="932"/>
      <c r="S159" s="932"/>
      <c r="T159" s="932"/>
    </row>
    <row r="160" spans="1:20">
      <c r="A160" s="932"/>
      <c r="B160" s="932"/>
      <c r="C160" s="932"/>
      <c r="D160" s="932"/>
      <c r="E160" s="932"/>
      <c r="F160" s="932"/>
      <c r="G160" s="932"/>
      <c r="H160" s="932"/>
      <c r="I160" s="932"/>
      <c r="J160" s="932"/>
      <c r="K160" s="933"/>
      <c r="L160" s="934"/>
      <c r="M160" s="932"/>
      <c r="N160" s="932"/>
      <c r="O160" s="932"/>
      <c r="P160" s="932"/>
      <c r="Q160" s="932"/>
      <c r="R160" s="932"/>
      <c r="S160" s="932"/>
      <c r="T160" s="932"/>
    </row>
    <row r="161" spans="1:20">
      <c r="A161" s="932"/>
      <c r="B161" s="932"/>
      <c r="C161" s="932"/>
      <c r="D161" s="932"/>
      <c r="E161" s="932"/>
      <c r="F161" s="932"/>
      <c r="G161" s="932"/>
      <c r="H161" s="932"/>
      <c r="I161" s="932"/>
      <c r="J161" s="932"/>
      <c r="K161" s="933"/>
      <c r="L161" s="934"/>
      <c r="M161" s="932"/>
      <c r="N161" s="932"/>
      <c r="O161" s="932"/>
      <c r="P161" s="932"/>
      <c r="Q161" s="932"/>
      <c r="R161" s="932"/>
      <c r="S161" s="932"/>
      <c r="T161" s="932"/>
    </row>
    <row r="162" spans="1:20">
      <c r="A162" s="932"/>
      <c r="B162" s="932"/>
      <c r="C162" s="932"/>
      <c r="D162" s="932"/>
      <c r="E162" s="932"/>
      <c r="F162" s="932"/>
      <c r="G162" s="932"/>
      <c r="H162" s="932"/>
      <c r="I162" s="932"/>
      <c r="J162" s="932"/>
      <c r="K162" s="933"/>
      <c r="L162" s="934"/>
      <c r="M162" s="932"/>
      <c r="N162" s="932"/>
      <c r="O162" s="932"/>
      <c r="P162" s="932"/>
      <c r="Q162" s="932"/>
      <c r="R162" s="932"/>
      <c r="S162" s="932"/>
      <c r="T162" s="932"/>
    </row>
    <row r="163" spans="1:20">
      <c r="A163" s="932"/>
      <c r="B163" s="932"/>
      <c r="C163" s="932"/>
      <c r="D163" s="932"/>
      <c r="E163" s="932"/>
      <c r="F163" s="932"/>
      <c r="G163" s="932"/>
      <c r="H163" s="932"/>
      <c r="I163" s="932"/>
      <c r="J163" s="932"/>
      <c r="K163" s="933"/>
      <c r="L163" s="934"/>
      <c r="M163" s="932"/>
      <c r="N163" s="932"/>
      <c r="O163" s="932"/>
      <c r="P163" s="932"/>
      <c r="Q163" s="932"/>
      <c r="R163" s="932"/>
      <c r="S163" s="932"/>
      <c r="T163" s="932"/>
    </row>
    <row r="164" spans="1:20">
      <c r="A164" s="932"/>
      <c r="B164" s="932"/>
      <c r="C164" s="932"/>
      <c r="D164" s="932"/>
      <c r="E164" s="932"/>
      <c r="F164" s="932"/>
      <c r="G164" s="932"/>
      <c r="H164" s="932"/>
      <c r="I164" s="932"/>
      <c r="J164" s="932"/>
      <c r="K164" s="933"/>
      <c r="L164" s="934"/>
      <c r="M164" s="932"/>
      <c r="N164" s="932"/>
      <c r="O164" s="932"/>
      <c r="P164" s="932"/>
      <c r="Q164" s="932"/>
      <c r="R164" s="932"/>
      <c r="S164" s="932"/>
      <c r="T164" s="932"/>
    </row>
    <row r="165" spans="1:20">
      <c r="A165" s="932"/>
      <c r="B165" s="932"/>
      <c r="C165" s="932"/>
      <c r="D165" s="932"/>
      <c r="E165" s="932"/>
      <c r="F165" s="932"/>
      <c r="G165" s="932"/>
      <c r="H165" s="932"/>
      <c r="I165" s="932"/>
      <c r="J165" s="932"/>
      <c r="K165" s="933"/>
      <c r="L165" s="934"/>
      <c r="M165" s="932"/>
      <c r="N165" s="932"/>
      <c r="O165" s="932"/>
      <c r="P165" s="932"/>
      <c r="Q165" s="932"/>
      <c r="R165" s="932"/>
      <c r="S165" s="932"/>
      <c r="T165" s="932"/>
    </row>
    <row r="166" spans="1:20">
      <c r="A166" s="932"/>
      <c r="B166" s="932"/>
      <c r="C166" s="932"/>
      <c r="D166" s="932"/>
      <c r="E166" s="932"/>
      <c r="F166" s="932"/>
      <c r="G166" s="932"/>
      <c r="H166" s="932"/>
      <c r="I166" s="932"/>
      <c r="J166" s="932"/>
      <c r="K166" s="933"/>
      <c r="L166" s="934"/>
      <c r="M166" s="932"/>
      <c r="N166" s="932"/>
      <c r="O166" s="932"/>
      <c r="P166" s="932"/>
      <c r="Q166" s="932"/>
      <c r="R166" s="932"/>
      <c r="S166" s="932"/>
      <c r="T166" s="932"/>
    </row>
    <row r="167" spans="1:20">
      <c r="A167" s="932"/>
      <c r="B167" s="932"/>
      <c r="C167" s="932"/>
      <c r="D167" s="932"/>
      <c r="E167" s="932"/>
      <c r="F167" s="932"/>
      <c r="G167" s="932"/>
      <c r="H167" s="932"/>
      <c r="I167" s="932"/>
      <c r="J167" s="932"/>
      <c r="K167" s="933"/>
      <c r="L167" s="934"/>
      <c r="M167" s="932"/>
      <c r="N167" s="932"/>
      <c r="O167" s="932"/>
      <c r="P167" s="932"/>
      <c r="Q167" s="932"/>
      <c r="R167" s="932"/>
      <c r="S167" s="932"/>
      <c r="T167" s="932"/>
    </row>
    <row r="168" spans="1:20">
      <c r="A168" s="932"/>
      <c r="B168" s="932"/>
      <c r="C168" s="932"/>
      <c r="D168" s="932"/>
      <c r="E168" s="932"/>
      <c r="F168" s="932"/>
      <c r="G168" s="932"/>
      <c r="H168" s="932"/>
      <c r="I168" s="932"/>
      <c r="J168" s="932"/>
      <c r="K168" s="933"/>
      <c r="L168" s="934"/>
      <c r="M168" s="932"/>
      <c r="N168" s="932"/>
      <c r="O168" s="932"/>
      <c r="P168" s="932"/>
      <c r="Q168" s="932"/>
      <c r="R168" s="932"/>
      <c r="S168" s="932"/>
      <c r="T168" s="932"/>
    </row>
    <row r="169" spans="1:20">
      <c r="A169" s="932"/>
      <c r="B169" s="932"/>
      <c r="C169" s="932"/>
      <c r="D169" s="932"/>
      <c r="E169" s="932"/>
      <c r="F169" s="932"/>
      <c r="G169" s="932"/>
      <c r="H169" s="932"/>
      <c r="I169" s="932"/>
      <c r="J169" s="932"/>
      <c r="K169" s="933"/>
      <c r="L169" s="934"/>
      <c r="M169" s="932"/>
      <c r="N169" s="932"/>
      <c r="O169" s="932"/>
      <c r="P169" s="932"/>
      <c r="Q169" s="932"/>
      <c r="R169" s="932"/>
      <c r="S169" s="932"/>
      <c r="T169" s="932"/>
    </row>
    <row r="170" spans="1:20">
      <c r="A170" s="932"/>
      <c r="B170" s="932"/>
      <c r="C170" s="932"/>
      <c r="D170" s="932"/>
      <c r="E170" s="932"/>
      <c r="F170" s="932"/>
      <c r="G170" s="932"/>
      <c r="H170" s="932"/>
      <c r="I170" s="932"/>
      <c r="J170" s="932"/>
      <c r="K170" s="933"/>
      <c r="L170" s="934"/>
      <c r="M170" s="932"/>
      <c r="N170" s="932"/>
      <c r="O170" s="932"/>
      <c r="P170" s="932"/>
      <c r="Q170" s="932"/>
      <c r="R170" s="932"/>
      <c r="S170" s="932"/>
      <c r="T170" s="932"/>
    </row>
    <row r="171" spans="1:20">
      <c r="A171" s="932"/>
      <c r="B171" s="932"/>
      <c r="C171" s="932"/>
      <c r="D171" s="932"/>
      <c r="E171" s="932"/>
      <c r="F171" s="932"/>
      <c r="G171" s="932"/>
      <c r="H171" s="932"/>
      <c r="I171" s="932"/>
      <c r="J171" s="932"/>
      <c r="K171" s="933"/>
      <c r="L171" s="934"/>
      <c r="M171" s="932"/>
      <c r="N171" s="932"/>
      <c r="O171" s="932"/>
      <c r="P171" s="932"/>
      <c r="Q171" s="932"/>
      <c r="R171" s="932"/>
      <c r="S171" s="932"/>
      <c r="T171" s="932"/>
    </row>
    <row r="172" spans="1:20">
      <c r="A172" s="932"/>
      <c r="B172" s="932"/>
      <c r="C172" s="932"/>
      <c r="D172" s="932"/>
      <c r="E172" s="932"/>
      <c r="F172" s="932"/>
      <c r="G172" s="932"/>
      <c r="H172" s="932"/>
      <c r="I172" s="932"/>
      <c r="J172" s="932"/>
      <c r="K172" s="933"/>
      <c r="L172" s="934"/>
      <c r="M172" s="932"/>
      <c r="N172" s="932"/>
      <c r="O172" s="932"/>
      <c r="P172" s="932"/>
      <c r="Q172" s="932"/>
      <c r="R172" s="932"/>
      <c r="S172" s="932"/>
      <c r="T172" s="932"/>
    </row>
    <row r="173" spans="1:20">
      <c r="A173" s="932"/>
      <c r="B173" s="932"/>
      <c r="C173" s="932"/>
      <c r="D173" s="932"/>
      <c r="E173" s="932"/>
      <c r="F173" s="932"/>
      <c r="G173" s="932"/>
      <c r="H173" s="932"/>
      <c r="I173" s="932"/>
      <c r="J173" s="932"/>
      <c r="K173" s="933"/>
      <c r="L173" s="934"/>
      <c r="M173" s="932"/>
      <c r="N173" s="932"/>
      <c r="O173" s="932"/>
      <c r="P173" s="932"/>
      <c r="Q173" s="932"/>
      <c r="R173" s="932"/>
      <c r="S173" s="932"/>
      <c r="T173" s="932"/>
    </row>
    <row r="174" spans="1:20">
      <c r="A174" s="932"/>
      <c r="B174" s="932"/>
      <c r="C174" s="932"/>
      <c r="D174" s="932"/>
      <c r="E174" s="932"/>
      <c r="F174" s="932"/>
      <c r="G174" s="932"/>
      <c r="H174" s="932"/>
      <c r="I174" s="932"/>
      <c r="J174" s="932"/>
      <c r="K174" s="933"/>
      <c r="L174" s="934"/>
      <c r="M174" s="932"/>
      <c r="N174" s="932"/>
      <c r="O174" s="932"/>
      <c r="P174" s="932"/>
      <c r="Q174" s="932"/>
      <c r="R174" s="932"/>
      <c r="S174" s="932"/>
      <c r="T174" s="932"/>
    </row>
    <row r="175" spans="1:20">
      <c r="A175" s="932"/>
      <c r="B175" s="932"/>
      <c r="C175" s="932"/>
      <c r="D175" s="932"/>
      <c r="E175" s="932"/>
      <c r="F175" s="932"/>
      <c r="G175" s="932"/>
      <c r="H175" s="932"/>
      <c r="I175" s="932"/>
      <c r="J175" s="932"/>
      <c r="K175" s="933"/>
      <c r="L175" s="934"/>
      <c r="M175" s="932"/>
      <c r="N175" s="932"/>
      <c r="O175" s="932"/>
      <c r="P175" s="932"/>
      <c r="Q175" s="932"/>
      <c r="R175" s="932"/>
      <c r="S175" s="932"/>
      <c r="T175" s="932"/>
    </row>
    <row r="176" spans="1:20">
      <c r="A176" s="932"/>
      <c r="B176" s="932"/>
      <c r="C176" s="932"/>
      <c r="D176" s="932"/>
      <c r="E176" s="932"/>
      <c r="F176" s="932"/>
      <c r="G176" s="932"/>
      <c r="H176" s="932"/>
      <c r="I176" s="932"/>
      <c r="J176" s="932"/>
      <c r="K176" s="933"/>
      <c r="L176" s="934"/>
      <c r="M176" s="932"/>
      <c r="N176" s="932"/>
      <c r="O176" s="932"/>
      <c r="P176" s="932"/>
      <c r="Q176" s="932"/>
      <c r="R176" s="932"/>
      <c r="S176" s="932"/>
      <c r="T176" s="932"/>
    </row>
    <row r="177" spans="1:20">
      <c r="A177" s="932"/>
      <c r="B177" s="932"/>
      <c r="C177" s="932"/>
      <c r="D177" s="932"/>
      <c r="E177" s="932"/>
      <c r="F177" s="932"/>
      <c r="G177" s="932"/>
      <c r="H177" s="932"/>
      <c r="I177" s="932"/>
      <c r="J177" s="932"/>
      <c r="K177" s="933"/>
      <c r="L177" s="934"/>
      <c r="M177" s="932"/>
      <c r="N177" s="932"/>
      <c r="O177" s="932"/>
      <c r="P177" s="932"/>
      <c r="Q177" s="932"/>
      <c r="R177" s="932"/>
      <c r="S177" s="932"/>
      <c r="T177" s="932"/>
    </row>
    <row r="178" spans="1:20">
      <c r="A178" s="932"/>
      <c r="B178" s="932"/>
      <c r="C178" s="932"/>
      <c r="D178" s="932"/>
      <c r="E178" s="932"/>
      <c r="F178" s="932"/>
      <c r="G178" s="932"/>
      <c r="H178" s="932"/>
      <c r="I178" s="932"/>
      <c r="J178" s="932"/>
      <c r="K178" s="933"/>
      <c r="L178" s="934"/>
      <c r="M178" s="932"/>
      <c r="N178" s="932"/>
      <c r="O178" s="932"/>
      <c r="P178" s="932"/>
      <c r="Q178" s="932"/>
      <c r="R178" s="932"/>
      <c r="S178" s="932"/>
      <c r="T178" s="932"/>
    </row>
    <row r="179" spans="1:20">
      <c r="A179" s="932"/>
      <c r="B179" s="932"/>
      <c r="C179" s="932"/>
      <c r="D179" s="932"/>
      <c r="E179" s="932"/>
      <c r="F179" s="932"/>
      <c r="G179" s="932"/>
      <c r="H179" s="932"/>
      <c r="I179" s="932"/>
      <c r="J179" s="932"/>
      <c r="K179" s="933"/>
      <c r="L179" s="934"/>
      <c r="M179" s="932"/>
      <c r="N179" s="932"/>
      <c r="O179" s="932"/>
      <c r="P179" s="932"/>
      <c r="Q179" s="932"/>
      <c r="R179" s="932"/>
      <c r="S179" s="932"/>
      <c r="T179" s="932"/>
    </row>
    <row r="180" spans="1:20">
      <c r="A180" s="932"/>
      <c r="B180" s="932"/>
      <c r="C180" s="932"/>
      <c r="D180" s="932"/>
      <c r="E180" s="932"/>
      <c r="F180" s="932"/>
      <c r="G180" s="932"/>
      <c r="H180" s="932"/>
      <c r="I180" s="932"/>
      <c r="J180" s="932"/>
      <c r="K180" s="933"/>
      <c r="L180" s="934"/>
      <c r="M180" s="932"/>
      <c r="N180" s="932"/>
      <c r="O180" s="932"/>
      <c r="P180" s="932"/>
      <c r="Q180" s="932"/>
      <c r="R180" s="932"/>
      <c r="S180" s="932"/>
      <c r="T180" s="932"/>
    </row>
    <row r="181" spans="1:20">
      <c r="A181" s="932"/>
      <c r="B181" s="932"/>
      <c r="C181" s="932"/>
      <c r="D181" s="932"/>
      <c r="E181" s="932"/>
      <c r="F181" s="932"/>
      <c r="G181" s="932"/>
      <c r="H181" s="932"/>
      <c r="I181" s="932"/>
      <c r="J181" s="932"/>
      <c r="K181" s="933"/>
      <c r="L181" s="934"/>
      <c r="M181" s="932"/>
      <c r="N181" s="932"/>
      <c r="O181" s="932"/>
      <c r="P181" s="932"/>
      <c r="Q181" s="932"/>
      <c r="R181" s="932"/>
      <c r="S181" s="932"/>
      <c r="T181" s="932"/>
    </row>
    <row r="182" spans="1:20">
      <c r="A182" s="932"/>
      <c r="B182" s="932"/>
      <c r="C182" s="932"/>
      <c r="D182" s="932"/>
      <c r="E182" s="932"/>
      <c r="F182" s="932"/>
      <c r="G182" s="932"/>
      <c r="H182" s="932"/>
      <c r="I182" s="932"/>
      <c r="J182" s="932"/>
      <c r="K182" s="933"/>
      <c r="L182" s="934"/>
      <c r="M182" s="932"/>
      <c r="N182" s="932"/>
      <c r="O182" s="932"/>
      <c r="P182" s="932"/>
      <c r="Q182" s="932"/>
      <c r="R182" s="932"/>
      <c r="S182" s="932"/>
      <c r="T182" s="932"/>
    </row>
    <row r="183" spans="1:20">
      <c r="A183" s="932"/>
      <c r="B183" s="932"/>
      <c r="C183" s="932"/>
      <c r="D183" s="932"/>
      <c r="E183" s="932"/>
      <c r="F183" s="932"/>
      <c r="G183" s="932"/>
      <c r="H183" s="932"/>
      <c r="I183" s="932"/>
      <c r="J183" s="932"/>
      <c r="K183" s="933"/>
      <c r="L183" s="934"/>
      <c r="M183" s="932"/>
      <c r="N183" s="932"/>
      <c r="O183" s="932"/>
      <c r="P183" s="932"/>
      <c r="Q183" s="932"/>
      <c r="R183" s="932"/>
      <c r="S183" s="932"/>
      <c r="T183" s="932"/>
    </row>
    <row r="184" spans="1:20">
      <c r="A184" s="932"/>
      <c r="B184" s="932"/>
      <c r="C184" s="932"/>
      <c r="D184" s="932"/>
      <c r="E184" s="932"/>
      <c r="F184" s="932"/>
      <c r="G184" s="932"/>
      <c r="H184" s="932"/>
      <c r="I184" s="932"/>
      <c r="J184" s="932"/>
      <c r="K184" s="933"/>
      <c r="L184" s="934"/>
      <c r="M184" s="932"/>
      <c r="N184" s="932"/>
      <c r="O184" s="932"/>
      <c r="P184" s="932"/>
      <c r="Q184" s="932"/>
      <c r="R184" s="932"/>
      <c r="S184" s="932"/>
      <c r="T184" s="932"/>
    </row>
    <row r="185" spans="1:20">
      <c r="A185" s="932"/>
      <c r="B185" s="932"/>
      <c r="C185" s="932"/>
      <c r="D185" s="932"/>
      <c r="E185" s="932"/>
      <c r="F185" s="932"/>
      <c r="G185" s="932"/>
      <c r="H185" s="932"/>
      <c r="I185" s="932"/>
      <c r="J185" s="932"/>
      <c r="K185" s="933"/>
      <c r="L185" s="934"/>
      <c r="M185" s="932"/>
      <c r="N185" s="932"/>
      <c r="O185" s="932"/>
      <c r="P185" s="932"/>
      <c r="Q185" s="932"/>
      <c r="R185" s="932"/>
      <c r="S185" s="932"/>
      <c r="T185" s="932"/>
    </row>
    <row r="186" spans="1:20">
      <c r="A186" s="932"/>
      <c r="B186" s="932"/>
      <c r="C186" s="932"/>
      <c r="D186" s="932"/>
      <c r="E186" s="932"/>
      <c r="F186" s="932"/>
      <c r="G186" s="932"/>
      <c r="H186" s="932"/>
      <c r="I186" s="932"/>
      <c r="J186" s="932"/>
      <c r="K186" s="933"/>
      <c r="L186" s="934"/>
      <c r="M186" s="932"/>
      <c r="N186" s="932"/>
      <c r="O186" s="932"/>
      <c r="P186" s="932"/>
      <c r="Q186" s="932"/>
      <c r="R186" s="932"/>
      <c r="S186" s="932"/>
      <c r="T186" s="932"/>
    </row>
    <row r="187" spans="1:20">
      <c r="A187" s="932"/>
      <c r="B187" s="932"/>
      <c r="C187" s="932"/>
      <c r="D187" s="932"/>
      <c r="E187" s="932"/>
      <c r="F187" s="932"/>
      <c r="G187" s="932"/>
      <c r="H187" s="932"/>
      <c r="I187" s="932"/>
      <c r="J187" s="932"/>
      <c r="K187" s="933"/>
      <c r="L187" s="934"/>
      <c r="M187" s="932"/>
      <c r="N187" s="932"/>
      <c r="O187" s="932"/>
      <c r="P187" s="932"/>
      <c r="Q187" s="932"/>
      <c r="R187" s="932"/>
      <c r="S187" s="932"/>
      <c r="T187" s="932"/>
    </row>
    <row r="188" spans="1:20">
      <c r="A188" s="932"/>
      <c r="B188" s="932"/>
      <c r="C188" s="932"/>
      <c r="D188" s="932"/>
      <c r="E188" s="932"/>
      <c r="F188" s="932"/>
      <c r="G188" s="932"/>
      <c r="H188" s="932"/>
      <c r="I188" s="932"/>
      <c r="J188" s="932"/>
      <c r="K188" s="933"/>
      <c r="L188" s="934"/>
      <c r="M188" s="932"/>
      <c r="N188" s="932"/>
      <c r="O188" s="932"/>
      <c r="P188" s="932"/>
      <c r="Q188" s="932"/>
      <c r="R188" s="932"/>
      <c r="S188" s="932"/>
      <c r="T188" s="932"/>
    </row>
    <row r="189" spans="1:20">
      <c r="A189" s="932"/>
      <c r="B189" s="932"/>
      <c r="C189" s="932"/>
      <c r="D189" s="932"/>
      <c r="E189" s="932"/>
      <c r="F189" s="932"/>
      <c r="G189" s="932"/>
      <c r="H189" s="932"/>
      <c r="I189" s="932"/>
      <c r="J189" s="932"/>
      <c r="K189" s="933"/>
      <c r="L189" s="934"/>
      <c r="M189" s="932"/>
      <c r="N189" s="932"/>
      <c r="O189" s="932"/>
      <c r="P189" s="932"/>
      <c r="Q189" s="932"/>
      <c r="R189" s="932"/>
      <c r="S189" s="932"/>
      <c r="T189" s="932"/>
    </row>
    <row r="190" spans="1:20">
      <c r="A190" s="932"/>
      <c r="B190" s="932"/>
      <c r="C190" s="932"/>
      <c r="D190" s="932"/>
      <c r="E190" s="932"/>
      <c r="F190" s="932"/>
      <c r="G190" s="932"/>
      <c r="H190" s="932"/>
      <c r="I190" s="932"/>
      <c r="J190" s="932"/>
      <c r="K190" s="933"/>
      <c r="L190" s="934"/>
      <c r="M190" s="932"/>
      <c r="N190" s="932"/>
      <c r="O190" s="932"/>
      <c r="P190" s="932"/>
      <c r="Q190" s="932"/>
      <c r="R190" s="932"/>
      <c r="S190" s="932"/>
      <c r="T190" s="932"/>
    </row>
    <row r="191" spans="1:20">
      <c r="A191" s="932"/>
      <c r="B191" s="932"/>
      <c r="C191" s="932"/>
      <c r="D191" s="932"/>
      <c r="E191" s="932"/>
      <c r="F191" s="932"/>
      <c r="G191" s="932"/>
      <c r="H191" s="932"/>
      <c r="I191" s="932"/>
      <c r="J191" s="932"/>
      <c r="K191" s="933"/>
      <c r="L191" s="934"/>
      <c r="M191" s="932"/>
      <c r="N191" s="932"/>
      <c r="O191" s="932"/>
      <c r="P191" s="932"/>
      <c r="Q191" s="932"/>
      <c r="R191" s="932"/>
      <c r="S191" s="932"/>
      <c r="T191" s="932"/>
    </row>
    <row r="192" spans="1:20">
      <c r="A192" s="932"/>
      <c r="B192" s="932"/>
      <c r="C192" s="932"/>
      <c r="D192" s="932"/>
      <c r="E192" s="932"/>
      <c r="F192" s="932"/>
      <c r="G192" s="932"/>
      <c r="H192" s="932"/>
      <c r="I192" s="932"/>
      <c r="J192" s="932"/>
      <c r="K192" s="933"/>
      <c r="L192" s="934"/>
      <c r="M192" s="932"/>
      <c r="N192" s="932"/>
      <c r="O192" s="932"/>
      <c r="P192" s="932"/>
      <c r="Q192" s="932"/>
      <c r="R192" s="932"/>
      <c r="S192" s="932"/>
      <c r="T192" s="932"/>
    </row>
    <row r="193" spans="1:20">
      <c r="A193" s="932"/>
      <c r="B193" s="932"/>
      <c r="C193" s="932"/>
      <c r="D193" s="932"/>
      <c r="E193" s="932"/>
      <c r="F193" s="932"/>
      <c r="G193" s="932"/>
      <c r="H193" s="932"/>
      <c r="I193" s="932"/>
      <c r="J193" s="932"/>
      <c r="K193" s="933"/>
      <c r="L193" s="934"/>
      <c r="M193" s="932"/>
      <c r="N193" s="932"/>
      <c r="O193" s="932"/>
      <c r="P193" s="932"/>
      <c r="Q193" s="932"/>
      <c r="R193" s="932"/>
      <c r="S193" s="932"/>
      <c r="T193" s="932"/>
    </row>
    <row r="194" spans="1:20">
      <c r="A194" s="932"/>
      <c r="B194" s="932"/>
      <c r="C194" s="932"/>
      <c r="D194" s="932"/>
      <c r="E194" s="932"/>
      <c r="F194" s="932"/>
      <c r="G194" s="932"/>
      <c r="H194" s="932"/>
      <c r="I194" s="932"/>
      <c r="J194" s="932"/>
      <c r="K194" s="933"/>
      <c r="L194" s="934"/>
      <c r="M194" s="932"/>
      <c r="N194" s="932"/>
      <c r="O194" s="932"/>
      <c r="P194" s="932"/>
      <c r="Q194" s="932"/>
      <c r="R194" s="932"/>
      <c r="S194" s="932"/>
      <c r="T194" s="932"/>
    </row>
    <row r="195" spans="1:20">
      <c r="A195" s="932"/>
      <c r="B195" s="932"/>
      <c r="C195" s="932"/>
      <c r="D195" s="932"/>
      <c r="E195" s="932"/>
      <c r="F195" s="932"/>
      <c r="G195" s="932"/>
      <c r="H195" s="932"/>
      <c r="I195" s="932"/>
      <c r="J195" s="932"/>
      <c r="K195" s="933"/>
      <c r="L195" s="934"/>
      <c r="M195" s="932"/>
      <c r="N195" s="932"/>
      <c r="O195" s="932"/>
      <c r="P195" s="932"/>
      <c r="Q195" s="932"/>
      <c r="R195" s="932"/>
      <c r="S195" s="932"/>
      <c r="T195" s="932"/>
    </row>
    <row r="196" spans="1:20">
      <c r="A196" s="932"/>
      <c r="B196" s="932"/>
      <c r="C196" s="932"/>
      <c r="D196" s="932"/>
      <c r="E196" s="932"/>
      <c r="F196" s="932"/>
      <c r="G196" s="932"/>
      <c r="H196" s="932"/>
      <c r="I196" s="932"/>
      <c r="J196" s="932"/>
      <c r="K196" s="933"/>
      <c r="L196" s="934"/>
      <c r="M196" s="932"/>
      <c r="N196" s="932"/>
      <c r="O196" s="932"/>
      <c r="P196" s="932"/>
      <c r="Q196" s="932"/>
      <c r="R196" s="932"/>
      <c r="S196" s="932"/>
      <c r="T196" s="932"/>
    </row>
    <row r="197" spans="1:20">
      <c r="A197" s="932"/>
      <c r="B197" s="932"/>
      <c r="C197" s="932"/>
      <c r="D197" s="932"/>
      <c r="E197" s="932"/>
      <c r="F197" s="932"/>
      <c r="G197" s="932"/>
      <c r="H197" s="932"/>
      <c r="I197" s="932"/>
      <c r="J197" s="932"/>
      <c r="K197" s="933"/>
      <c r="L197" s="934"/>
      <c r="M197" s="932"/>
      <c r="N197" s="932"/>
      <c r="O197" s="932"/>
      <c r="P197" s="932"/>
      <c r="Q197" s="932"/>
      <c r="R197" s="932"/>
      <c r="S197" s="932"/>
      <c r="T197" s="932"/>
    </row>
    <row r="198" spans="1:20">
      <c r="A198" s="932"/>
      <c r="B198" s="932"/>
      <c r="C198" s="932"/>
      <c r="D198" s="932"/>
      <c r="E198" s="932"/>
      <c r="F198" s="932"/>
      <c r="G198" s="932"/>
      <c r="H198" s="932"/>
      <c r="I198" s="932"/>
      <c r="J198" s="932"/>
      <c r="K198" s="933"/>
      <c r="L198" s="934"/>
      <c r="M198" s="932"/>
      <c r="N198" s="932"/>
      <c r="O198" s="932"/>
      <c r="P198" s="932"/>
      <c r="Q198" s="932"/>
      <c r="R198" s="932"/>
      <c r="S198" s="932"/>
      <c r="T198" s="932"/>
    </row>
    <row r="199" spans="1:20">
      <c r="A199" s="932"/>
      <c r="B199" s="932"/>
      <c r="C199" s="932"/>
      <c r="D199" s="932"/>
      <c r="E199" s="932"/>
      <c r="F199" s="932"/>
      <c r="G199" s="932"/>
      <c r="H199" s="932"/>
      <c r="I199" s="932"/>
      <c r="J199" s="932"/>
      <c r="K199" s="933"/>
      <c r="L199" s="934"/>
      <c r="M199" s="932"/>
      <c r="N199" s="932"/>
      <c r="O199" s="932"/>
      <c r="P199" s="932"/>
      <c r="Q199" s="932"/>
      <c r="R199" s="932"/>
      <c r="S199" s="932"/>
      <c r="T199" s="932"/>
    </row>
    <row r="200" spans="1:20">
      <c r="A200" s="932"/>
      <c r="B200" s="932"/>
      <c r="C200" s="932"/>
      <c r="D200" s="932"/>
      <c r="E200" s="932"/>
      <c r="F200" s="932"/>
      <c r="G200" s="932"/>
      <c r="H200" s="932"/>
      <c r="I200" s="932"/>
      <c r="J200" s="932"/>
      <c r="K200" s="933"/>
      <c r="L200" s="934"/>
      <c r="M200" s="932"/>
      <c r="N200" s="932"/>
      <c r="O200" s="932"/>
      <c r="P200" s="932"/>
      <c r="Q200" s="932"/>
      <c r="R200" s="932"/>
      <c r="S200" s="932"/>
      <c r="T200" s="932"/>
    </row>
    <row r="201" spans="1:20">
      <c r="A201" s="932"/>
      <c r="B201" s="932"/>
      <c r="C201" s="932"/>
      <c r="D201" s="932"/>
      <c r="E201" s="932"/>
      <c r="F201" s="932"/>
      <c r="G201" s="932"/>
      <c r="H201" s="932"/>
      <c r="I201" s="932"/>
      <c r="J201" s="932"/>
      <c r="K201" s="933"/>
      <c r="L201" s="934"/>
      <c r="M201" s="932"/>
      <c r="N201" s="932"/>
      <c r="O201" s="932"/>
      <c r="P201" s="932"/>
      <c r="Q201" s="932"/>
      <c r="R201" s="932"/>
      <c r="S201" s="932"/>
      <c r="T201" s="932"/>
    </row>
    <row r="202" spans="1:20">
      <c r="A202" s="932"/>
      <c r="B202" s="932"/>
      <c r="C202" s="932"/>
      <c r="D202" s="932"/>
      <c r="E202" s="932"/>
      <c r="F202" s="932"/>
      <c r="G202" s="932"/>
      <c r="H202" s="932"/>
      <c r="I202" s="932"/>
      <c r="J202" s="932"/>
      <c r="K202" s="933"/>
      <c r="L202" s="934"/>
      <c r="M202" s="932"/>
      <c r="N202" s="932"/>
      <c r="O202" s="932"/>
      <c r="P202" s="932"/>
      <c r="Q202" s="932"/>
      <c r="R202" s="932"/>
      <c r="S202" s="932"/>
      <c r="T202" s="932"/>
    </row>
    <row r="203" spans="1:20">
      <c r="A203" s="932"/>
      <c r="B203" s="932"/>
      <c r="C203" s="932"/>
      <c r="D203" s="932"/>
      <c r="E203" s="932"/>
      <c r="F203" s="932"/>
      <c r="G203" s="932"/>
      <c r="H203" s="932"/>
      <c r="I203" s="932"/>
      <c r="J203" s="932"/>
      <c r="K203" s="933"/>
      <c r="L203" s="934"/>
      <c r="M203" s="932"/>
      <c r="N203" s="932"/>
      <c r="O203" s="932"/>
      <c r="P203" s="932"/>
      <c r="Q203" s="932"/>
      <c r="R203" s="932"/>
      <c r="S203" s="932"/>
      <c r="T203" s="932"/>
    </row>
    <row r="204" spans="1:20">
      <c r="A204" s="932"/>
      <c r="B204" s="932"/>
      <c r="C204" s="932"/>
      <c r="D204" s="932"/>
      <c r="E204" s="932"/>
      <c r="F204" s="932"/>
      <c r="G204" s="932"/>
      <c r="H204" s="932"/>
      <c r="I204" s="932"/>
      <c r="J204" s="932"/>
      <c r="K204" s="933"/>
      <c r="L204" s="934"/>
      <c r="M204" s="932"/>
      <c r="N204" s="932"/>
      <c r="O204" s="932"/>
      <c r="P204" s="932"/>
      <c r="Q204" s="932"/>
      <c r="R204" s="932"/>
      <c r="S204" s="932"/>
      <c r="T204" s="932"/>
    </row>
    <row r="205" spans="1:20">
      <c r="A205" s="932"/>
      <c r="B205" s="932"/>
      <c r="C205" s="932"/>
      <c r="D205" s="932"/>
      <c r="E205" s="932"/>
      <c r="F205" s="932"/>
      <c r="G205" s="932"/>
      <c r="H205" s="932"/>
      <c r="I205" s="932"/>
      <c r="J205" s="932"/>
      <c r="K205" s="933"/>
      <c r="L205" s="934"/>
      <c r="M205" s="932"/>
      <c r="N205" s="932"/>
      <c r="O205" s="932"/>
      <c r="P205" s="932"/>
      <c r="Q205" s="932"/>
      <c r="R205" s="932"/>
      <c r="S205" s="932"/>
      <c r="T205" s="932"/>
    </row>
    <row r="206" spans="1:20">
      <c r="A206" s="932"/>
      <c r="B206" s="932"/>
      <c r="C206" s="932"/>
      <c r="D206" s="932"/>
      <c r="E206" s="932"/>
      <c r="F206" s="932"/>
      <c r="G206" s="932"/>
      <c r="H206" s="932"/>
      <c r="I206" s="932"/>
      <c r="J206" s="932"/>
      <c r="K206" s="933"/>
      <c r="L206" s="934"/>
      <c r="M206" s="932"/>
      <c r="N206" s="932"/>
      <c r="O206" s="932"/>
      <c r="P206" s="932"/>
      <c r="Q206" s="932"/>
      <c r="R206" s="932"/>
      <c r="S206" s="932"/>
      <c r="T206" s="932"/>
    </row>
    <row r="207" spans="1:20">
      <c r="A207" s="932"/>
      <c r="B207" s="932"/>
      <c r="C207" s="932"/>
      <c r="D207" s="932"/>
      <c r="E207" s="932"/>
      <c r="F207" s="932"/>
      <c r="G207" s="932"/>
      <c r="H207" s="932"/>
      <c r="I207" s="932"/>
      <c r="J207" s="932"/>
      <c r="K207" s="933"/>
      <c r="L207" s="934"/>
      <c r="M207" s="932"/>
      <c r="N207" s="932"/>
      <c r="O207" s="932"/>
      <c r="P207" s="932"/>
      <c r="Q207" s="932"/>
      <c r="R207" s="932"/>
      <c r="S207" s="932"/>
      <c r="T207" s="932"/>
    </row>
    <row r="208" spans="1:20">
      <c r="A208" s="932"/>
      <c r="B208" s="932"/>
      <c r="C208" s="932"/>
      <c r="D208" s="932"/>
      <c r="E208" s="932"/>
      <c r="F208" s="932"/>
      <c r="G208" s="932"/>
      <c r="H208" s="932"/>
      <c r="I208" s="932"/>
      <c r="J208" s="932"/>
      <c r="K208" s="933"/>
      <c r="L208" s="934"/>
      <c r="M208" s="932"/>
      <c r="N208" s="932"/>
      <c r="O208" s="932"/>
      <c r="P208" s="932"/>
      <c r="Q208" s="932"/>
      <c r="R208" s="932"/>
      <c r="S208" s="932"/>
      <c r="T208" s="932"/>
    </row>
    <row r="209" spans="1:20">
      <c r="A209" s="932"/>
      <c r="B209" s="932"/>
      <c r="C209" s="932"/>
      <c r="D209" s="932"/>
      <c r="E209" s="932"/>
      <c r="F209" s="932"/>
      <c r="G209" s="932"/>
      <c r="H209" s="932"/>
      <c r="I209" s="932"/>
      <c r="J209" s="932"/>
      <c r="K209" s="933"/>
      <c r="L209" s="934"/>
      <c r="M209" s="932"/>
      <c r="N209" s="932"/>
      <c r="O209" s="932"/>
      <c r="P209" s="932"/>
      <c r="Q209" s="932"/>
      <c r="R209" s="932"/>
      <c r="S209" s="932"/>
      <c r="T209" s="932"/>
    </row>
    <row r="210" spans="1:20">
      <c r="A210" s="932"/>
      <c r="B210" s="932"/>
      <c r="C210" s="932"/>
      <c r="D210" s="932"/>
      <c r="E210" s="932"/>
      <c r="F210" s="932"/>
      <c r="G210" s="932"/>
      <c r="H210" s="932"/>
      <c r="I210" s="932"/>
      <c r="J210" s="932"/>
      <c r="K210" s="933"/>
      <c r="L210" s="934"/>
      <c r="M210" s="932"/>
      <c r="N210" s="932"/>
      <c r="O210" s="932"/>
      <c r="P210" s="932"/>
      <c r="Q210" s="932"/>
      <c r="R210" s="932"/>
      <c r="S210" s="932"/>
      <c r="T210" s="932"/>
    </row>
    <row r="211" spans="1:20">
      <c r="A211" s="932"/>
      <c r="B211" s="932"/>
      <c r="C211" s="932"/>
      <c r="D211" s="932"/>
      <c r="E211" s="932"/>
      <c r="F211" s="932"/>
      <c r="G211" s="932"/>
      <c r="H211" s="932"/>
      <c r="I211" s="932"/>
      <c r="J211" s="932"/>
      <c r="K211" s="933"/>
      <c r="L211" s="934"/>
      <c r="M211" s="932"/>
      <c r="N211" s="932"/>
      <c r="O211" s="932"/>
      <c r="P211" s="932"/>
      <c r="Q211" s="932"/>
      <c r="R211" s="932"/>
      <c r="S211" s="932"/>
      <c r="T211" s="932"/>
    </row>
    <row r="212" spans="1:20">
      <c r="A212" s="932"/>
      <c r="B212" s="932"/>
      <c r="C212" s="932"/>
      <c r="D212" s="932"/>
      <c r="E212" s="932"/>
      <c r="F212" s="932"/>
      <c r="G212" s="932"/>
      <c r="H212" s="932"/>
      <c r="I212" s="932"/>
      <c r="J212" s="932"/>
      <c r="K212" s="933"/>
      <c r="L212" s="934"/>
      <c r="M212" s="932"/>
      <c r="N212" s="932"/>
      <c r="O212" s="932"/>
      <c r="P212" s="932"/>
      <c r="Q212" s="932"/>
      <c r="R212" s="932"/>
      <c r="S212" s="932"/>
      <c r="T212" s="932"/>
    </row>
    <row r="213" spans="1:20">
      <c r="A213" s="932"/>
      <c r="B213" s="932"/>
      <c r="C213" s="932"/>
      <c r="D213" s="932"/>
      <c r="E213" s="932"/>
      <c r="F213" s="932"/>
      <c r="G213" s="932"/>
      <c r="H213" s="932"/>
      <c r="I213" s="932"/>
      <c r="J213" s="932"/>
      <c r="K213" s="933"/>
      <c r="L213" s="934"/>
      <c r="M213" s="932"/>
      <c r="N213" s="932"/>
      <c r="O213" s="932"/>
      <c r="P213" s="932"/>
      <c r="Q213" s="932"/>
      <c r="R213" s="932"/>
      <c r="S213" s="932"/>
      <c r="T213" s="932"/>
    </row>
    <row r="214" spans="1:20">
      <c r="A214" s="932"/>
      <c r="B214" s="932"/>
      <c r="C214" s="932"/>
      <c r="D214" s="932"/>
      <c r="E214" s="932"/>
      <c r="F214" s="932"/>
      <c r="G214" s="932"/>
      <c r="H214" s="932"/>
      <c r="I214" s="932"/>
      <c r="J214" s="932"/>
      <c r="K214" s="933"/>
      <c r="L214" s="934"/>
      <c r="M214" s="932"/>
      <c r="N214" s="932"/>
      <c r="O214" s="932"/>
      <c r="P214" s="932"/>
      <c r="Q214" s="932"/>
      <c r="R214" s="932"/>
      <c r="S214" s="932"/>
      <c r="T214" s="932"/>
    </row>
    <row r="215" spans="1:20">
      <c r="A215" s="932"/>
      <c r="B215" s="932"/>
      <c r="C215" s="932"/>
      <c r="D215" s="932"/>
      <c r="E215" s="932"/>
      <c r="F215" s="932"/>
      <c r="G215" s="932"/>
      <c r="H215" s="932"/>
      <c r="I215" s="932"/>
      <c r="J215" s="932"/>
      <c r="K215" s="933"/>
      <c r="L215" s="934"/>
      <c r="M215" s="932"/>
      <c r="N215" s="932"/>
      <c r="O215" s="932"/>
      <c r="P215" s="932"/>
      <c r="Q215" s="932"/>
      <c r="R215" s="932"/>
      <c r="S215" s="932"/>
      <c r="T215" s="932"/>
    </row>
    <row r="216" spans="1:20">
      <c r="A216" s="932"/>
      <c r="B216" s="932"/>
      <c r="C216" s="932"/>
      <c r="D216" s="932"/>
      <c r="E216" s="932"/>
      <c r="F216" s="932"/>
      <c r="G216" s="932"/>
      <c r="H216" s="932"/>
      <c r="I216" s="932"/>
      <c r="J216" s="932"/>
      <c r="K216" s="933"/>
      <c r="L216" s="934"/>
      <c r="M216" s="932"/>
      <c r="N216" s="932"/>
      <c r="O216" s="932"/>
      <c r="P216" s="932"/>
      <c r="Q216" s="932"/>
      <c r="R216" s="932"/>
      <c r="S216" s="932"/>
      <c r="T216" s="932"/>
    </row>
    <row r="217" spans="1:20">
      <c r="A217" s="932"/>
      <c r="B217" s="932"/>
      <c r="C217" s="932"/>
      <c r="D217" s="932"/>
      <c r="E217" s="932"/>
      <c r="F217" s="932"/>
      <c r="G217" s="932"/>
      <c r="H217" s="932"/>
      <c r="I217" s="932"/>
      <c r="J217" s="932"/>
      <c r="K217" s="933"/>
      <c r="L217" s="934"/>
      <c r="M217" s="932"/>
      <c r="N217" s="932"/>
      <c r="O217" s="932"/>
      <c r="P217" s="932"/>
      <c r="Q217" s="932"/>
      <c r="R217" s="932"/>
      <c r="S217" s="932"/>
      <c r="T217" s="932"/>
    </row>
    <row r="218" spans="1:20">
      <c r="A218" s="932"/>
      <c r="B218" s="932"/>
      <c r="C218" s="932"/>
      <c r="D218" s="932"/>
      <c r="E218" s="932"/>
      <c r="F218" s="932"/>
      <c r="G218" s="932"/>
      <c r="H218" s="932"/>
      <c r="I218" s="932"/>
      <c r="J218" s="932"/>
      <c r="K218" s="933"/>
      <c r="L218" s="934"/>
      <c r="M218" s="932"/>
      <c r="N218" s="932"/>
      <c r="O218" s="932"/>
      <c r="P218" s="932"/>
      <c r="Q218" s="932"/>
      <c r="R218" s="932"/>
      <c r="S218" s="932"/>
      <c r="T218" s="932"/>
    </row>
    <row r="219" spans="1:20">
      <c r="A219" s="932"/>
      <c r="B219" s="932"/>
      <c r="C219" s="932"/>
      <c r="D219" s="932"/>
      <c r="E219" s="932"/>
      <c r="F219" s="932"/>
      <c r="G219" s="932"/>
      <c r="H219" s="932"/>
      <c r="I219" s="932"/>
      <c r="J219" s="932"/>
      <c r="K219" s="933"/>
      <c r="L219" s="934"/>
      <c r="M219" s="932"/>
      <c r="N219" s="932"/>
      <c r="O219" s="932"/>
      <c r="P219" s="932"/>
      <c r="Q219" s="932"/>
      <c r="R219" s="932"/>
      <c r="S219" s="932"/>
      <c r="T219" s="932"/>
    </row>
    <row r="220" spans="1:20">
      <c r="A220" s="932"/>
      <c r="B220" s="932"/>
      <c r="C220" s="932"/>
      <c r="D220" s="932"/>
      <c r="E220" s="932"/>
      <c r="F220" s="932"/>
      <c r="G220" s="932"/>
      <c r="H220" s="932"/>
      <c r="I220" s="932"/>
      <c r="J220" s="932"/>
      <c r="K220" s="933"/>
      <c r="L220" s="934"/>
      <c r="M220" s="932"/>
      <c r="N220" s="932"/>
      <c r="O220" s="932"/>
      <c r="P220" s="932"/>
      <c r="Q220" s="932"/>
      <c r="R220" s="932"/>
      <c r="S220" s="932"/>
      <c r="T220" s="932"/>
    </row>
    <row r="221" spans="1:20">
      <c r="A221" s="932"/>
      <c r="B221" s="932"/>
      <c r="C221" s="932"/>
      <c r="D221" s="932"/>
      <c r="E221" s="932"/>
      <c r="F221" s="932"/>
      <c r="G221" s="932"/>
      <c r="H221" s="932"/>
      <c r="I221" s="932"/>
      <c r="J221" s="932"/>
      <c r="K221" s="933"/>
      <c r="L221" s="934"/>
      <c r="M221" s="932"/>
      <c r="N221" s="932"/>
      <c r="O221" s="932"/>
      <c r="P221" s="932"/>
      <c r="Q221" s="932"/>
      <c r="R221" s="932"/>
      <c r="S221" s="932"/>
      <c r="T221" s="932"/>
    </row>
    <row r="222" spans="1:20">
      <c r="A222" s="932"/>
      <c r="B222" s="932"/>
      <c r="C222" s="932"/>
      <c r="D222" s="932"/>
      <c r="E222" s="932"/>
      <c r="F222" s="932"/>
      <c r="G222" s="932"/>
      <c r="H222" s="932"/>
      <c r="I222" s="932"/>
      <c r="J222" s="932"/>
      <c r="K222" s="933"/>
      <c r="L222" s="934"/>
      <c r="M222" s="932"/>
      <c r="N222" s="932"/>
      <c r="O222" s="932"/>
      <c r="P222" s="932"/>
      <c r="Q222" s="932"/>
      <c r="R222" s="932"/>
      <c r="S222" s="932"/>
      <c r="T222" s="932"/>
    </row>
    <row r="223" spans="1:20">
      <c r="A223" s="932"/>
      <c r="B223" s="932"/>
      <c r="C223" s="932"/>
      <c r="D223" s="932"/>
      <c r="E223" s="932"/>
      <c r="F223" s="932"/>
      <c r="G223" s="932"/>
      <c r="H223" s="932"/>
      <c r="I223" s="932"/>
      <c r="J223" s="932"/>
      <c r="K223" s="933"/>
      <c r="L223" s="934"/>
      <c r="M223" s="932"/>
      <c r="N223" s="932"/>
      <c r="O223" s="932"/>
      <c r="P223" s="932"/>
      <c r="Q223" s="932"/>
      <c r="R223" s="932"/>
      <c r="S223" s="932"/>
      <c r="T223" s="932"/>
    </row>
    <row r="224" spans="1:20">
      <c r="A224" s="932"/>
      <c r="B224" s="932"/>
      <c r="C224" s="932"/>
      <c r="D224" s="932"/>
      <c r="E224" s="932"/>
      <c r="F224" s="932"/>
      <c r="G224" s="932"/>
      <c r="H224" s="932"/>
      <c r="I224" s="932"/>
      <c r="J224" s="932"/>
      <c r="K224" s="933"/>
      <c r="L224" s="934"/>
      <c r="M224" s="932"/>
      <c r="N224" s="932"/>
      <c r="O224" s="932"/>
      <c r="P224" s="932"/>
      <c r="Q224" s="932"/>
      <c r="R224" s="932"/>
      <c r="S224" s="932"/>
      <c r="T224" s="932"/>
    </row>
    <row r="225" spans="1:20">
      <c r="A225" s="932"/>
      <c r="B225" s="932"/>
      <c r="C225" s="932"/>
      <c r="D225" s="932"/>
      <c r="E225" s="932"/>
      <c r="F225" s="932"/>
      <c r="G225" s="932"/>
      <c r="H225" s="932"/>
      <c r="I225" s="932"/>
      <c r="J225" s="932"/>
      <c r="K225" s="933"/>
      <c r="L225" s="934"/>
      <c r="M225" s="932"/>
      <c r="N225" s="932"/>
      <c r="O225" s="932"/>
      <c r="P225" s="932"/>
      <c r="Q225" s="932"/>
      <c r="R225" s="932"/>
      <c r="S225" s="932"/>
      <c r="T225" s="932"/>
    </row>
    <row r="226" spans="1:20">
      <c r="A226" s="932"/>
      <c r="B226" s="932"/>
      <c r="C226" s="932"/>
      <c r="D226" s="932"/>
      <c r="E226" s="932"/>
      <c r="F226" s="932"/>
      <c r="G226" s="932"/>
      <c r="H226" s="932"/>
      <c r="I226" s="932"/>
      <c r="J226" s="932"/>
      <c r="K226" s="933"/>
      <c r="L226" s="934"/>
      <c r="M226" s="932"/>
      <c r="N226" s="932"/>
      <c r="O226" s="932"/>
      <c r="P226" s="932"/>
      <c r="Q226" s="932"/>
      <c r="R226" s="932"/>
      <c r="S226" s="932"/>
      <c r="T226" s="932"/>
    </row>
    <row r="227" spans="1:20">
      <c r="A227" s="932"/>
      <c r="B227" s="932"/>
      <c r="C227" s="932"/>
      <c r="D227" s="932"/>
      <c r="E227" s="932"/>
      <c r="F227" s="932"/>
      <c r="G227" s="932"/>
      <c r="H227" s="932"/>
      <c r="I227" s="932"/>
      <c r="J227" s="932"/>
      <c r="K227" s="933"/>
      <c r="L227" s="934"/>
      <c r="M227" s="932"/>
      <c r="N227" s="932"/>
      <c r="O227" s="932"/>
      <c r="P227" s="932"/>
      <c r="Q227" s="932"/>
      <c r="R227" s="932"/>
      <c r="S227" s="932"/>
      <c r="T227" s="932"/>
    </row>
    <row r="228" spans="1:20">
      <c r="A228" s="932"/>
      <c r="B228" s="932"/>
      <c r="C228" s="932"/>
      <c r="D228" s="932"/>
      <c r="E228" s="932"/>
      <c r="F228" s="932"/>
      <c r="G228" s="932"/>
      <c r="H228" s="932"/>
      <c r="I228" s="932"/>
      <c r="J228" s="932"/>
      <c r="K228" s="933"/>
      <c r="L228" s="934"/>
      <c r="M228" s="932"/>
      <c r="N228" s="932"/>
      <c r="O228" s="932"/>
      <c r="P228" s="932"/>
      <c r="Q228" s="932"/>
      <c r="R228" s="932"/>
      <c r="S228" s="932"/>
      <c r="T228" s="932"/>
    </row>
    <row r="229" spans="1:20">
      <c r="A229" s="932"/>
      <c r="B229" s="932"/>
      <c r="C229" s="932"/>
      <c r="D229" s="932"/>
      <c r="E229" s="932"/>
      <c r="F229" s="932"/>
      <c r="G229" s="932"/>
      <c r="H229" s="932"/>
      <c r="I229" s="932"/>
      <c r="J229" s="932"/>
      <c r="K229" s="933"/>
      <c r="L229" s="934"/>
      <c r="M229" s="932"/>
      <c r="N229" s="932"/>
      <c r="O229" s="932"/>
      <c r="P229" s="932"/>
      <c r="Q229" s="932"/>
      <c r="R229" s="932"/>
      <c r="S229" s="932"/>
      <c r="T229" s="932"/>
    </row>
    <row r="230" spans="1:20">
      <c r="A230" s="932"/>
      <c r="B230" s="932"/>
      <c r="C230" s="932"/>
      <c r="D230" s="932"/>
      <c r="E230" s="932"/>
      <c r="F230" s="932"/>
      <c r="G230" s="932"/>
      <c r="H230" s="932"/>
      <c r="I230" s="932"/>
      <c r="J230" s="932"/>
      <c r="K230" s="933"/>
      <c r="L230" s="934"/>
      <c r="M230" s="932"/>
      <c r="N230" s="932"/>
      <c r="O230" s="932"/>
      <c r="P230" s="932"/>
      <c r="Q230" s="932"/>
      <c r="R230" s="932"/>
      <c r="S230" s="932"/>
      <c r="T230" s="932"/>
    </row>
    <row r="231" spans="1:20">
      <c r="A231" s="932"/>
      <c r="B231" s="932"/>
      <c r="C231" s="932"/>
      <c r="D231" s="932"/>
      <c r="E231" s="932"/>
      <c r="F231" s="932"/>
      <c r="G231" s="932"/>
      <c r="H231" s="932"/>
      <c r="I231" s="932"/>
      <c r="J231" s="932"/>
      <c r="K231" s="933"/>
      <c r="L231" s="934"/>
      <c r="M231" s="932"/>
      <c r="N231" s="932"/>
      <c r="O231" s="932"/>
      <c r="P231" s="932"/>
      <c r="Q231" s="932"/>
      <c r="R231" s="932"/>
      <c r="S231" s="932"/>
      <c r="T231" s="932"/>
    </row>
    <row r="232" spans="1:20">
      <c r="A232" s="932"/>
      <c r="B232" s="932"/>
      <c r="C232" s="932"/>
      <c r="D232" s="932"/>
      <c r="E232" s="932"/>
      <c r="F232" s="932"/>
      <c r="G232" s="932"/>
      <c r="H232" s="932"/>
      <c r="I232" s="932"/>
      <c r="J232" s="932"/>
      <c r="K232" s="933"/>
      <c r="L232" s="934"/>
      <c r="M232" s="932"/>
      <c r="N232" s="932"/>
      <c r="O232" s="932"/>
      <c r="P232" s="932"/>
      <c r="Q232" s="932"/>
      <c r="R232" s="932"/>
      <c r="S232" s="932"/>
      <c r="T232" s="932"/>
    </row>
    <row r="233" spans="1:20">
      <c r="A233" s="932"/>
      <c r="B233" s="932"/>
      <c r="C233" s="932"/>
      <c r="D233" s="932"/>
      <c r="E233" s="932"/>
      <c r="F233" s="932"/>
      <c r="G233" s="932"/>
      <c r="H233" s="932"/>
      <c r="I233" s="932"/>
      <c r="J233" s="932"/>
      <c r="K233" s="933"/>
      <c r="L233" s="934"/>
      <c r="M233" s="932"/>
      <c r="N233" s="932"/>
      <c r="O233" s="932"/>
      <c r="P233" s="932"/>
      <c r="Q233" s="932"/>
      <c r="R233" s="932"/>
      <c r="S233" s="932"/>
      <c r="T233" s="932"/>
    </row>
    <row r="234" spans="1:20">
      <c r="A234" s="932"/>
      <c r="B234" s="932"/>
      <c r="C234" s="932"/>
      <c r="D234" s="932"/>
      <c r="E234" s="932"/>
      <c r="F234" s="932"/>
      <c r="G234" s="932"/>
      <c r="H234" s="932"/>
      <c r="I234" s="932"/>
      <c r="J234" s="932"/>
      <c r="K234" s="933"/>
      <c r="L234" s="934"/>
      <c r="M234" s="932"/>
      <c r="N234" s="932"/>
      <c r="O234" s="932"/>
      <c r="P234" s="932"/>
      <c r="Q234" s="932"/>
      <c r="R234" s="932"/>
      <c r="S234" s="932"/>
      <c r="T234" s="932"/>
    </row>
    <row r="235" spans="1:20">
      <c r="A235" s="932"/>
      <c r="B235" s="932"/>
      <c r="C235" s="932"/>
      <c r="D235" s="932"/>
      <c r="E235" s="932"/>
      <c r="F235" s="932"/>
      <c r="G235" s="932"/>
      <c r="H235" s="932"/>
      <c r="I235" s="932"/>
      <c r="J235" s="932"/>
      <c r="K235" s="933"/>
      <c r="L235" s="934"/>
      <c r="M235" s="932"/>
      <c r="N235" s="932"/>
      <c r="O235" s="932"/>
      <c r="P235" s="932"/>
      <c r="Q235" s="932"/>
      <c r="R235" s="932"/>
      <c r="S235" s="932"/>
      <c r="T235" s="932"/>
    </row>
    <row r="236" spans="1:20">
      <c r="A236" s="932"/>
      <c r="B236" s="932"/>
      <c r="C236" s="932"/>
      <c r="D236" s="932"/>
      <c r="E236" s="932"/>
      <c r="F236" s="932"/>
      <c r="G236" s="932"/>
      <c r="H236" s="932"/>
      <c r="I236" s="932"/>
      <c r="J236" s="932"/>
      <c r="K236" s="933"/>
      <c r="L236" s="934"/>
      <c r="M236" s="932"/>
      <c r="N236" s="932"/>
      <c r="O236" s="932"/>
      <c r="P236" s="932"/>
      <c r="Q236" s="932"/>
      <c r="R236" s="932"/>
      <c r="S236" s="932"/>
      <c r="T236" s="932"/>
    </row>
    <row r="237" spans="1:20">
      <c r="A237" s="932"/>
      <c r="B237" s="932"/>
      <c r="C237" s="932"/>
      <c r="D237" s="932"/>
      <c r="E237" s="932"/>
      <c r="F237" s="932"/>
      <c r="G237" s="932"/>
      <c r="H237" s="932"/>
      <c r="I237" s="932"/>
      <c r="J237" s="932"/>
      <c r="K237" s="933"/>
      <c r="L237" s="934"/>
      <c r="M237" s="932"/>
      <c r="N237" s="932"/>
      <c r="O237" s="932"/>
      <c r="P237" s="932"/>
      <c r="Q237" s="932"/>
      <c r="R237" s="932"/>
      <c r="S237" s="932"/>
      <c r="T237" s="932"/>
    </row>
    <row r="238" spans="1:20">
      <c r="A238" s="932"/>
      <c r="B238" s="932"/>
      <c r="C238" s="932"/>
      <c r="D238" s="932"/>
      <c r="E238" s="932"/>
      <c r="F238" s="932"/>
      <c r="G238" s="932"/>
      <c r="H238" s="932"/>
      <c r="I238" s="932"/>
      <c r="J238" s="932"/>
      <c r="K238" s="933"/>
      <c r="L238" s="934"/>
      <c r="M238" s="932"/>
      <c r="N238" s="932"/>
      <c r="O238" s="932"/>
      <c r="P238" s="932"/>
      <c r="Q238" s="932"/>
      <c r="R238" s="932"/>
      <c r="S238" s="932"/>
      <c r="T238" s="932"/>
    </row>
    <row r="239" spans="1:20">
      <c r="A239" s="932"/>
      <c r="B239" s="932"/>
      <c r="C239" s="932"/>
      <c r="D239" s="932"/>
      <c r="E239" s="932"/>
      <c r="F239" s="932"/>
      <c r="G239" s="932"/>
      <c r="H239" s="932"/>
      <c r="I239" s="932"/>
      <c r="J239" s="932"/>
      <c r="K239" s="933"/>
      <c r="L239" s="934"/>
      <c r="M239" s="932"/>
      <c r="N239" s="932"/>
      <c r="O239" s="932"/>
      <c r="P239" s="932"/>
      <c r="Q239" s="932"/>
      <c r="R239" s="932"/>
      <c r="S239" s="932"/>
      <c r="T239" s="932"/>
    </row>
    <row r="240" spans="1:20">
      <c r="A240" s="932"/>
      <c r="B240" s="932"/>
      <c r="C240" s="932"/>
      <c r="D240" s="932"/>
      <c r="E240" s="932"/>
      <c r="F240" s="932"/>
      <c r="G240" s="932"/>
      <c r="H240" s="932"/>
      <c r="I240" s="932"/>
      <c r="J240" s="932"/>
      <c r="K240" s="933"/>
      <c r="L240" s="934"/>
      <c r="M240" s="932"/>
      <c r="N240" s="932"/>
      <c r="O240" s="932"/>
      <c r="P240" s="932"/>
      <c r="Q240" s="932"/>
      <c r="R240" s="932"/>
      <c r="S240" s="932"/>
      <c r="T240" s="932"/>
    </row>
    <row r="241" spans="1:20">
      <c r="A241" s="932"/>
      <c r="B241" s="932"/>
      <c r="C241" s="932"/>
      <c r="D241" s="932"/>
      <c r="E241" s="932"/>
      <c r="F241" s="932"/>
      <c r="G241" s="932"/>
      <c r="H241" s="932"/>
      <c r="I241" s="932"/>
      <c r="J241" s="932"/>
      <c r="K241" s="933"/>
      <c r="L241" s="934"/>
      <c r="M241" s="932"/>
      <c r="N241" s="932"/>
      <c r="O241" s="932"/>
      <c r="P241" s="932"/>
      <c r="Q241" s="932"/>
      <c r="R241" s="932"/>
      <c r="S241" s="932"/>
      <c r="T241" s="932"/>
    </row>
  </sheetData>
  <sheetProtection password="CEE9"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40 H40 J40">
    <cfRule type="containsText" dxfId="42" priority="18" stopIfTrue="1" operator="containsText" text="超过">
      <formula>NOT(ISERROR(SEARCH("超过",F40)))</formula>
    </cfRule>
  </conditionalFormatting>
  <conditionalFormatting sqref="J42">
    <cfRule type="containsText" dxfId="41" priority="17" stopIfTrue="1" operator="containsText" text="超过">
      <formula>NOT(ISERROR(SEARCH("超过",J42)))</formula>
    </cfRule>
  </conditionalFormatting>
  <conditionalFormatting sqref="H42">
    <cfRule type="containsText" dxfId="40" priority="16" stopIfTrue="1" operator="containsText" text="超过">
      <formula>NOT(ISERROR(SEARCH("超过",H42)))</formula>
    </cfRule>
  </conditionalFormatting>
  <conditionalFormatting sqref="F42">
    <cfRule type="containsText" dxfId="39" priority="15" stopIfTrue="1" operator="containsText" text="超过">
      <formula>NOT(ISERROR(SEARCH("超过",F42)))</formula>
    </cfRule>
  </conditionalFormatting>
  <conditionalFormatting sqref="F41 H41 J41">
    <cfRule type="containsText" dxfId="38" priority="14" stopIfTrue="1" operator="containsText" text="超过">
      <formula>NOT(ISERROR(SEARCH("超过",F41)))</formula>
    </cfRule>
  </conditionalFormatting>
  <conditionalFormatting sqref="E40">
    <cfRule type="expression" dxfId="37" priority="13" stopIfTrue="1">
      <formula>$F$40="超过30%"</formula>
    </cfRule>
  </conditionalFormatting>
  <conditionalFormatting sqref="G42">
    <cfRule type="expression" dxfId="36" priority="12" stopIfTrue="1">
      <formula>$H$54+$H$42="超过30%"</formula>
    </cfRule>
  </conditionalFormatting>
  <conditionalFormatting sqref="E41">
    <cfRule type="expression" dxfId="35" priority="11" stopIfTrue="1">
      <formula>$F$41="超过20%"</formula>
    </cfRule>
  </conditionalFormatting>
  <conditionalFormatting sqref="E42">
    <cfRule type="expression" dxfId="34" priority="10" stopIfTrue="1">
      <formula>$F$42="超过30%"</formula>
    </cfRule>
  </conditionalFormatting>
  <conditionalFormatting sqref="G40">
    <cfRule type="expression" dxfId="33" priority="9" stopIfTrue="1">
      <formula>$H$52+$H$40="超过30%"</formula>
    </cfRule>
  </conditionalFormatting>
  <conditionalFormatting sqref="G41">
    <cfRule type="expression" dxfId="32" priority="8" stopIfTrue="1">
      <formula>$H$53+$H$41="超过20%"</formula>
    </cfRule>
  </conditionalFormatting>
  <conditionalFormatting sqref="I40">
    <cfRule type="expression" dxfId="31" priority="7" stopIfTrue="1">
      <formula>$J$40="超过30%"</formula>
    </cfRule>
  </conditionalFormatting>
  <conditionalFormatting sqref="I41">
    <cfRule type="expression" dxfId="30" priority="6" stopIfTrue="1">
      <formula>$J$41="超过20%"</formula>
    </cfRule>
  </conditionalFormatting>
  <conditionalFormatting sqref="I42">
    <cfRule type="expression" dxfId="29" priority="5" stopIfTrue="1">
      <formula>$J$42="超过30%"</formula>
    </cfRule>
  </conditionalFormatting>
  <conditionalFormatting sqref="F36">
    <cfRule type="expression" dxfId="28" priority="4">
      <formula>$D$36="简单平均"</formula>
    </cfRule>
  </conditionalFormatting>
  <conditionalFormatting sqref="H36">
    <cfRule type="expression" dxfId="27" priority="3">
      <formula>$D$36="简单平均"</formula>
    </cfRule>
  </conditionalFormatting>
  <conditionalFormatting sqref="J36">
    <cfRule type="expression" dxfId="26" priority="2">
      <formula>$D$36="简单平均"</formula>
    </cfRule>
  </conditionalFormatting>
  <conditionalFormatting sqref="F7:F34 H7:H34 J7:J34">
    <cfRule type="cellIs" dxfId="25"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Q80" sqref="Q80"/>
    </sheetView>
  </sheetViews>
  <sheetFormatPr defaultColWidth="9" defaultRowHeight="14.25"/>
  <cols>
    <col min="1" max="1" width="14.375" style="354" customWidth="1"/>
    <col min="2" max="2" width="15.875" style="354" customWidth="1"/>
    <col min="3" max="3" width="14.375" style="354" customWidth="1"/>
    <col min="4" max="4" width="12.125" style="354" customWidth="1"/>
    <col min="5" max="5" width="14.375" style="354" customWidth="1"/>
    <col min="6" max="6" width="12.125" style="354" customWidth="1"/>
    <col min="7" max="7" width="14.5" style="354" customWidth="1"/>
    <col min="8" max="8" width="12.125" style="354" customWidth="1"/>
    <col min="9" max="9" width="14.5" style="354" customWidth="1"/>
    <col min="10" max="10" width="12.125" style="354" customWidth="1"/>
    <col min="11" max="11" width="12.125" style="441" customWidth="1"/>
    <col min="12" max="12" width="12.125" style="442" customWidth="1"/>
    <col min="13" max="15" width="12.125" style="354" customWidth="1"/>
    <col min="16" max="16" width="4.875" style="354" customWidth="1"/>
    <col min="17" max="17" width="19.5" style="354" customWidth="1"/>
    <col min="18" max="22" width="6.125" style="354" customWidth="1"/>
    <col min="23" max="23" width="5.875" style="354" customWidth="1"/>
    <col min="24" max="24" width="4.125" style="354" customWidth="1"/>
    <col min="25" max="25" width="3.5" style="354" customWidth="1"/>
    <col min="26" max="26" width="19.875" style="354" customWidth="1"/>
    <col min="27" max="28" width="9.375" style="354" customWidth="1"/>
    <col min="29" max="16384" width="9" style="354"/>
  </cols>
  <sheetData>
    <row r="1" spans="1:29" s="349" customFormat="1" ht="28.5" customHeight="1">
      <c r="A1" s="345" t="s">
        <v>1867</v>
      </c>
      <c r="B1" s="346"/>
      <c r="C1" s="347" t="s">
        <v>1918</v>
      </c>
      <c r="D1" s="682"/>
      <c r="E1" s="682"/>
      <c r="F1" s="681" t="s">
        <v>1767</v>
      </c>
      <c r="G1" s="682"/>
      <c r="H1" s="682"/>
      <c r="I1" s="682"/>
      <c r="J1" s="682"/>
      <c r="K1" s="683"/>
      <c r="L1" s="684"/>
      <c r="M1" s="685"/>
      <c r="N1" s="685"/>
      <c r="O1" s="685"/>
      <c r="P1" s="695"/>
      <c r="Q1" s="695"/>
      <c r="R1" s="695"/>
      <c r="S1" s="695"/>
      <c r="T1" s="695"/>
      <c r="U1" s="695"/>
      <c r="V1" s="695"/>
      <c r="W1" s="695"/>
      <c r="X1" s="695"/>
      <c r="Y1" s="695"/>
      <c r="Z1" s="695"/>
      <c r="AA1" s="695"/>
      <c r="AB1" s="695"/>
      <c r="AC1" s="696"/>
    </row>
    <row r="2" spans="1:29" s="349" customFormat="1" ht="28.5" customHeight="1">
      <c r="A2" s="198" t="s">
        <v>1462</v>
      </c>
      <c r="B2" s="616" t="e">
        <f>F61</f>
        <v>#DIV/0!</v>
      </c>
      <c r="C2" s="904"/>
      <c r="D2" s="904"/>
      <c r="E2" s="904"/>
      <c r="F2" s="905"/>
      <c r="G2" s="904"/>
      <c r="H2" s="904"/>
      <c r="I2" s="904"/>
      <c r="J2" s="904"/>
      <c r="K2" s="906"/>
      <c r="L2" s="2726"/>
      <c r="M2" s="2727"/>
      <c r="N2" s="2727"/>
      <c r="O2" s="2727"/>
      <c r="P2" s="695"/>
      <c r="Q2" s="695"/>
      <c r="R2" s="695"/>
      <c r="S2" s="695"/>
      <c r="T2" s="695"/>
      <c r="U2" s="695"/>
      <c r="V2" s="695"/>
      <c r="W2" s="695"/>
      <c r="X2" s="695"/>
      <c r="Y2" s="695"/>
      <c r="Z2" s="695"/>
      <c r="AA2" s="695"/>
      <c r="AB2" s="695"/>
      <c r="AC2" s="696"/>
    </row>
    <row r="3" spans="1:29" s="349" customFormat="1" ht="28.5" customHeight="1" thickBot="1">
      <c r="A3" s="200" t="s">
        <v>1464</v>
      </c>
      <c r="B3" s="555" t="e">
        <f>ROUND(IF(D3="",B2*10000/'数据-汇总表'!E3,B2*10000/D3),0)</f>
        <v>#DIV/0!</v>
      </c>
      <c r="C3" s="200" t="s">
        <v>1869</v>
      </c>
      <c r="D3" s="1189"/>
      <c r="E3" s="904"/>
      <c r="F3" s="905"/>
      <c r="G3" s="904"/>
      <c r="H3" s="904"/>
      <c r="I3" s="904"/>
      <c r="J3" s="904"/>
      <c r="K3" s="906"/>
      <c r="L3" s="2726"/>
      <c r="M3" s="2727"/>
      <c r="N3" s="2727"/>
      <c r="O3" s="2727"/>
      <c r="P3" s="695"/>
      <c r="Q3" s="695"/>
      <c r="R3" s="695"/>
      <c r="S3" s="695"/>
      <c r="T3" s="695"/>
      <c r="U3" s="695"/>
      <c r="V3" s="695"/>
      <c r="W3" s="695"/>
      <c r="X3" s="695"/>
      <c r="Y3" s="695"/>
      <c r="Z3" s="695"/>
      <c r="AA3" s="695"/>
      <c r="AB3" s="712"/>
      <c r="AC3" s="709"/>
    </row>
    <row r="4" spans="1:29" ht="15">
      <c r="A4" s="352" t="s">
        <v>1769</v>
      </c>
      <c r="B4" s="353"/>
      <c r="C4" s="3738" t="s">
        <v>1770</v>
      </c>
      <c r="D4" s="3739"/>
      <c r="E4" s="3740" t="s">
        <v>1771</v>
      </c>
      <c r="F4" s="3741"/>
      <c r="G4" s="3738" t="s">
        <v>1772</v>
      </c>
      <c r="H4" s="3739"/>
      <c r="I4" s="3738" t="s">
        <v>1773</v>
      </c>
      <c r="J4" s="3739"/>
      <c r="K4" s="556" t="s">
        <v>1774</v>
      </c>
      <c r="L4" s="2707"/>
      <c r="M4" s="2708"/>
      <c r="N4" s="2708"/>
      <c r="O4" s="2708"/>
      <c r="P4" s="3742" t="s">
        <v>1775</v>
      </c>
      <c r="Q4" s="3743"/>
      <c r="R4" s="3722" t="s">
        <v>1771</v>
      </c>
      <c r="S4" s="3723"/>
      <c r="T4" s="3722" t="s">
        <v>1772</v>
      </c>
      <c r="U4" s="3723"/>
      <c r="V4" s="3750" t="s">
        <v>1773</v>
      </c>
      <c r="W4" s="3750"/>
      <c r="X4" s="1351"/>
      <c r="Y4" s="3722" t="s">
        <v>1775</v>
      </c>
      <c r="Z4" s="3723"/>
      <c r="AA4" s="3717" t="s">
        <v>1771</v>
      </c>
      <c r="AB4" s="3718" t="s">
        <v>1772</v>
      </c>
      <c r="AC4" s="3717" t="s">
        <v>1773</v>
      </c>
    </row>
    <row r="5" spans="1:29" ht="15">
      <c r="A5" s="355"/>
      <c r="B5" s="356"/>
      <c r="C5" s="3822" t="s">
        <v>1673</v>
      </c>
      <c r="D5" s="3823"/>
      <c r="E5" s="3820" t="s">
        <v>1674</v>
      </c>
      <c r="F5" s="3821"/>
      <c r="G5" s="3822" t="s">
        <v>1675</v>
      </c>
      <c r="H5" s="3823"/>
      <c r="I5" s="3822" t="s">
        <v>1676</v>
      </c>
      <c r="J5" s="3823"/>
      <c r="K5" s="556"/>
      <c r="L5" s="2707"/>
      <c r="M5" s="2708"/>
      <c r="N5" s="2708"/>
      <c r="O5" s="2708"/>
      <c r="P5" s="3744"/>
      <c r="Q5" s="3745"/>
      <c r="R5" s="3724"/>
      <c r="S5" s="3725"/>
      <c r="T5" s="3724"/>
      <c r="U5" s="3725"/>
      <c r="V5" s="3750"/>
      <c r="W5" s="3750"/>
      <c r="X5" s="1351"/>
      <c r="Y5" s="3724"/>
      <c r="Z5" s="3725"/>
      <c r="AA5" s="3718"/>
      <c r="AB5" s="3718"/>
      <c r="AC5" s="3718"/>
    </row>
    <row r="6" spans="1:29" ht="15.75" thickBot="1">
      <c r="A6" s="357"/>
      <c r="B6" s="358"/>
      <c r="C6" s="3842" t="s">
        <v>1919</v>
      </c>
      <c r="D6" s="3734"/>
      <c r="E6" s="3843" t="s">
        <v>1919</v>
      </c>
      <c r="F6" s="3736"/>
      <c r="G6" s="3842" t="s">
        <v>1919</v>
      </c>
      <c r="H6" s="3734"/>
      <c r="I6" s="3842" t="s">
        <v>1919</v>
      </c>
      <c r="J6" s="3734"/>
      <c r="K6" s="556" t="s">
        <v>1678</v>
      </c>
      <c r="L6" s="2707"/>
      <c r="M6" s="2708"/>
      <c r="N6" s="2708"/>
      <c r="O6" s="2708"/>
      <c r="P6" s="3746"/>
      <c r="Q6" s="3747"/>
      <c r="R6" s="3724"/>
      <c r="S6" s="3725"/>
      <c r="T6" s="3748"/>
      <c r="U6" s="3749"/>
      <c r="V6" s="3750"/>
      <c r="W6" s="3750"/>
      <c r="X6" s="1351"/>
      <c r="Y6" s="3748"/>
      <c r="Z6" s="3749"/>
      <c r="AA6" s="3719"/>
      <c r="AB6" s="3719"/>
      <c r="AC6" s="3719"/>
    </row>
    <row r="7" spans="1:29" s="108" customFormat="1" ht="15.75" thickBot="1">
      <c r="A7" s="359" t="s">
        <v>1679</v>
      </c>
      <c r="B7" s="360"/>
      <c r="C7" s="361">
        <f>'数据-取费表'!B2</f>
        <v>45114</v>
      </c>
      <c r="D7" s="362">
        <v>100</v>
      </c>
      <c r="E7" s="363"/>
      <c r="F7" s="364">
        <f>SUMIF(65:65,YEAR(E7)&amp;"-"&amp;INT((MONTH(E7)+2)/3),66:66)</f>
        <v>0</v>
      </c>
      <c r="G7" s="1967"/>
      <c r="H7" s="362">
        <f>SUMIF(65:65,YEAR(G7)&amp;"-"&amp;INT((MONTH(G7)+2)/3),66:66)</f>
        <v>0</v>
      </c>
      <c r="I7" s="1967"/>
      <c r="J7" s="362">
        <f>SUMIF(65:65,YEAR(I7)&amp;"-"&amp;INT((MONTH(I7)+2)/3),66:66)</f>
        <v>0</v>
      </c>
      <c r="K7" s="557"/>
      <c r="L7" s="2709"/>
      <c r="M7" s="2710"/>
      <c r="N7" s="2710"/>
      <c r="O7" s="2710"/>
      <c r="P7" s="3720" t="s">
        <v>1680</v>
      </c>
      <c r="Q7" s="3751"/>
      <c r="R7" s="697" t="s">
        <v>14</v>
      </c>
      <c r="S7" s="698">
        <f t="shared" ref="S7:S15" si="0">F7</f>
        <v>0</v>
      </c>
      <c r="T7" s="697" t="s">
        <v>14</v>
      </c>
      <c r="U7" s="698">
        <f t="shared" ref="U7:U15" si="1">H7</f>
        <v>0</v>
      </c>
      <c r="V7" s="697" t="s">
        <v>14</v>
      </c>
      <c r="W7" s="698">
        <f t="shared" ref="W7:W15" si="2">J7</f>
        <v>0</v>
      </c>
      <c r="X7" s="699"/>
      <c r="Y7" s="3720" t="s">
        <v>1680</v>
      </c>
      <c r="Z7" s="3721"/>
      <c r="AA7" s="700" t="e">
        <f>D7/F7</f>
        <v>#DIV/0!</v>
      </c>
      <c r="AB7" s="700" t="e">
        <f>D7/H7</f>
        <v>#DIV/0!</v>
      </c>
      <c r="AC7" s="700" t="e">
        <f>D7/J7</f>
        <v>#DIV/0!</v>
      </c>
    </row>
    <row r="8" spans="1:29" s="108" customFormat="1" ht="15.75" thickBot="1">
      <c r="A8" s="359" t="s">
        <v>1681</v>
      </c>
      <c r="B8" s="360"/>
      <c r="C8" s="365" t="s">
        <v>1682</v>
      </c>
      <c r="D8" s="362">
        <v>100</v>
      </c>
      <c r="E8" s="365"/>
      <c r="F8" s="364">
        <f>SUMIF(68:68,E8,69:69)-SUMIF(68:68,C8,69:69)+100</f>
        <v>0</v>
      </c>
      <c r="G8" s="365"/>
      <c r="H8" s="362">
        <f>SUMIF(68:68,G8,69:69)-SUMIF(68:68,C8,69:69)+100</f>
        <v>0</v>
      </c>
      <c r="I8" s="365"/>
      <c r="J8" s="362">
        <f>SUMIF(68:68,I8,69:69)-SUMIF(68:68,C8,69:69)+100</f>
        <v>0</v>
      </c>
      <c r="K8" s="557"/>
      <c r="L8" s="2709"/>
      <c r="M8" s="2710"/>
      <c r="N8" s="2710"/>
      <c r="O8" s="2710"/>
      <c r="P8" s="3720" t="s">
        <v>1683</v>
      </c>
      <c r="Q8" s="3721"/>
      <c r="R8" s="697" t="s">
        <v>14</v>
      </c>
      <c r="S8" s="698">
        <f t="shared" si="0"/>
        <v>0</v>
      </c>
      <c r="T8" s="697" t="s">
        <v>14</v>
      </c>
      <c r="U8" s="698">
        <f t="shared" si="1"/>
        <v>0</v>
      </c>
      <c r="V8" s="697" t="s">
        <v>14</v>
      </c>
      <c r="W8" s="698">
        <f t="shared" si="2"/>
        <v>0</v>
      </c>
      <c r="X8" s="699"/>
      <c r="Y8" s="3720" t="s">
        <v>1683</v>
      </c>
      <c r="Z8" s="3721"/>
      <c r="AA8" s="700" t="e">
        <f t="shared" ref="AA8:AA40" si="3">D8/F8</f>
        <v>#DIV/0!</v>
      </c>
      <c r="AB8" s="700" t="e">
        <f t="shared" ref="AB8:AB40" si="4">D8/H8</f>
        <v>#DIV/0!</v>
      </c>
      <c r="AC8" s="700" t="e">
        <f t="shared" ref="AC8:AC40" si="5">D8/J8</f>
        <v>#DIV/0!</v>
      </c>
    </row>
    <row r="9" spans="1:29" s="108" customFormat="1">
      <c r="A9" s="366" t="s">
        <v>1684</v>
      </c>
      <c r="B9" s="63" t="s">
        <v>1685</v>
      </c>
      <c r="C9" s="1970"/>
      <c r="D9" s="124">
        <v>100</v>
      </c>
      <c r="E9" s="1970"/>
      <c r="F9" s="124">
        <f>SUMIF(70:70,E9,71:71)-SUMIF(70:70,C9,71:71)+100</f>
        <v>100</v>
      </c>
      <c r="G9" s="1970"/>
      <c r="H9" s="124">
        <f>SUMIF(70:70,G9,71:71)-SUMIF(70:70,C9,71:71)+100</f>
        <v>100</v>
      </c>
      <c r="I9" s="1970"/>
      <c r="J9" s="124">
        <f>SUMIF(70:70,I9,71:71)-SUMIF(70:70,C9,71:71)+100</f>
        <v>100</v>
      </c>
      <c r="K9" s="557"/>
      <c r="L9" s="2709"/>
      <c r="M9" s="2710"/>
      <c r="N9" s="2710"/>
      <c r="O9" s="2764"/>
      <c r="P9" s="3737" t="s">
        <v>1686</v>
      </c>
      <c r="Q9" s="1339" t="str">
        <f t="shared" ref="Q9:Q15" si="6">B9</f>
        <v>用途</v>
      </c>
      <c r="R9" s="697" t="s">
        <v>14</v>
      </c>
      <c r="S9" s="698">
        <f t="shared" si="0"/>
        <v>100</v>
      </c>
      <c r="T9" s="697" t="s">
        <v>14</v>
      </c>
      <c r="U9" s="698">
        <f t="shared" si="1"/>
        <v>100</v>
      </c>
      <c r="V9" s="697" t="s">
        <v>14</v>
      </c>
      <c r="W9" s="698">
        <f t="shared" si="2"/>
        <v>100</v>
      </c>
      <c r="X9" s="699"/>
      <c r="Y9" s="3685" t="s">
        <v>1687</v>
      </c>
      <c r="Z9" s="52" t="str">
        <f t="shared" ref="Z9:Z15" si="7">Q9</f>
        <v>用途</v>
      </c>
      <c r="AA9" s="700">
        <f t="shared" si="3"/>
        <v>1</v>
      </c>
      <c r="AB9" s="700">
        <f t="shared" si="4"/>
        <v>1</v>
      </c>
      <c r="AC9" s="700">
        <f t="shared" si="5"/>
        <v>1</v>
      </c>
    </row>
    <row r="10" spans="1:29" s="375" customFormat="1" ht="27">
      <c r="A10" s="371"/>
      <c r="B10" s="372" t="s">
        <v>1688</v>
      </c>
      <c r="C10" s="380"/>
      <c r="D10" s="125">
        <v>100</v>
      </c>
      <c r="E10" s="380"/>
      <c r="F10" s="125">
        <f>ROUND(100/'数据-取费表'!G16,0)</f>
        <v>100</v>
      </c>
      <c r="G10" s="380"/>
      <c r="H10" s="125">
        <f>ROUND(100/'数据-取费表'!G16,0)</f>
        <v>100</v>
      </c>
      <c r="I10" s="380"/>
      <c r="J10" s="125">
        <f>ROUND(100/'数据-取费表'!G16,0)</f>
        <v>100</v>
      </c>
      <c r="K10" s="617"/>
      <c r="L10" s="2711"/>
      <c r="M10" s="2712"/>
      <c r="N10" s="2712"/>
      <c r="O10" s="2765"/>
      <c r="P10" s="3737"/>
      <c r="Q10" s="1339" t="str">
        <f t="shared" si="6"/>
        <v>土地使用年限（年）</v>
      </c>
      <c r="R10" s="697" t="s">
        <v>14</v>
      </c>
      <c r="S10" s="698">
        <f t="shared" si="0"/>
        <v>100</v>
      </c>
      <c r="T10" s="697" t="s">
        <v>14</v>
      </c>
      <c r="U10" s="698">
        <f t="shared" si="1"/>
        <v>100</v>
      </c>
      <c r="V10" s="697" t="s">
        <v>14</v>
      </c>
      <c r="W10" s="698">
        <f t="shared" si="2"/>
        <v>100</v>
      </c>
      <c r="X10" s="699"/>
      <c r="Y10" s="3685"/>
      <c r="Z10" s="52" t="str">
        <f t="shared" si="7"/>
        <v>土地使用年限（年）</v>
      </c>
      <c r="AA10" s="700">
        <f t="shared" si="3"/>
        <v>1</v>
      </c>
      <c r="AB10" s="700">
        <f t="shared" si="4"/>
        <v>1</v>
      </c>
      <c r="AC10" s="700">
        <f t="shared" si="5"/>
        <v>1</v>
      </c>
    </row>
    <row r="11" spans="1:29" ht="15">
      <c r="A11" s="376"/>
      <c r="B11" s="372" t="s">
        <v>1689</v>
      </c>
      <c r="C11" s="377"/>
      <c r="D11" s="125">
        <v>100</v>
      </c>
      <c r="E11" s="377"/>
      <c r="F11" s="125" t="e">
        <f>LOOKUP(E11,75:75,76:76)-LOOKUP(C11,75:75,76:76)+100</f>
        <v>#N/A</v>
      </c>
      <c r="G11" s="378"/>
      <c r="H11" s="125" t="e">
        <f>LOOKUP(G11,75:75,76:76)-LOOKUP(C11,75:75,76:76)+100</f>
        <v>#N/A</v>
      </c>
      <c r="I11" s="377"/>
      <c r="J11" s="125" t="e">
        <f>LOOKUP(I11,75:75,76:76)-LOOKUP(C11,75:75,76:76)+100</f>
        <v>#N/A</v>
      </c>
      <c r="K11" s="618"/>
      <c r="L11" s="2713"/>
      <c r="M11" s="2708"/>
      <c r="N11" s="2708"/>
      <c r="O11" s="2766"/>
      <c r="P11" s="3737"/>
      <c r="Q11" s="1339" t="str">
        <f t="shared" si="6"/>
        <v>容积率</v>
      </c>
      <c r="R11" s="697" t="s">
        <v>14</v>
      </c>
      <c r="S11" s="698" t="e">
        <f t="shared" si="0"/>
        <v>#N/A</v>
      </c>
      <c r="T11" s="697" t="s">
        <v>14</v>
      </c>
      <c r="U11" s="698" t="e">
        <f t="shared" si="1"/>
        <v>#N/A</v>
      </c>
      <c r="V11" s="697" t="s">
        <v>14</v>
      </c>
      <c r="W11" s="698" t="e">
        <f t="shared" si="2"/>
        <v>#N/A</v>
      </c>
      <c r="X11" s="699"/>
      <c r="Y11" s="3685"/>
      <c r="Z11" s="52" t="str">
        <f t="shared" si="7"/>
        <v>容积率</v>
      </c>
      <c r="AA11" s="700" t="e">
        <f t="shared" si="3"/>
        <v>#N/A</v>
      </c>
      <c r="AB11" s="700" t="e">
        <f t="shared" si="4"/>
        <v>#N/A</v>
      </c>
      <c r="AC11" s="700" t="e">
        <f t="shared" si="5"/>
        <v>#N/A</v>
      </c>
    </row>
    <row r="12" spans="1:29" s="108" customFormat="1" ht="15">
      <c r="A12" s="379"/>
      <c r="B12" s="1888">
        <v>111</v>
      </c>
      <c r="C12" s="380"/>
      <c r="D12" s="381">
        <v>100</v>
      </c>
      <c r="E12" s="495"/>
      <c r="F12" s="125">
        <f>SUMIF(77:77,E12,78:78)-SUMIF(77:77,C12,78:78)+100</f>
        <v>100</v>
      </c>
      <c r="G12" s="619"/>
      <c r="H12" s="125">
        <f>SUMIF(77:77,G12,78:78)-SUMIF(77:77,C12,78:78)+100</f>
        <v>100</v>
      </c>
      <c r="I12" s="495"/>
      <c r="J12" s="125">
        <f>SUMIF(77:77,I12,78:78)-SUMIF(77:77,C12,78:78)+100</f>
        <v>100</v>
      </c>
      <c r="K12" s="617"/>
      <c r="L12" s="2709"/>
      <c r="M12" s="2710"/>
      <c r="N12" s="2710"/>
      <c r="O12" s="2764"/>
      <c r="P12" s="3737"/>
      <c r="Q12" s="1339">
        <f t="shared" si="6"/>
        <v>111</v>
      </c>
      <c r="R12" s="697" t="s">
        <v>14</v>
      </c>
      <c r="S12" s="698">
        <f t="shared" si="0"/>
        <v>100</v>
      </c>
      <c r="T12" s="697" t="s">
        <v>14</v>
      </c>
      <c r="U12" s="698">
        <f t="shared" si="1"/>
        <v>100</v>
      </c>
      <c r="V12" s="697" t="s">
        <v>14</v>
      </c>
      <c r="W12" s="698">
        <f t="shared" si="2"/>
        <v>100</v>
      </c>
      <c r="X12" s="699"/>
      <c r="Y12" s="3685"/>
      <c r="Z12" s="52">
        <f t="shared" si="7"/>
        <v>111</v>
      </c>
      <c r="AA12" s="700">
        <f>D12/F12</f>
        <v>1</v>
      </c>
      <c r="AB12" s="700">
        <f>D12/H12</f>
        <v>1</v>
      </c>
      <c r="AC12" s="700">
        <f>D12/J12</f>
        <v>1</v>
      </c>
    </row>
    <row r="13" spans="1:29" ht="15">
      <c r="A13" s="376"/>
      <c r="B13" s="1888">
        <v>111</v>
      </c>
      <c r="C13" s="382"/>
      <c r="D13" s="383">
        <v>100</v>
      </c>
      <c r="E13" s="495"/>
      <c r="F13" s="125">
        <f>SUMIF(79:79,E13,80:80)-SUMIF(79:79,C13,80:80)+100</f>
        <v>100</v>
      </c>
      <c r="G13" s="619"/>
      <c r="H13" s="383">
        <f>SUMIF(79:79,G13,80:80)-SUMIF(79:79,C13,80:80)+100</f>
        <v>100</v>
      </c>
      <c r="I13" s="495"/>
      <c r="J13" s="383">
        <f>SUMIF(79:79,I13,80:80)-SUMIF(79:79,C13,80:80)+100</f>
        <v>100</v>
      </c>
      <c r="K13" s="617"/>
      <c r="L13" s="2714"/>
      <c r="M13" s="2708"/>
      <c r="N13" s="2708"/>
      <c r="O13" s="2766"/>
      <c r="P13" s="3737"/>
      <c r="Q13" s="1339">
        <f t="shared" si="6"/>
        <v>111</v>
      </c>
      <c r="R13" s="697" t="s">
        <v>14</v>
      </c>
      <c r="S13" s="698">
        <f t="shared" si="0"/>
        <v>100</v>
      </c>
      <c r="T13" s="697" t="s">
        <v>14</v>
      </c>
      <c r="U13" s="698">
        <f t="shared" si="1"/>
        <v>100</v>
      </c>
      <c r="V13" s="697" t="s">
        <v>14</v>
      </c>
      <c r="W13" s="698">
        <f t="shared" si="2"/>
        <v>100</v>
      </c>
      <c r="X13" s="699"/>
      <c r="Y13" s="3685"/>
      <c r="Z13" s="52">
        <f t="shared" si="7"/>
        <v>111</v>
      </c>
      <c r="AA13" s="700">
        <f t="shared" si="3"/>
        <v>1</v>
      </c>
      <c r="AB13" s="700">
        <f t="shared" si="4"/>
        <v>1</v>
      </c>
      <c r="AC13" s="700">
        <f t="shared" si="5"/>
        <v>1</v>
      </c>
    </row>
    <row r="14" spans="1:29" ht="15.75" thickBot="1">
      <c r="A14" s="384"/>
      <c r="B14" s="1890">
        <v>111</v>
      </c>
      <c r="C14" s="385"/>
      <c r="D14" s="386">
        <v>100</v>
      </c>
      <c r="E14" s="495"/>
      <c r="F14" s="386">
        <f>SUMIF(81:81,E14,82:82)-SUMIF(81:81,C14,82:82)+100</f>
        <v>100</v>
      </c>
      <c r="G14" s="619"/>
      <c r="H14" s="386">
        <f>SUMIF(81:81,G14,82:82)-SUMIF(81:81,C14,82:82)+100</f>
        <v>100</v>
      </c>
      <c r="I14" s="495"/>
      <c r="J14" s="386">
        <f>SUMIF(81:81,I14,82:82)-SUMIF(81:81,C14,82:82)+100</f>
        <v>100</v>
      </c>
      <c r="K14" s="617"/>
      <c r="L14" s="2714"/>
      <c r="M14" s="2708"/>
      <c r="N14" s="2708"/>
      <c r="O14" s="2766"/>
      <c r="P14" s="3737"/>
      <c r="Q14" s="1339">
        <f t="shared" si="6"/>
        <v>111</v>
      </c>
      <c r="R14" s="697" t="s">
        <v>14</v>
      </c>
      <c r="S14" s="698">
        <f t="shared" si="0"/>
        <v>100</v>
      </c>
      <c r="T14" s="697" t="s">
        <v>14</v>
      </c>
      <c r="U14" s="698">
        <f t="shared" si="1"/>
        <v>100</v>
      </c>
      <c r="V14" s="697" t="s">
        <v>14</v>
      </c>
      <c r="W14" s="698">
        <f t="shared" si="2"/>
        <v>100</v>
      </c>
      <c r="X14" s="699"/>
      <c r="Y14" s="3685"/>
      <c r="Z14" s="52">
        <f t="shared" si="7"/>
        <v>111</v>
      </c>
      <c r="AA14" s="700">
        <f t="shared" si="3"/>
        <v>1</v>
      </c>
      <c r="AB14" s="700">
        <f t="shared" si="4"/>
        <v>1</v>
      </c>
      <c r="AC14" s="700">
        <f t="shared" si="5"/>
        <v>1</v>
      </c>
    </row>
    <row r="15" spans="1:29" ht="57">
      <c r="A15" s="388" t="s">
        <v>1690</v>
      </c>
      <c r="B15" s="574" t="s">
        <v>1920</v>
      </c>
      <c r="C15" s="1964" t="str">
        <f>估价对象房地状况!G15</f>
        <v>估价对象位于XX开发区，园区建设成熟度XX，产业集聚程度XX</v>
      </c>
      <c r="D15" s="389">
        <v>100</v>
      </c>
      <c r="E15" s="390"/>
      <c r="F15" s="389">
        <f>SUMIF(83:83,E16,84:84)-SUMIF(83:83,C16,84:84)+100</f>
        <v>100</v>
      </c>
      <c r="G15" s="390"/>
      <c r="H15" s="389">
        <f>SUMIF(83:83,G16,84:84)-SUMIF(83:83,C16,84:84)+100</f>
        <v>100</v>
      </c>
      <c r="I15" s="392"/>
      <c r="J15" s="389">
        <f>SUMIF(83:83,I16,84:84)-SUMIF(83:83,C16,84:84)+100</f>
        <v>100</v>
      </c>
      <c r="K15" s="618"/>
      <c r="L15" s="2714"/>
      <c r="M15" s="2708"/>
      <c r="N15" s="2708"/>
      <c r="O15" s="2766"/>
      <c r="P15" s="3752" t="s">
        <v>1691</v>
      </c>
      <c r="Q15" s="1348" t="str">
        <f t="shared" si="6"/>
        <v>产业集聚程度</v>
      </c>
      <c r="R15" s="701" t="s">
        <v>14</v>
      </c>
      <c r="S15" s="702">
        <f t="shared" si="0"/>
        <v>100</v>
      </c>
      <c r="T15" s="701" t="s">
        <v>14</v>
      </c>
      <c r="U15" s="702">
        <f t="shared" si="1"/>
        <v>100</v>
      </c>
      <c r="V15" s="701" t="s">
        <v>14</v>
      </c>
      <c r="W15" s="702">
        <f t="shared" si="2"/>
        <v>100</v>
      </c>
      <c r="X15" s="1351"/>
      <c r="Y15" s="3752" t="s">
        <v>1691</v>
      </c>
      <c r="Z15" s="1352" t="str">
        <f t="shared" si="7"/>
        <v>产业集聚程度</v>
      </c>
      <c r="AA15" s="1349">
        <f t="shared" si="3"/>
        <v>1</v>
      </c>
      <c r="AB15" s="1349">
        <f t="shared" si="4"/>
        <v>1</v>
      </c>
      <c r="AC15" s="1349">
        <f t="shared" si="5"/>
        <v>1</v>
      </c>
    </row>
    <row r="16" spans="1:29" ht="15">
      <c r="A16" s="376"/>
      <c r="B16" s="575"/>
      <c r="C16" s="395"/>
      <c r="D16" s="396"/>
      <c r="E16" s="1899"/>
      <c r="F16" s="396"/>
      <c r="G16" s="1899"/>
      <c r="H16" s="398"/>
      <c r="I16" s="1899"/>
      <c r="J16" s="396"/>
      <c r="K16" s="617"/>
      <c r="L16" s="2714"/>
      <c r="M16" s="2708"/>
      <c r="N16" s="2708"/>
      <c r="O16" s="2766"/>
      <c r="P16" s="3753"/>
      <c r="Q16" s="1348"/>
      <c r="R16" s="701"/>
      <c r="S16" s="702"/>
      <c r="T16" s="701"/>
      <c r="U16" s="702"/>
      <c r="V16" s="701"/>
      <c r="W16" s="702"/>
      <c r="X16" s="1351"/>
      <c r="Y16" s="3753"/>
      <c r="Z16" s="1352"/>
      <c r="AA16" s="1349">
        <v>1</v>
      </c>
      <c r="AB16" s="1349">
        <v>1</v>
      </c>
      <c r="AC16" s="1349">
        <v>1</v>
      </c>
    </row>
    <row r="17" spans="1:29" ht="85.5">
      <c r="A17" s="376"/>
      <c r="B17" s="576" t="s">
        <v>1833</v>
      </c>
      <c r="C17" s="1895" t="str">
        <f>估价对象房地状况!G16</f>
        <v>估价对象周边道路状况、公共交通通达情况、停车便捷程度，综合评价交通便捷度较好</v>
      </c>
      <c r="D17" s="398">
        <v>100</v>
      </c>
      <c r="E17" s="400"/>
      <c r="F17" s="403">
        <f>SUMIF(85:85,E18,86:86)-SUMIF(85:85,C18,86:86)+100</f>
        <v>100</v>
      </c>
      <c r="G17" s="400"/>
      <c r="H17" s="403">
        <f>SUMIF(85:85,G18,86:86)-SUMIF(85:85,C18,86:86)+100</f>
        <v>100</v>
      </c>
      <c r="I17" s="402"/>
      <c r="J17" s="398">
        <f>SUMIF(85:85,I18,86:86)-SUMIF(85:85,C18,86:86)+100</f>
        <v>100</v>
      </c>
      <c r="K17" s="618"/>
      <c r="L17" s="2714"/>
      <c r="M17" s="2708"/>
      <c r="N17" s="2708"/>
      <c r="O17" s="2766"/>
      <c r="P17" s="3753"/>
      <c r="Q17" s="1348" t="str">
        <f>B17</f>
        <v>交通便捷度</v>
      </c>
      <c r="R17" s="701" t="s">
        <v>14</v>
      </c>
      <c r="S17" s="702">
        <f>F17</f>
        <v>100</v>
      </c>
      <c r="T17" s="701" t="s">
        <v>14</v>
      </c>
      <c r="U17" s="702">
        <f>H17</f>
        <v>100</v>
      </c>
      <c r="V17" s="701" t="s">
        <v>14</v>
      </c>
      <c r="W17" s="702">
        <f>J17</f>
        <v>100</v>
      </c>
      <c r="X17" s="1351"/>
      <c r="Y17" s="3753"/>
      <c r="Z17" s="1352" t="str">
        <f>Q17</f>
        <v>交通便捷度</v>
      </c>
      <c r="AA17" s="1349">
        <f t="shared" si="3"/>
        <v>1</v>
      </c>
      <c r="AB17" s="1349">
        <f t="shared" si="4"/>
        <v>1</v>
      </c>
      <c r="AC17" s="1349">
        <f t="shared" si="5"/>
        <v>1</v>
      </c>
    </row>
    <row r="18" spans="1:29" ht="15">
      <c r="A18" s="376"/>
      <c r="B18" s="577"/>
      <c r="C18" s="395"/>
      <c r="D18" s="396"/>
      <c r="E18" s="1893"/>
      <c r="F18" s="396"/>
      <c r="G18" s="1893"/>
      <c r="H18" s="396"/>
      <c r="I18" s="1892"/>
      <c r="J18" s="396"/>
      <c r="K18" s="617"/>
      <c r="L18" s="2714"/>
      <c r="M18" s="2708"/>
      <c r="N18" s="2708"/>
      <c r="O18" s="2766"/>
      <c r="P18" s="3753"/>
      <c r="Q18" s="1348"/>
      <c r="R18" s="701"/>
      <c r="S18" s="702"/>
      <c r="T18" s="701"/>
      <c r="U18" s="702"/>
      <c r="V18" s="701"/>
      <c r="W18" s="702"/>
      <c r="X18" s="1351"/>
      <c r="Y18" s="3753"/>
      <c r="Z18" s="1352"/>
      <c r="AA18" s="1349">
        <v>1</v>
      </c>
      <c r="AB18" s="1349">
        <v>1</v>
      </c>
      <c r="AC18" s="1349">
        <v>1</v>
      </c>
    </row>
    <row r="19" spans="1:29" ht="15">
      <c r="A19" s="376"/>
      <c r="B19" s="576" t="s">
        <v>1871</v>
      </c>
      <c r="C19" s="1895">
        <f>估价对象房地状况!G17</f>
        <v>0</v>
      </c>
      <c r="D19" s="398">
        <v>100</v>
      </c>
      <c r="E19" s="400"/>
      <c r="F19" s="403">
        <f>SUMIF(87:87,E20,88:88)-SUMIF(87:87,C20,88:88)+100</f>
        <v>100</v>
      </c>
      <c r="G19" s="400"/>
      <c r="H19" s="403">
        <f>SUMIF(87:87,G20,88:88)-SUMIF(87:87,C20,88:88)+100</f>
        <v>100</v>
      </c>
      <c r="I19" s="400"/>
      <c r="J19" s="403">
        <f>SUMIF(87:87,I20,88:88)-SUMIF(87:87,C20,88:88)+100</f>
        <v>100</v>
      </c>
      <c r="K19" s="618"/>
      <c r="L19" s="2714"/>
      <c r="M19" s="2708"/>
      <c r="N19" s="2708"/>
      <c r="O19" s="2766"/>
      <c r="P19" s="3753"/>
      <c r="Q19" s="1348" t="str">
        <f t="shared" ref="Q19:Q33" si="8">B19</f>
        <v>区域土地利用方向</v>
      </c>
      <c r="R19" s="701" t="s">
        <v>14</v>
      </c>
      <c r="S19" s="702">
        <f>F19</f>
        <v>100</v>
      </c>
      <c r="T19" s="701" t="s">
        <v>14</v>
      </c>
      <c r="U19" s="702">
        <f>H19</f>
        <v>100</v>
      </c>
      <c r="V19" s="701" t="s">
        <v>14</v>
      </c>
      <c r="W19" s="702">
        <f>J19</f>
        <v>100</v>
      </c>
      <c r="X19" s="1351"/>
      <c r="Y19" s="3753"/>
      <c r="Z19" s="1352" t="str">
        <f>Q19</f>
        <v>区域土地利用方向</v>
      </c>
      <c r="AA19" s="1349">
        <f t="shared" si="3"/>
        <v>1</v>
      </c>
      <c r="AB19" s="1349">
        <f t="shared" si="4"/>
        <v>1</v>
      </c>
      <c r="AC19" s="1349">
        <f t="shared" si="5"/>
        <v>1</v>
      </c>
    </row>
    <row r="20" spans="1:29" ht="15">
      <c r="A20" s="355"/>
      <c r="B20" s="577"/>
      <c r="C20" s="395"/>
      <c r="D20" s="396"/>
      <c r="E20" s="1893"/>
      <c r="F20" s="396"/>
      <c r="G20" s="1893"/>
      <c r="H20" s="396"/>
      <c r="I20" s="1893"/>
      <c r="J20" s="396"/>
      <c r="K20" s="736"/>
      <c r="L20" s="2714"/>
      <c r="M20" s="2708"/>
      <c r="N20" s="2708"/>
      <c r="O20" s="2766"/>
      <c r="P20" s="3753"/>
      <c r="Q20" s="1348"/>
      <c r="R20" s="701"/>
      <c r="S20" s="702"/>
      <c r="T20" s="701"/>
      <c r="U20" s="702"/>
      <c r="V20" s="701"/>
      <c r="W20" s="702"/>
      <c r="X20" s="1351"/>
      <c r="Y20" s="3753"/>
      <c r="Z20" s="1352"/>
      <c r="AA20" s="1349"/>
      <c r="AB20" s="1349"/>
      <c r="AC20" s="1349"/>
    </row>
    <row r="21" spans="1:29" ht="71.25">
      <c r="A21" s="355"/>
      <c r="B21" s="576" t="s">
        <v>1921</v>
      </c>
      <c r="C21" s="1895" t="str">
        <f>估价对象房地状况!G18</f>
        <v>该园区内是否有污染型企业，绿化情况，卫生条件，整体环境状况判断</v>
      </c>
      <c r="D21" s="398">
        <v>100</v>
      </c>
      <c r="E21" s="400"/>
      <c r="F21" s="398">
        <f>SUMIF(89:89,E22,90:90)-SUMIF(89:89,C22,90:90)+100</f>
        <v>100</v>
      </c>
      <c r="G21" s="400"/>
      <c r="H21" s="398">
        <f>SUMIF(89:89,G22,90:90)-SUMIF(89:89,C22,90:90)+100</f>
        <v>100</v>
      </c>
      <c r="I21" s="402"/>
      <c r="J21" s="398">
        <f>SUMIF(89:89,I22,90:90)-SUMIF(89:89,C22,90:90)+100</f>
        <v>100</v>
      </c>
      <c r="K21" s="618"/>
      <c r="L21" s="2714"/>
      <c r="M21" s="2708"/>
      <c r="N21" s="2708"/>
      <c r="O21" s="2766"/>
      <c r="P21" s="3753"/>
      <c r="Q21" s="1348" t="str">
        <f t="shared" si="8"/>
        <v>环境状况</v>
      </c>
      <c r="R21" s="701" t="s">
        <v>14</v>
      </c>
      <c r="S21" s="702">
        <f>F21</f>
        <v>100</v>
      </c>
      <c r="T21" s="701" t="s">
        <v>14</v>
      </c>
      <c r="U21" s="702">
        <f>H21</f>
        <v>100</v>
      </c>
      <c r="V21" s="701" t="s">
        <v>14</v>
      </c>
      <c r="W21" s="702">
        <f>J21</f>
        <v>100</v>
      </c>
      <c r="X21" s="1351"/>
      <c r="Y21" s="3753"/>
      <c r="Z21" s="1352" t="str">
        <f>Q21</f>
        <v>环境状况</v>
      </c>
      <c r="AA21" s="1349">
        <f t="shared" si="3"/>
        <v>1</v>
      </c>
      <c r="AB21" s="1349">
        <f t="shared" si="4"/>
        <v>1</v>
      </c>
      <c r="AC21" s="1349">
        <f t="shared" si="5"/>
        <v>1</v>
      </c>
    </row>
    <row r="22" spans="1:29" ht="15">
      <c r="A22" s="355"/>
      <c r="B22" s="577"/>
      <c r="C22" s="395"/>
      <c r="D22" s="396"/>
      <c r="E22" s="1899"/>
      <c r="F22" s="396"/>
      <c r="G22" s="1899"/>
      <c r="H22" s="396"/>
      <c r="I22" s="395"/>
      <c r="J22" s="396"/>
      <c r="K22" s="617"/>
      <c r="L22" s="2714"/>
      <c r="M22" s="2708"/>
      <c r="N22" s="2708"/>
      <c r="O22" s="2766"/>
      <c r="P22" s="3753"/>
      <c r="Q22" s="1348"/>
      <c r="R22" s="701"/>
      <c r="S22" s="702"/>
      <c r="T22" s="701"/>
      <c r="U22" s="702"/>
      <c r="V22" s="701"/>
      <c r="W22" s="702"/>
      <c r="X22" s="1351"/>
      <c r="Y22" s="3753"/>
      <c r="Z22" s="1352"/>
      <c r="AA22" s="1349">
        <v>1</v>
      </c>
      <c r="AB22" s="1349">
        <v>1</v>
      </c>
      <c r="AC22" s="1349">
        <v>1</v>
      </c>
    </row>
    <row r="23" spans="1:29" s="108" customFormat="1" ht="42.75">
      <c r="A23" s="594"/>
      <c r="B23" s="578" t="s">
        <v>1778</v>
      </c>
      <c r="C23" s="1895" t="str">
        <f>估价对象房地状况!G19</f>
        <v>估价对象所在区域公共配套设施齐备情况</v>
      </c>
      <c r="D23" s="398">
        <v>100</v>
      </c>
      <c r="E23" s="400"/>
      <c r="F23" s="398">
        <f>SUMIF(91:91,E24,92:92)-SUMIF(91:91,C24,92:92)+100</f>
        <v>100</v>
      </c>
      <c r="G23" s="400"/>
      <c r="H23" s="398">
        <f>SUMIF(91:91,G24,92:92)-SUMIF(91:91,C24,92:92)+100</f>
        <v>100</v>
      </c>
      <c r="I23" s="402"/>
      <c r="J23" s="398">
        <f>SUMIF(91:91,I24,92:92)-SUMIF(91:91,C24,92:92)+100</f>
        <v>100</v>
      </c>
      <c r="K23" s="618"/>
      <c r="L23" s="2709"/>
      <c r="M23" s="2710"/>
      <c r="N23" s="2710"/>
      <c r="O23" s="2764"/>
      <c r="P23" s="3753"/>
      <c r="Q23" s="1339" t="str">
        <f t="shared" si="8"/>
        <v>公共配套设施</v>
      </c>
      <c r="R23" s="697" t="s">
        <v>14</v>
      </c>
      <c r="S23" s="698">
        <f>F23</f>
        <v>100</v>
      </c>
      <c r="T23" s="697" t="s">
        <v>14</v>
      </c>
      <c r="U23" s="698">
        <f>H23</f>
        <v>100</v>
      </c>
      <c r="V23" s="697" t="s">
        <v>14</v>
      </c>
      <c r="W23" s="698">
        <f>J23</f>
        <v>100</v>
      </c>
      <c r="X23" s="699"/>
      <c r="Y23" s="3753"/>
      <c r="Z23" s="52" t="str">
        <f>Q23</f>
        <v>公共配套设施</v>
      </c>
      <c r="AA23" s="1349">
        <f>D23/F23</f>
        <v>1</v>
      </c>
      <c r="AB23" s="1349">
        <f>D23/H23</f>
        <v>1</v>
      </c>
      <c r="AC23" s="1349">
        <f>D23/J23</f>
        <v>1</v>
      </c>
    </row>
    <row r="24" spans="1:29" s="108" customFormat="1" ht="15">
      <c r="A24" s="594"/>
      <c r="B24" s="577"/>
      <c r="C24" s="1971"/>
      <c r="D24" s="396"/>
      <c r="E24" s="1899"/>
      <c r="F24" s="396"/>
      <c r="G24" s="1899"/>
      <c r="H24" s="396"/>
      <c r="I24" s="395"/>
      <c r="J24" s="396"/>
      <c r="K24" s="617"/>
      <c r="L24" s="2709"/>
      <c r="M24" s="2710"/>
      <c r="N24" s="2710"/>
      <c r="O24" s="2764"/>
      <c r="P24" s="3753"/>
      <c r="Q24" s="1339"/>
      <c r="R24" s="697"/>
      <c r="S24" s="698"/>
      <c r="T24" s="697"/>
      <c r="U24" s="698"/>
      <c r="V24" s="697"/>
      <c r="W24" s="698"/>
      <c r="X24" s="699"/>
      <c r="Y24" s="3753"/>
      <c r="Z24" s="52"/>
      <c r="AA24" s="700">
        <v>1</v>
      </c>
      <c r="AB24" s="700">
        <v>1</v>
      </c>
      <c r="AC24" s="700">
        <v>1</v>
      </c>
    </row>
    <row r="25" spans="1:29" s="108" customFormat="1" ht="28.5">
      <c r="A25" s="594"/>
      <c r="B25" s="578" t="s">
        <v>1779</v>
      </c>
      <c r="C25" s="1895" t="str">
        <f>估价对象房地状况!G20</f>
        <v>估价对象所在区域基础设施水平</v>
      </c>
      <c r="D25" s="398">
        <v>100</v>
      </c>
      <c r="E25" s="400"/>
      <c r="F25" s="398">
        <f>SUMIF(93:93,E26,94:94)-SUMIF(93:93,C26,94:94)+100</f>
        <v>100</v>
      </c>
      <c r="G25" s="400"/>
      <c r="H25" s="398">
        <f>SUMIF(93:93,G26,94:94)-SUMIF(93:93,C26,94:94)+100</f>
        <v>100</v>
      </c>
      <c r="I25" s="402"/>
      <c r="J25" s="398">
        <f>SUMIF(93:93,I26,94:94)-SUMIF(93:93,C26,94:94)+100</f>
        <v>100</v>
      </c>
      <c r="K25" s="618"/>
      <c r="L25" s="2709"/>
      <c r="M25" s="2710"/>
      <c r="N25" s="2710"/>
      <c r="O25" s="2764"/>
      <c r="P25" s="3753"/>
      <c r="Q25" s="1339" t="str">
        <f t="shared" ref="Q25" si="9">B25</f>
        <v>基础设施水平</v>
      </c>
      <c r="R25" s="697" t="s">
        <v>14</v>
      </c>
      <c r="S25" s="698">
        <f>F25</f>
        <v>100</v>
      </c>
      <c r="T25" s="697" t="s">
        <v>14</v>
      </c>
      <c r="U25" s="698">
        <f>H25</f>
        <v>100</v>
      </c>
      <c r="V25" s="697" t="s">
        <v>14</v>
      </c>
      <c r="W25" s="698">
        <f>J25</f>
        <v>100</v>
      </c>
      <c r="X25" s="699"/>
      <c r="Y25" s="3753"/>
      <c r="Z25" s="52" t="str">
        <f>Q25</f>
        <v>基础设施水平</v>
      </c>
      <c r="AA25" s="1349">
        <f>D25/F25</f>
        <v>1</v>
      </c>
      <c r="AB25" s="1349">
        <f>D25/H25</f>
        <v>1</v>
      </c>
      <c r="AC25" s="1349">
        <f>D25/J25</f>
        <v>1</v>
      </c>
    </row>
    <row r="26" spans="1:29" s="108" customFormat="1" ht="15">
      <c r="A26" s="594"/>
      <c r="B26" s="577"/>
      <c r="C26" s="1971"/>
      <c r="D26" s="396"/>
      <c r="E26" s="1972"/>
      <c r="F26" s="396"/>
      <c r="G26" s="1972"/>
      <c r="H26" s="396"/>
      <c r="I26" s="1972"/>
      <c r="J26" s="396"/>
      <c r="K26" s="617"/>
      <c r="L26" s="2709"/>
      <c r="M26" s="2710"/>
      <c r="N26" s="2710"/>
      <c r="O26" s="2764"/>
      <c r="P26" s="3753"/>
      <c r="Q26" s="1339"/>
      <c r="R26" s="697"/>
      <c r="S26" s="698"/>
      <c r="T26" s="697"/>
      <c r="U26" s="698"/>
      <c r="V26" s="697"/>
      <c r="W26" s="698"/>
      <c r="X26" s="699"/>
      <c r="Y26" s="3753"/>
      <c r="Z26" s="52"/>
      <c r="AA26" s="700">
        <v>1</v>
      </c>
      <c r="AB26" s="700">
        <v>1</v>
      </c>
      <c r="AC26" s="700">
        <v>1</v>
      </c>
    </row>
    <row r="27" spans="1:29" ht="15">
      <c r="A27" s="376"/>
      <c r="B27" s="577" t="s">
        <v>1780</v>
      </c>
      <c r="C27" s="562"/>
      <c r="D27" s="383">
        <v>100</v>
      </c>
      <c r="E27" s="579"/>
      <c r="F27" s="383">
        <f>SUMIF(95:95,E27,96:96)-SUMIF(95:95,C27,96:96)+100</f>
        <v>100</v>
      </c>
      <c r="G27" s="579"/>
      <c r="H27" s="383">
        <f>SUMIF(95:95,G27,96:96)-SUMIF(95:95,C27,96:96)+100</f>
        <v>100</v>
      </c>
      <c r="I27" s="579"/>
      <c r="J27" s="383">
        <f>SUMIF(95:95,I27,96:96)-SUMIF(95:95,C27,96:96)+100</f>
        <v>100</v>
      </c>
      <c r="K27" s="618"/>
      <c r="L27" s="2714"/>
      <c r="M27" s="2708"/>
      <c r="N27" s="2708"/>
      <c r="O27" s="2766"/>
      <c r="P27" s="3753"/>
      <c r="Q27" s="1348" t="str">
        <f t="shared" si="8"/>
        <v>临街状况</v>
      </c>
      <c r="R27" s="701" t="s">
        <v>14</v>
      </c>
      <c r="S27" s="702">
        <f t="shared" ref="S27:S40" si="10">F27</f>
        <v>100</v>
      </c>
      <c r="T27" s="701" t="s">
        <v>14</v>
      </c>
      <c r="U27" s="702">
        <f t="shared" ref="U27:U40" si="11">H27</f>
        <v>100</v>
      </c>
      <c r="V27" s="701" t="s">
        <v>14</v>
      </c>
      <c r="W27" s="702">
        <f t="shared" ref="W27:W40" si="12">J27</f>
        <v>100</v>
      </c>
      <c r="X27" s="1351"/>
      <c r="Y27" s="3753"/>
      <c r="Z27" s="1352" t="str">
        <f t="shared" ref="Z27:Z40" si="13">Q27</f>
        <v>临街状况</v>
      </c>
      <c r="AA27" s="1349">
        <f t="shared" si="3"/>
        <v>1</v>
      </c>
      <c r="AB27" s="1349">
        <f t="shared" si="4"/>
        <v>1</v>
      </c>
      <c r="AC27" s="1349">
        <f t="shared" si="5"/>
        <v>1</v>
      </c>
    </row>
    <row r="28" spans="1:29" ht="27">
      <c r="A28" s="376"/>
      <c r="B28" s="578" t="s">
        <v>1815</v>
      </c>
      <c r="C28" s="1984">
        <f>估价对象房地状况!G22</f>
        <v>0</v>
      </c>
      <c r="D28" s="398">
        <v>100</v>
      </c>
      <c r="E28" s="400"/>
      <c r="F28" s="398">
        <f>SUMIF(97:97,E29,98:98)-SUMIF(97:97,C29,98:98)+100</f>
        <v>100</v>
      </c>
      <c r="G28" s="400"/>
      <c r="H28" s="398">
        <f>SUMIF(97:97,G29,98:98)-SUMIF(97:97,C29,98:98)+100</f>
        <v>100</v>
      </c>
      <c r="I28" s="402"/>
      <c r="J28" s="398">
        <f>SUMIF(97:97,I29,98:98)-SUMIF(97:97,C29,98:98)+100</f>
        <v>100</v>
      </c>
      <c r="K28" s="618"/>
      <c r="L28" s="2714"/>
      <c r="M28" s="2708"/>
      <c r="N28" s="2708"/>
      <c r="O28" s="2766"/>
      <c r="P28" s="3753"/>
      <c r="Q28" s="1348" t="str">
        <f t="shared" si="8"/>
        <v>毗邻道路的类型与等级</v>
      </c>
      <c r="R28" s="701" t="s">
        <v>14</v>
      </c>
      <c r="S28" s="702">
        <f t="shared" si="10"/>
        <v>100</v>
      </c>
      <c r="T28" s="701" t="s">
        <v>14</v>
      </c>
      <c r="U28" s="702">
        <f t="shared" si="11"/>
        <v>100</v>
      </c>
      <c r="V28" s="701" t="s">
        <v>14</v>
      </c>
      <c r="W28" s="702">
        <f t="shared" si="12"/>
        <v>100</v>
      </c>
      <c r="X28" s="1351"/>
      <c r="Y28" s="3753"/>
      <c r="Z28" s="1352" t="str">
        <f t="shared" si="13"/>
        <v>毗邻道路的类型与等级</v>
      </c>
      <c r="AA28" s="1349">
        <f t="shared" si="3"/>
        <v>1</v>
      </c>
      <c r="AB28" s="1349">
        <f t="shared" si="4"/>
        <v>1</v>
      </c>
      <c r="AC28" s="1349">
        <f t="shared" si="5"/>
        <v>1</v>
      </c>
    </row>
    <row r="29" spans="1:29" ht="15">
      <c r="A29" s="376"/>
      <c r="B29" s="577"/>
      <c r="C29" s="395"/>
      <c r="D29" s="396"/>
      <c r="E29" s="1899"/>
      <c r="F29" s="396"/>
      <c r="G29" s="1899"/>
      <c r="H29" s="396"/>
      <c r="I29" s="1899"/>
      <c r="J29" s="396"/>
      <c r="K29" s="559"/>
      <c r="L29" s="2714"/>
      <c r="M29" s="2708"/>
      <c r="N29" s="2708"/>
      <c r="O29" s="2766"/>
      <c r="P29" s="3753"/>
      <c r="Q29" s="1348"/>
      <c r="R29" s="701"/>
      <c r="S29" s="702"/>
      <c r="T29" s="701"/>
      <c r="U29" s="702"/>
      <c r="V29" s="701"/>
      <c r="W29" s="702"/>
      <c r="X29" s="1351"/>
      <c r="Y29" s="3753"/>
      <c r="Z29" s="1352"/>
      <c r="AA29" s="1349">
        <v>1</v>
      </c>
      <c r="AB29" s="1349">
        <v>1</v>
      </c>
      <c r="AC29" s="1349">
        <v>1</v>
      </c>
    </row>
    <row r="30" spans="1:29" ht="15">
      <c r="A30" s="376"/>
      <c r="B30" s="599" t="s">
        <v>1873</v>
      </c>
      <c r="C30" s="1132">
        <f>估价对象房地状况!G23</f>
        <v>0</v>
      </c>
      <c r="D30" s="383">
        <v>100</v>
      </c>
      <c r="E30" s="579"/>
      <c r="F30" s="383">
        <f>SUMIF(99:99,E30,100:100)-SUMIF(99:99,C30,100:100)+100</f>
        <v>100</v>
      </c>
      <c r="G30" s="579"/>
      <c r="H30" s="383">
        <f>SUMIF(99:99,G30,100:100)-SUMIF(99:99,C30,100:100)+100</f>
        <v>100</v>
      </c>
      <c r="I30" s="579"/>
      <c r="J30" s="383">
        <f>SUMIF(99:99,I30,100:100)-SUMIF(99:99,C30,100:100)+100</f>
        <v>100</v>
      </c>
      <c r="K30" s="558"/>
      <c r="L30" s="2714"/>
      <c r="M30" s="2708"/>
      <c r="N30" s="2708"/>
      <c r="O30" s="2766"/>
      <c r="P30" s="3753"/>
      <c r="Q30" s="1348" t="str">
        <f t="shared" si="8"/>
        <v>土地级别</v>
      </c>
      <c r="R30" s="701" t="s">
        <v>14</v>
      </c>
      <c r="S30" s="702">
        <f t="shared" si="10"/>
        <v>100</v>
      </c>
      <c r="T30" s="701" t="s">
        <v>14</v>
      </c>
      <c r="U30" s="702">
        <f t="shared" si="11"/>
        <v>100</v>
      </c>
      <c r="V30" s="701" t="s">
        <v>14</v>
      </c>
      <c r="W30" s="702">
        <f t="shared" si="12"/>
        <v>100</v>
      </c>
      <c r="X30" s="1351"/>
      <c r="Y30" s="3753"/>
      <c r="Z30" s="1352" t="str">
        <f t="shared" si="13"/>
        <v>土地级别</v>
      </c>
      <c r="AA30" s="1349">
        <f t="shared" si="3"/>
        <v>1</v>
      </c>
      <c r="AB30" s="1349">
        <f t="shared" si="4"/>
        <v>1</v>
      </c>
      <c r="AC30" s="1349">
        <f t="shared" si="5"/>
        <v>1</v>
      </c>
    </row>
    <row r="31" spans="1:29" ht="15">
      <c r="A31" s="355"/>
      <c r="B31" s="1959">
        <v>111</v>
      </c>
      <c r="C31" s="619"/>
      <c r="D31" s="383">
        <v>100</v>
      </c>
      <c r="E31" s="425"/>
      <c r="F31" s="383">
        <f>SUMIF(101:101,E31,102:102)-SUMIF(101:101,C31,102:102)+100</f>
        <v>100</v>
      </c>
      <c r="G31" s="425"/>
      <c r="H31" s="383">
        <f>SUMIF(101:101,G31,102:102)-SUMIF(101:101,C31,102:102)+100</f>
        <v>100</v>
      </c>
      <c r="I31" s="495"/>
      <c r="J31" s="383">
        <f>SUMIF(101:101,I31,102:102)-SUMIF(101:101,C31,102:102)+100</f>
        <v>100</v>
      </c>
      <c r="K31" s="559"/>
      <c r="L31" s="2714"/>
      <c r="M31" s="2708"/>
      <c r="N31" s="2708"/>
      <c r="O31" s="2766"/>
      <c r="P31" s="3753"/>
      <c r="Q31" s="1348">
        <f t="shared" si="8"/>
        <v>111</v>
      </c>
      <c r="R31" s="701" t="s">
        <v>14</v>
      </c>
      <c r="S31" s="702">
        <f t="shared" si="10"/>
        <v>100</v>
      </c>
      <c r="T31" s="701" t="s">
        <v>14</v>
      </c>
      <c r="U31" s="702">
        <f t="shared" si="11"/>
        <v>100</v>
      </c>
      <c r="V31" s="701" t="s">
        <v>14</v>
      </c>
      <c r="W31" s="702">
        <f t="shared" si="12"/>
        <v>100</v>
      </c>
      <c r="X31" s="1351"/>
      <c r="Y31" s="3753"/>
      <c r="Z31" s="1352">
        <f t="shared" si="13"/>
        <v>111</v>
      </c>
      <c r="AA31" s="1349">
        <f t="shared" si="3"/>
        <v>1</v>
      </c>
      <c r="AB31" s="1349">
        <f t="shared" si="4"/>
        <v>1</v>
      </c>
      <c r="AC31" s="1349">
        <f t="shared" si="5"/>
        <v>1</v>
      </c>
    </row>
    <row r="32" spans="1:29" ht="15">
      <c r="A32" s="620"/>
      <c r="B32" s="1985">
        <v>111</v>
      </c>
      <c r="C32" s="619"/>
      <c r="D32" s="383">
        <v>100</v>
      </c>
      <c r="E32" s="425"/>
      <c r="F32" s="383">
        <f>SUMIF(103:103,E33,104:104)-SUMIF(103:103,C33,104:104)+100</f>
        <v>100</v>
      </c>
      <c r="G32" s="425"/>
      <c r="H32" s="383">
        <f>SUMIF(103:103,G32,104:104)-SUMIF(103:103,C32,104:104)+100</f>
        <v>100</v>
      </c>
      <c r="I32" s="619"/>
      <c r="J32" s="383">
        <f>SUMIF(103:103,I32,104:104)-SUMIF(103:103,C32,104:104)+100</f>
        <v>100</v>
      </c>
      <c r="K32" s="559"/>
      <c r="L32" s="2714"/>
      <c r="M32" s="2708"/>
      <c r="N32" s="2708"/>
      <c r="O32" s="2766"/>
      <c r="P32" s="3754" t="s">
        <v>1696</v>
      </c>
      <c r="Q32" s="1348">
        <f t="shared" si="8"/>
        <v>111</v>
      </c>
      <c r="R32" s="701" t="s">
        <v>14</v>
      </c>
      <c r="S32" s="702">
        <f t="shared" si="10"/>
        <v>100</v>
      </c>
      <c r="T32" s="701" t="s">
        <v>14</v>
      </c>
      <c r="U32" s="702">
        <f t="shared" si="11"/>
        <v>100</v>
      </c>
      <c r="V32" s="701" t="s">
        <v>14</v>
      </c>
      <c r="W32" s="702">
        <f t="shared" si="12"/>
        <v>100</v>
      </c>
      <c r="X32" s="1351"/>
      <c r="Y32" s="3755" t="s">
        <v>1696</v>
      </c>
      <c r="Z32" s="1352">
        <f t="shared" si="13"/>
        <v>111</v>
      </c>
      <c r="AA32" s="1349">
        <f t="shared" si="3"/>
        <v>1</v>
      </c>
      <c r="AB32" s="1349">
        <f t="shared" si="4"/>
        <v>1</v>
      </c>
      <c r="AC32" s="1349">
        <f t="shared" si="5"/>
        <v>1</v>
      </c>
    </row>
    <row r="33" spans="1:31" s="419" customFormat="1" ht="15.75" thickBot="1">
      <c r="A33" s="621"/>
      <c r="B33" s="1986">
        <v>111</v>
      </c>
      <c r="C33" s="623"/>
      <c r="D33" s="126">
        <v>100</v>
      </c>
      <c r="E33" s="646"/>
      <c r="F33" s="386">
        <f>SUMIF(105:105,E33,106:106)-SUMIF(105:105,C33,106:106)+100</f>
        <v>100</v>
      </c>
      <c r="G33" s="646"/>
      <c r="H33" s="386">
        <f>SUMIF(105:105,G33,106:106)-SUMIF(105:105,C33,106:106)+100</f>
        <v>100</v>
      </c>
      <c r="I33" s="623"/>
      <c r="J33" s="386">
        <f>SUMIF(105:105,I33,106:106)-SUMIF(105:105,C33,106:106)+100</f>
        <v>100</v>
      </c>
      <c r="K33" s="559"/>
      <c r="L33" s="2713"/>
      <c r="M33" s="2715"/>
      <c r="N33" s="2715"/>
      <c r="O33" s="2767"/>
      <c r="P33" s="3755"/>
      <c r="Q33" s="1348">
        <f t="shared" si="8"/>
        <v>111</v>
      </c>
      <c r="R33" s="704" t="s">
        <v>14</v>
      </c>
      <c r="S33" s="705">
        <f t="shared" si="10"/>
        <v>100</v>
      </c>
      <c r="T33" s="704" t="s">
        <v>14</v>
      </c>
      <c r="U33" s="705">
        <f t="shared" si="11"/>
        <v>100</v>
      </c>
      <c r="V33" s="704" t="s">
        <v>14</v>
      </c>
      <c r="W33" s="705">
        <f t="shared" si="12"/>
        <v>100</v>
      </c>
      <c r="X33" s="706"/>
      <c r="Y33" s="3755"/>
      <c r="Z33" s="707">
        <f t="shared" si="13"/>
        <v>111</v>
      </c>
      <c r="AA33" s="1349">
        <f t="shared" si="3"/>
        <v>1</v>
      </c>
      <c r="AB33" s="1349">
        <f t="shared" si="4"/>
        <v>1</v>
      </c>
      <c r="AC33" s="1349">
        <f t="shared" si="5"/>
        <v>1</v>
      </c>
    </row>
    <row r="34" spans="1:31" ht="15">
      <c r="A34" s="388" t="s">
        <v>1694</v>
      </c>
      <c r="B34" s="404" t="s">
        <v>1874</v>
      </c>
      <c r="C34" s="624"/>
      <c r="D34" s="415">
        <v>100</v>
      </c>
      <c r="E34" s="624"/>
      <c r="F34" s="415" t="e">
        <f>LOOKUP(E34,108:108,109:109)-LOOKUP(C34,108:108,109:109)+100</f>
        <v>#N/A</v>
      </c>
      <c r="G34" s="624"/>
      <c r="H34" s="415" t="e">
        <f>LOOKUP(G34,108:108,109:109)-LOOKUP(C34,108:108,109:109)+100</f>
        <v>#N/A</v>
      </c>
      <c r="I34" s="476"/>
      <c r="J34" s="415" t="e">
        <f>LOOKUP(I34,108:108,109:109)-LOOKUP(C34,108:108,109:109)+100</f>
        <v>#N/A</v>
      </c>
      <c r="K34" s="559"/>
      <c r="L34" s="2714"/>
      <c r="M34" s="2708"/>
      <c r="N34" s="2708"/>
      <c r="O34" s="2766"/>
      <c r="P34" s="3755"/>
      <c r="Q34" s="1348" t="str">
        <f>B34</f>
        <v>宗地面积</v>
      </c>
      <c r="R34" s="701" t="s">
        <v>14</v>
      </c>
      <c r="S34" s="702" t="e">
        <f t="shared" si="10"/>
        <v>#N/A</v>
      </c>
      <c r="T34" s="701" t="s">
        <v>14</v>
      </c>
      <c r="U34" s="702" t="e">
        <f t="shared" si="11"/>
        <v>#N/A</v>
      </c>
      <c r="V34" s="701" t="s">
        <v>14</v>
      </c>
      <c r="W34" s="702" t="e">
        <f t="shared" si="12"/>
        <v>#N/A</v>
      </c>
      <c r="X34" s="1351"/>
      <c r="Y34" s="3755"/>
      <c r="Z34" s="1352" t="str">
        <f t="shared" si="13"/>
        <v>宗地面积</v>
      </c>
      <c r="AA34" s="1349" t="e">
        <f t="shared" si="3"/>
        <v>#N/A</v>
      </c>
      <c r="AB34" s="1349" t="e">
        <f t="shared" si="4"/>
        <v>#N/A</v>
      </c>
      <c r="AC34" s="1349" t="e">
        <f t="shared" si="5"/>
        <v>#N/A</v>
      </c>
    </row>
    <row r="35" spans="1:31" ht="15">
      <c r="A35" s="420"/>
      <c r="B35" s="372" t="s">
        <v>1875</v>
      </c>
      <c r="C35" s="1901"/>
      <c r="D35" s="383">
        <v>100</v>
      </c>
      <c r="E35" s="1901"/>
      <c r="F35" s="383">
        <f>SUMIF(110:110,E35,111:111)-SUMIF(110:110,C35,111:111)+100</f>
        <v>100</v>
      </c>
      <c r="G35" s="1901"/>
      <c r="H35" s="383">
        <f>SUMIF(110:110,G35,111:111)-SUMIF(110:110,C35,111:111)+100</f>
        <v>100</v>
      </c>
      <c r="I35" s="1901"/>
      <c r="J35" s="383">
        <f>SUMIF(110:110,I35,111:111)-SUMIF(110:110,C35,111:111)+100</f>
        <v>100</v>
      </c>
      <c r="K35" s="558"/>
      <c r="L35" s="2714"/>
      <c r="M35" s="2708"/>
      <c r="N35" s="2708"/>
      <c r="O35" s="2766"/>
      <c r="P35" s="3755"/>
      <c r="Q35" s="1348" t="str">
        <f t="shared" ref="Q35:Q40" si="14">B35</f>
        <v>宗地形状</v>
      </c>
      <c r="R35" s="701" t="s">
        <v>14</v>
      </c>
      <c r="S35" s="702">
        <f t="shared" si="10"/>
        <v>100</v>
      </c>
      <c r="T35" s="701" t="s">
        <v>14</v>
      </c>
      <c r="U35" s="702">
        <f t="shared" si="11"/>
        <v>100</v>
      </c>
      <c r="V35" s="701" t="s">
        <v>14</v>
      </c>
      <c r="W35" s="702">
        <f t="shared" si="12"/>
        <v>100</v>
      </c>
      <c r="X35" s="1351"/>
      <c r="Y35" s="3755"/>
      <c r="Z35" s="1352" t="str">
        <f t="shared" si="13"/>
        <v>宗地形状</v>
      </c>
      <c r="AA35" s="1349">
        <f t="shared" si="3"/>
        <v>1</v>
      </c>
      <c r="AB35" s="1349">
        <f t="shared" si="4"/>
        <v>1</v>
      </c>
      <c r="AC35" s="1349">
        <f t="shared" si="5"/>
        <v>1</v>
      </c>
    </row>
    <row r="36" spans="1:31" s="108" customFormat="1" ht="15">
      <c r="A36" s="421"/>
      <c r="B36" s="372" t="s">
        <v>1877</v>
      </c>
      <c r="C36" s="1973"/>
      <c r="D36" s="125">
        <v>100</v>
      </c>
      <c r="E36" s="1973"/>
      <c r="F36" s="383">
        <f>SUMIF(112:112,E36,113:113)-SUMIF(112:112,C36,113:113)+100</f>
        <v>100</v>
      </c>
      <c r="G36" s="1973"/>
      <c r="H36" s="383">
        <f>SUMIF(112:112,G36,113:113)-SUMIF(112:112,C36,113:113)+100</f>
        <v>100</v>
      </c>
      <c r="I36" s="1973"/>
      <c r="J36" s="383">
        <f>SUMIF(112:112,I36,113:113)-SUMIF(112:112,C36,113:113)+100</f>
        <v>100</v>
      </c>
      <c r="K36" s="558"/>
      <c r="L36" s="2709"/>
      <c r="M36" s="2710"/>
      <c r="N36" s="2710"/>
      <c r="O36" s="2764"/>
      <c r="P36" s="3755"/>
      <c r="Q36" s="1348" t="str">
        <f t="shared" si="14"/>
        <v>宗地开发程度</v>
      </c>
      <c r="R36" s="697" t="s">
        <v>14</v>
      </c>
      <c r="S36" s="698">
        <f t="shared" si="10"/>
        <v>100</v>
      </c>
      <c r="T36" s="697" t="s">
        <v>14</v>
      </c>
      <c r="U36" s="698">
        <f t="shared" si="11"/>
        <v>100</v>
      </c>
      <c r="V36" s="697" t="s">
        <v>14</v>
      </c>
      <c r="W36" s="698">
        <f t="shared" si="12"/>
        <v>100</v>
      </c>
      <c r="X36" s="699"/>
      <c r="Y36" s="3755"/>
      <c r="Z36" s="52" t="str">
        <f t="shared" si="13"/>
        <v>宗地开发程度</v>
      </c>
      <c r="AA36" s="700">
        <f t="shared" si="3"/>
        <v>1</v>
      </c>
      <c r="AB36" s="700">
        <f t="shared" si="4"/>
        <v>1</v>
      </c>
      <c r="AC36" s="700">
        <f t="shared" si="5"/>
        <v>1</v>
      </c>
    </row>
    <row r="37" spans="1:31" ht="15">
      <c r="A37" s="420"/>
      <c r="B37" s="372" t="s">
        <v>1878</v>
      </c>
      <c r="C37" s="1901"/>
      <c r="D37" s="383">
        <v>100</v>
      </c>
      <c r="E37" s="1901"/>
      <c r="F37" s="383">
        <f>SUMIF(114:114,E37,115:115)-SUMIF(114:114,C37,115:115)+100</f>
        <v>100</v>
      </c>
      <c r="G37" s="1901"/>
      <c r="H37" s="383">
        <f>SUMIF(114:114,G37,115:115)-SUMIF(114:114,C37,115:115)+100</f>
        <v>100</v>
      </c>
      <c r="I37" s="1901"/>
      <c r="J37" s="383">
        <f>SUMIF(114:114,I37,115:115)-SUMIF(114:114,C37,115:115)+100</f>
        <v>100</v>
      </c>
      <c r="K37" s="558"/>
      <c r="L37" s="2714"/>
      <c r="M37" s="2708"/>
      <c r="N37" s="2708"/>
      <c r="O37" s="2766"/>
      <c r="P37" s="3755" t="s">
        <v>1696</v>
      </c>
      <c r="Q37" s="1348" t="str">
        <f t="shared" si="14"/>
        <v>工程地质条件</v>
      </c>
      <c r="R37" s="701" t="s">
        <v>14</v>
      </c>
      <c r="S37" s="702">
        <f t="shared" si="10"/>
        <v>100</v>
      </c>
      <c r="T37" s="701" t="s">
        <v>14</v>
      </c>
      <c r="U37" s="702">
        <f t="shared" si="11"/>
        <v>100</v>
      </c>
      <c r="V37" s="701" t="s">
        <v>14</v>
      </c>
      <c r="W37" s="702">
        <f t="shared" si="12"/>
        <v>100</v>
      </c>
      <c r="X37" s="1351"/>
      <c r="Y37" s="3755" t="s">
        <v>1696</v>
      </c>
      <c r="Z37" s="1352" t="str">
        <f t="shared" si="13"/>
        <v>工程地质条件</v>
      </c>
      <c r="AA37" s="1349">
        <f t="shared" si="3"/>
        <v>1</v>
      </c>
      <c r="AB37" s="1349">
        <f t="shared" si="4"/>
        <v>1</v>
      </c>
      <c r="AC37" s="1349">
        <f t="shared" si="5"/>
        <v>1</v>
      </c>
    </row>
    <row r="38" spans="1:31" ht="15">
      <c r="A38" s="420"/>
      <c r="B38" s="1130">
        <v>111</v>
      </c>
      <c r="C38" s="619"/>
      <c r="D38" s="383">
        <v>100</v>
      </c>
      <c r="E38" s="619"/>
      <c r="F38" s="383">
        <f>SUMIF(116:116,E38,117:117)-SUMIF(116:116,C38,117:117)+100</f>
        <v>100</v>
      </c>
      <c r="G38" s="619"/>
      <c r="H38" s="383">
        <f>SUMIF(116:116,G38,117:117)-SUMIF(116:116,C38,117:117)+100</f>
        <v>100</v>
      </c>
      <c r="I38" s="495"/>
      <c r="J38" s="383">
        <f>SUMIF(116:116,I38,117:117)-SUMIF(116:116,C38,117:117)+100</f>
        <v>100</v>
      </c>
      <c r="K38" s="559"/>
      <c r="L38" s="2714"/>
      <c r="M38" s="2708"/>
      <c r="N38" s="2708"/>
      <c r="O38" s="2766"/>
      <c r="P38" s="3755"/>
      <c r="Q38" s="1348">
        <f t="shared" si="14"/>
        <v>111</v>
      </c>
      <c r="R38" s="701" t="s">
        <v>14</v>
      </c>
      <c r="S38" s="702">
        <f t="shared" si="10"/>
        <v>100</v>
      </c>
      <c r="T38" s="701" t="s">
        <v>14</v>
      </c>
      <c r="U38" s="702">
        <f t="shared" si="11"/>
        <v>100</v>
      </c>
      <c r="V38" s="701" t="s">
        <v>14</v>
      </c>
      <c r="W38" s="702">
        <f t="shared" si="12"/>
        <v>100</v>
      </c>
      <c r="X38" s="1351"/>
      <c r="Y38" s="3755"/>
      <c r="Z38" s="1352">
        <f t="shared" si="13"/>
        <v>111</v>
      </c>
      <c r="AA38" s="1349">
        <f t="shared" si="3"/>
        <v>1</v>
      </c>
      <c r="AB38" s="1349">
        <f t="shared" si="4"/>
        <v>1</v>
      </c>
      <c r="AC38" s="1349">
        <f t="shared" si="5"/>
        <v>1</v>
      </c>
    </row>
    <row r="39" spans="1:31" ht="15">
      <c r="A39" s="420"/>
      <c r="B39" s="1130">
        <v>111</v>
      </c>
      <c r="C39" s="619"/>
      <c r="D39" s="383">
        <v>100</v>
      </c>
      <c r="E39" s="619"/>
      <c r="F39" s="383">
        <f>SUMIF(118:118,E39,119:119)-SUMIF(118:118,C39,119:119)+100</f>
        <v>100</v>
      </c>
      <c r="G39" s="619"/>
      <c r="H39" s="383">
        <f>SUMIF(118:118,G39,119:119)-SUMIF(118:118,C39,119:119)+100</f>
        <v>100</v>
      </c>
      <c r="I39" s="495"/>
      <c r="J39" s="383">
        <f>SUMIF(118:118,I39,119:119)-SUMIF(118:118,C39,119:119)+100</f>
        <v>100</v>
      </c>
      <c r="K39" s="559"/>
      <c r="L39" s="2714"/>
      <c r="M39" s="2708"/>
      <c r="N39" s="2708"/>
      <c r="O39" s="2766"/>
      <c r="P39" s="3755"/>
      <c r="Q39" s="1348">
        <f t="shared" si="14"/>
        <v>111</v>
      </c>
      <c r="R39" s="701" t="s">
        <v>14</v>
      </c>
      <c r="S39" s="702">
        <f t="shared" si="10"/>
        <v>100</v>
      </c>
      <c r="T39" s="701" t="s">
        <v>14</v>
      </c>
      <c r="U39" s="702">
        <f t="shared" si="11"/>
        <v>100</v>
      </c>
      <c r="V39" s="701" t="s">
        <v>14</v>
      </c>
      <c r="W39" s="702">
        <f t="shared" si="12"/>
        <v>100</v>
      </c>
      <c r="X39" s="1351"/>
      <c r="Y39" s="3755"/>
      <c r="Z39" s="1352">
        <f t="shared" si="13"/>
        <v>111</v>
      </c>
      <c r="AA39" s="1349">
        <f t="shared" si="3"/>
        <v>1</v>
      </c>
      <c r="AB39" s="1349">
        <f t="shared" si="4"/>
        <v>1</v>
      </c>
      <c r="AC39" s="1349">
        <f t="shared" si="5"/>
        <v>1</v>
      </c>
    </row>
    <row r="40" spans="1:31" s="419" customFormat="1" ht="15.75" thickBot="1">
      <c r="A40" s="416"/>
      <c r="B40" s="1130">
        <v>111</v>
      </c>
      <c r="C40" s="1974"/>
      <c r="D40" s="126">
        <v>100</v>
      </c>
      <c r="E40" s="619"/>
      <c r="F40" s="386">
        <f>SUMIF(120:120,E40,121:121)-SUMIF(120:120,C40,121:121)+100</f>
        <v>100</v>
      </c>
      <c r="G40" s="619"/>
      <c r="H40" s="386">
        <f>SUMIF(120:120,G40,121:121)-SUMIF(120:120,C40,121:121)+100</f>
        <v>100</v>
      </c>
      <c r="I40" s="495"/>
      <c r="J40" s="386">
        <f>SUMIF(120:120,I40,121:121)-SUMIF(120:120,C40,121:121)+100</f>
        <v>100</v>
      </c>
      <c r="K40" s="626"/>
      <c r="L40" s="2713"/>
      <c r="M40" s="2715"/>
      <c r="N40" s="2715"/>
      <c r="O40" s="2767"/>
      <c r="P40" s="3755"/>
      <c r="Q40" s="1348">
        <f t="shared" si="14"/>
        <v>111</v>
      </c>
      <c r="R40" s="704" t="s">
        <v>14</v>
      </c>
      <c r="S40" s="705">
        <f t="shared" si="10"/>
        <v>100</v>
      </c>
      <c r="T40" s="704" t="s">
        <v>14</v>
      </c>
      <c r="U40" s="705">
        <f t="shared" si="11"/>
        <v>100</v>
      </c>
      <c r="V40" s="704" t="s">
        <v>14</v>
      </c>
      <c r="W40" s="705">
        <f t="shared" si="12"/>
        <v>100</v>
      </c>
      <c r="X40" s="706"/>
      <c r="Y40" s="3755"/>
      <c r="Z40" s="707">
        <f t="shared" si="13"/>
        <v>111</v>
      </c>
      <c r="AA40" s="1349">
        <f t="shared" si="3"/>
        <v>1</v>
      </c>
      <c r="AB40" s="1349">
        <f t="shared" si="4"/>
        <v>1</v>
      </c>
      <c r="AC40" s="1349">
        <f t="shared" si="5"/>
        <v>1</v>
      </c>
    </row>
    <row r="41" spans="1:31" ht="15">
      <c r="A41" s="427" t="s">
        <v>1844</v>
      </c>
      <c r="B41" s="1975" t="s">
        <v>1922</v>
      </c>
      <c r="C41" s="627" t="s">
        <v>0</v>
      </c>
      <c r="D41" s="429"/>
      <c r="E41" s="430"/>
      <c r="F41" s="431"/>
      <c r="G41" s="432"/>
      <c r="H41" s="433"/>
      <c r="I41" s="430"/>
      <c r="J41" s="433"/>
      <c r="K41" s="710"/>
      <c r="L41" s="2716"/>
      <c r="M41" s="2708"/>
      <c r="N41" s="2708"/>
      <c r="O41" s="2717"/>
      <c r="P41" s="3737" t="str">
        <f>A41</f>
        <v>成交单价</v>
      </c>
      <c r="Q41" s="3737"/>
      <c r="R41" s="3750">
        <f>E41</f>
        <v>0</v>
      </c>
      <c r="S41" s="3750"/>
      <c r="T41" s="3750">
        <f>G41</f>
        <v>0</v>
      </c>
      <c r="U41" s="3750"/>
      <c r="V41" s="3750">
        <f>I41</f>
        <v>0</v>
      </c>
      <c r="W41" s="3750"/>
      <c r="X41" s="686"/>
      <c r="Y41" s="708"/>
      <c r="Z41" s="686"/>
      <c r="AA41" s="686"/>
      <c r="AB41" s="686"/>
      <c r="AC41" s="686"/>
    </row>
    <row r="42" spans="1:31" ht="15.75" thickBot="1">
      <c r="A42" s="434" t="s">
        <v>1793</v>
      </c>
      <c r="B42" s="628"/>
      <c r="C42" s="437" t="e">
        <f>R43</f>
        <v>#DIV/0!</v>
      </c>
      <c r="D42" s="2310" t="s">
        <v>2138</v>
      </c>
      <c r="E42" s="437" t="e">
        <f>R42</f>
        <v>#DIV/0!</v>
      </c>
      <c r="F42" s="2311"/>
      <c r="G42" s="436" t="e">
        <f>T42</f>
        <v>#DIV/0!</v>
      </c>
      <c r="H42" s="2311"/>
      <c r="I42" s="437" t="e">
        <f>V42</f>
        <v>#DIV/0!</v>
      </c>
      <c r="J42" s="2311"/>
      <c r="K42" s="2313">
        <f>F42+H42+J42</f>
        <v>0</v>
      </c>
      <c r="L42" s="2716"/>
      <c r="M42" s="2708"/>
      <c r="N42" s="2708"/>
      <c r="O42" s="2717"/>
      <c r="P42" s="3737" t="str">
        <f>A42</f>
        <v>比较价值（元/平方米）</v>
      </c>
      <c r="Q42" s="3737"/>
      <c r="R42" s="3756" t="e">
        <f>ROUND(PRODUCT(R41,AA7:AA40),0)</f>
        <v>#DIV/0!</v>
      </c>
      <c r="S42" s="3756"/>
      <c r="T42" s="3756" t="e">
        <f>ROUND(PRODUCT(T41,AB7:AB40),0)</f>
        <v>#DIV/0!</v>
      </c>
      <c r="U42" s="3756"/>
      <c r="V42" s="3756" t="e">
        <f>ROUND(PRODUCT(V41,AC7:AC40),0)</f>
        <v>#DIV/0!</v>
      </c>
      <c r="W42" s="3756"/>
      <c r="X42" s="686"/>
      <c r="Y42" s="686"/>
      <c r="Z42" s="686"/>
      <c r="AA42" s="686"/>
      <c r="AB42" s="686"/>
      <c r="AC42" s="686"/>
    </row>
    <row r="43" spans="1:31" ht="15.75" thickBot="1">
      <c r="A43" s="438" t="s">
        <v>1794</v>
      </c>
      <c r="B43" s="439"/>
      <c r="C43" s="440" t="e">
        <f>R43</f>
        <v>#DIV/0!</v>
      </c>
      <c r="D43" s="440"/>
      <c r="E43" s="440"/>
      <c r="F43" s="440"/>
      <c r="G43" s="440"/>
      <c r="H43" s="440"/>
      <c r="I43" s="440"/>
      <c r="J43" s="440"/>
      <c r="K43" s="711"/>
      <c r="L43" s="2716"/>
      <c r="M43" s="2708"/>
      <c r="N43" s="2708"/>
      <c r="O43" s="2717"/>
      <c r="P43" s="3757" t="str">
        <f>A43</f>
        <v>估价对象XX用房的比较价值（楼面单价，元/平方米）</v>
      </c>
      <c r="Q43" s="3758"/>
      <c r="R43" s="3759" t="e">
        <f>ROUND(IF(D42="简单平均",AVERAGE(R42:W42),R42*F42+T42*H42+V42*J42),0)</f>
        <v>#DIV/0!</v>
      </c>
      <c r="S43" s="3759"/>
      <c r="T43" s="3759"/>
      <c r="U43" s="3759"/>
      <c r="V43" s="3759"/>
      <c r="W43" s="3759"/>
      <c r="X43" s="686"/>
      <c r="Y43" s="686"/>
      <c r="Z43" s="686"/>
      <c r="AA43" s="686"/>
      <c r="AB43" s="686"/>
      <c r="AC43" s="686"/>
    </row>
    <row r="44" spans="1:31">
      <c r="A44" s="2717"/>
      <c r="B44" s="2717"/>
      <c r="C44" s="2717"/>
      <c r="D44" s="2717"/>
      <c r="E44" s="2717"/>
      <c r="F44" s="2717"/>
      <c r="G44" s="2721"/>
      <c r="H44" s="2717"/>
      <c r="I44" s="2717"/>
      <c r="J44" s="2717"/>
      <c r="K44" s="2722"/>
      <c r="L44" s="2718"/>
      <c r="M44" s="2708"/>
      <c r="N44" s="2708"/>
      <c r="O44" s="2717"/>
      <c r="P44" s="2717"/>
      <c r="Q44" s="2717"/>
      <c r="R44" s="2717"/>
      <c r="S44" s="2717"/>
      <c r="T44" s="2717"/>
      <c r="U44" s="2717"/>
      <c r="V44" s="2717"/>
      <c r="W44" s="2717"/>
      <c r="X44" s="2717"/>
      <c r="Y44" s="2717"/>
      <c r="Z44" s="2717"/>
      <c r="AA44" s="2717"/>
      <c r="AB44" s="2717"/>
      <c r="AC44" s="2717"/>
      <c r="AD44" s="2717"/>
      <c r="AE44" s="2717"/>
    </row>
    <row r="45" spans="1:31">
      <c r="A45" s="2717"/>
      <c r="B45" s="2717"/>
      <c r="C45" s="2717"/>
      <c r="D45" s="2717"/>
      <c r="E45" s="2717"/>
      <c r="F45" s="2717"/>
      <c r="G45" s="2717"/>
      <c r="H45" s="2717"/>
      <c r="I45" s="2717"/>
      <c r="J45" s="2717"/>
      <c r="K45" s="2722"/>
      <c r="L45" s="2718"/>
      <c r="M45" s="2708"/>
      <c r="N45" s="2708"/>
      <c r="O45" s="2717"/>
      <c r="P45" s="2717"/>
      <c r="Q45" s="2717"/>
      <c r="R45" s="2717"/>
      <c r="S45" s="2717"/>
      <c r="T45" s="2717"/>
      <c r="U45" s="2717"/>
      <c r="V45" s="2717"/>
      <c r="W45" s="2717"/>
      <c r="X45" s="2717"/>
      <c r="Y45" s="2717"/>
      <c r="Z45" s="2717"/>
      <c r="AA45" s="2717"/>
      <c r="AB45" s="2717"/>
      <c r="AC45" s="2717"/>
      <c r="AD45" s="2717"/>
      <c r="AE45" s="2717"/>
    </row>
    <row r="46" spans="1:31" ht="13.5" customHeight="1">
      <c r="A46" s="2717"/>
      <c r="B46" s="2717"/>
      <c r="C46" s="443" t="s">
        <v>1795</v>
      </c>
      <c r="D46" s="444"/>
      <c r="E46" s="445" t="e">
        <f>IF(E41&lt;E42,E42/E41-1,E41/E42-1)</f>
        <v>#DIV/0!</v>
      </c>
      <c r="F46" s="446" t="e">
        <f>IF(OR(E46&gt;=0.3,E46&lt;=-0.3),"超过30%","")</f>
        <v>#DIV/0!</v>
      </c>
      <c r="G46" s="445" t="e">
        <f>IF(G41&lt;G42,G42/G41-1,G41/G42-1)</f>
        <v>#DIV/0!</v>
      </c>
      <c r="H46" s="446" t="e">
        <f>IF(OR(G46&gt;=0.3,G46&lt;=-0.3),"超过30%","")</f>
        <v>#DIV/0!</v>
      </c>
      <c r="I46" s="445" t="e">
        <f>IF(I41&lt;I42,I42/I41-1,I41/I42-1)</f>
        <v>#DIV/0!</v>
      </c>
      <c r="J46" s="446" t="e">
        <f>IF(OR(I46&gt;=0.3,I46&lt;=-0.3),"超过30%","")</f>
        <v>#DIV/0!</v>
      </c>
      <c r="K46" s="2722"/>
      <c r="L46" s="2718"/>
      <c r="M46" s="2708"/>
      <c r="N46" s="2708"/>
      <c r="O46" s="2717"/>
      <c r="P46" s="2717"/>
      <c r="Q46" s="2717"/>
      <c r="R46" s="2717"/>
      <c r="S46" s="2717"/>
      <c r="T46" s="2717"/>
      <c r="U46" s="2717"/>
      <c r="V46" s="2717"/>
      <c r="W46" s="2717"/>
      <c r="X46" s="2717"/>
      <c r="Y46" s="2717"/>
      <c r="Z46" s="2717"/>
      <c r="AA46" s="2717"/>
      <c r="AB46" s="2717"/>
      <c r="AC46" s="2717"/>
      <c r="AD46" s="2717"/>
      <c r="AE46" s="2717"/>
    </row>
    <row r="47" spans="1:31" ht="13.5" customHeight="1">
      <c r="A47" s="2717"/>
      <c r="B47" s="2717"/>
      <c r="C47" s="443" t="s">
        <v>1796</v>
      </c>
      <c r="D47" s="447"/>
      <c r="E47" s="445" t="e">
        <f>IF(E42&lt;G42,G42/E42-1,E42/G42-1)</f>
        <v>#DIV/0!</v>
      </c>
      <c r="F47" s="446" t="e">
        <f>IF(OR(E47&gt;=0.2,E47&lt;=-0.2),"超过20%","")</f>
        <v>#DIV/0!</v>
      </c>
      <c r="G47" s="445" t="e">
        <f>IF(G42&lt;I42,I42/G42-1,G42/I42-1)</f>
        <v>#DIV/0!</v>
      </c>
      <c r="H47" s="446" t="e">
        <f>IF(OR(G47&gt;=0.2,G47&lt;=-0.2),"超过20%","")</f>
        <v>#DIV/0!</v>
      </c>
      <c r="I47" s="445" t="e">
        <f>IF(I42&lt;E42,E42/I42-1,I42/E42-1)</f>
        <v>#DIV/0!</v>
      </c>
      <c r="J47" s="446" t="e">
        <f>IF(OR(I47&gt;=0.2,I47&lt;=-0.2),"超过20%","")</f>
        <v>#DIV/0!</v>
      </c>
      <c r="K47" s="2722"/>
      <c r="L47" s="2718"/>
      <c r="M47" s="2717"/>
      <c r="N47" s="2717"/>
      <c r="O47" s="2717"/>
      <c r="P47" s="2717"/>
      <c r="Q47" s="2717"/>
      <c r="R47" s="2717"/>
      <c r="S47" s="2717"/>
      <c r="T47" s="2717"/>
      <c r="U47" s="2717"/>
      <c r="V47" s="2717"/>
      <c r="W47" s="2717"/>
      <c r="X47" s="2717"/>
      <c r="Y47" s="2717"/>
      <c r="Z47" s="2717"/>
      <c r="AA47" s="2717"/>
      <c r="AB47" s="2717"/>
      <c r="AC47" s="2717"/>
      <c r="AD47" s="2717"/>
      <c r="AE47" s="2717"/>
    </row>
    <row r="48" spans="1:31" s="448" customFormat="1" ht="13.5" customHeight="1">
      <c r="A48" s="2720"/>
      <c r="B48" s="2720"/>
      <c r="C48" s="443" t="s">
        <v>1797</v>
      </c>
      <c r="D48" s="447"/>
      <c r="E48" s="445" t="e">
        <f>IF(E41&lt;G41,G41/E41-1,E41/G41-1)</f>
        <v>#DIV/0!</v>
      </c>
      <c r="F48" s="446" t="e">
        <f>IF(OR(E48&gt;=0.3,E48&lt;=-0.3),"超过30%","")</f>
        <v>#DIV/0!</v>
      </c>
      <c r="G48" s="445" t="e">
        <f>IF(G41&lt;I41,I41/G41-1,G41/I41-1)</f>
        <v>#DIV/0!</v>
      </c>
      <c r="H48" s="446" t="e">
        <f>IF(OR(G48&gt;=0.3,G48&lt;=-0.3),"超过30%","")</f>
        <v>#DIV/0!</v>
      </c>
      <c r="I48" s="445" t="e">
        <f>IF(I41&lt;E41,E41/I41-1,I41/E41-1)</f>
        <v>#DIV/0!</v>
      </c>
      <c r="J48" s="446" t="e">
        <f>IF(OR(I48&gt;=0.3,I48&lt;=-0.3),"超过30%","")</f>
        <v>#DIV/0!</v>
      </c>
      <c r="K48" s="2725"/>
      <c r="L48" s="2719"/>
      <c r="M48" s="2720"/>
      <c r="N48" s="2720"/>
      <c r="O48" s="2720"/>
      <c r="P48" s="2720"/>
      <c r="Q48" s="2720"/>
      <c r="R48" s="2720"/>
      <c r="S48" s="2720"/>
      <c r="T48" s="2720"/>
      <c r="U48" s="2720"/>
      <c r="V48" s="2720"/>
      <c r="W48" s="2720"/>
      <c r="X48" s="2720"/>
      <c r="Y48" s="2720"/>
      <c r="Z48" s="2720"/>
      <c r="AA48" s="2720"/>
      <c r="AB48" s="2720"/>
      <c r="AC48" s="2720"/>
      <c r="AD48" s="2720"/>
      <c r="AE48" s="2720"/>
    </row>
    <row r="49" spans="1:31" s="448" customFormat="1" ht="15" thickBot="1">
      <c r="A49" s="2720"/>
      <c r="B49" s="2723"/>
      <c r="C49" s="689"/>
      <c r="D49" s="687"/>
      <c r="E49" s="687"/>
      <c r="F49" s="687"/>
      <c r="G49" s="687"/>
      <c r="H49" s="687"/>
      <c r="I49" s="687"/>
      <c r="J49" s="687"/>
      <c r="K49" s="2725"/>
      <c r="L49" s="2719"/>
      <c r="M49" s="2720"/>
      <c r="N49" s="2720"/>
      <c r="O49" s="2720"/>
      <c r="P49" s="2720"/>
      <c r="Q49" s="2720"/>
      <c r="R49" s="2720"/>
      <c r="S49" s="2720"/>
      <c r="T49" s="2720"/>
      <c r="U49" s="2720"/>
      <c r="V49" s="2720"/>
      <c r="W49" s="2720"/>
      <c r="X49" s="2720"/>
      <c r="Y49" s="2720"/>
      <c r="Z49" s="2720"/>
      <c r="AA49" s="2720"/>
      <c r="AB49" s="2720"/>
      <c r="AC49" s="2720"/>
      <c r="AD49" s="2720"/>
      <c r="AE49" s="2720"/>
    </row>
    <row r="50" spans="1:31" ht="27">
      <c r="A50" s="629" t="s">
        <v>1881</v>
      </c>
      <c r="B50" s="630" t="s">
        <v>1882</v>
      </c>
      <c r="C50" s="1976" t="s">
        <v>1883</v>
      </c>
      <c r="D50" s="1977" t="s">
        <v>1884</v>
      </c>
      <c r="E50" s="631" t="s">
        <v>1885</v>
      </c>
      <c r="F50" s="632" t="s">
        <v>1886</v>
      </c>
      <c r="G50" s="3738" t="s">
        <v>1887</v>
      </c>
      <c r="H50" s="3760"/>
      <c r="I50" s="1352" t="s">
        <v>1923</v>
      </c>
      <c r="J50" s="1352">
        <f>项目基本情况!F35</f>
        <v>0</v>
      </c>
      <c r="K50" s="1979" t="s">
        <v>1889</v>
      </c>
      <c r="L50" s="2718"/>
      <c r="M50" s="2717"/>
      <c r="N50" s="2717"/>
      <c r="O50" s="2717"/>
      <c r="P50" s="2717"/>
      <c r="Q50" s="2717"/>
      <c r="R50" s="2717"/>
      <c r="S50" s="2717"/>
      <c r="T50" s="2717"/>
      <c r="U50" s="2717"/>
      <c r="V50" s="2717"/>
      <c r="W50" s="2717"/>
      <c r="X50" s="2717"/>
      <c r="Y50" s="2717"/>
      <c r="Z50" s="2717"/>
      <c r="AA50" s="2717"/>
      <c r="AB50" s="2717"/>
      <c r="AC50" s="2717"/>
      <c r="AD50" s="2717"/>
      <c r="AE50" s="2717"/>
    </row>
    <row r="51" spans="1:31" s="637" customFormat="1">
      <c r="A51" s="633" t="s">
        <v>1890</v>
      </c>
      <c r="B51" s="634" t="e">
        <f>C43</f>
        <v>#DIV/0!</v>
      </c>
      <c r="C51" s="635">
        <v>1</v>
      </c>
      <c r="D51" s="940">
        <v>1</v>
      </c>
      <c r="E51" s="635">
        <f>'数据-汇总表'!E8+'数据-汇总表'!E9</f>
        <v>1</v>
      </c>
      <c r="F51" s="636" t="e">
        <f t="shared" ref="F51:F60" si="15">ROUND(B51*E51/10000,0)</f>
        <v>#DIV/0!</v>
      </c>
      <c r="G51" s="3761"/>
      <c r="H51" s="3737"/>
      <c r="I51" s="769">
        <v>1</v>
      </c>
      <c r="J51" s="769">
        <v>1</v>
      </c>
      <c r="K51" s="2720"/>
      <c r="L51" s="2774"/>
      <c r="M51" s="2774"/>
      <c r="N51" s="2774"/>
      <c r="O51" s="2774"/>
      <c r="P51" s="2774"/>
      <c r="Q51" s="2774"/>
      <c r="R51" s="2774"/>
      <c r="S51" s="2774"/>
      <c r="T51" s="2774"/>
      <c r="U51" s="2774"/>
      <c r="V51" s="2774"/>
      <c r="W51" s="2774"/>
      <c r="X51" s="2774"/>
      <c r="Y51" s="2774"/>
      <c r="Z51" s="2774"/>
      <c r="AA51" s="2774"/>
      <c r="AB51" s="2774"/>
      <c r="AC51" s="2774"/>
      <c r="AD51" s="2774"/>
      <c r="AE51" s="2774"/>
    </row>
    <row r="52" spans="1:31" s="637" customFormat="1">
      <c r="A52" s="638" t="s">
        <v>1891</v>
      </c>
      <c r="B52" s="215" t="e">
        <f>ROUND($C$43*C52*D52,0)</f>
        <v>#DIV/0!</v>
      </c>
      <c r="C52" s="168">
        <f t="shared" ref="C52:C60" si="16">IF($C$50="北京市系数",I52,J52)</f>
        <v>0</v>
      </c>
      <c r="D52" s="941">
        <v>0.25</v>
      </c>
      <c r="E52" s="639"/>
      <c r="F52" s="636" t="e">
        <f t="shared" si="15"/>
        <v>#DIV/0!</v>
      </c>
      <c r="G52" s="2998" t="s">
        <v>1892</v>
      </c>
      <c r="H52" s="883">
        <f>项目基本情况!B37</f>
        <v>0</v>
      </c>
      <c r="I52" s="769">
        <f>SUMIF(修正!A57:A68,H52,修正!B57:B68)</f>
        <v>0</v>
      </c>
      <c r="J52" s="770"/>
      <c r="K52" s="2717"/>
      <c r="L52" s="2774"/>
      <c r="M52" s="2774"/>
      <c r="N52" s="2774"/>
      <c r="O52" s="2774"/>
      <c r="P52" s="2774"/>
      <c r="Q52" s="2774"/>
      <c r="R52" s="2774"/>
      <c r="S52" s="2774"/>
      <c r="T52" s="2774"/>
      <c r="U52" s="2774"/>
      <c r="V52" s="2774"/>
      <c r="W52" s="2774"/>
      <c r="X52" s="2774"/>
      <c r="Y52" s="2774"/>
      <c r="Z52" s="2774"/>
      <c r="AA52" s="2774"/>
      <c r="AB52" s="2774"/>
      <c r="AC52" s="2774"/>
      <c r="AD52" s="2774"/>
      <c r="AE52" s="2774"/>
    </row>
    <row r="53" spans="1:31" s="637" customFormat="1">
      <c r="A53" s="638" t="s">
        <v>1893</v>
      </c>
      <c r="B53" s="215" t="e">
        <f t="shared" ref="B53:B60" si="17">ROUND($C$43*C53*D53,0)</f>
        <v>#DIV/0!</v>
      </c>
      <c r="C53" s="168">
        <f t="shared" si="16"/>
        <v>0</v>
      </c>
      <c r="D53" s="941">
        <v>0.25</v>
      </c>
      <c r="E53" s="639"/>
      <c r="F53" s="636" t="e">
        <f t="shared" si="15"/>
        <v>#DIV/0!</v>
      </c>
      <c r="G53" s="2999"/>
      <c r="H53" s="883">
        <f>项目基本情况!B37</f>
        <v>0</v>
      </c>
      <c r="I53" s="769">
        <f>SUMIF(修正!A57:A68,H53,修正!C57:C68)</f>
        <v>0</v>
      </c>
      <c r="J53" s="770"/>
      <c r="K53" s="2720"/>
      <c r="L53" s="2774"/>
      <c r="M53" s="2774"/>
      <c r="N53" s="2774"/>
      <c r="O53" s="2774"/>
      <c r="P53" s="2774"/>
      <c r="Q53" s="2774"/>
      <c r="R53" s="2774"/>
      <c r="S53" s="2774"/>
      <c r="T53" s="2774"/>
      <c r="U53" s="2774"/>
      <c r="V53" s="2774"/>
      <c r="W53" s="2774"/>
      <c r="X53" s="2774"/>
      <c r="Y53" s="2774"/>
      <c r="Z53" s="2774"/>
      <c r="AA53" s="2774"/>
      <c r="AB53" s="2774"/>
      <c r="AC53" s="2774"/>
      <c r="AD53" s="2774"/>
      <c r="AE53" s="2774"/>
    </row>
    <row r="54" spans="1:31" s="637" customFormat="1">
      <c r="A54" s="638" t="s">
        <v>1894</v>
      </c>
      <c r="B54" s="215" t="e">
        <f t="shared" si="17"/>
        <v>#DIV/0!</v>
      </c>
      <c r="C54" s="168">
        <f t="shared" si="16"/>
        <v>0</v>
      </c>
      <c r="D54" s="941">
        <v>0.25</v>
      </c>
      <c r="E54" s="639"/>
      <c r="F54" s="636" t="e">
        <f t="shared" si="15"/>
        <v>#DIV/0!</v>
      </c>
      <c r="G54" s="2999"/>
      <c r="H54" s="883">
        <f>项目基本情况!B37</f>
        <v>0</v>
      </c>
      <c r="I54" s="769">
        <f>SUMIF(修正!A57:A68,H54,修正!D57:D68)</f>
        <v>0</v>
      </c>
      <c r="J54" s="770"/>
      <c r="K54" s="2717"/>
      <c r="L54" s="2774"/>
      <c r="M54" s="2774"/>
      <c r="N54" s="2774"/>
      <c r="O54" s="2774"/>
      <c r="P54" s="2774"/>
      <c r="Q54" s="2774"/>
      <c r="R54" s="2774"/>
      <c r="S54" s="2774"/>
      <c r="T54" s="2774"/>
      <c r="U54" s="2774"/>
      <c r="V54" s="2774"/>
      <c r="W54" s="2774"/>
      <c r="X54" s="2774"/>
      <c r="Y54" s="2774"/>
      <c r="Z54" s="2774"/>
      <c r="AA54" s="2774"/>
      <c r="AB54" s="2774"/>
      <c r="AC54" s="2774"/>
      <c r="AD54" s="2774"/>
      <c r="AE54" s="2774"/>
    </row>
    <row r="55" spans="1:31" s="637" customFormat="1" hidden="1">
      <c r="A55" s="638"/>
      <c r="B55" s="215"/>
      <c r="C55" s="168"/>
      <c r="D55" s="941"/>
      <c r="E55" s="639"/>
      <c r="F55" s="636"/>
      <c r="G55" s="3000"/>
      <c r="H55" s="883"/>
      <c r="I55" s="769"/>
      <c r="J55" s="770"/>
      <c r="K55" s="2720"/>
      <c r="L55" s="2774"/>
      <c r="M55" s="2774"/>
      <c r="N55" s="2774"/>
      <c r="O55" s="2774"/>
      <c r="P55" s="2774"/>
      <c r="Q55" s="2774"/>
      <c r="R55" s="2774"/>
      <c r="S55" s="2774"/>
      <c r="T55" s="2774"/>
      <c r="U55" s="2774"/>
      <c r="V55" s="2774"/>
      <c r="W55" s="2774"/>
      <c r="X55" s="2774"/>
      <c r="Y55" s="2774"/>
      <c r="Z55" s="2774"/>
      <c r="AA55" s="2774"/>
      <c r="AB55" s="2774"/>
      <c r="AC55" s="2774"/>
      <c r="AD55" s="2774"/>
      <c r="AE55" s="2774"/>
    </row>
    <row r="56" spans="1:31" s="637" customFormat="1">
      <c r="A56" s="638" t="s">
        <v>1895</v>
      </c>
      <c r="B56" s="215" t="e">
        <f t="shared" si="17"/>
        <v>#DIV/0!</v>
      </c>
      <c r="C56" s="168">
        <f t="shared" si="16"/>
        <v>0</v>
      </c>
      <c r="D56" s="941">
        <v>0.25</v>
      </c>
      <c r="E56" s="214">
        <f>'数据-汇总表'!E11</f>
        <v>0</v>
      </c>
      <c r="F56" s="636" t="e">
        <f t="shared" si="15"/>
        <v>#DIV/0!</v>
      </c>
      <c r="G56" s="1980" t="s">
        <v>1896</v>
      </c>
      <c r="H56" s="883">
        <f>项目基本情况!C37</f>
        <v>0</v>
      </c>
      <c r="I56" s="769">
        <f>SUMIF(修正!A57:A68,H56,修正!E57:E68)</f>
        <v>0</v>
      </c>
      <c r="J56" s="770"/>
      <c r="K56" s="2717"/>
      <c r="L56" s="2774"/>
      <c r="M56" s="2774"/>
      <c r="N56" s="2774"/>
      <c r="O56" s="2774"/>
      <c r="P56" s="2774"/>
      <c r="Q56" s="2774"/>
      <c r="R56" s="2774"/>
      <c r="S56" s="2774"/>
      <c r="T56" s="2774"/>
      <c r="U56" s="2774"/>
      <c r="V56" s="2774"/>
      <c r="W56" s="2774"/>
      <c r="X56" s="2774"/>
      <c r="Y56" s="2774"/>
      <c r="Z56" s="2774"/>
      <c r="AA56" s="2774"/>
      <c r="AB56" s="2774"/>
      <c r="AC56" s="2774"/>
      <c r="AD56" s="2774"/>
      <c r="AE56" s="2774"/>
    </row>
    <row r="57" spans="1:31" s="637" customFormat="1">
      <c r="A57" s="638" t="s">
        <v>1897</v>
      </c>
      <c r="B57" s="215" t="e">
        <f t="shared" si="17"/>
        <v>#DIV/0!</v>
      </c>
      <c r="C57" s="168">
        <f t="shared" si="16"/>
        <v>0</v>
      </c>
      <c r="D57" s="941">
        <v>0.25</v>
      </c>
      <c r="E57" s="214">
        <f>'数据-汇总表'!E12</f>
        <v>0</v>
      </c>
      <c r="F57" s="636" t="e">
        <f t="shared" si="15"/>
        <v>#DIV/0!</v>
      </c>
      <c r="G57" s="888" t="s">
        <v>1898</v>
      </c>
      <c r="H57" s="883">
        <f>IF(G57="商业",项目基本情况!B37,IF(G57="办公",项目基本情况!C37,IF(G57="住宅",项目基本情况!D37,项目基本情况!E37)))</f>
        <v>0</v>
      </c>
      <c r="I57" s="769">
        <f>SUMIF(修正!A57:A68,H57,修正!F57:F68)</f>
        <v>0</v>
      </c>
      <c r="J57" s="770"/>
      <c r="K57" s="2720"/>
      <c r="L57" s="2774"/>
      <c r="M57" s="2774"/>
      <c r="N57" s="2774"/>
      <c r="O57" s="2774"/>
      <c r="P57" s="2774"/>
      <c r="Q57" s="2774"/>
      <c r="R57" s="2774"/>
      <c r="S57" s="2774"/>
      <c r="T57" s="2774"/>
      <c r="U57" s="2774"/>
      <c r="V57" s="2774"/>
      <c r="W57" s="2774"/>
      <c r="X57" s="2774"/>
      <c r="Y57" s="2774"/>
      <c r="Z57" s="2774"/>
      <c r="AA57" s="2774"/>
      <c r="AB57" s="2774"/>
      <c r="AC57" s="2774"/>
      <c r="AD57" s="2774"/>
      <c r="AE57" s="2774"/>
    </row>
    <row r="58" spans="1:31" s="637" customFormat="1">
      <c r="A58" s="638" t="s">
        <v>1899</v>
      </c>
      <c r="B58" s="215" t="e">
        <f t="shared" si="17"/>
        <v>#DIV/0!</v>
      </c>
      <c r="C58" s="168">
        <f t="shared" si="16"/>
        <v>0</v>
      </c>
      <c r="D58" s="941">
        <v>0.25</v>
      </c>
      <c r="E58" s="214">
        <f>'数据-汇总表'!E13</f>
        <v>0</v>
      </c>
      <c r="F58" s="636" t="e">
        <f t="shared" si="15"/>
        <v>#DIV/0!</v>
      </c>
      <c r="G58" s="888" t="s">
        <v>1900</v>
      </c>
      <c r="H58" s="883">
        <f>IF(G58="商业",项目基本情况!B37,IF(G58="办公",项目基本情况!C37,IF(G58="住宅",项目基本情况!D37,项目基本情况!E37)))</f>
        <v>0</v>
      </c>
      <c r="I58" s="769">
        <f>SUMIF(修正!A57:A68,H58,修正!G57:G68)</f>
        <v>0</v>
      </c>
      <c r="J58" s="770"/>
      <c r="K58" s="2717"/>
      <c r="L58" s="2774"/>
      <c r="M58" s="2774"/>
      <c r="N58" s="2774"/>
      <c r="O58" s="2774"/>
      <c r="P58" s="2774"/>
      <c r="Q58" s="2774"/>
      <c r="R58" s="2774"/>
      <c r="S58" s="2774"/>
      <c r="T58" s="2774"/>
      <c r="U58" s="2774"/>
      <c r="V58" s="2774"/>
      <c r="W58" s="2774"/>
      <c r="X58" s="2774"/>
      <c r="Y58" s="2774"/>
      <c r="Z58" s="2774"/>
      <c r="AA58" s="2774"/>
      <c r="AB58" s="2774"/>
      <c r="AC58" s="2774"/>
      <c r="AD58" s="2774"/>
      <c r="AE58" s="2774"/>
    </row>
    <row r="59" spans="1:31" s="637" customFormat="1">
      <c r="A59" s="638" t="s">
        <v>1901</v>
      </c>
      <c r="B59" s="215" t="e">
        <f t="shared" si="17"/>
        <v>#DIV/0!</v>
      </c>
      <c r="C59" s="168">
        <f t="shared" si="16"/>
        <v>0</v>
      </c>
      <c r="D59" s="941">
        <v>0.25</v>
      </c>
      <c r="E59" s="214">
        <f>'数据-汇总表'!E14</f>
        <v>0</v>
      </c>
      <c r="F59" s="636" t="e">
        <f t="shared" si="15"/>
        <v>#DIV/0!</v>
      </c>
      <c r="G59" s="1980" t="s">
        <v>1892</v>
      </c>
      <c r="H59" s="883">
        <f>项目基本情况!B37</f>
        <v>0</v>
      </c>
      <c r="I59" s="769">
        <f>SUMIF(修正!A57:A68,H59,修正!G57:G68)</f>
        <v>0</v>
      </c>
      <c r="J59" s="770"/>
      <c r="K59" s="2720"/>
      <c r="L59" s="2774"/>
      <c r="M59" s="2774"/>
      <c r="N59" s="2774"/>
      <c r="O59" s="2774"/>
      <c r="P59" s="2774"/>
      <c r="Q59" s="2774"/>
      <c r="R59" s="2774"/>
      <c r="S59" s="2774"/>
      <c r="T59" s="2774"/>
      <c r="U59" s="2774"/>
      <c r="V59" s="2774"/>
      <c r="W59" s="2774"/>
      <c r="X59" s="2774"/>
      <c r="Y59" s="2774"/>
      <c r="Z59" s="2774"/>
      <c r="AA59" s="2774"/>
      <c r="AB59" s="2774"/>
      <c r="AC59" s="2774"/>
      <c r="AD59" s="2774"/>
      <c r="AE59" s="2774"/>
    </row>
    <row r="60" spans="1:31" s="637" customFormat="1" ht="15" thickBot="1">
      <c r="A60" s="638" t="s">
        <v>1902</v>
      </c>
      <c r="B60" s="215" t="e">
        <f t="shared" si="17"/>
        <v>#DIV/0!</v>
      </c>
      <c r="C60" s="168">
        <f t="shared" si="16"/>
        <v>0</v>
      </c>
      <c r="D60" s="941">
        <v>0.25</v>
      </c>
      <c r="E60" s="214">
        <f>'数据-汇总表'!E15</f>
        <v>0</v>
      </c>
      <c r="F60" s="636" t="e">
        <f t="shared" si="15"/>
        <v>#DIV/0!</v>
      </c>
      <c r="G60" s="1981" t="s">
        <v>1896</v>
      </c>
      <c r="H60" s="893">
        <f>项目基本情况!C37</f>
        <v>0</v>
      </c>
      <c r="I60" s="769">
        <f>SUMIF(修正!A57:A68,H60,修正!G57:G68)</f>
        <v>0</v>
      </c>
      <c r="J60" s="770"/>
      <c r="K60" s="2717"/>
      <c r="L60" s="2774"/>
      <c r="M60" s="2774"/>
      <c r="N60" s="2774"/>
      <c r="O60" s="2774"/>
      <c r="P60" s="2774"/>
      <c r="Q60" s="2774"/>
      <c r="R60" s="2774"/>
      <c r="S60" s="2774"/>
      <c r="T60" s="2774"/>
      <c r="U60" s="2774"/>
      <c r="V60" s="2774"/>
      <c r="W60" s="2774"/>
      <c r="X60" s="2774"/>
      <c r="Y60" s="2774"/>
      <c r="Z60" s="2774"/>
      <c r="AA60" s="2774"/>
      <c r="AB60" s="2774"/>
      <c r="AC60" s="2774"/>
      <c r="AD60" s="2774"/>
      <c r="AE60" s="2774"/>
    </row>
    <row r="61" spans="1:31" s="637" customFormat="1" ht="15" thickBot="1">
      <c r="A61" s="640" t="s">
        <v>1903</v>
      </c>
      <c r="B61" s="641" t="s">
        <v>22</v>
      </c>
      <c r="C61" s="641" t="s">
        <v>23</v>
      </c>
      <c r="D61" s="641" t="s">
        <v>392</v>
      </c>
      <c r="E61" s="641">
        <f>IF(B41="楼面地价",SUM(E51:E60),'数据-汇总表'!D3)</f>
        <v>0.45</v>
      </c>
      <c r="F61" s="642" t="e">
        <f>IF(B41="楼面地价",SUM(F51:F60),ROUND(C43*E61/10000,0))</f>
        <v>#DIV/0!</v>
      </c>
      <c r="G61" s="935"/>
      <c r="H61" s="935"/>
      <c r="I61" s="935"/>
      <c r="J61" s="935"/>
      <c r="K61" s="2722"/>
      <c r="L61" s="2774"/>
      <c r="M61" s="2774"/>
      <c r="N61" s="2774"/>
      <c r="O61" s="2774"/>
      <c r="P61" s="2774"/>
      <c r="Q61" s="2774"/>
      <c r="R61" s="2774"/>
      <c r="S61" s="2774"/>
      <c r="T61" s="2774"/>
      <c r="U61" s="2774"/>
      <c r="V61" s="2774"/>
      <c r="W61" s="2774"/>
      <c r="X61" s="2774"/>
      <c r="Y61" s="2774"/>
      <c r="Z61" s="2774"/>
      <c r="AA61" s="2774"/>
      <c r="AB61" s="2774"/>
      <c r="AC61" s="2774"/>
      <c r="AD61" s="2774"/>
      <c r="AE61" s="2774"/>
    </row>
    <row r="62" spans="1:31">
      <c r="A62" s="923"/>
      <c r="B62" s="925"/>
      <c r="C62" s="927"/>
      <c r="D62" s="923"/>
      <c r="E62" s="923"/>
      <c r="F62" s="923"/>
      <c r="G62" s="923"/>
      <c r="H62" s="923"/>
      <c r="I62" s="923"/>
      <c r="J62" s="923"/>
      <c r="K62" s="884"/>
      <c r="L62" s="885"/>
      <c r="M62" s="923"/>
      <c r="N62" s="923"/>
      <c r="O62" s="923"/>
      <c r="P62" s="2717"/>
      <c r="Q62" s="2717"/>
      <c r="R62" s="2717"/>
      <c r="S62" s="2717"/>
      <c r="T62" s="2717"/>
      <c r="U62" s="2717"/>
      <c r="V62" s="2717"/>
      <c r="W62" s="2717"/>
      <c r="X62" s="2717"/>
      <c r="Y62" s="2717"/>
      <c r="Z62" s="2717"/>
      <c r="AA62" s="2717"/>
      <c r="AB62" s="2717"/>
      <c r="AC62" s="2717"/>
      <c r="AD62" s="2717"/>
      <c r="AE62" s="2717"/>
    </row>
    <row r="63" spans="1:31">
      <c r="A63" s="923"/>
      <c r="B63" s="925"/>
      <c r="C63" s="688" t="str">
        <f>YEAR(C7)&amp;"-"&amp;MONTH(C7)&amp;"-1"</f>
        <v>2023-7-1</v>
      </c>
      <c r="D63" s="688">
        <f>EDATE(C63,-3)</f>
        <v>45017</v>
      </c>
      <c r="E63" s="688">
        <f>EDATE(D63,-3)</f>
        <v>44927</v>
      </c>
      <c r="F63" s="688">
        <f t="shared" ref="F63:O63" si="18">EDATE(E63,-3)</f>
        <v>44835</v>
      </c>
      <c r="G63" s="688">
        <f t="shared" si="18"/>
        <v>44743</v>
      </c>
      <c r="H63" s="688">
        <f t="shared" si="18"/>
        <v>44652</v>
      </c>
      <c r="I63" s="688">
        <f t="shared" si="18"/>
        <v>44562</v>
      </c>
      <c r="J63" s="688">
        <f t="shared" si="18"/>
        <v>44470</v>
      </c>
      <c r="K63" s="688">
        <f t="shared" si="18"/>
        <v>44378</v>
      </c>
      <c r="L63" s="688">
        <f t="shared" si="18"/>
        <v>44287</v>
      </c>
      <c r="M63" s="688">
        <f t="shared" si="18"/>
        <v>44197</v>
      </c>
      <c r="N63" s="688">
        <f t="shared" si="18"/>
        <v>44105</v>
      </c>
      <c r="O63" s="688">
        <f t="shared" si="18"/>
        <v>44013</v>
      </c>
      <c r="P63" s="2717"/>
      <c r="Q63" s="2717"/>
      <c r="R63" s="2717"/>
      <c r="S63" s="2717"/>
      <c r="T63" s="2717"/>
      <c r="U63" s="2717"/>
      <c r="V63" s="2717"/>
      <c r="W63" s="2717"/>
      <c r="X63" s="2717"/>
      <c r="Y63" s="2717"/>
      <c r="Z63" s="2717"/>
      <c r="AA63" s="2717"/>
      <c r="AB63" s="2717"/>
      <c r="AC63" s="2717"/>
      <c r="AD63" s="2717"/>
      <c r="AE63" s="2717"/>
    </row>
    <row r="64" spans="1:31" ht="21.75" thickBot="1">
      <c r="A64" s="690" t="s">
        <v>1798</v>
      </c>
      <c r="B64" s="686"/>
      <c r="C64" s="691"/>
      <c r="D64" s="691"/>
      <c r="E64" s="691"/>
      <c r="F64" s="692"/>
      <c r="G64" s="692"/>
      <c r="H64" s="691"/>
      <c r="I64" s="691"/>
      <c r="J64" s="691"/>
      <c r="K64" s="693"/>
      <c r="L64" s="694"/>
      <c r="M64" s="691"/>
      <c r="N64" s="691"/>
      <c r="O64" s="936"/>
      <c r="P64" s="2761"/>
      <c r="Q64" s="2731"/>
      <c r="R64" s="2717"/>
      <c r="S64" s="2717"/>
      <c r="T64" s="2717"/>
      <c r="U64" s="2717"/>
      <c r="V64" s="2717"/>
      <c r="W64" s="2717"/>
      <c r="X64" s="2717"/>
      <c r="Y64" s="2717"/>
      <c r="Z64" s="2717"/>
      <c r="AA64" s="2717"/>
      <c r="AB64" s="2717"/>
      <c r="AC64" s="2717"/>
      <c r="AD64" s="2717"/>
      <c r="AE64" s="2717"/>
    </row>
    <row r="65" spans="1:31" s="454" customFormat="1" ht="15">
      <c r="A65" s="1982" t="s">
        <v>1904</v>
      </c>
      <c r="B65" s="1105"/>
      <c r="C65" s="1178" t="str">
        <f>YEAR(C63)&amp;"-"&amp;ROUNDUP(MONTH(C63)/3,0)</f>
        <v>2023-3</v>
      </c>
      <c r="D65" s="1178" t="str">
        <f t="shared" ref="D65:O65" si="19">YEAR(D63)&amp;"-"&amp;ROUNDUP(MONTH(D63)/3,0)</f>
        <v>2023-2</v>
      </c>
      <c r="E65" s="1178" t="str">
        <f t="shared" si="19"/>
        <v>2023-1</v>
      </c>
      <c r="F65" s="1178" t="str">
        <f t="shared" si="19"/>
        <v>2022-4</v>
      </c>
      <c r="G65" s="1178" t="str">
        <f t="shared" si="19"/>
        <v>2022-3</v>
      </c>
      <c r="H65" s="1178" t="str">
        <f t="shared" si="19"/>
        <v>2022-2</v>
      </c>
      <c r="I65" s="1178" t="str">
        <f t="shared" si="19"/>
        <v>2022-1</v>
      </c>
      <c r="J65" s="1178" t="str">
        <f t="shared" si="19"/>
        <v>2021-4</v>
      </c>
      <c r="K65" s="1178" t="str">
        <f t="shared" si="19"/>
        <v>2021-3</v>
      </c>
      <c r="L65" s="1178" t="str">
        <f t="shared" si="19"/>
        <v>2021-2</v>
      </c>
      <c r="M65" s="1178" t="str">
        <f t="shared" si="19"/>
        <v>2021-1</v>
      </c>
      <c r="N65" s="1178" t="str">
        <f t="shared" si="19"/>
        <v>2020-4</v>
      </c>
      <c r="O65" s="1178" t="str">
        <f t="shared" si="19"/>
        <v>2020-3</v>
      </c>
      <c r="P65" s="2768"/>
      <c r="Q65" s="2733"/>
      <c r="R65" s="2733"/>
      <c r="S65" s="2733"/>
      <c r="T65" s="2733"/>
      <c r="U65" s="2733"/>
      <c r="V65" s="2733"/>
      <c r="W65" s="2733"/>
      <c r="X65" s="2733"/>
      <c r="Y65" s="2733"/>
      <c r="Z65" s="2733"/>
      <c r="AA65" s="2733"/>
      <c r="AB65" s="2733"/>
      <c r="AC65" s="2733"/>
      <c r="AD65" s="2733"/>
      <c r="AE65" s="2733"/>
    </row>
    <row r="66" spans="1:31" s="108" customFormat="1" ht="30.75" customHeight="1">
      <c r="A66" s="1987" t="s">
        <v>1924</v>
      </c>
      <c r="B66" s="285" t="str">
        <f>"北京市平均增长率"&amp;TEXT(基准地价修正!P28,"0.00%")</f>
        <v>北京市平均增长率0.00%</v>
      </c>
      <c r="C66" s="549">
        <v>100</v>
      </c>
      <c r="D66" s="541"/>
      <c r="E66" s="541"/>
      <c r="F66" s="541"/>
      <c r="G66" s="541"/>
      <c r="H66" s="541"/>
      <c r="I66" s="541"/>
      <c r="J66" s="541"/>
      <c r="K66" s="541"/>
      <c r="L66" s="541"/>
      <c r="M66" s="1174"/>
      <c r="N66" s="1174"/>
      <c r="O66" s="1176"/>
      <c r="P66" s="2731"/>
      <c r="Q66" s="2653"/>
      <c r="R66" s="2653"/>
      <c r="S66" s="2653"/>
      <c r="T66" s="2653"/>
      <c r="U66" s="2653"/>
      <c r="V66" s="2653"/>
      <c r="W66" s="2653"/>
      <c r="X66" s="2653"/>
      <c r="Y66" s="2653"/>
      <c r="Z66" s="2653"/>
      <c r="AA66" s="2653"/>
      <c r="AB66" s="2653"/>
      <c r="AC66" s="2653"/>
      <c r="AD66" s="2653"/>
      <c r="AE66" s="2653"/>
    </row>
    <row r="67" spans="1:31" s="108" customFormat="1" ht="15.75" thickBot="1">
      <c r="A67" s="461" t="s">
        <v>1716</v>
      </c>
      <c r="B67" s="462"/>
      <c r="C67" s="463"/>
      <c r="D67" s="464"/>
      <c r="E67" s="464"/>
      <c r="F67" s="464"/>
      <c r="G67" s="464"/>
      <c r="H67" s="464"/>
      <c r="I67" s="464"/>
      <c r="J67" s="464"/>
      <c r="K67" s="464"/>
      <c r="L67" s="464"/>
      <c r="M67" s="465"/>
      <c r="N67" s="465"/>
      <c r="O67" s="466"/>
      <c r="P67" s="2731"/>
      <c r="Q67" s="2731"/>
      <c r="R67" s="2653"/>
      <c r="S67" s="2653"/>
      <c r="T67" s="2653"/>
      <c r="U67" s="2653"/>
      <c r="V67" s="2653"/>
      <c r="W67" s="2653"/>
      <c r="X67" s="2653"/>
      <c r="Y67" s="2653"/>
      <c r="Z67" s="2653"/>
      <c r="AA67" s="2653"/>
      <c r="AB67" s="2653"/>
      <c r="AC67" s="2653"/>
      <c r="AD67" s="2653"/>
      <c r="AE67" s="2653"/>
    </row>
    <row r="68" spans="1:31" s="108" customFormat="1" ht="15">
      <c r="A68" s="467" t="s">
        <v>1681</v>
      </c>
      <c r="B68" s="456"/>
      <c r="C68" s="468" t="s">
        <v>1776</v>
      </c>
      <c r="D68" s="469"/>
      <c r="E68" s="469"/>
      <c r="F68" s="469"/>
      <c r="G68" s="469"/>
      <c r="H68" s="469"/>
      <c r="I68" s="469"/>
      <c r="J68" s="469"/>
      <c r="K68" s="469"/>
      <c r="L68" s="470"/>
      <c r="M68" s="471"/>
      <c r="N68" s="2744"/>
      <c r="O68" s="2744"/>
      <c r="P68" s="2769"/>
      <c r="Q68" s="2731"/>
      <c r="R68" s="2653"/>
      <c r="S68" s="2653"/>
      <c r="T68" s="2653"/>
      <c r="U68" s="2653"/>
      <c r="V68" s="2653"/>
      <c r="W68" s="2653"/>
      <c r="X68" s="2653"/>
      <c r="Y68" s="2653"/>
      <c r="Z68" s="2653"/>
      <c r="AA68" s="2653"/>
      <c r="AB68" s="2653"/>
      <c r="AC68" s="2653"/>
      <c r="AD68" s="2653"/>
      <c r="AE68" s="2653"/>
    </row>
    <row r="69" spans="1:31" s="108" customFormat="1" ht="15.75" thickBot="1">
      <c r="A69" s="467"/>
      <c r="B69" s="456"/>
      <c r="C69" s="584">
        <v>100</v>
      </c>
      <c r="D69" s="458"/>
      <c r="E69" s="458"/>
      <c r="F69" s="458"/>
      <c r="G69" s="458"/>
      <c r="H69" s="458"/>
      <c r="I69" s="458"/>
      <c r="J69" s="458"/>
      <c r="K69" s="458"/>
      <c r="L69" s="458"/>
      <c r="M69" s="460"/>
      <c r="N69" s="2744"/>
      <c r="O69" s="2744"/>
      <c r="P69" s="2731"/>
      <c r="Q69" s="2731"/>
      <c r="R69" s="2653"/>
      <c r="S69" s="2653"/>
      <c r="T69" s="2653"/>
      <c r="U69" s="2653"/>
      <c r="V69" s="2653"/>
      <c r="W69" s="2653"/>
      <c r="X69" s="2653"/>
      <c r="Y69" s="2653"/>
      <c r="Z69" s="2653"/>
      <c r="AA69" s="2653"/>
      <c r="AB69" s="2653"/>
      <c r="AC69" s="2653"/>
      <c r="AD69" s="2653"/>
      <c r="AE69" s="2653"/>
    </row>
    <row r="70" spans="1:31">
      <c r="A70" s="473" t="s">
        <v>1719</v>
      </c>
      <c r="B70" s="474" t="s">
        <v>1685</v>
      </c>
      <c r="C70" s="476"/>
      <c r="D70" s="476"/>
      <c r="E70" s="476"/>
      <c r="F70" s="476"/>
      <c r="G70" s="476"/>
      <c r="H70" s="476"/>
      <c r="I70" s="476"/>
      <c r="J70" s="476"/>
      <c r="K70" s="477"/>
      <c r="L70" s="478"/>
      <c r="M70" s="479"/>
      <c r="N70" s="2745"/>
      <c r="O70" s="2745"/>
      <c r="P70" s="2770"/>
      <c r="Q70" s="2731"/>
      <c r="R70" s="2717"/>
      <c r="S70" s="2717"/>
      <c r="T70" s="2717"/>
      <c r="U70" s="2717"/>
      <c r="V70" s="2717"/>
      <c r="W70" s="2717"/>
      <c r="X70" s="2717"/>
      <c r="Y70" s="2717"/>
      <c r="Z70" s="2717"/>
      <c r="AA70" s="2717"/>
      <c r="AB70" s="2717"/>
      <c r="AC70" s="2717"/>
      <c r="AD70" s="2717"/>
      <c r="AE70" s="2717"/>
    </row>
    <row r="71" spans="1:31" ht="15.75" thickBot="1">
      <c r="A71" s="480"/>
      <c r="B71" s="481"/>
      <c r="C71" s="482"/>
      <c r="D71" s="482"/>
      <c r="E71" s="482"/>
      <c r="F71" s="482"/>
      <c r="G71" s="482"/>
      <c r="H71" s="482"/>
      <c r="I71" s="482"/>
      <c r="J71" s="482"/>
      <c r="K71" s="482"/>
      <c r="L71" s="482"/>
      <c r="M71" s="483"/>
      <c r="N71" s="2746"/>
      <c r="O71" s="2746"/>
      <c r="P71" s="2770"/>
      <c r="Q71" s="2731"/>
      <c r="R71" s="2717"/>
      <c r="S71" s="2717"/>
      <c r="T71" s="2717"/>
      <c r="U71" s="2717"/>
      <c r="V71" s="2717"/>
      <c r="W71" s="2717"/>
      <c r="X71" s="2717"/>
      <c r="Y71" s="2717"/>
      <c r="Z71" s="2717"/>
      <c r="AA71" s="2717"/>
      <c r="AB71" s="2717"/>
      <c r="AC71" s="2717"/>
      <c r="AD71" s="2717"/>
      <c r="AE71" s="2717"/>
    </row>
    <row r="72" spans="1:31" ht="27.75" thickTop="1">
      <c r="A72" s="480"/>
      <c r="B72" s="484" t="s">
        <v>1688</v>
      </c>
      <c r="C72" s="485"/>
      <c r="D72" s="485"/>
      <c r="E72" s="485"/>
      <c r="F72" s="485"/>
      <c r="G72" s="485"/>
      <c r="H72" s="485"/>
      <c r="I72" s="485"/>
      <c r="J72" s="485"/>
      <c r="K72" s="486"/>
      <c r="L72" s="487"/>
      <c r="M72" s="488"/>
      <c r="N72" s="2745"/>
      <c r="O72" s="2745"/>
      <c r="P72" s="2770"/>
      <c r="Q72" s="2731"/>
      <c r="R72" s="2717"/>
      <c r="S72" s="2717"/>
      <c r="T72" s="2717"/>
      <c r="U72" s="2717"/>
      <c r="V72" s="2717"/>
      <c r="W72" s="2717"/>
      <c r="X72" s="2717"/>
      <c r="Y72" s="2717"/>
      <c r="Z72" s="2717"/>
      <c r="AA72" s="2717"/>
      <c r="AB72" s="2717"/>
      <c r="AC72" s="2717"/>
      <c r="AD72" s="2717"/>
      <c r="AE72" s="2717"/>
    </row>
    <row r="73" spans="1:31" ht="15.75" thickBot="1">
      <c r="A73" s="480"/>
      <c r="B73" s="489"/>
      <c r="C73" s="490"/>
      <c r="D73" s="490"/>
      <c r="E73" s="490"/>
      <c r="F73" s="490"/>
      <c r="G73" s="490"/>
      <c r="H73" s="490"/>
      <c r="I73" s="490"/>
      <c r="J73" s="490"/>
      <c r="K73" s="490"/>
      <c r="L73" s="490"/>
      <c r="M73" s="491"/>
      <c r="N73" s="2746"/>
      <c r="O73" s="2746"/>
      <c r="P73" s="2770"/>
      <c r="Q73" s="2731"/>
      <c r="R73" s="2717"/>
      <c r="S73" s="2717"/>
      <c r="T73" s="2717"/>
      <c r="U73" s="2717"/>
      <c r="V73" s="2717"/>
      <c r="W73" s="2717"/>
      <c r="X73" s="2717"/>
      <c r="Y73" s="2717"/>
      <c r="Z73" s="2717"/>
      <c r="AA73" s="2717"/>
      <c r="AB73" s="2717"/>
      <c r="AC73" s="2717"/>
      <c r="AD73" s="2717"/>
      <c r="AE73" s="2717"/>
    </row>
    <row r="74" spans="1:31" ht="15.75" thickTop="1">
      <c r="A74" s="480"/>
      <c r="B74" s="492" t="s">
        <v>1689</v>
      </c>
      <c r="C74" s="493" t="str">
        <f>C75&amp;"（含）"&amp;"-"&amp;D75</f>
        <v>（含）-</v>
      </c>
      <c r="D74" s="493" t="str">
        <f t="shared" ref="D74:L74" si="20">D75&amp;"（含）"&amp;"-"&amp;E75</f>
        <v>（含）-</v>
      </c>
      <c r="E74" s="493" t="str">
        <f t="shared" si="20"/>
        <v>（含）-</v>
      </c>
      <c r="F74" s="493" t="str">
        <f t="shared" si="20"/>
        <v>（含）-</v>
      </c>
      <c r="G74" s="493" t="str">
        <f t="shared" si="20"/>
        <v>（含）-</v>
      </c>
      <c r="H74" s="493" t="str">
        <f t="shared" si="20"/>
        <v>（含）-</v>
      </c>
      <c r="I74" s="493" t="str">
        <f t="shared" si="20"/>
        <v>（含）-</v>
      </c>
      <c r="J74" s="493" t="str">
        <f t="shared" si="20"/>
        <v>（含）-</v>
      </c>
      <c r="K74" s="493" t="str">
        <f t="shared" si="20"/>
        <v>（含）-</v>
      </c>
      <c r="L74" s="493" t="str">
        <f t="shared" si="20"/>
        <v>（含）-</v>
      </c>
      <c r="M74" s="396" t="str">
        <f>M75&amp;"（含）"&amp;"-"&amp;P75</f>
        <v>（含）-</v>
      </c>
      <c r="N74" s="2746"/>
      <c r="O74" s="2746"/>
      <c r="P74" s="2770"/>
      <c r="Q74" s="2731"/>
      <c r="R74" s="2717"/>
      <c r="S74" s="2717"/>
      <c r="T74" s="2717"/>
      <c r="U74" s="2717"/>
      <c r="V74" s="2717"/>
      <c r="W74" s="2717"/>
      <c r="X74" s="2717"/>
      <c r="Y74" s="2717"/>
      <c r="Z74" s="2717"/>
      <c r="AA74" s="2717"/>
      <c r="AB74" s="2717"/>
      <c r="AC74" s="2717"/>
      <c r="AD74" s="2717"/>
      <c r="AE74" s="2717"/>
    </row>
    <row r="75" spans="1:31" ht="15">
      <c r="A75" s="480"/>
      <c r="B75" s="494"/>
      <c r="C75" s="495"/>
      <c r="D75" s="495"/>
      <c r="E75" s="495"/>
      <c r="F75" s="495"/>
      <c r="G75" s="495"/>
      <c r="H75" s="495"/>
      <c r="I75" s="495"/>
      <c r="J75" s="495"/>
      <c r="K75" s="496"/>
      <c r="L75" s="497"/>
      <c r="M75" s="498"/>
      <c r="N75" s="2745"/>
      <c r="O75" s="2745"/>
      <c r="P75" s="2770"/>
      <c r="Q75" s="2731"/>
      <c r="R75" s="2717"/>
      <c r="S75" s="2717"/>
      <c r="T75" s="2717"/>
      <c r="U75" s="2717"/>
      <c r="V75" s="2717"/>
      <c r="W75" s="2717"/>
      <c r="X75" s="2717"/>
      <c r="Y75" s="2717"/>
      <c r="Z75" s="2717"/>
      <c r="AA75" s="2717"/>
      <c r="AB75" s="2717"/>
      <c r="AC75" s="2717"/>
      <c r="AD75" s="2717"/>
      <c r="AE75" s="2717"/>
    </row>
    <row r="76" spans="1:31" ht="15.75" thickBot="1">
      <c r="A76" s="480"/>
      <c r="B76" s="481"/>
      <c r="C76" s="490">
        <v>100</v>
      </c>
      <c r="D76" s="490">
        <f>IF($B$41="单位面积地价",C76+$K11,C76-$K11)</f>
        <v>100</v>
      </c>
      <c r="E76" s="490">
        <f t="shared" ref="E76:M76" si="21">IF($B$41="单位面积地价",D76+$K11,D76-$K11)</f>
        <v>100</v>
      </c>
      <c r="F76" s="490">
        <f t="shared" si="21"/>
        <v>100</v>
      </c>
      <c r="G76" s="490">
        <f t="shared" si="21"/>
        <v>100</v>
      </c>
      <c r="H76" s="490">
        <f t="shared" si="21"/>
        <v>100</v>
      </c>
      <c r="I76" s="490">
        <f t="shared" si="21"/>
        <v>100</v>
      </c>
      <c r="J76" s="490">
        <f t="shared" si="21"/>
        <v>100</v>
      </c>
      <c r="K76" s="490">
        <f t="shared" si="21"/>
        <v>100</v>
      </c>
      <c r="L76" s="490">
        <f t="shared" si="21"/>
        <v>100</v>
      </c>
      <c r="M76" s="490">
        <f t="shared" si="21"/>
        <v>100</v>
      </c>
      <c r="N76" s="2746"/>
      <c r="O76" s="2746"/>
      <c r="P76" s="2770"/>
      <c r="Q76" s="2731"/>
      <c r="R76" s="2717"/>
      <c r="S76" s="2717"/>
      <c r="T76" s="2717"/>
      <c r="U76" s="2717"/>
      <c r="V76" s="2717"/>
      <c r="W76" s="2717"/>
      <c r="X76" s="2717"/>
      <c r="Y76" s="2717"/>
      <c r="Z76" s="2717"/>
      <c r="AA76" s="2717"/>
      <c r="AB76" s="2717"/>
      <c r="AC76" s="2717"/>
      <c r="AD76" s="2717"/>
      <c r="AE76" s="2717"/>
    </row>
    <row r="77" spans="1:31" s="419" customFormat="1" ht="15.75" thickTop="1">
      <c r="A77" s="499"/>
      <c r="B77" s="484">
        <f>B12</f>
        <v>111</v>
      </c>
      <c r="C77" s="500"/>
      <c r="D77" s="500"/>
      <c r="E77" s="500"/>
      <c r="F77" s="500"/>
      <c r="G77" s="500"/>
      <c r="H77" s="501"/>
      <c r="I77" s="501"/>
      <c r="J77" s="501"/>
      <c r="K77" s="501"/>
      <c r="L77" s="502"/>
      <c r="M77" s="503"/>
      <c r="N77" s="2747"/>
      <c r="O77" s="2747"/>
      <c r="P77" s="2771"/>
      <c r="Q77" s="2738"/>
      <c r="R77" s="2739"/>
      <c r="S77" s="2739"/>
      <c r="T77" s="2739"/>
      <c r="U77" s="2739"/>
      <c r="V77" s="2739"/>
      <c r="W77" s="2739"/>
      <c r="X77" s="2739"/>
      <c r="Y77" s="2739"/>
      <c r="Z77" s="2739"/>
      <c r="AA77" s="2739"/>
      <c r="AB77" s="2739"/>
      <c r="AC77" s="2739"/>
      <c r="AD77" s="2739"/>
      <c r="AE77" s="2739"/>
    </row>
    <row r="78" spans="1:31" s="419" customFormat="1" ht="15.75" thickBot="1">
      <c r="A78" s="499"/>
      <c r="B78" s="489"/>
      <c r="C78" s="506"/>
      <c r="D78" s="482"/>
      <c r="E78" s="482"/>
      <c r="F78" s="482"/>
      <c r="G78" s="482"/>
      <c r="H78" s="482"/>
      <c r="I78" s="482"/>
      <c r="J78" s="482"/>
      <c r="K78" s="482"/>
      <c r="L78" s="482"/>
      <c r="M78" s="483"/>
      <c r="N78" s="2746"/>
      <c r="O78" s="2746"/>
      <c r="P78" s="2771"/>
      <c r="Q78" s="2738"/>
      <c r="R78" s="2739"/>
      <c r="S78" s="2739"/>
      <c r="T78" s="2739"/>
      <c r="U78" s="2739"/>
      <c r="V78" s="2739"/>
      <c r="W78" s="2739"/>
      <c r="X78" s="2739"/>
      <c r="Y78" s="2739"/>
      <c r="Z78" s="2739"/>
      <c r="AA78" s="2739"/>
      <c r="AB78" s="2739"/>
      <c r="AC78" s="2739"/>
      <c r="AD78" s="2739"/>
      <c r="AE78" s="2739"/>
    </row>
    <row r="79" spans="1:31" s="419" customFormat="1" ht="15.75" thickTop="1">
      <c r="A79" s="499"/>
      <c r="B79" s="484">
        <f>B13</f>
        <v>111</v>
      </c>
      <c r="C79" s="500"/>
      <c r="D79" s="500"/>
      <c r="E79" s="500"/>
      <c r="F79" s="500"/>
      <c r="G79" s="500"/>
      <c r="H79" s="501"/>
      <c r="I79" s="501"/>
      <c r="J79" s="501"/>
      <c r="K79" s="501"/>
      <c r="L79" s="502"/>
      <c r="M79" s="503"/>
      <c r="N79" s="2747"/>
      <c r="O79" s="2747"/>
      <c r="P79" s="2715"/>
      <c r="Q79" s="2741"/>
      <c r="R79" s="2739"/>
      <c r="S79" s="2739"/>
      <c r="T79" s="2739"/>
      <c r="U79" s="2739"/>
      <c r="V79" s="2739"/>
      <c r="W79" s="2739"/>
      <c r="X79" s="2739"/>
      <c r="Y79" s="2739"/>
      <c r="Z79" s="2739"/>
      <c r="AA79" s="2739"/>
      <c r="AB79" s="2739"/>
      <c r="AC79" s="2739"/>
      <c r="AD79" s="2739"/>
      <c r="AE79" s="2739"/>
    </row>
    <row r="80" spans="1:31" s="419" customFormat="1" ht="15.75" thickBot="1">
      <c r="A80" s="499"/>
      <c r="B80" s="489"/>
      <c r="C80" s="506"/>
      <c r="D80" s="506"/>
      <c r="E80" s="506"/>
      <c r="F80" s="506"/>
      <c r="G80" s="506"/>
      <c r="H80" s="508"/>
      <c r="I80" s="508"/>
      <c r="J80" s="508"/>
      <c r="K80" s="508"/>
      <c r="L80" s="508"/>
      <c r="M80" s="509"/>
      <c r="N80" s="2747"/>
      <c r="O80" s="2747"/>
      <c r="P80" s="2771"/>
      <c r="Q80" s="2738"/>
      <c r="R80" s="2739"/>
      <c r="S80" s="2739"/>
      <c r="T80" s="2739"/>
      <c r="U80" s="2739"/>
      <c r="V80" s="2739"/>
      <c r="W80" s="2739"/>
      <c r="X80" s="2739"/>
      <c r="Y80" s="2739"/>
      <c r="Z80" s="2739"/>
      <c r="AA80" s="2739"/>
      <c r="AB80" s="2739"/>
      <c r="AC80" s="2739"/>
      <c r="AD80" s="2739"/>
      <c r="AE80" s="2739"/>
    </row>
    <row r="81" spans="1:31" s="419" customFormat="1" ht="15.75" thickTop="1">
      <c r="A81" s="499"/>
      <c r="B81" s="492">
        <f>B14</f>
        <v>111</v>
      </c>
      <c r="C81" s="469"/>
      <c r="D81" s="469"/>
      <c r="E81" s="469"/>
      <c r="F81" s="469"/>
      <c r="G81" s="469"/>
      <c r="H81" s="510"/>
      <c r="I81" s="510"/>
      <c r="J81" s="510"/>
      <c r="K81" s="510"/>
      <c r="L81" s="511"/>
      <c r="M81" s="512"/>
      <c r="N81" s="2747"/>
      <c r="O81" s="2747"/>
      <c r="P81" s="2776"/>
      <c r="Q81" s="2738"/>
      <c r="R81" s="2739"/>
      <c r="S81" s="2739"/>
      <c r="T81" s="2739"/>
      <c r="U81" s="2739"/>
      <c r="V81" s="2739"/>
      <c r="W81" s="2739"/>
      <c r="X81" s="2739"/>
      <c r="Y81" s="2739"/>
      <c r="Z81" s="2739"/>
      <c r="AA81" s="2739"/>
      <c r="AB81" s="2739"/>
      <c r="AC81" s="2739"/>
      <c r="AD81" s="2739"/>
      <c r="AE81" s="2739"/>
    </row>
    <row r="82" spans="1:31" s="419" customFormat="1" ht="15.75" thickBot="1">
      <c r="A82" s="514"/>
      <c r="B82" s="515"/>
      <c r="C82" s="516"/>
      <c r="D82" s="516"/>
      <c r="E82" s="516"/>
      <c r="F82" s="516"/>
      <c r="G82" s="516"/>
      <c r="H82" s="517"/>
      <c r="I82" s="517"/>
      <c r="J82" s="517"/>
      <c r="K82" s="517"/>
      <c r="L82" s="517"/>
      <c r="M82" s="518"/>
      <c r="N82" s="2747"/>
      <c r="O82" s="2747"/>
      <c r="P82" s="2771"/>
      <c r="Q82" s="2738"/>
      <c r="R82" s="2739"/>
      <c r="S82" s="2739"/>
      <c r="T82" s="2739"/>
      <c r="U82" s="2739"/>
      <c r="V82" s="2739"/>
      <c r="W82" s="2739"/>
      <c r="X82" s="2739"/>
      <c r="Y82" s="2739"/>
      <c r="Z82" s="2739"/>
      <c r="AA82" s="2739"/>
      <c r="AB82" s="2739"/>
      <c r="AC82" s="2739"/>
      <c r="AD82" s="2739"/>
      <c r="AE82" s="2739"/>
    </row>
    <row r="83" spans="1:31">
      <c r="A83" s="473" t="s">
        <v>1690</v>
      </c>
      <c r="B83" s="474" t="s">
        <v>1829</v>
      </c>
      <c r="C83" s="519" t="s">
        <v>1721</v>
      </c>
      <c r="D83" s="519" t="s">
        <v>1722</v>
      </c>
      <c r="E83" s="519" t="s">
        <v>1723</v>
      </c>
      <c r="F83" s="519" t="s">
        <v>1724</v>
      </c>
      <c r="G83" s="519" t="s">
        <v>1725</v>
      </c>
      <c r="H83" s="475"/>
      <c r="I83" s="475"/>
      <c r="J83" s="475"/>
      <c r="K83" s="520"/>
      <c r="L83" s="521"/>
      <c r="M83" s="522"/>
      <c r="N83" s="2745"/>
      <c r="O83" s="2745"/>
      <c r="P83" s="2772"/>
      <c r="Q83" s="2731"/>
      <c r="R83" s="2717"/>
      <c r="S83" s="2717"/>
      <c r="T83" s="2717"/>
      <c r="U83" s="2717"/>
      <c r="V83" s="2717"/>
      <c r="W83" s="2717"/>
      <c r="X83" s="2717"/>
      <c r="Y83" s="2717"/>
      <c r="Z83" s="2717"/>
      <c r="AA83" s="2717"/>
      <c r="AB83" s="2717"/>
      <c r="AC83" s="2717"/>
      <c r="AD83" s="2717"/>
      <c r="AE83" s="2717"/>
    </row>
    <row r="84" spans="1:31" ht="15.75" thickBot="1">
      <c r="A84" s="480"/>
      <c r="B84" s="489"/>
      <c r="C84" s="490">
        <v>100</v>
      </c>
      <c r="D84" s="490">
        <f>C84-$K15</f>
        <v>100</v>
      </c>
      <c r="E84" s="490">
        <f>D84-$K15</f>
        <v>100</v>
      </c>
      <c r="F84" s="490">
        <f>E84-$K15</f>
        <v>100</v>
      </c>
      <c r="G84" s="490">
        <f>F84-$K15</f>
        <v>100</v>
      </c>
      <c r="H84" s="490"/>
      <c r="I84" s="490"/>
      <c r="J84" s="490"/>
      <c r="K84" s="490"/>
      <c r="L84" s="490"/>
      <c r="M84" s="491"/>
      <c r="N84" s="2746"/>
      <c r="O84" s="2746"/>
      <c r="P84" s="2770"/>
      <c r="Q84" s="2731"/>
      <c r="R84" s="2717"/>
      <c r="S84" s="2717"/>
      <c r="T84" s="2717"/>
      <c r="U84" s="2717"/>
      <c r="V84" s="2717"/>
      <c r="W84" s="2717"/>
      <c r="X84" s="2717"/>
      <c r="Y84" s="2717"/>
      <c r="Z84" s="2717"/>
      <c r="AA84" s="2717"/>
      <c r="AB84" s="2717"/>
      <c r="AC84" s="2717"/>
      <c r="AD84" s="2717"/>
      <c r="AE84" s="2717"/>
    </row>
    <row r="85" spans="1:31" ht="15.75" thickTop="1">
      <c r="A85" s="480"/>
      <c r="B85" s="484" t="s">
        <v>1726</v>
      </c>
      <c r="C85" s="524" t="s">
        <v>1721</v>
      </c>
      <c r="D85" s="524" t="s">
        <v>1722</v>
      </c>
      <c r="E85" s="524" t="s">
        <v>1723</v>
      </c>
      <c r="F85" s="524" t="s">
        <v>1724</v>
      </c>
      <c r="G85" s="524" t="s">
        <v>1725</v>
      </c>
      <c r="H85" s="485"/>
      <c r="I85" s="485"/>
      <c r="J85" s="485"/>
      <c r="K85" s="486"/>
      <c r="L85" s="487"/>
      <c r="M85" s="488"/>
      <c r="N85" s="2745"/>
      <c r="O85" s="2745"/>
      <c r="P85" s="2770"/>
      <c r="Q85" s="2731"/>
      <c r="R85" s="2717"/>
      <c r="S85" s="2717"/>
      <c r="T85" s="2717"/>
      <c r="U85" s="2717"/>
      <c r="V85" s="2717"/>
      <c r="W85" s="2717"/>
      <c r="X85" s="2717"/>
      <c r="Y85" s="2717"/>
      <c r="Z85" s="2717"/>
      <c r="AA85" s="2717"/>
      <c r="AB85" s="2717"/>
      <c r="AC85" s="2717"/>
      <c r="AD85" s="2717"/>
      <c r="AE85" s="2717"/>
    </row>
    <row r="86" spans="1:31" ht="15.75" thickBot="1">
      <c r="A86" s="480"/>
      <c r="B86" s="489"/>
      <c r="C86" s="490">
        <v>100</v>
      </c>
      <c r="D86" s="490">
        <f>C86-$K17</f>
        <v>100</v>
      </c>
      <c r="E86" s="490">
        <f>D86-$K17</f>
        <v>100</v>
      </c>
      <c r="F86" s="490">
        <f>E86-$K17</f>
        <v>100</v>
      </c>
      <c r="G86" s="490">
        <f>F86-$K17</f>
        <v>100</v>
      </c>
      <c r="H86" s="490"/>
      <c r="I86" s="490"/>
      <c r="J86" s="490"/>
      <c r="K86" s="490"/>
      <c r="L86" s="490"/>
      <c r="M86" s="491"/>
      <c r="N86" s="2746"/>
      <c r="O86" s="2746"/>
      <c r="P86" s="2770"/>
      <c r="Q86" s="2731"/>
      <c r="R86" s="2717"/>
      <c r="S86" s="2717"/>
      <c r="T86" s="2717"/>
      <c r="U86" s="2717"/>
      <c r="V86" s="2717"/>
      <c r="W86" s="2717"/>
      <c r="X86" s="2717"/>
      <c r="Y86" s="2717"/>
      <c r="Z86" s="2717"/>
      <c r="AA86" s="2717"/>
      <c r="AB86" s="2717"/>
      <c r="AC86" s="2717"/>
      <c r="AD86" s="2717"/>
      <c r="AE86" s="2717"/>
    </row>
    <row r="87" spans="1:31" s="108" customFormat="1" ht="15.75" thickTop="1">
      <c r="A87" s="525"/>
      <c r="B87" s="484" t="s">
        <v>1907</v>
      </c>
      <c r="C87" s="519" t="s">
        <v>1721</v>
      </c>
      <c r="D87" s="519" t="s">
        <v>1722</v>
      </c>
      <c r="E87" s="519" t="s">
        <v>1723</v>
      </c>
      <c r="F87" s="519" t="s">
        <v>1724</v>
      </c>
      <c r="G87" s="519" t="s">
        <v>1725</v>
      </c>
      <c r="H87" s="524"/>
      <c r="I87" s="524"/>
      <c r="J87" s="524"/>
      <c r="K87" s="524"/>
      <c r="L87" s="643"/>
      <c r="M87" s="567"/>
      <c r="N87" s="2744"/>
      <c r="O87" s="2744"/>
      <c r="P87" s="2770"/>
      <c r="Q87" s="2731"/>
      <c r="R87" s="2653"/>
      <c r="S87" s="2653"/>
      <c r="T87" s="2653"/>
      <c r="U87" s="2653"/>
      <c r="V87" s="2653"/>
      <c r="W87" s="2653"/>
      <c r="X87" s="2653"/>
      <c r="Y87" s="2653"/>
      <c r="Z87" s="2653"/>
      <c r="AA87" s="2653"/>
      <c r="AB87" s="2653"/>
      <c r="AC87" s="2653"/>
      <c r="AD87" s="2653"/>
      <c r="AE87" s="2653"/>
    </row>
    <row r="88" spans="1:31" s="108" customFormat="1" ht="15.75" thickBot="1">
      <c r="A88" s="525"/>
      <c r="B88" s="489"/>
      <c r="C88" s="528">
        <v>100</v>
      </c>
      <c r="D88" s="490">
        <f>C88-$K19</f>
        <v>100</v>
      </c>
      <c r="E88" s="490">
        <f>D88-$K19</f>
        <v>100</v>
      </c>
      <c r="F88" s="490">
        <f>E88-$K19</f>
        <v>100</v>
      </c>
      <c r="G88" s="490">
        <f>F88-$K19</f>
        <v>100</v>
      </c>
      <c r="H88" s="490"/>
      <c r="I88" s="490"/>
      <c r="J88" s="490"/>
      <c r="K88" s="490"/>
      <c r="L88" s="490"/>
      <c r="M88" s="491"/>
      <c r="N88" s="2746"/>
      <c r="O88" s="2746"/>
      <c r="P88" s="2770"/>
      <c r="Q88" s="2731"/>
      <c r="R88" s="2653"/>
      <c r="S88" s="2653"/>
      <c r="T88" s="2653"/>
      <c r="U88" s="2653"/>
      <c r="V88" s="2653"/>
      <c r="W88" s="2653"/>
      <c r="X88" s="2653"/>
      <c r="Y88" s="2653"/>
      <c r="Z88" s="2653"/>
      <c r="AA88" s="2653"/>
      <c r="AB88" s="2653"/>
      <c r="AC88" s="2653"/>
      <c r="AD88" s="2653"/>
      <c r="AE88" s="2653"/>
    </row>
    <row r="89" spans="1:31" s="108" customFormat="1" ht="27.75" thickTop="1">
      <c r="A89" s="525"/>
      <c r="B89" s="484" t="s">
        <v>1908</v>
      </c>
      <c r="C89" s="519" t="s">
        <v>1721</v>
      </c>
      <c r="D89" s="519" t="s">
        <v>1722</v>
      </c>
      <c r="E89" s="519" t="s">
        <v>1723</v>
      </c>
      <c r="F89" s="519" t="s">
        <v>1724</v>
      </c>
      <c r="G89" s="519" t="s">
        <v>1725</v>
      </c>
      <c r="H89" s="524"/>
      <c r="I89" s="524"/>
      <c r="J89" s="524"/>
      <c r="K89" s="524"/>
      <c r="L89" s="524"/>
      <c r="M89" s="567"/>
      <c r="N89" s="2744"/>
      <c r="O89" s="2744"/>
      <c r="P89" s="2770"/>
      <c r="Q89" s="2731"/>
      <c r="R89" s="2653"/>
      <c r="S89" s="2653"/>
      <c r="T89" s="2653"/>
      <c r="U89" s="2653"/>
      <c r="V89" s="2653"/>
      <c r="W89" s="2653"/>
      <c r="X89" s="2653"/>
      <c r="Y89" s="2653"/>
      <c r="Z89" s="2653"/>
      <c r="AA89" s="2653"/>
      <c r="AB89" s="2653"/>
      <c r="AC89" s="2653"/>
      <c r="AD89" s="2653"/>
      <c r="AE89" s="2653"/>
    </row>
    <row r="90" spans="1:31" s="108" customFormat="1" ht="15.75" thickBot="1">
      <c r="A90" s="525"/>
      <c r="B90" s="489"/>
      <c r="C90" s="490">
        <v>100</v>
      </c>
      <c r="D90" s="490">
        <f>C90-$K21</f>
        <v>100</v>
      </c>
      <c r="E90" s="490">
        <f>D90-$K21</f>
        <v>100</v>
      </c>
      <c r="F90" s="490">
        <f>E90-$K21</f>
        <v>100</v>
      </c>
      <c r="G90" s="490">
        <f>F90-$K21</f>
        <v>100</v>
      </c>
      <c r="H90" s="490"/>
      <c r="I90" s="490"/>
      <c r="J90" s="490"/>
      <c r="K90" s="490"/>
      <c r="L90" s="490"/>
      <c r="M90" s="491"/>
      <c r="N90" s="2746"/>
      <c r="O90" s="2746"/>
      <c r="P90" s="2770"/>
      <c r="Q90" s="2731"/>
      <c r="R90" s="2653"/>
      <c r="S90" s="2653"/>
      <c r="T90" s="2653"/>
      <c r="U90" s="2653"/>
      <c r="V90" s="2653"/>
      <c r="W90" s="2653"/>
      <c r="X90" s="2653"/>
      <c r="Y90" s="2653"/>
      <c r="Z90" s="2653"/>
      <c r="AA90" s="2653"/>
      <c r="AB90" s="2653"/>
      <c r="AC90" s="2653"/>
      <c r="AD90" s="2653"/>
      <c r="AE90" s="2653"/>
    </row>
    <row r="91" spans="1:31" s="419" customFormat="1" ht="15.75" thickTop="1">
      <c r="A91" s="499"/>
      <c r="B91" s="484" t="s">
        <v>1778</v>
      </c>
      <c r="C91" s="519" t="s">
        <v>1721</v>
      </c>
      <c r="D91" s="519" t="s">
        <v>1722</v>
      </c>
      <c r="E91" s="519" t="s">
        <v>1723</v>
      </c>
      <c r="F91" s="519" t="s">
        <v>1724</v>
      </c>
      <c r="G91" s="519" t="s">
        <v>1725</v>
      </c>
      <c r="H91" s="546"/>
      <c r="I91" s="546"/>
      <c r="J91" s="546"/>
      <c r="K91" s="546"/>
      <c r="L91" s="547"/>
      <c r="M91" s="548"/>
      <c r="N91" s="2747"/>
      <c r="O91" s="2747"/>
      <c r="P91" s="2771"/>
      <c r="Q91" s="2738"/>
      <c r="R91" s="2739"/>
      <c r="S91" s="2739"/>
      <c r="T91" s="2739"/>
      <c r="U91" s="2739"/>
      <c r="V91" s="2739"/>
      <c r="W91" s="2739"/>
      <c r="X91" s="2739"/>
      <c r="Y91" s="2739"/>
      <c r="Z91" s="2739"/>
      <c r="AA91" s="2739"/>
      <c r="AB91" s="2739"/>
      <c r="AC91" s="2739"/>
      <c r="AD91" s="2739"/>
      <c r="AE91" s="2739"/>
    </row>
    <row r="92" spans="1:31" s="419" customFormat="1" ht="15.75" thickBot="1">
      <c r="A92" s="499"/>
      <c r="B92" s="489"/>
      <c r="C92" s="490">
        <v>100</v>
      </c>
      <c r="D92" s="490">
        <f>C92-$K23</f>
        <v>100</v>
      </c>
      <c r="E92" s="490">
        <f>D92-$K23</f>
        <v>100</v>
      </c>
      <c r="F92" s="490">
        <f>E92-$K23</f>
        <v>100</v>
      </c>
      <c r="G92" s="490">
        <f>F92-$K23</f>
        <v>100</v>
      </c>
      <c r="H92" s="553"/>
      <c r="I92" s="553"/>
      <c r="J92" s="553"/>
      <c r="K92" s="553"/>
      <c r="L92" s="553"/>
      <c r="M92" s="554"/>
      <c r="N92" s="2747"/>
      <c r="O92" s="2747"/>
      <c r="P92" s="2771"/>
      <c r="Q92" s="2738"/>
      <c r="R92" s="2739"/>
      <c r="S92" s="2739"/>
      <c r="T92" s="2739"/>
      <c r="U92" s="2739"/>
      <c r="V92" s="2739"/>
      <c r="W92" s="2739"/>
      <c r="X92" s="2739"/>
      <c r="Y92" s="2739"/>
      <c r="Z92" s="2739"/>
      <c r="AA92" s="2739"/>
      <c r="AB92" s="2739"/>
      <c r="AC92" s="2739"/>
      <c r="AD92" s="2739"/>
      <c r="AE92" s="2739"/>
    </row>
    <row r="93" spans="1:31" s="419" customFormat="1" ht="15.75" thickTop="1">
      <c r="A93" s="499"/>
      <c r="B93" s="492" t="s">
        <v>1925</v>
      </c>
      <c r="C93" s="605" t="s">
        <v>1799</v>
      </c>
      <c r="D93" s="605" t="s">
        <v>1800</v>
      </c>
      <c r="E93" s="605" t="s">
        <v>1801</v>
      </c>
      <c r="F93" s="605" t="s">
        <v>1802</v>
      </c>
      <c r="G93" s="605" t="s">
        <v>1803</v>
      </c>
      <c r="H93" s="546"/>
      <c r="I93" s="546"/>
      <c r="J93" s="546"/>
      <c r="K93" s="546"/>
      <c r="L93" s="546"/>
      <c r="M93" s="548"/>
      <c r="N93" s="2747"/>
      <c r="O93" s="2747"/>
      <c r="P93" s="2771"/>
      <c r="Q93" s="2738"/>
      <c r="R93" s="2739"/>
      <c r="S93" s="2739"/>
      <c r="T93" s="2739"/>
      <c r="U93" s="2739"/>
      <c r="V93" s="2739"/>
      <c r="W93" s="2739"/>
      <c r="X93" s="2739"/>
      <c r="Y93" s="2739"/>
      <c r="Z93" s="2739"/>
      <c r="AA93" s="2739"/>
      <c r="AB93" s="2739"/>
      <c r="AC93" s="2739"/>
      <c r="AD93" s="2739"/>
      <c r="AE93" s="2739"/>
    </row>
    <row r="94" spans="1:31" s="419" customFormat="1" ht="15.75" thickBot="1">
      <c r="A94" s="499"/>
      <c r="B94" s="492"/>
      <c r="C94" s="490">
        <v>100</v>
      </c>
      <c r="D94" s="490">
        <f>C94-$K25</f>
        <v>100</v>
      </c>
      <c r="E94" s="490">
        <f>D94-$K25</f>
        <v>100</v>
      </c>
      <c r="F94" s="490">
        <f>E94-$K25</f>
        <v>100</v>
      </c>
      <c r="G94" s="490">
        <f>F94-$K25</f>
        <v>100</v>
      </c>
      <c r="H94" s="494"/>
      <c r="I94" s="494"/>
      <c r="J94" s="494"/>
      <c r="K94" s="494"/>
      <c r="L94" s="494"/>
      <c r="M94" s="1128"/>
      <c r="N94" s="2747"/>
      <c r="O94" s="2747"/>
      <c r="P94" s="2771"/>
      <c r="Q94" s="2738"/>
      <c r="R94" s="2739"/>
      <c r="S94" s="2739"/>
      <c r="T94" s="2739"/>
      <c r="U94" s="2739"/>
      <c r="V94" s="2739"/>
      <c r="W94" s="2739"/>
      <c r="X94" s="2739"/>
      <c r="Y94" s="2739"/>
      <c r="Z94" s="2739"/>
      <c r="AA94" s="2739"/>
      <c r="AB94" s="2739"/>
      <c r="AC94" s="2739"/>
      <c r="AD94" s="2739"/>
      <c r="AE94" s="2739"/>
    </row>
    <row r="95" spans="1:31" ht="15.75" thickTop="1">
      <c r="A95" s="480"/>
      <c r="B95" s="484" t="str">
        <f>B27</f>
        <v>临街状况</v>
      </c>
      <c r="C95" s="485" t="s">
        <v>1909</v>
      </c>
      <c r="D95" s="485" t="s">
        <v>1910</v>
      </c>
      <c r="E95" s="485" t="s">
        <v>1911</v>
      </c>
      <c r="F95" s="485" t="s">
        <v>1912</v>
      </c>
      <c r="G95" s="485"/>
      <c r="H95" s="485"/>
      <c r="I95" s="485"/>
      <c r="J95" s="485"/>
      <c r="K95" s="486"/>
      <c r="L95" s="487"/>
      <c r="M95" s="488"/>
      <c r="N95" s="2745"/>
      <c r="O95" s="2745"/>
      <c r="P95" s="2770"/>
      <c r="Q95" s="2731"/>
      <c r="R95" s="2717"/>
      <c r="S95" s="2717"/>
      <c r="T95" s="2717"/>
      <c r="U95" s="2717"/>
      <c r="V95" s="2717"/>
      <c r="W95" s="2717"/>
      <c r="X95" s="2717"/>
      <c r="Y95" s="2717"/>
      <c r="Z95" s="2717"/>
      <c r="AA95" s="2717"/>
      <c r="AB95" s="2717"/>
      <c r="AC95" s="2717"/>
      <c r="AD95" s="2717"/>
      <c r="AE95" s="2717"/>
    </row>
    <row r="96" spans="1:31" ht="15.75" thickBot="1">
      <c r="A96" s="480"/>
      <c r="B96" s="489"/>
      <c r="C96" s="490">
        <v>100</v>
      </c>
      <c r="D96" s="490">
        <f t="shared" ref="D96:M96" si="22">C96-$K27</f>
        <v>100</v>
      </c>
      <c r="E96" s="490">
        <f t="shared" si="22"/>
        <v>100</v>
      </c>
      <c r="F96" s="490">
        <f t="shared" si="22"/>
        <v>100</v>
      </c>
      <c r="G96" s="490">
        <f t="shared" si="22"/>
        <v>100</v>
      </c>
      <c r="H96" s="490">
        <f t="shared" si="22"/>
        <v>100</v>
      </c>
      <c r="I96" s="490">
        <f t="shared" si="22"/>
        <v>100</v>
      </c>
      <c r="J96" s="490">
        <f t="shared" si="22"/>
        <v>100</v>
      </c>
      <c r="K96" s="490">
        <f t="shared" si="22"/>
        <v>100</v>
      </c>
      <c r="L96" s="490">
        <f t="shared" si="22"/>
        <v>100</v>
      </c>
      <c r="M96" s="490">
        <f t="shared" si="22"/>
        <v>100</v>
      </c>
      <c r="N96" s="2746"/>
      <c r="O96" s="2746"/>
      <c r="P96" s="2770"/>
      <c r="Q96" s="2731"/>
      <c r="R96" s="2717"/>
      <c r="S96" s="2717"/>
      <c r="T96" s="2717"/>
      <c r="U96" s="2717"/>
      <c r="V96" s="2717"/>
      <c r="W96" s="2717"/>
      <c r="X96" s="2717"/>
      <c r="Y96" s="2717"/>
      <c r="Z96" s="2717"/>
      <c r="AA96" s="2717"/>
      <c r="AB96" s="2717"/>
      <c r="AC96" s="2717"/>
      <c r="AD96" s="2717"/>
      <c r="AE96" s="2717"/>
    </row>
    <row r="97" spans="1:31" ht="27.75" thickTop="1">
      <c r="A97" s="480"/>
      <c r="B97" s="484" t="s">
        <v>1815</v>
      </c>
      <c r="C97" s="500"/>
      <c r="D97" s="500"/>
      <c r="E97" s="500"/>
      <c r="F97" s="500"/>
      <c r="G97" s="500"/>
      <c r="H97" s="529"/>
      <c r="I97" s="529"/>
      <c r="J97" s="529"/>
      <c r="K97" s="530"/>
      <c r="L97" s="531"/>
      <c r="M97" s="532"/>
      <c r="N97" s="2745"/>
      <c r="O97" s="2745"/>
      <c r="P97" s="2770"/>
      <c r="Q97" s="2731"/>
      <c r="R97" s="2717"/>
      <c r="S97" s="2717"/>
      <c r="T97" s="2717"/>
      <c r="U97" s="2717"/>
      <c r="V97" s="2717"/>
      <c r="W97" s="2717"/>
      <c r="X97" s="2717"/>
      <c r="Y97" s="2717"/>
      <c r="Z97" s="2717"/>
      <c r="AA97" s="2717"/>
      <c r="AB97" s="2717"/>
      <c r="AC97" s="2717"/>
      <c r="AD97" s="2717"/>
      <c r="AE97" s="2717"/>
    </row>
    <row r="98" spans="1:31" ht="15.75" thickBot="1">
      <c r="A98" s="480"/>
      <c r="B98" s="489"/>
      <c r="C98" s="490">
        <v>100</v>
      </c>
      <c r="D98" s="490">
        <f t="shared" ref="D98:M98" si="23">C98-$K28</f>
        <v>100</v>
      </c>
      <c r="E98" s="490">
        <f t="shared" si="23"/>
        <v>100</v>
      </c>
      <c r="F98" s="490">
        <f t="shared" si="23"/>
        <v>100</v>
      </c>
      <c r="G98" s="490">
        <f t="shared" si="23"/>
        <v>100</v>
      </c>
      <c r="H98" s="490">
        <f t="shared" si="23"/>
        <v>100</v>
      </c>
      <c r="I98" s="490">
        <f t="shared" si="23"/>
        <v>100</v>
      </c>
      <c r="J98" s="490">
        <f t="shared" si="23"/>
        <v>100</v>
      </c>
      <c r="K98" s="490">
        <f t="shared" si="23"/>
        <v>100</v>
      </c>
      <c r="L98" s="490">
        <f t="shared" si="23"/>
        <v>100</v>
      </c>
      <c r="M98" s="490">
        <f t="shared" si="23"/>
        <v>100</v>
      </c>
      <c r="N98" s="2746"/>
      <c r="O98" s="2746"/>
      <c r="P98" s="2770"/>
      <c r="Q98" s="2731"/>
      <c r="R98" s="2717"/>
      <c r="S98" s="2717"/>
      <c r="T98" s="2717"/>
      <c r="U98" s="2717"/>
      <c r="V98" s="2717"/>
      <c r="W98" s="2717"/>
      <c r="X98" s="2717"/>
      <c r="Y98" s="2717"/>
      <c r="Z98" s="2717"/>
      <c r="AA98" s="2717"/>
      <c r="AB98" s="2717"/>
      <c r="AC98" s="2717"/>
      <c r="AD98" s="2717"/>
      <c r="AE98" s="2717"/>
    </row>
    <row r="99" spans="1:31" ht="15.75" thickTop="1">
      <c r="A99" s="480"/>
      <c r="B99" s="484" t="s">
        <v>1873</v>
      </c>
      <c r="C99" s="529"/>
      <c r="D99" s="529"/>
      <c r="E99" s="529"/>
      <c r="F99" s="529"/>
      <c r="G99" s="529"/>
      <c r="H99" s="529"/>
      <c r="I99" s="529"/>
      <c r="J99" s="529"/>
      <c r="K99" s="530"/>
      <c r="L99" s="531"/>
      <c r="M99" s="532"/>
      <c r="N99" s="2745"/>
      <c r="O99" s="2745"/>
      <c r="P99" s="2770"/>
      <c r="Q99" s="2731"/>
      <c r="R99" s="2717"/>
      <c r="S99" s="2717"/>
      <c r="T99" s="2717"/>
      <c r="U99" s="2717"/>
      <c r="V99" s="2717"/>
      <c r="W99" s="2717"/>
      <c r="X99" s="2717"/>
      <c r="Y99" s="2717"/>
      <c r="Z99" s="2717"/>
      <c r="AA99" s="2717"/>
      <c r="AB99" s="2717"/>
      <c r="AC99" s="2717"/>
      <c r="AD99" s="2717"/>
      <c r="AE99" s="2717"/>
    </row>
    <row r="100" spans="1:31" ht="15.75" thickBot="1">
      <c r="A100" s="480"/>
      <c r="B100" s="489"/>
      <c r="C100" s="490">
        <v>100</v>
      </c>
      <c r="D100" s="490">
        <f t="shared" ref="D100:M100" si="24">C100-$K30</f>
        <v>100</v>
      </c>
      <c r="E100" s="490">
        <f t="shared" si="24"/>
        <v>100</v>
      </c>
      <c r="F100" s="490">
        <f t="shared" si="24"/>
        <v>100</v>
      </c>
      <c r="G100" s="490">
        <f t="shared" si="24"/>
        <v>100</v>
      </c>
      <c r="H100" s="490">
        <f t="shared" si="24"/>
        <v>100</v>
      </c>
      <c r="I100" s="490">
        <f t="shared" si="24"/>
        <v>100</v>
      </c>
      <c r="J100" s="490">
        <f t="shared" si="24"/>
        <v>100</v>
      </c>
      <c r="K100" s="490">
        <f t="shared" si="24"/>
        <v>100</v>
      </c>
      <c r="L100" s="490">
        <f t="shared" si="24"/>
        <v>100</v>
      </c>
      <c r="M100" s="490">
        <f t="shared" si="24"/>
        <v>100</v>
      </c>
      <c r="N100" s="2746"/>
      <c r="O100" s="2746"/>
      <c r="P100" s="2770"/>
      <c r="Q100" s="2731"/>
      <c r="R100" s="2717"/>
      <c r="S100" s="2717"/>
      <c r="T100" s="2717"/>
      <c r="U100" s="2717"/>
      <c r="V100" s="2717"/>
      <c r="W100" s="2717"/>
      <c r="X100" s="2717"/>
      <c r="Y100" s="2717"/>
      <c r="Z100" s="2717"/>
      <c r="AA100" s="2717"/>
      <c r="AB100" s="2717"/>
      <c r="AC100" s="2717"/>
      <c r="AD100" s="2717"/>
      <c r="AE100" s="2717"/>
    </row>
    <row r="101" spans="1:31" ht="15.75" thickTop="1">
      <c r="A101" s="480"/>
      <c r="B101" s="492">
        <f>B31</f>
        <v>111</v>
      </c>
      <c r="C101" s="500"/>
      <c r="D101" s="500"/>
      <c r="E101" s="500"/>
      <c r="F101" s="500"/>
      <c r="G101" s="533"/>
      <c r="H101" s="533"/>
      <c r="I101" s="533"/>
      <c r="J101" s="533"/>
      <c r="K101" s="534"/>
      <c r="L101" s="535"/>
      <c r="M101" s="536"/>
      <c r="N101" s="2745"/>
      <c r="O101" s="2745"/>
      <c r="P101" s="2770"/>
      <c r="Q101" s="2731"/>
      <c r="R101" s="2717"/>
      <c r="S101" s="2717"/>
      <c r="T101" s="2717"/>
      <c r="U101" s="2717"/>
      <c r="V101" s="2717"/>
      <c r="W101" s="2717"/>
      <c r="X101" s="2717"/>
      <c r="Y101" s="2717"/>
      <c r="Z101" s="2717"/>
      <c r="AA101" s="2717"/>
      <c r="AB101" s="2717"/>
      <c r="AC101" s="2717"/>
      <c r="AD101" s="2717"/>
      <c r="AE101" s="2717"/>
    </row>
    <row r="102" spans="1:31" ht="15.75" thickBot="1">
      <c r="A102" s="480"/>
      <c r="B102" s="515"/>
      <c r="C102" s="506"/>
      <c r="D102" s="482"/>
      <c r="E102" s="482"/>
      <c r="F102" s="482"/>
      <c r="G102" s="537"/>
      <c r="H102" s="537"/>
      <c r="I102" s="537"/>
      <c r="J102" s="537"/>
      <c r="K102" s="537"/>
      <c r="L102" s="537"/>
      <c r="M102" s="538"/>
      <c r="N102" s="2746"/>
      <c r="O102" s="2746"/>
      <c r="P102" s="2770"/>
      <c r="Q102" s="2731"/>
      <c r="R102" s="2717"/>
      <c r="S102" s="2717"/>
      <c r="T102" s="2717"/>
      <c r="U102" s="2717"/>
      <c r="V102" s="2717"/>
      <c r="W102" s="2717"/>
      <c r="X102" s="2717"/>
      <c r="Y102" s="2717"/>
      <c r="Z102" s="2717"/>
      <c r="AA102" s="2717"/>
      <c r="AB102" s="2717"/>
      <c r="AC102" s="2717"/>
      <c r="AD102" s="2717"/>
      <c r="AE102" s="2717"/>
    </row>
    <row r="103" spans="1:31" ht="15" thickTop="1">
      <c r="A103" s="620"/>
      <c r="B103" s="484">
        <f>B32</f>
        <v>111</v>
      </c>
      <c r="C103" s="500"/>
      <c r="D103" s="500"/>
      <c r="E103" s="500"/>
      <c r="F103" s="500"/>
      <c r="G103" s="529"/>
      <c r="H103" s="529"/>
      <c r="I103" s="529"/>
      <c r="J103" s="529"/>
      <c r="K103" s="530"/>
      <c r="L103" s="531"/>
      <c r="M103" s="532"/>
      <c r="N103" s="2745"/>
      <c r="O103" s="2745"/>
      <c r="P103" s="2770"/>
      <c r="Q103" s="2731"/>
      <c r="R103" s="2717"/>
      <c r="S103" s="2717"/>
      <c r="T103" s="2717"/>
      <c r="U103" s="2717"/>
      <c r="V103" s="2717"/>
      <c r="W103" s="2717"/>
      <c r="X103" s="2717"/>
      <c r="Y103" s="2717"/>
      <c r="Z103" s="2717"/>
      <c r="AA103" s="2717"/>
      <c r="AB103" s="2717"/>
      <c r="AC103" s="2717"/>
      <c r="AD103" s="2717"/>
      <c r="AE103" s="2717"/>
    </row>
    <row r="104" spans="1:31" ht="15.75" thickBot="1">
      <c r="A104" s="480"/>
      <c r="B104" s="489"/>
      <c r="C104" s="506"/>
      <c r="D104" s="506"/>
      <c r="E104" s="506"/>
      <c r="F104" s="506"/>
      <c r="G104" s="482"/>
      <c r="H104" s="482"/>
      <c r="I104" s="482"/>
      <c r="J104" s="482"/>
      <c r="K104" s="482"/>
      <c r="L104" s="482"/>
      <c r="M104" s="483"/>
      <c r="N104" s="2746"/>
      <c r="O104" s="2746"/>
      <c r="P104" s="2770"/>
      <c r="Q104" s="2731"/>
      <c r="R104" s="2717"/>
      <c r="S104" s="2717"/>
      <c r="T104" s="2717"/>
      <c r="U104" s="2717"/>
      <c r="V104" s="2717"/>
      <c r="W104" s="2717"/>
      <c r="X104" s="2717"/>
      <c r="Y104" s="2717"/>
      <c r="Z104" s="2717"/>
      <c r="AA104" s="2717"/>
      <c r="AB104" s="2717"/>
      <c r="AC104" s="2717"/>
      <c r="AD104" s="2717"/>
      <c r="AE104" s="2717"/>
    </row>
    <row r="105" spans="1:31" s="419" customFormat="1" ht="15" thickTop="1">
      <c r="A105" s="539"/>
      <c r="B105" s="540">
        <f>B33</f>
        <v>111</v>
      </c>
      <c r="C105" s="469"/>
      <c r="D105" s="469"/>
      <c r="E105" s="469"/>
      <c r="F105" s="469"/>
      <c r="G105" s="541"/>
      <c r="H105" s="541"/>
      <c r="I105" s="541"/>
      <c r="J105" s="542"/>
      <c r="K105" s="542"/>
      <c r="L105" s="543"/>
      <c r="M105" s="544"/>
      <c r="N105" s="2747"/>
      <c r="O105" s="2747"/>
      <c r="P105" s="2771"/>
      <c r="Q105" s="2738"/>
      <c r="R105" s="2739"/>
      <c r="S105" s="2739"/>
      <c r="T105" s="2739"/>
      <c r="U105" s="2739"/>
      <c r="V105" s="2739"/>
      <c r="W105" s="2739"/>
      <c r="X105" s="2739"/>
      <c r="Y105" s="2739"/>
      <c r="Z105" s="2739"/>
      <c r="AA105" s="2739"/>
      <c r="AB105" s="2739"/>
      <c r="AC105" s="2739"/>
      <c r="AD105" s="2739"/>
      <c r="AE105" s="2739"/>
    </row>
    <row r="106" spans="1:31" s="419" customFormat="1" ht="15.75" thickBot="1">
      <c r="A106" s="499"/>
      <c r="B106" s="492"/>
      <c r="C106" s="516"/>
      <c r="D106" s="516"/>
      <c r="E106" s="516"/>
      <c r="F106" s="516"/>
      <c r="G106" s="622"/>
      <c r="H106" s="622"/>
      <c r="I106" s="622"/>
      <c r="J106" s="622"/>
      <c r="K106" s="622"/>
      <c r="L106" s="622"/>
      <c r="M106" s="644"/>
      <c r="N106" s="2746"/>
      <c r="O106" s="2746"/>
      <c r="P106" s="2771"/>
      <c r="Q106" s="2738"/>
      <c r="R106" s="2739"/>
      <c r="S106" s="2739"/>
      <c r="T106" s="2739"/>
      <c r="U106" s="2739"/>
      <c r="V106" s="2739"/>
      <c r="W106" s="2739"/>
      <c r="X106" s="2739"/>
      <c r="Y106" s="2739"/>
      <c r="Z106" s="2739"/>
      <c r="AA106" s="2739"/>
      <c r="AB106" s="2739"/>
      <c r="AC106" s="2739"/>
      <c r="AD106" s="2739"/>
      <c r="AE106" s="2739"/>
    </row>
    <row r="107" spans="1:31">
      <c r="A107" s="473" t="s">
        <v>1694</v>
      </c>
      <c r="B107" s="474" t="s">
        <v>1913</v>
      </c>
      <c r="C107" s="475" t="str">
        <f t="shared" ref="C107:L107" si="25">C108&amp;"(含)"&amp;"-"&amp;D108</f>
        <v>(含)-</v>
      </c>
      <c r="D107" s="475" t="str">
        <f t="shared" si="25"/>
        <v>(含)-</v>
      </c>
      <c r="E107" s="475" t="str">
        <f t="shared" si="25"/>
        <v>(含)-</v>
      </c>
      <c r="F107" s="475" t="str">
        <f t="shared" si="25"/>
        <v>(含)-</v>
      </c>
      <c r="G107" s="475" t="str">
        <f t="shared" si="25"/>
        <v>(含)-</v>
      </c>
      <c r="H107" s="475" t="str">
        <f t="shared" si="25"/>
        <v>(含)-</v>
      </c>
      <c r="I107" s="475" t="str">
        <f t="shared" si="25"/>
        <v>(含)-</v>
      </c>
      <c r="J107" s="475" t="str">
        <f t="shared" si="25"/>
        <v>(含)-</v>
      </c>
      <c r="K107" s="1329" t="str">
        <f t="shared" si="25"/>
        <v>(含)-</v>
      </c>
      <c r="L107" s="1329" t="str">
        <f t="shared" si="25"/>
        <v>(含)-</v>
      </c>
      <c r="M107" s="1330" t="str">
        <f>M108&amp;"(含)"&amp;"-"&amp;P108</f>
        <v>(含)-</v>
      </c>
      <c r="N107" s="2745"/>
      <c r="O107" s="2745"/>
      <c r="P107" s="2770"/>
      <c r="Q107" s="2731"/>
      <c r="R107" s="2717"/>
      <c r="S107" s="2717"/>
      <c r="T107" s="2717"/>
      <c r="U107" s="2717"/>
      <c r="V107" s="2717"/>
      <c r="W107" s="2717"/>
      <c r="X107" s="2717"/>
      <c r="Y107" s="2717"/>
      <c r="Z107" s="2717"/>
      <c r="AA107" s="2717"/>
      <c r="AB107" s="2717"/>
      <c r="AC107" s="2717"/>
      <c r="AD107" s="2717"/>
      <c r="AE107" s="2717"/>
    </row>
    <row r="108" spans="1:31" ht="15">
      <c r="A108" s="480"/>
      <c r="B108" s="492"/>
      <c r="C108" s="541"/>
      <c r="D108" s="541"/>
      <c r="E108" s="541"/>
      <c r="F108" s="541"/>
      <c r="G108" s="541"/>
      <c r="H108" s="541"/>
      <c r="I108" s="541"/>
      <c r="J108" s="542"/>
      <c r="K108" s="542"/>
      <c r="L108" s="543"/>
      <c r="M108" s="544"/>
      <c r="N108" s="2745"/>
      <c r="O108" s="2745"/>
      <c r="P108" s="2770"/>
      <c r="Q108" s="2731"/>
      <c r="R108" s="2717"/>
      <c r="S108" s="2717"/>
      <c r="T108" s="2717"/>
      <c r="U108" s="2717"/>
      <c r="V108" s="2717"/>
      <c r="W108" s="2717"/>
      <c r="X108" s="2717"/>
      <c r="Y108" s="2717"/>
      <c r="Z108" s="2717"/>
      <c r="AA108" s="2717"/>
      <c r="AB108" s="2717"/>
      <c r="AC108" s="2717"/>
      <c r="AD108" s="2717"/>
      <c r="AE108" s="2717"/>
    </row>
    <row r="109" spans="1:31" ht="15.75" thickBot="1">
      <c r="A109" s="480"/>
      <c r="B109" s="489"/>
      <c r="C109" s="516"/>
      <c r="D109" s="537"/>
      <c r="E109" s="537"/>
      <c r="F109" s="537"/>
      <c r="G109" s="537"/>
      <c r="H109" s="537"/>
      <c r="I109" s="537"/>
      <c r="J109" s="537"/>
      <c r="K109" s="537"/>
      <c r="L109" s="537"/>
      <c r="M109" s="538"/>
      <c r="N109" s="2746"/>
      <c r="O109" s="2746"/>
      <c r="P109" s="2770"/>
      <c r="Q109" s="2731"/>
      <c r="R109" s="2717"/>
      <c r="S109" s="2717"/>
      <c r="T109" s="2717"/>
      <c r="U109" s="2717"/>
      <c r="V109" s="2717"/>
      <c r="W109" s="2717"/>
      <c r="X109" s="2717"/>
      <c r="Y109" s="2717"/>
      <c r="Z109" s="2717"/>
      <c r="AA109" s="2717"/>
      <c r="AB109" s="2717"/>
      <c r="AC109" s="2717"/>
      <c r="AD109" s="2717"/>
      <c r="AE109" s="2717"/>
    </row>
    <row r="110" spans="1:31" ht="15" thickTop="1">
      <c r="A110" s="545"/>
      <c r="B110" s="484" t="s">
        <v>1914</v>
      </c>
      <c r="C110" s="529"/>
      <c r="D110" s="529"/>
      <c r="E110" s="529"/>
      <c r="F110" s="529"/>
      <c r="G110" s="529"/>
      <c r="H110" s="529"/>
      <c r="I110" s="529"/>
      <c r="J110" s="529"/>
      <c r="K110" s="530"/>
      <c r="L110" s="531"/>
      <c r="M110" s="532"/>
      <c r="N110" s="2745"/>
      <c r="O110" s="2745"/>
      <c r="P110" s="2770"/>
      <c r="Q110" s="2731"/>
      <c r="R110" s="2717"/>
      <c r="S110" s="2717"/>
      <c r="T110" s="2717"/>
      <c r="U110" s="2717"/>
      <c r="V110" s="2717"/>
      <c r="W110" s="2717"/>
      <c r="X110" s="2717"/>
      <c r="Y110" s="2717"/>
      <c r="Z110" s="2717"/>
      <c r="AA110" s="2717"/>
      <c r="AB110" s="2717"/>
      <c r="AC110" s="2717"/>
      <c r="AD110" s="2717"/>
      <c r="AE110" s="2717"/>
    </row>
    <row r="111" spans="1:31" ht="15.75" thickBot="1">
      <c r="A111" s="480"/>
      <c r="B111" s="489"/>
      <c r="C111" s="490">
        <v>100</v>
      </c>
      <c r="D111" s="490">
        <f t="shared" ref="D111:M111" si="26">C111-$K35</f>
        <v>100</v>
      </c>
      <c r="E111" s="490">
        <f t="shared" si="26"/>
        <v>100</v>
      </c>
      <c r="F111" s="490">
        <f t="shared" si="26"/>
        <v>100</v>
      </c>
      <c r="G111" s="490">
        <f t="shared" si="26"/>
        <v>100</v>
      </c>
      <c r="H111" s="490">
        <f t="shared" si="26"/>
        <v>100</v>
      </c>
      <c r="I111" s="490">
        <f t="shared" si="26"/>
        <v>100</v>
      </c>
      <c r="J111" s="490">
        <f t="shared" si="26"/>
        <v>100</v>
      </c>
      <c r="K111" s="490">
        <f t="shared" si="26"/>
        <v>100</v>
      </c>
      <c r="L111" s="490">
        <f t="shared" si="26"/>
        <v>100</v>
      </c>
      <c r="M111" s="491">
        <f t="shared" si="26"/>
        <v>100</v>
      </c>
      <c r="N111" s="2746"/>
      <c r="O111" s="2746"/>
      <c r="P111" s="2770"/>
      <c r="Q111" s="2731"/>
      <c r="R111" s="2717"/>
      <c r="S111" s="2717"/>
      <c r="T111" s="2717"/>
      <c r="U111" s="2717"/>
      <c r="V111" s="2717"/>
      <c r="W111" s="2717"/>
      <c r="X111" s="2717"/>
      <c r="Y111" s="2717"/>
      <c r="Z111" s="2717"/>
      <c r="AA111" s="2717"/>
      <c r="AB111" s="2717"/>
      <c r="AC111" s="2717"/>
      <c r="AD111" s="2717"/>
      <c r="AE111" s="2717"/>
    </row>
    <row r="112" spans="1:31" s="419" customFormat="1" ht="15" thickTop="1">
      <c r="A112" s="539"/>
      <c r="B112" s="484" t="s">
        <v>1916</v>
      </c>
      <c r="C112" s="500"/>
      <c r="D112" s="500"/>
      <c r="E112" s="500"/>
      <c r="F112" s="500"/>
      <c r="G112" s="500"/>
      <c r="H112" s="529"/>
      <c r="I112" s="529"/>
      <c r="J112" s="529"/>
      <c r="K112" s="530"/>
      <c r="L112" s="531"/>
      <c r="M112" s="532"/>
      <c r="N112" s="2747"/>
      <c r="O112" s="2747"/>
      <c r="P112" s="2771"/>
      <c r="Q112" s="2738"/>
      <c r="R112" s="2739"/>
      <c r="S112" s="2739"/>
      <c r="T112" s="2739"/>
      <c r="U112" s="2739"/>
      <c r="V112" s="2739"/>
      <c r="W112" s="2739"/>
      <c r="X112" s="2739"/>
      <c r="Y112" s="2739"/>
      <c r="Z112" s="2739"/>
      <c r="AA112" s="2739"/>
      <c r="AB112" s="2739"/>
      <c r="AC112" s="2739"/>
      <c r="AD112" s="2739"/>
      <c r="AE112" s="2739"/>
    </row>
    <row r="113" spans="1:31" s="419" customFormat="1" ht="15.75" thickBot="1">
      <c r="A113" s="499"/>
      <c r="B113" s="489"/>
      <c r="C113" s="490">
        <v>100</v>
      </c>
      <c r="D113" s="490">
        <f t="shared" ref="D113:M113" si="27">C113-$K36</f>
        <v>100</v>
      </c>
      <c r="E113" s="490">
        <f t="shared" si="27"/>
        <v>100</v>
      </c>
      <c r="F113" s="490">
        <f t="shared" si="27"/>
        <v>100</v>
      </c>
      <c r="G113" s="490">
        <f t="shared" si="27"/>
        <v>100</v>
      </c>
      <c r="H113" s="490">
        <f t="shared" si="27"/>
        <v>100</v>
      </c>
      <c r="I113" s="490">
        <f t="shared" si="27"/>
        <v>100</v>
      </c>
      <c r="J113" s="490">
        <f t="shared" si="27"/>
        <v>100</v>
      </c>
      <c r="K113" s="490">
        <f t="shared" si="27"/>
        <v>100</v>
      </c>
      <c r="L113" s="490">
        <f t="shared" si="27"/>
        <v>100</v>
      </c>
      <c r="M113" s="491">
        <f t="shared" si="27"/>
        <v>100</v>
      </c>
      <c r="N113" s="2747"/>
      <c r="O113" s="2747"/>
      <c r="P113" s="2771"/>
      <c r="Q113" s="2738"/>
      <c r="R113" s="2739"/>
      <c r="S113" s="2739"/>
      <c r="T113" s="2739"/>
      <c r="U113" s="2739"/>
      <c r="V113" s="2739"/>
      <c r="W113" s="2739"/>
      <c r="X113" s="2739"/>
      <c r="Y113" s="2739"/>
      <c r="Z113" s="2739"/>
      <c r="AA113" s="2739"/>
      <c r="AB113" s="2739"/>
      <c r="AC113" s="2739"/>
      <c r="AD113" s="2739"/>
      <c r="AE113" s="2739"/>
    </row>
    <row r="114" spans="1:31" ht="15" thickTop="1">
      <c r="A114" s="545"/>
      <c r="B114" s="484" t="s">
        <v>1917</v>
      </c>
      <c r="C114" s="500"/>
      <c r="D114" s="500"/>
      <c r="E114" s="529"/>
      <c r="F114" s="529"/>
      <c r="G114" s="529"/>
      <c r="H114" s="529"/>
      <c r="I114" s="529"/>
      <c r="J114" s="529"/>
      <c r="K114" s="530"/>
      <c r="L114" s="531"/>
      <c r="M114" s="532"/>
      <c r="N114" s="2745"/>
      <c r="O114" s="2745"/>
      <c r="P114" s="2770"/>
      <c r="Q114" s="2731"/>
      <c r="R114" s="2717"/>
      <c r="S114" s="2717"/>
      <c r="T114" s="2717"/>
      <c r="U114" s="2717"/>
      <c r="V114" s="2717"/>
      <c r="W114" s="2717"/>
      <c r="X114" s="2717"/>
      <c r="Y114" s="2717"/>
      <c r="Z114" s="2717"/>
      <c r="AA114" s="2717"/>
      <c r="AB114" s="2717"/>
      <c r="AC114" s="2717"/>
      <c r="AD114" s="2717"/>
      <c r="AE114" s="2717"/>
    </row>
    <row r="115" spans="1:31" ht="15.75" thickBot="1">
      <c r="A115" s="480"/>
      <c r="B115" s="489"/>
      <c r="C115" s="490">
        <v>100</v>
      </c>
      <c r="D115" s="490">
        <f t="shared" ref="D115:M115" si="28">C115-$K37</f>
        <v>100</v>
      </c>
      <c r="E115" s="490">
        <f t="shared" si="28"/>
        <v>100</v>
      </c>
      <c r="F115" s="490">
        <f t="shared" si="28"/>
        <v>100</v>
      </c>
      <c r="G115" s="490">
        <f t="shared" si="28"/>
        <v>100</v>
      </c>
      <c r="H115" s="490">
        <f t="shared" si="28"/>
        <v>100</v>
      </c>
      <c r="I115" s="490">
        <f t="shared" si="28"/>
        <v>100</v>
      </c>
      <c r="J115" s="490">
        <f t="shared" si="28"/>
        <v>100</v>
      </c>
      <c r="K115" s="490">
        <f t="shared" si="28"/>
        <v>100</v>
      </c>
      <c r="L115" s="490">
        <f t="shared" si="28"/>
        <v>100</v>
      </c>
      <c r="M115" s="491">
        <f t="shared" si="28"/>
        <v>100</v>
      </c>
      <c r="N115" s="2746"/>
      <c r="O115" s="2746"/>
      <c r="P115" s="2770"/>
      <c r="Q115" s="2731"/>
      <c r="R115" s="2717"/>
      <c r="S115" s="2717"/>
      <c r="T115" s="2717"/>
      <c r="U115" s="2717"/>
      <c r="V115" s="2717"/>
      <c r="W115" s="2717"/>
      <c r="X115" s="2717"/>
      <c r="Y115" s="2717"/>
      <c r="Z115" s="2717"/>
      <c r="AA115" s="2717"/>
      <c r="AB115" s="2717"/>
      <c r="AC115" s="2717"/>
      <c r="AD115" s="2717"/>
      <c r="AE115" s="2717"/>
    </row>
    <row r="116" spans="1:31" ht="15" thickTop="1">
      <c r="A116" s="545"/>
      <c r="B116" s="484">
        <f>B38</f>
        <v>111</v>
      </c>
      <c r="C116" s="500"/>
      <c r="D116" s="500"/>
      <c r="E116" s="500"/>
      <c r="F116" s="500"/>
      <c r="G116" s="500"/>
      <c r="H116" s="529"/>
      <c r="I116" s="529"/>
      <c r="J116" s="529"/>
      <c r="K116" s="530"/>
      <c r="L116" s="531"/>
      <c r="M116" s="532"/>
      <c r="N116" s="2745"/>
      <c r="O116" s="2745"/>
      <c r="P116" s="2770"/>
      <c r="Q116" s="2731"/>
      <c r="R116" s="2717"/>
      <c r="S116" s="2717"/>
      <c r="T116" s="2717"/>
      <c r="U116" s="2717"/>
      <c r="V116" s="2717"/>
      <c r="W116" s="2717"/>
      <c r="X116" s="2717"/>
      <c r="Y116" s="2717"/>
      <c r="Z116" s="2717"/>
      <c r="AA116" s="2717"/>
      <c r="AB116" s="2717"/>
      <c r="AC116" s="2717"/>
      <c r="AD116" s="2717"/>
      <c r="AE116" s="2717"/>
    </row>
    <row r="117" spans="1:31" ht="15.75" thickBot="1">
      <c r="A117" s="480"/>
      <c r="B117" s="489"/>
      <c r="C117" s="506"/>
      <c r="D117" s="482"/>
      <c r="E117" s="482"/>
      <c r="F117" s="482"/>
      <c r="G117" s="482"/>
      <c r="H117" s="482"/>
      <c r="I117" s="482"/>
      <c r="J117" s="482"/>
      <c r="K117" s="482"/>
      <c r="L117" s="482"/>
      <c r="M117" s="483"/>
      <c r="N117" s="2746"/>
      <c r="O117" s="2746"/>
      <c r="P117" s="2770"/>
      <c r="Q117" s="2731"/>
      <c r="R117" s="2717"/>
      <c r="S117" s="2717"/>
      <c r="T117" s="2717"/>
      <c r="U117" s="2717"/>
      <c r="V117" s="2717"/>
      <c r="W117" s="2717"/>
      <c r="X117" s="2717"/>
      <c r="Y117" s="2717"/>
      <c r="Z117" s="2717"/>
      <c r="AA117" s="2717"/>
      <c r="AB117" s="2717"/>
      <c r="AC117" s="2717"/>
      <c r="AD117" s="2717"/>
      <c r="AE117" s="2717"/>
    </row>
    <row r="118" spans="1:31" ht="15" thickTop="1">
      <c r="A118" s="545"/>
      <c r="B118" s="484">
        <f>B39</f>
        <v>111</v>
      </c>
      <c r="C118" s="500"/>
      <c r="D118" s="500"/>
      <c r="E118" s="500"/>
      <c r="F118" s="500"/>
      <c r="G118" s="529"/>
      <c r="H118" s="529"/>
      <c r="I118" s="529"/>
      <c r="J118" s="529"/>
      <c r="K118" s="530"/>
      <c r="L118" s="531"/>
      <c r="M118" s="532"/>
      <c r="N118" s="2745"/>
      <c r="O118" s="2745"/>
      <c r="P118" s="2770"/>
      <c r="Q118" s="2731"/>
      <c r="R118" s="2717"/>
      <c r="S118" s="2717"/>
      <c r="T118" s="2717"/>
      <c r="U118" s="2717"/>
      <c r="V118" s="2717"/>
      <c r="W118" s="2717"/>
      <c r="X118" s="2717"/>
      <c r="Y118" s="2717"/>
      <c r="Z118" s="2717"/>
      <c r="AA118" s="2717"/>
      <c r="AB118" s="2717"/>
      <c r="AC118" s="2717"/>
      <c r="AD118" s="2717"/>
      <c r="AE118" s="2717"/>
    </row>
    <row r="119" spans="1:31" ht="15.75" thickBot="1">
      <c r="A119" s="480"/>
      <c r="B119" s="489"/>
      <c r="C119" s="506"/>
      <c r="D119" s="506"/>
      <c r="E119" s="506"/>
      <c r="F119" s="506"/>
      <c r="G119" s="482"/>
      <c r="H119" s="482"/>
      <c r="I119" s="482"/>
      <c r="J119" s="482"/>
      <c r="K119" s="482"/>
      <c r="L119" s="482"/>
      <c r="M119" s="483"/>
      <c r="N119" s="2746"/>
      <c r="O119" s="2746"/>
      <c r="P119" s="2770"/>
      <c r="Q119" s="2731"/>
      <c r="R119" s="2717"/>
      <c r="S119" s="2717"/>
      <c r="T119" s="2717"/>
      <c r="U119" s="2717"/>
      <c r="V119" s="2717"/>
      <c r="W119" s="2717"/>
      <c r="X119" s="2717"/>
      <c r="Y119" s="2717"/>
      <c r="Z119" s="2717"/>
      <c r="AA119" s="2717"/>
      <c r="AB119" s="2717"/>
      <c r="AC119" s="2717"/>
      <c r="AD119" s="2717"/>
      <c r="AE119" s="2717"/>
    </row>
    <row r="120" spans="1:31" s="419" customFormat="1" ht="15" thickTop="1">
      <c r="A120" s="539"/>
      <c r="B120" s="484">
        <f>B40</f>
        <v>111</v>
      </c>
      <c r="C120" s="469"/>
      <c r="D120" s="469"/>
      <c r="E120" s="469"/>
      <c r="F120" s="469"/>
      <c r="G120" s="501"/>
      <c r="H120" s="501"/>
      <c r="I120" s="501"/>
      <c r="J120" s="501"/>
      <c r="K120" s="501"/>
      <c r="L120" s="502"/>
      <c r="M120" s="503"/>
      <c r="N120" s="2747"/>
      <c r="O120" s="2747"/>
      <c r="P120" s="2771"/>
      <c r="Q120" s="2738"/>
      <c r="R120" s="2739"/>
      <c r="S120" s="2739"/>
      <c r="T120" s="2739"/>
      <c r="U120" s="2739"/>
      <c r="V120" s="2739"/>
      <c r="W120" s="2739"/>
      <c r="X120" s="2739"/>
      <c r="Y120" s="2739"/>
      <c r="Z120" s="2739"/>
      <c r="AA120" s="2739"/>
      <c r="AB120" s="2739"/>
      <c r="AC120" s="2739"/>
      <c r="AD120" s="2739"/>
      <c r="AE120" s="2739"/>
    </row>
    <row r="121" spans="1:31" s="419" customFormat="1" ht="15.75" thickBot="1">
      <c r="A121" s="514"/>
      <c r="B121" s="645"/>
      <c r="C121" s="516"/>
      <c r="D121" s="516"/>
      <c r="E121" s="516"/>
      <c r="F121" s="516"/>
      <c r="G121" s="537"/>
      <c r="H121" s="537"/>
      <c r="I121" s="537"/>
      <c r="J121" s="537"/>
      <c r="K121" s="537"/>
      <c r="L121" s="537"/>
      <c r="M121" s="538"/>
      <c r="N121" s="2747"/>
      <c r="O121" s="2747"/>
      <c r="P121" s="2771"/>
      <c r="Q121" s="2738"/>
      <c r="R121" s="2739"/>
      <c r="S121" s="2739"/>
      <c r="T121" s="2739"/>
      <c r="U121" s="2739"/>
      <c r="V121" s="2739"/>
      <c r="W121" s="2739"/>
      <c r="X121" s="2739"/>
      <c r="Y121" s="2739"/>
      <c r="Z121" s="2739"/>
      <c r="AA121" s="2739"/>
      <c r="AB121" s="2739"/>
      <c r="AC121" s="2739"/>
      <c r="AD121" s="2739"/>
      <c r="AE121" s="2739"/>
    </row>
    <row r="122" spans="1:31">
      <c r="N122" s="2717"/>
      <c r="O122" s="2717"/>
      <c r="P122" s="2717"/>
      <c r="Q122" s="2717"/>
      <c r="R122" s="2717"/>
      <c r="S122" s="2717"/>
      <c r="T122" s="2717"/>
      <c r="U122" s="2717"/>
      <c r="V122" s="2717"/>
      <c r="W122" s="2717"/>
      <c r="X122" s="2717"/>
      <c r="Y122" s="2717"/>
      <c r="Z122" s="2717"/>
      <c r="AA122" s="2717"/>
      <c r="AB122" s="2717"/>
      <c r="AC122" s="2717"/>
      <c r="AD122" s="2717"/>
      <c r="AE122" s="2717"/>
    </row>
    <row r="123" spans="1:31">
      <c r="P123" s="2717"/>
      <c r="Q123" s="2717"/>
      <c r="R123" s="2717"/>
      <c r="S123" s="2717"/>
      <c r="T123" s="2717"/>
      <c r="U123" s="2717"/>
      <c r="V123" s="2717"/>
      <c r="W123" s="2717"/>
      <c r="X123" s="2717"/>
      <c r="Y123" s="2717"/>
      <c r="Z123" s="2717"/>
      <c r="AA123" s="2717"/>
      <c r="AB123" s="2717"/>
      <c r="AC123" s="2717"/>
      <c r="AD123" s="2717"/>
      <c r="AE123" s="2717"/>
    </row>
  </sheetData>
  <sheetProtection password="CEE9" sheet="1" objects="1" scenarios="1" formatCells="0" formatColumns="0" formatRows="0"/>
  <mergeCells count="41">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2" type="noConversion"/>
  <conditionalFormatting sqref="F46 H46 J46">
    <cfRule type="containsText" dxfId="24" priority="18" stopIfTrue="1" operator="containsText" text="超过">
      <formula>NOT(ISERROR(SEARCH("超过",F46)))</formula>
    </cfRule>
  </conditionalFormatting>
  <conditionalFormatting sqref="J48">
    <cfRule type="containsText" dxfId="23" priority="17" stopIfTrue="1" operator="containsText" text="超过">
      <formula>NOT(ISERROR(SEARCH("超过",J48)))</formula>
    </cfRule>
  </conditionalFormatting>
  <conditionalFormatting sqref="H48">
    <cfRule type="containsText" dxfId="22" priority="16" stopIfTrue="1" operator="containsText" text="超过">
      <formula>NOT(ISERROR(SEARCH("超过",H48)))</formula>
    </cfRule>
  </conditionalFormatting>
  <conditionalFormatting sqref="F48">
    <cfRule type="containsText" dxfId="21" priority="15" stopIfTrue="1" operator="containsText" text="超过">
      <formula>NOT(ISERROR(SEARCH("超过",F48)))</formula>
    </cfRule>
  </conditionalFormatting>
  <conditionalFormatting sqref="F47 H47 J47">
    <cfRule type="containsText" dxfId="20" priority="14" stopIfTrue="1" operator="containsText" text="超过">
      <formula>NOT(ISERROR(SEARCH("超过",F47)))</formula>
    </cfRule>
  </conditionalFormatting>
  <conditionalFormatting sqref="E46">
    <cfRule type="expression" dxfId="19" priority="13" stopIfTrue="1">
      <formula>$F$46="超过30%"</formula>
    </cfRule>
  </conditionalFormatting>
  <conditionalFormatting sqref="G48">
    <cfRule type="expression" dxfId="18" priority="12" stopIfTrue="1">
      <formula>$H$48="超过30%"</formula>
    </cfRule>
  </conditionalFormatting>
  <conditionalFormatting sqref="E48">
    <cfRule type="expression" dxfId="17" priority="10" stopIfTrue="1">
      <formula>$F$48="超过30%"</formula>
    </cfRule>
  </conditionalFormatting>
  <conditionalFormatting sqref="G46">
    <cfRule type="expression" dxfId="16" priority="9" stopIfTrue="1">
      <formula>$H$46="超过30%"</formula>
    </cfRule>
  </conditionalFormatting>
  <conditionalFormatting sqref="G47">
    <cfRule type="expression" dxfId="15" priority="8" stopIfTrue="1">
      <formula>$H$47="超过20%"</formula>
    </cfRule>
  </conditionalFormatting>
  <conditionalFormatting sqref="I46">
    <cfRule type="expression" dxfId="14" priority="7" stopIfTrue="1">
      <formula>$J$46="超过30%"</formula>
    </cfRule>
  </conditionalFormatting>
  <conditionalFormatting sqref="I47">
    <cfRule type="expression" dxfId="13" priority="6" stopIfTrue="1">
      <formula>$J$47="超过20%"</formula>
    </cfRule>
  </conditionalFormatting>
  <conditionalFormatting sqref="I48">
    <cfRule type="expression" dxfId="12" priority="5" stopIfTrue="1">
      <formula>$J$48="超过30%"</formula>
    </cfRule>
  </conditionalFormatting>
  <conditionalFormatting sqref="E47">
    <cfRule type="expression" dxfId="11" priority="53" stopIfTrue="1">
      <formula>#REF!+$F$47="超过20%"</formula>
    </cfRule>
  </conditionalFormatting>
  <conditionalFormatting sqref="F42">
    <cfRule type="expression" dxfId="10" priority="4">
      <formula>$D$42="简单平均"</formula>
    </cfRule>
  </conditionalFormatting>
  <conditionalFormatting sqref="H42">
    <cfRule type="expression" dxfId="9" priority="3">
      <formula>$D$42="简单平均"</formula>
    </cfRule>
  </conditionalFormatting>
  <conditionalFormatting sqref="J42">
    <cfRule type="expression" dxfId="8" priority="2">
      <formula>$D$42="简单平均"</formula>
    </cfRule>
  </conditionalFormatting>
  <conditionalFormatting sqref="F7:F40 H7:H40 J7:J40">
    <cfRule type="cellIs" dxfId="7"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49" fitToHeight="0" orientation="portrait" r:id="rId1"/>
  <legacyDrawing r:id="rId2"/>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437" activePane="bottomLeft" state="frozen"/>
      <selection activeCell="C50" sqref="C50"/>
      <selection pane="bottomLeft" activeCell="H20" sqref="H20"/>
    </sheetView>
  </sheetViews>
  <sheetFormatPr defaultColWidth="9" defaultRowHeight="12.75"/>
  <cols>
    <col min="1" max="1" width="11.5" style="128" customWidth="1"/>
    <col min="2" max="2" width="9.125" style="24" customWidth="1"/>
    <col min="3" max="3" width="5" style="24" customWidth="1"/>
    <col min="4" max="4" width="9" style="24"/>
    <col min="5" max="5" width="5" style="24" customWidth="1"/>
    <col min="6" max="6" width="9" style="24"/>
    <col min="7" max="7" width="5" style="24" customWidth="1"/>
    <col min="8" max="8" width="9" style="24"/>
    <col min="9" max="9" width="5" style="24" customWidth="1"/>
    <col min="10" max="10" width="9" style="24"/>
    <col min="11" max="11" width="5" style="24" customWidth="1"/>
    <col min="12" max="12" width="9" style="24"/>
    <col min="13" max="13" width="5" style="24" customWidth="1"/>
    <col min="14" max="14" width="9" style="24"/>
    <col min="15" max="15" width="5" style="24" customWidth="1"/>
    <col min="16" max="16" width="9" style="24"/>
    <col min="17" max="17" width="5" style="24" customWidth="1"/>
    <col min="18" max="18" width="9" style="647"/>
    <col min="19" max="19" width="9" style="128"/>
    <col min="20" max="45" width="9" style="721"/>
    <col min="46" max="16384" width="9" style="128"/>
  </cols>
  <sheetData>
    <row r="1" spans="1:45" ht="14.25" customHeight="1" thickBot="1">
      <c r="A1" s="143"/>
      <c r="B1" s="979" t="s">
        <v>2083</v>
      </c>
      <c r="C1" s="3847" t="s">
        <v>2084</v>
      </c>
      <c r="D1" s="3848"/>
      <c r="E1" s="3848"/>
      <c r="F1" s="3848"/>
      <c r="G1" s="3848"/>
      <c r="H1" s="3848"/>
      <c r="I1" s="3848"/>
      <c r="J1" s="3848"/>
      <c r="K1" s="3848"/>
      <c r="L1" s="3848"/>
      <c r="M1" s="3848"/>
      <c r="N1" s="3848"/>
      <c r="O1" s="3848"/>
      <c r="P1" s="3848"/>
      <c r="Q1" s="3848"/>
      <c r="R1" s="3848"/>
      <c r="S1" s="3849"/>
      <c r="T1" s="979" t="s">
        <v>2085</v>
      </c>
    </row>
    <row r="2" spans="1:45" s="652" customFormat="1">
      <c r="A2" s="980"/>
      <c r="B2" s="648" t="s">
        <v>2086</v>
      </c>
      <c r="C2" s="649" t="str">
        <f t="shared" ref="C2:L2" si="0">C3&amp;"(含)"&amp;"-"&amp;D3</f>
        <v>(含)-</v>
      </c>
      <c r="D2" s="650" t="str">
        <f t="shared" si="0"/>
        <v>(含)-</v>
      </c>
      <c r="E2" s="650" t="str">
        <f t="shared" si="0"/>
        <v>(含)-</v>
      </c>
      <c r="F2" s="650" t="str">
        <f t="shared" si="0"/>
        <v>(含)-</v>
      </c>
      <c r="G2" s="650" t="str">
        <f t="shared" si="0"/>
        <v>(含)-</v>
      </c>
      <c r="H2" s="650" t="str">
        <f t="shared" si="0"/>
        <v>(含)-</v>
      </c>
      <c r="I2" s="650" t="str">
        <f t="shared" si="0"/>
        <v>(含)-</v>
      </c>
      <c r="J2" s="650" t="str">
        <f t="shared" si="0"/>
        <v>(含)-</v>
      </c>
      <c r="K2" s="650" t="str">
        <f t="shared" si="0"/>
        <v>(含)-</v>
      </c>
      <c r="L2" s="650" t="str">
        <f t="shared" si="0"/>
        <v>(含)-</v>
      </c>
      <c r="M2" s="650" t="str">
        <f t="shared" ref="M2" si="1">M3&amp;"(含)"&amp;"-"&amp;N3</f>
        <v>(含)-</v>
      </c>
      <c r="N2" s="650" t="str">
        <f t="shared" ref="N2" si="2">N3&amp;"(含)"&amp;"-"&amp;O3</f>
        <v>(含)-</v>
      </c>
      <c r="O2" s="650" t="str">
        <f t="shared" ref="O2" si="3">O3&amp;"(含)"&amp;"-"&amp;P3</f>
        <v>(含)-</v>
      </c>
      <c r="P2" s="650" t="str">
        <f t="shared" ref="P2" si="4">P3&amp;"(含)"&amp;"-"&amp;Q3</f>
        <v>(含)-</v>
      </c>
      <c r="Q2" s="650" t="str">
        <f t="shared" ref="Q2" si="5">Q3&amp;"(含)"&amp;"-"&amp;R3</f>
        <v>(含)-</v>
      </c>
      <c r="R2" s="650" t="str">
        <f t="shared" ref="R2" si="6">R3&amp;"(含)"&amp;"-"&amp;S3</f>
        <v>(含)-</v>
      </c>
      <c r="S2" s="981" t="str">
        <f>S3&amp;"(含)"&amp;"-"</f>
        <v>(含)-</v>
      </c>
      <c r="T2" s="651"/>
      <c r="U2" s="722"/>
      <c r="V2" s="722"/>
      <c r="W2" s="722"/>
      <c r="X2" s="722"/>
      <c r="Y2" s="722"/>
      <c r="Z2" s="722"/>
      <c r="AA2" s="722"/>
      <c r="AB2" s="722"/>
      <c r="AC2" s="722"/>
      <c r="AD2" s="722"/>
      <c r="AE2" s="722"/>
      <c r="AF2" s="722"/>
      <c r="AG2" s="722"/>
      <c r="AH2" s="722"/>
      <c r="AI2" s="722"/>
      <c r="AJ2" s="722"/>
      <c r="AK2" s="722"/>
      <c r="AL2" s="722"/>
      <c r="AM2" s="722"/>
      <c r="AN2" s="722"/>
      <c r="AO2" s="722"/>
      <c r="AP2" s="722"/>
      <c r="AQ2" s="722"/>
      <c r="AR2" s="722"/>
      <c r="AS2" s="722"/>
    </row>
    <row r="3" spans="1:45" s="657" customFormat="1">
      <c r="A3" s="982"/>
      <c r="B3" s="653"/>
      <c r="C3" s="654"/>
      <c r="D3" s="655"/>
      <c r="E3" s="655"/>
      <c r="F3" s="1301"/>
      <c r="G3" s="1301"/>
      <c r="H3" s="1301"/>
      <c r="I3" s="1301"/>
      <c r="J3" s="1301"/>
      <c r="K3" s="1301"/>
      <c r="L3" s="1302"/>
      <c r="M3" s="1303"/>
      <c r="N3" s="1303"/>
      <c r="O3" s="1301"/>
      <c r="P3" s="1301"/>
      <c r="Q3" s="1301"/>
      <c r="R3" s="1301"/>
      <c r="S3" s="1304"/>
      <c r="T3" s="656"/>
      <c r="U3" s="723"/>
      <c r="V3" s="723"/>
      <c r="W3" s="723"/>
      <c r="X3" s="723"/>
      <c r="Y3" s="723"/>
      <c r="Z3" s="723"/>
      <c r="AA3" s="723"/>
      <c r="AB3" s="723"/>
      <c r="AC3" s="723"/>
      <c r="AD3" s="723"/>
      <c r="AE3" s="723"/>
      <c r="AF3" s="723"/>
      <c r="AG3" s="723"/>
      <c r="AH3" s="723"/>
      <c r="AI3" s="723"/>
      <c r="AJ3" s="723"/>
      <c r="AK3" s="723"/>
      <c r="AL3" s="723"/>
      <c r="AM3" s="723"/>
      <c r="AN3" s="723"/>
      <c r="AO3" s="723"/>
      <c r="AP3" s="723"/>
      <c r="AQ3" s="723"/>
      <c r="AR3" s="723"/>
      <c r="AS3" s="723"/>
    </row>
    <row r="4" spans="1:45" s="657" customFormat="1" ht="13.5" thickBot="1">
      <c r="A4" s="983"/>
      <c r="B4" s="984"/>
      <c r="C4" s="985"/>
      <c r="D4" s="986"/>
      <c r="E4" s="986"/>
      <c r="F4" s="1305"/>
      <c r="G4" s="1305"/>
      <c r="H4" s="1305"/>
      <c r="I4" s="1305"/>
      <c r="J4" s="1305"/>
      <c r="K4" s="1305"/>
      <c r="L4" s="1305"/>
      <c r="M4" s="1306"/>
      <c r="N4" s="1306"/>
      <c r="O4" s="1305"/>
      <c r="P4" s="1305"/>
      <c r="Q4" s="1305"/>
      <c r="R4" s="1305"/>
      <c r="S4" s="1307"/>
      <c r="T4" s="989"/>
      <c r="U4" s="723"/>
      <c r="V4" s="723"/>
      <c r="W4" s="723"/>
      <c r="X4" s="723"/>
      <c r="Y4" s="723"/>
      <c r="Z4" s="723"/>
      <c r="AA4" s="723"/>
      <c r="AB4" s="723"/>
      <c r="AC4" s="723"/>
      <c r="AD4" s="723"/>
      <c r="AE4" s="723"/>
      <c r="AF4" s="723"/>
      <c r="AG4" s="723"/>
      <c r="AH4" s="723"/>
      <c r="AI4" s="723"/>
      <c r="AJ4" s="723"/>
      <c r="AK4" s="723"/>
      <c r="AL4" s="723"/>
      <c r="AM4" s="723"/>
      <c r="AN4" s="723"/>
      <c r="AO4" s="723"/>
      <c r="AP4" s="723"/>
      <c r="AQ4" s="723"/>
      <c r="AR4" s="723"/>
      <c r="AS4" s="723"/>
    </row>
    <row r="5" spans="1:45" s="109" customFormat="1">
      <c r="A5" s="990"/>
      <c r="B5" s="1332" t="s">
        <v>2087</v>
      </c>
      <c r="C5" s="991"/>
      <c r="D5" s="992"/>
      <c r="E5" s="992"/>
      <c r="F5" s="1308"/>
      <c r="G5" s="1308"/>
      <c r="H5" s="1308"/>
      <c r="I5" s="1308"/>
      <c r="J5" s="1308"/>
      <c r="K5" s="1308"/>
      <c r="L5" s="1309"/>
      <c r="M5" s="1310"/>
      <c r="N5" s="1310"/>
      <c r="O5" s="1308"/>
      <c r="P5" s="1308"/>
      <c r="Q5" s="1308"/>
      <c r="R5" s="1308"/>
      <c r="S5" s="1311"/>
      <c r="T5" s="994"/>
      <c r="U5" s="724"/>
      <c r="V5" s="724"/>
      <c r="W5" s="724"/>
      <c r="X5" s="724"/>
      <c r="Y5" s="724"/>
      <c r="Z5" s="724"/>
      <c r="AA5" s="724"/>
      <c r="AB5" s="724"/>
      <c r="AC5" s="724"/>
      <c r="AD5" s="724"/>
      <c r="AE5" s="724"/>
      <c r="AF5" s="724"/>
      <c r="AG5" s="724"/>
      <c r="AH5" s="724"/>
      <c r="AI5" s="724"/>
      <c r="AJ5" s="724"/>
      <c r="AK5" s="724"/>
      <c r="AL5" s="724"/>
      <c r="AM5" s="724"/>
      <c r="AN5" s="724"/>
      <c r="AO5" s="724"/>
      <c r="AP5" s="724"/>
      <c r="AQ5" s="724"/>
      <c r="AR5" s="724"/>
      <c r="AS5" s="724"/>
    </row>
    <row r="6" spans="1:45" s="109" customFormat="1" ht="13.5" thickBot="1">
      <c r="A6" s="990"/>
      <c r="B6" s="895"/>
      <c r="C6" s="901">
        <v>100</v>
      </c>
      <c r="D6" s="898">
        <f>C6-$T5</f>
        <v>100</v>
      </c>
      <c r="E6" s="898">
        <f t="shared" ref="E6:S6" si="7">D6-$T5</f>
        <v>100</v>
      </c>
      <c r="F6" s="1312">
        <f t="shared" si="7"/>
        <v>100</v>
      </c>
      <c r="G6" s="1312">
        <f t="shared" si="7"/>
        <v>100</v>
      </c>
      <c r="H6" s="1312">
        <f t="shared" si="7"/>
        <v>100</v>
      </c>
      <c r="I6" s="1312">
        <f t="shared" si="7"/>
        <v>100</v>
      </c>
      <c r="J6" s="1312">
        <f t="shared" si="7"/>
        <v>100</v>
      </c>
      <c r="K6" s="1312">
        <f t="shared" si="7"/>
        <v>100</v>
      </c>
      <c r="L6" s="1312">
        <f t="shared" si="7"/>
        <v>100</v>
      </c>
      <c r="M6" s="1312">
        <f t="shared" si="7"/>
        <v>100</v>
      </c>
      <c r="N6" s="1312">
        <f t="shared" si="7"/>
        <v>100</v>
      </c>
      <c r="O6" s="1312">
        <f t="shared" si="7"/>
        <v>100</v>
      </c>
      <c r="P6" s="1312">
        <f t="shared" si="7"/>
        <v>100</v>
      </c>
      <c r="Q6" s="1312">
        <f t="shared" si="7"/>
        <v>100</v>
      </c>
      <c r="R6" s="1312">
        <f t="shared" si="7"/>
        <v>100</v>
      </c>
      <c r="S6" s="1312">
        <f t="shared" si="7"/>
        <v>100</v>
      </c>
      <c r="T6" s="897"/>
      <c r="U6" s="724"/>
      <c r="V6" s="724"/>
      <c r="W6" s="724"/>
      <c r="X6" s="724"/>
      <c r="Y6" s="724"/>
      <c r="Z6" s="724"/>
      <c r="AA6" s="724"/>
      <c r="AB6" s="724"/>
      <c r="AC6" s="724"/>
      <c r="AD6" s="724"/>
      <c r="AE6" s="724"/>
      <c r="AF6" s="724"/>
      <c r="AG6" s="724"/>
      <c r="AH6" s="724"/>
      <c r="AI6" s="724"/>
      <c r="AJ6" s="724"/>
      <c r="AK6" s="724"/>
      <c r="AL6" s="724"/>
      <c r="AM6" s="724"/>
      <c r="AN6" s="724"/>
      <c r="AO6" s="724"/>
      <c r="AP6" s="724"/>
      <c r="AQ6" s="724"/>
      <c r="AR6" s="724"/>
      <c r="AS6" s="724"/>
    </row>
    <row r="7" spans="1:45" s="109" customFormat="1">
      <c r="A7" s="990"/>
      <c r="B7" s="1333" t="s">
        <v>2088</v>
      </c>
      <c r="C7" s="900"/>
      <c r="D7" s="894"/>
      <c r="E7" s="894"/>
      <c r="F7" s="1313"/>
      <c r="G7" s="1313"/>
      <c r="H7" s="1313"/>
      <c r="I7" s="1313"/>
      <c r="J7" s="1313"/>
      <c r="K7" s="1313"/>
      <c r="L7" s="1313"/>
      <c r="M7" s="1314"/>
      <c r="N7" s="1315"/>
      <c r="O7" s="1316"/>
      <c r="P7" s="1317"/>
      <c r="Q7" s="1318"/>
      <c r="R7" s="1319"/>
      <c r="S7" s="1320"/>
      <c r="T7" s="658"/>
      <c r="U7" s="724"/>
      <c r="V7" s="724"/>
      <c r="W7" s="724"/>
      <c r="X7" s="724"/>
      <c r="Y7" s="724"/>
      <c r="Z7" s="724"/>
      <c r="AA7" s="724"/>
      <c r="AB7" s="724"/>
      <c r="AC7" s="724"/>
      <c r="AD7" s="724"/>
      <c r="AE7" s="724"/>
      <c r="AF7" s="724"/>
      <c r="AG7" s="724"/>
      <c r="AH7" s="724"/>
      <c r="AI7" s="724"/>
      <c r="AJ7" s="724"/>
      <c r="AK7" s="724"/>
      <c r="AL7" s="724"/>
      <c r="AM7" s="724"/>
      <c r="AN7" s="724"/>
      <c r="AO7" s="724"/>
      <c r="AP7" s="724"/>
      <c r="AQ7" s="724"/>
      <c r="AR7" s="724"/>
      <c r="AS7" s="724"/>
    </row>
    <row r="8" spans="1:45" s="109" customFormat="1" ht="13.5" thickBot="1">
      <c r="A8" s="990"/>
      <c r="B8" s="895"/>
      <c r="C8" s="901">
        <v>100</v>
      </c>
      <c r="D8" s="898">
        <f>C8-$T7</f>
        <v>100</v>
      </c>
      <c r="E8" s="898">
        <f t="shared" ref="E8:S8" si="8">D8-$T7</f>
        <v>100</v>
      </c>
      <c r="F8" s="1312">
        <f t="shared" si="8"/>
        <v>100</v>
      </c>
      <c r="G8" s="1312">
        <f t="shared" si="8"/>
        <v>100</v>
      </c>
      <c r="H8" s="1312">
        <f t="shared" si="8"/>
        <v>100</v>
      </c>
      <c r="I8" s="1312">
        <f t="shared" si="8"/>
        <v>100</v>
      </c>
      <c r="J8" s="1312">
        <f t="shared" si="8"/>
        <v>100</v>
      </c>
      <c r="K8" s="1312">
        <f t="shared" si="8"/>
        <v>100</v>
      </c>
      <c r="L8" s="1312">
        <f t="shared" si="8"/>
        <v>100</v>
      </c>
      <c r="M8" s="1312">
        <f t="shared" si="8"/>
        <v>100</v>
      </c>
      <c r="N8" s="1312">
        <f t="shared" si="8"/>
        <v>100</v>
      </c>
      <c r="O8" s="1312">
        <f t="shared" si="8"/>
        <v>100</v>
      </c>
      <c r="P8" s="1312">
        <f t="shared" si="8"/>
        <v>100</v>
      </c>
      <c r="Q8" s="1312">
        <f t="shared" si="8"/>
        <v>100</v>
      </c>
      <c r="R8" s="1312">
        <f t="shared" si="8"/>
        <v>100</v>
      </c>
      <c r="S8" s="1312">
        <f t="shared" si="8"/>
        <v>100</v>
      </c>
      <c r="T8" s="897"/>
      <c r="U8" s="724"/>
      <c r="V8" s="724"/>
      <c r="W8" s="724"/>
      <c r="X8" s="724"/>
      <c r="Y8" s="724"/>
      <c r="Z8" s="724"/>
      <c r="AA8" s="724"/>
      <c r="AB8" s="724"/>
      <c r="AC8" s="724"/>
      <c r="AD8" s="724"/>
      <c r="AE8" s="724"/>
      <c r="AF8" s="724"/>
      <c r="AG8" s="724"/>
      <c r="AH8" s="724"/>
      <c r="AI8" s="724"/>
      <c r="AJ8" s="724"/>
      <c r="AK8" s="724"/>
      <c r="AL8" s="724"/>
      <c r="AM8" s="724"/>
      <c r="AN8" s="724"/>
      <c r="AO8" s="724"/>
      <c r="AP8" s="724"/>
      <c r="AQ8" s="724"/>
      <c r="AR8" s="724"/>
      <c r="AS8" s="724"/>
    </row>
    <row r="9" spans="1:45" s="109" customFormat="1">
      <c r="A9" s="990"/>
      <c r="B9" s="1333" t="s">
        <v>2089</v>
      </c>
      <c r="C9" s="900"/>
      <c r="D9" s="894"/>
      <c r="E9" s="894"/>
      <c r="F9" s="1313"/>
      <c r="G9" s="1313"/>
      <c r="H9" s="1313"/>
      <c r="I9" s="1313"/>
      <c r="J9" s="1313"/>
      <c r="K9" s="1313"/>
      <c r="L9" s="1321"/>
      <c r="M9" s="1314"/>
      <c r="N9" s="1315"/>
      <c r="O9" s="1316"/>
      <c r="P9" s="1317"/>
      <c r="Q9" s="1318"/>
      <c r="R9" s="1319"/>
      <c r="S9" s="1320"/>
      <c r="T9" s="658"/>
      <c r="U9" s="724"/>
      <c r="V9" s="724"/>
      <c r="W9" s="724"/>
      <c r="X9" s="724"/>
      <c r="Y9" s="724"/>
      <c r="Z9" s="724"/>
      <c r="AA9" s="724"/>
      <c r="AB9" s="724"/>
      <c r="AC9" s="724"/>
      <c r="AD9" s="724"/>
      <c r="AE9" s="724"/>
      <c r="AF9" s="724"/>
      <c r="AG9" s="724"/>
      <c r="AH9" s="724"/>
      <c r="AI9" s="724"/>
      <c r="AJ9" s="724"/>
      <c r="AK9" s="724"/>
      <c r="AL9" s="724"/>
      <c r="AM9" s="724"/>
      <c r="AN9" s="724"/>
      <c r="AO9" s="724"/>
      <c r="AP9" s="724"/>
      <c r="AQ9" s="724"/>
      <c r="AR9" s="724"/>
      <c r="AS9" s="724"/>
    </row>
    <row r="10" spans="1:45" s="109" customFormat="1" ht="13.5" thickBot="1">
      <c r="A10" s="990"/>
      <c r="B10" s="984"/>
      <c r="C10" s="995">
        <v>100</v>
      </c>
      <c r="D10" s="996">
        <f>C10-$T9</f>
        <v>100</v>
      </c>
      <c r="E10" s="996">
        <f t="shared" ref="E10:S10" si="9">D10-$T9</f>
        <v>100</v>
      </c>
      <c r="F10" s="1322">
        <f t="shared" si="9"/>
        <v>100</v>
      </c>
      <c r="G10" s="1322">
        <f t="shared" si="9"/>
        <v>100</v>
      </c>
      <c r="H10" s="1322">
        <f t="shared" si="9"/>
        <v>100</v>
      </c>
      <c r="I10" s="1322">
        <f t="shared" si="9"/>
        <v>100</v>
      </c>
      <c r="J10" s="1322">
        <f t="shared" si="9"/>
        <v>100</v>
      </c>
      <c r="K10" s="1322">
        <f t="shared" si="9"/>
        <v>100</v>
      </c>
      <c r="L10" s="1322">
        <f t="shared" si="9"/>
        <v>100</v>
      </c>
      <c r="M10" s="1322">
        <f t="shared" si="9"/>
        <v>100</v>
      </c>
      <c r="N10" s="1322">
        <f t="shared" si="9"/>
        <v>100</v>
      </c>
      <c r="O10" s="1322">
        <f t="shared" si="9"/>
        <v>100</v>
      </c>
      <c r="P10" s="1322">
        <f t="shared" si="9"/>
        <v>100</v>
      </c>
      <c r="Q10" s="1322">
        <f t="shared" si="9"/>
        <v>100</v>
      </c>
      <c r="R10" s="1322">
        <f t="shared" si="9"/>
        <v>100</v>
      </c>
      <c r="S10" s="1322">
        <f t="shared" si="9"/>
        <v>100</v>
      </c>
      <c r="T10" s="989"/>
      <c r="U10" s="724"/>
      <c r="V10" s="724"/>
      <c r="W10" s="724"/>
      <c r="X10" s="724"/>
      <c r="Y10" s="724"/>
      <c r="Z10" s="724"/>
      <c r="AA10" s="724"/>
      <c r="AB10" s="724"/>
      <c r="AC10" s="724"/>
      <c r="AD10" s="724"/>
      <c r="AE10" s="724"/>
      <c r="AF10" s="724"/>
      <c r="AG10" s="724"/>
      <c r="AH10" s="724"/>
      <c r="AI10" s="724"/>
      <c r="AJ10" s="724"/>
      <c r="AK10" s="724"/>
      <c r="AL10" s="724"/>
      <c r="AM10" s="724"/>
      <c r="AN10" s="724"/>
      <c r="AO10" s="724"/>
      <c r="AP10" s="724"/>
      <c r="AQ10" s="724"/>
      <c r="AR10" s="724"/>
      <c r="AS10" s="724"/>
    </row>
    <row r="11" spans="1:45" s="109" customFormat="1">
      <c r="A11" s="990"/>
      <c r="B11" s="1332" t="s">
        <v>2090</v>
      </c>
      <c r="C11" s="991"/>
      <c r="D11" s="992"/>
      <c r="E11" s="992"/>
      <c r="F11" s="992"/>
      <c r="G11" s="992"/>
      <c r="H11" s="992"/>
      <c r="I11" s="992"/>
      <c r="J11" s="992"/>
      <c r="K11" s="992"/>
      <c r="L11" s="992"/>
      <c r="M11" s="993"/>
      <c r="N11" s="997"/>
      <c r="O11" s="998"/>
      <c r="P11" s="999"/>
      <c r="Q11" s="1000"/>
      <c r="R11" s="1001"/>
      <c r="S11" s="1002"/>
      <c r="T11" s="994"/>
      <c r="U11" s="724"/>
      <c r="V11" s="724"/>
      <c r="W11" s="724"/>
      <c r="X11" s="724"/>
      <c r="Y11" s="724"/>
      <c r="Z11" s="724"/>
      <c r="AA11" s="724"/>
      <c r="AB11" s="724"/>
      <c r="AC11" s="724"/>
      <c r="AD11" s="724"/>
      <c r="AE11" s="724"/>
      <c r="AF11" s="724"/>
      <c r="AG11" s="724"/>
      <c r="AH11" s="724"/>
      <c r="AI11" s="724"/>
      <c r="AJ11" s="724"/>
      <c r="AK11" s="724"/>
      <c r="AL11" s="724"/>
      <c r="AM11" s="724"/>
      <c r="AN11" s="724"/>
      <c r="AO11" s="724"/>
      <c r="AP11" s="724"/>
      <c r="AQ11" s="724"/>
      <c r="AR11" s="724"/>
      <c r="AS11" s="724"/>
    </row>
    <row r="12" spans="1:45" s="109" customFormat="1" ht="13.5" thickBot="1">
      <c r="A12" s="990"/>
      <c r="B12" s="895"/>
      <c r="C12" s="901">
        <v>100</v>
      </c>
      <c r="D12" s="898">
        <f>C12-$T11</f>
        <v>100</v>
      </c>
      <c r="E12" s="898">
        <f t="shared" ref="E12:S12" si="10">D12-$T11</f>
        <v>100</v>
      </c>
      <c r="F12" s="898">
        <f t="shared" si="10"/>
        <v>100</v>
      </c>
      <c r="G12" s="898">
        <f t="shared" si="10"/>
        <v>100</v>
      </c>
      <c r="H12" s="898">
        <f t="shared" si="10"/>
        <v>100</v>
      </c>
      <c r="I12" s="898">
        <f t="shared" si="10"/>
        <v>100</v>
      </c>
      <c r="J12" s="898">
        <f t="shared" si="10"/>
        <v>100</v>
      </c>
      <c r="K12" s="898">
        <f t="shared" si="10"/>
        <v>100</v>
      </c>
      <c r="L12" s="898">
        <f t="shared" si="10"/>
        <v>100</v>
      </c>
      <c r="M12" s="898">
        <f t="shared" si="10"/>
        <v>100</v>
      </c>
      <c r="N12" s="898">
        <f t="shared" si="10"/>
        <v>100</v>
      </c>
      <c r="O12" s="898">
        <f t="shared" si="10"/>
        <v>100</v>
      </c>
      <c r="P12" s="898">
        <f t="shared" si="10"/>
        <v>100</v>
      </c>
      <c r="Q12" s="898">
        <f t="shared" si="10"/>
        <v>100</v>
      </c>
      <c r="R12" s="898">
        <f>Q12-$T11</f>
        <v>100</v>
      </c>
      <c r="S12" s="898">
        <f t="shared" si="10"/>
        <v>100</v>
      </c>
      <c r="T12" s="897"/>
      <c r="U12" s="724"/>
      <c r="V12" s="724"/>
      <c r="W12" s="724"/>
      <c r="X12" s="724"/>
      <c r="Y12" s="724"/>
      <c r="Z12" s="724"/>
      <c r="AA12" s="724"/>
      <c r="AB12" s="724"/>
      <c r="AC12" s="724"/>
      <c r="AD12" s="724"/>
      <c r="AE12" s="724"/>
      <c r="AF12" s="724"/>
      <c r="AG12" s="724"/>
      <c r="AH12" s="724"/>
      <c r="AI12" s="724"/>
      <c r="AJ12" s="724"/>
      <c r="AK12" s="724"/>
      <c r="AL12" s="724"/>
      <c r="AM12" s="724"/>
      <c r="AN12" s="724"/>
      <c r="AO12" s="724"/>
      <c r="AP12" s="724"/>
      <c r="AQ12" s="724"/>
      <c r="AR12" s="724"/>
      <c r="AS12" s="724"/>
    </row>
    <row r="13" spans="1:45" s="109" customFormat="1">
      <c r="A13" s="990"/>
      <c r="B13" s="1332" t="s">
        <v>2091</v>
      </c>
      <c r="C13" s="991"/>
      <c r="D13" s="992"/>
      <c r="E13" s="992"/>
      <c r="F13" s="992"/>
      <c r="G13" s="992"/>
      <c r="H13" s="992"/>
      <c r="I13" s="992"/>
      <c r="J13" s="992"/>
      <c r="K13" s="992"/>
      <c r="L13" s="992"/>
      <c r="M13" s="993"/>
      <c r="N13" s="997"/>
      <c r="O13" s="998"/>
      <c r="P13" s="999"/>
      <c r="Q13" s="1000"/>
      <c r="R13" s="1001"/>
      <c r="S13" s="1002"/>
      <c r="T13" s="1003"/>
      <c r="U13" s="724"/>
      <c r="V13" s="724"/>
      <c r="W13" s="724"/>
      <c r="X13" s="724"/>
      <c r="Y13" s="724"/>
      <c r="Z13" s="724"/>
      <c r="AA13" s="724"/>
      <c r="AB13" s="724"/>
      <c r="AC13" s="724"/>
      <c r="AD13" s="724"/>
      <c r="AE13" s="724"/>
      <c r="AF13" s="724"/>
      <c r="AG13" s="724"/>
      <c r="AH13" s="724"/>
      <c r="AI13" s="724"/>
      <c r="AJ13" s="724"/>
      <c r="AK13" s="724"/>
      <c r="AL13" s="724"/>
      <c r="AM13" s="724"/>
      <c r="AN13" s="724"/>
      <c r="AO13" s="724"/>
      <c r="AP13" s="724"/>
      <c r="AQ13" s="724"/>
      <c r="AR13" s="724"/>
      <c r="AS13" s="724"/>
    </row>
    <row r="14" spans="1:45" s="109" customFormat="1" ht="13.5" thickBot="1">
      <c r="A14" s="990"/>
      <c r="B14" s="895"/>
      <c r="C14" s="899"/>
      <c r="D14" s="896"/>
      <c r="E14" s="896"/>
      <c r="F14" s="896"/>
      <c r="G14" s="896"/>
      <c r="H14" s="896"/>
      <c r="I14" s="896"/>
      <c r="J14" s="896"/>
      <c r="K14" s="896"/>
      <c r="L14" s="896"/>
      <c r="M14" s="1004"/>
      <c r="N14" s="1004"/>
      <c r="O14" s="896"/>
      <c r="P14" s="896"/>
      <c r="Q14" s="896"/>
      <c r="R14" s="896"/>
      <c r="S14" s="1005"/>
      <c r="T14" s="897"/>
      <c r="U14" s="724"/>
      <c r="V14" s="724"/>
      <c r="W14" s="724"/>
      <c r="X14" s="724"/>
      <c r="Y14" s="724"/>
      <c r="Z14" s="724"/>
      <c r="AA14" s="724"/>
      <c r="AB14" s="724"/>
      <c r="AC14" s="724"/>
      <c r="AD14" s="724"/>
      <c r="AE14" s="724"/>
      <c r="AF14" s="724"/>
      <c r="AG14" s="724"/>
      <c r="AH14" s="724"/>
      <c r="AI14" s="724"/>
      <c r="AJ14" s="724"/>
      <c r="AK14" s="724"/>
      <c r="AL14" s="724"/>
      <c r="AM14" s="724"/>
      <c r="AN14" s="724"/>
      <c r="AO14" s="724"/>
      <c r="AP14" s="724"/>
      <c r="AQ14" s="724"/>
      <c r="AR14" s="724"/>
      <c r="AS14" s="724"/>
    </row>
    <row r="15" spans="1:45" s="109" customFormat="1">
      <c r="A15" s="990"/>
      <c r="B15" s="1332" t="s">
        <v>2092</v>
      </c>
      <c r="C15" s="991"/>
      <c r="D15" s="992"/>
      <c r="E15" s="992"/>
      <c r="F15" s="992"/>
      <c r="G15" s="992"/>
      <c r="H15" s="992"/>
      <c r="I15" s="992"/>
      <c r="J15" s="992"/>
      <c r="K15" s="992"/>
      <c r="L15" s="992"/>
      <c r="M15" s="993"/>
      <c r="N15" s="997"/>
      <c r="O15" s="998"/>
      <c r="P15" s="999"/>
      <c r="Q15" s="1000"/>
      <c r="R15" s="1001"/>
      <c r="S15" s="1002"/>
      <c r="T15" s="1003"/>
      <c r="U15" s="724"/>
      <c r="V15" s="724"/>
      <c r="W15" s="724"/>
      <c r="X15" s="724"/>
      <c r="Y15" s="724"/>
      <c r="Z15" s="724"/>
      <c r="AA15" s="724"/>
      <c r="AB15" s="724"/>
      <c r="AC15" s="724"/>
      <c r="AD15" s="724"/>
      <c r="AE15" s="724"/>
      <c r="AF15" s="724"/>
      <c r="AG15" s="724"/>
      <c r="AH15" s="724"/>
      <c r="AI15" s="724"/>
      <c r="AJ15" s="724"/>
      <c r="AK15" s="724"/>
      <c r="AL15" s="724"/>
      <c r="AM15" s="724"/>
      <c r="AN15" s="724"/>
      <c r="AO15" s="724"/>
      <c r="AP15" s="724"/>
      <c r="AQ15" s="724"/>
      <c r="AR15" s="724"/>
      <c r="AS15" s="724"/>
    </row>
    <row r="16" spans="1:45" s="109" customFormat="1" ht="13.5" thickBot="1">
      <c r="A16" s="990"/>
      <c r="B16" s="984"/>
      <c r="C16" s="985"/>
      <c r="D16" s="986"/>
      <c r="E16" s="986"/>
      <c r="F16" s="986"/>
      <c r="G16" s="986"/>
      <c r="H16" s="986"/>
      <c r="I16" s="986"/>
      <c r="J16" s="986"/>
      <c r="K16" s="986"/>
      <c r="L16" s="986"/>
      <c r="M16" s="987"/>
      <c r="N16" s="987"/>
      <c r="O16" s="986"/>
      <c r="P16" s="986"/>
      <c r="Q16" s="986"/>
      <c r="R16" s="986"/>
      <c r="S16" s="988"/>
      <c r="T16" s="989"/>
      <c r="U16" s="724"/>
      <c r="V16" s="724"/>
      <c r="W16" s="724"/>
      <c r="X16" s="724"/>
      <c r="Y16" s="724"/>
      <c r="Z16" s="724"/>
      <c r="AA16" s="724"/>
      <c r="AB16" s="724"/>
      <c r="AC16" s="724"/>
      <c r="AD16" s="724"/>
      <c r="AE16" s="724"/>
      <c r="AF16" s="724"/>
      <c r="AG16" s="724"/>
      <c r="AH16" s="724"/>
      <c r="AI16" s="724"/>
      <c r="AJ16" s="724"/>
      <c r="AK16" s="724"/>
      <c r="AL16" s="724"/>
      <c r="AM16" s="724"/>
      <c r="AN16" s="724"/>
      <c r="AO16" s="724"/>
      <c r="AP16" s="724"/>
      <c r="AQ16" s="724"/>
      <c r="AR16" s="724"/>
      <c r="AS16" s="724"/>
    </row>
    <row r="17" spans="1:45" s="652" customFormat="1">
      <c r="A17" s="2141" t="s">
        <v>2093</v>
      </c>
      <c r="B17" s="2142" t="s">
        <v>2094</v>
      </c>
      <c r="C17" s="1006"/>
      <c r="D17" s="1007"/>
      <c r="E17" s="1007"/>
      <c r="F17" s="1007"/>
      <c r="G17" s="1007"/>
      <c r="H17" s="1007"/>
      <c r="I17" s="1007"/>
      <c r="J17" s="1007"/>
      <c r="K17" s="1007"/>
      <c r="L17" s="1008"/>
      <c r="M17" s="1009"/>
      <c r="N17" s="1010"/>
      <c r="O17" s="1011"/>
      <c r="P17" s="1012"/>
      <c r="Q17" s="1013"/>
      <c r="R17" s="1014"/>
      <c r="S17" s="1015"/>
      <c r="T17" s="1015"/>
      <c r="U17" s="1015"/>
      <c r="V17" s="1015"/>
      <c r="W17" s="1015"/>
      <c r="X17" s="1015"/>
      <c r="Y17" s="1015"/>
      <c r="Z17" s="1015"/>
      <c r="AA17" s="1015"/>
      <c r="AB17" s="1015"/>
      <c r="AC17" s="1015"/>
      <c r="AD17" s="1015"/>
      <c r="AE17" s="1015"/>
      <c r="AF17" s="1015"/>
      <c r="AG17" s="1015"/>
      <c r="AH17" s="1015"/>
      <c r="AI17" s="1015"/>
      <c r="AJ17" s="1015"/>
      <c r="AK17" s="1015"/>
      <c r="AL17" s="1015"/>
      <c r="AM17" s="1015"/>
      <c r="AN17" s="1015"/>
      <c r="AO17" s="1015"/>
      <c r="AP17" s="1015"/>
      <c r="AQ17" s="1015"/>
      <c r="AR17" s="722"/>
      <c r="AS17" s="722"/>
    </row>
    <row r="18" spans="1:45" s="652" customFormat="1" ht="13.5" thickBot="1">
      <c r="A18" s="1016"/>
      <c r="B18" s="1017"/>
      <c r="C18" s="1018"/>
      <c r="D18" s="1019"/>
      <c r="E18" s="1019"/>
      <c r="F18" s="1019"/>
      <c r="G18" s="1019"/>
      <c r="H18" s="1019"/>
      <c r="I18" s="1019"/>
      <c r="J18" s="1019"/>
      <c r="K18" s="1019"/>
      <c r="L18" s="1019"/>
      <c r="M18" s="1020"/>
      <c r="N18" s="1020"/>
      <c r="O18" s="1019"/>
      <c r="P18" s="1019"/>
      <c r="Q18" s="1019"/>
      <c r="R18" s="1019"/>
      <c r="S18" s="1021"/>
      <c r="T18" s="1021"/>
      <c r="U18" s="1021"/>
      <c r="V18" s="1021"/>
      <c r="W18" s="1021"/>
      <c r="X18" s="1021"/>
      <c r="Y18" s="1021"/>
      <c r="Z18" s="1021"/>
      <c r="AA18" s="1021"/>
      <c r="AB18" s="1021"/>
      <c r="AC18" s="1021"/>
      <c r="AD18" s="1021"/>
      <c r="AE18" s="1021"/>
      <c r="AF18" s="1021"/>
      <c r="AG18" s="1021"/>
      <c r="AH18" s="1021"/>
      <c r="AI18" s="1021"/>
      <c r="AJ18" s="1021"/>
      <c r="AK18" s="1021"/>
      <c r="AL18" s="1021"/>
      <c r="AM18" s="1021"/>
      <c r="AN18" s="1021"/>
      <c r="AO18" s="1021"/>
      <c r="AP18" s="1021"/>
      <c r="AQ18" s="1021"/>
      <c r="AR18" s="722"/>
      <c r="AS18" s="722"/>
    </row>
    <row r="19" spans="1:45">
      <c r="A19" s="127"/>
      <c r="B19" s="156"/>
      <c r="C19" s="156"/>
      <c r="D19" s="2143" t="s">
        <v>2095</v>
      </c>
      <c r="E19" s="1336"/>
      <c r="F19" s="1336"/>
      <c r="G19" s="1336"/>
      <c r="H19" s="1055"/>
      <c r="I19" s="156"/>
      <c r="J19" s="156"/>
      <c r="K19" s="156"/>
      <c r="L19" s="156"/>
      <c r="M19" s="156"/>
      <c r="N19" s="156"/>
      <c r="O19" s="156"/>
      <c r="P19" s="156"/>
      <c r="Q19" s="156"/>
      <c r="R19" s="714"/>
      <c r="S19" s="127"/>
    </row>
    <row r="20" spans="1:45" ht="16.5" thickBot="1">
      <c r="A20" s="659" t="s">
        <v>2096</v>
      </c>
      <c r="B20" s="291" t="e">
        <f ca="1">IF(D20="——",S22,S22-F20)</f>
        <v>#REF!</v>
      </c>
      <c r="C20" s="156"/>
      <c r="D20" s="2144"/>
      <c r="E20" s="1337"/>
      <c r="F20" s="979" t="e">
        <f ca="1">SUMIF(INDIRECT("'"&amp;H20&amp;"'"&amp;"!A:A"),"承租人权益价值",INDIRECT("'"&amp;H20&amp;"'"&amp;"!c:c"))</f>
        <v>#REF!</v>
      </c>
      <c r="G20" s="979" t="s">
        <v>2097</v>
      </c>
      <c r="H20" s="2145"/>
      <c r="I20" s="156"/>
      <c r="J20" s="156"/>
      <c r="K20" s="156"/>
      <c r="L20" s="156"/>
      <c r="M20" s="156"/>
      <c r="N20" s="156"/>
      <c r="O20" s="156"/>
      <c r="P20" s="156"/>
      <c r="Q20" s="156"/>
      <c r="R20" s="714"/>
      <c r="S20" s="127"/>
    </row>
    <row r="21" spans="1:45" ht="15.75">
      <c r="A21" s="659" t="s">
        <v>2098</v>
      </c>
      <c r="B21" s="291" t="e">
        <f ca="1">ROUND(B20*10000/B22,0)</f>
        <v>#REF!</v>
      </c>
      <c r="C21" s="156"/>
      <c r="D21" s="156"/>
      <c r="E21" s="156"/>
      <c r="F21" s="156"/>
      <c r="G21" s="156"/>
      <c r="H21" s="156"/>
      <c r="I21" s="156"/>
      <c r="J21" s="156"/>
      <c r="K21" s="156"/>
      <c r="L21" s="156"/>
      <c r="M21" s="156"/>
      <c r="N21" s="156"/>
      <c r="O21" s="156"/>
      <c r="P21" s="156"/>
      <c r="Q21" s="156"/>
      <c r="R21" s="714"/>
      <c r="S21" s="127"/>
    </row>
    <row r="22" spans="1:45">
      <c r="A22" s="313" t="s">
        <v>2099</v>
      </c>
      <c r="B22" s="21">
        <f>SUM(B24:B10000)</f>
        <v>0</v>
      </c>
      <c r="C22" s="3844" t="s">
        <v>27</v>
      </c>
      <c r="D22" s="3845"/>
      <c r="E22" s="3845"/>
      <c r="F22" s="3845"/>
      <c r="G22" s="3845"/>
      <c r="H22" s="3845"/>
      <c r="I22" s="3845"/>
      <c r="J22" s="3845"/>
      <c r="K22" s="3845"/>
      <c r="L22" s="3845"/>
      <c r="M22" s="3845"/>
      <c r="N22" s="3845"/>
      <c r="O22" s="3845"/>
      <c r="P22" s="3845"/>
      <c r="Q22" s="3846"/>
      <c r="R22" s="660" t="e">
        <f>ROUND(S22*10000/B22,0)</f>
        <v>#DIV/0!</v>
      </c>
      <c r="S22" s="21">
        <f>SUM(S24:S10000)</f>
        <v>0</v>
      </c>
    </row>
    <row r="23" spans="1:45" s="9" customFormat="1" ht="24">
      <c r="A23" s="8" t="s">
        <v>2100</v>
      </c>
      <c r="B23" s="8" t="s">
        <v>2101</v>
      </c>
      <c r="C23" s="8" t="s">
        <v>2102</v>
      </c>
      <c r="D23" s="8" t="str">
        <f>B5</f>
        <v>修正项2</v>
      </c>
      <c r="E23" s="8" t="s">
        <v>2102</v>
      </c>
      <c r="F23" s="8" t="str">
        <f>B7</f>
        <v>修正项3</v>
      </c>
      <c r="G23" s="8" t="s">
        <v>2102</v>
      </c>
      <c r="H23" s="8" t="str">
        <f>B9</f>
        <v>修正项4</v>
      </c>
      <c r="I23" s="8" t="s">
        <v>2102</v>
      </c>
      <c r="J23" s="8" t="str">
        <f>B11</f>
        <v>修正项5</v>
      </c>
      <c r="K23" s="8" t="s">
        <v>2102</v>
      </c>
      <c r="L23" s="8" t="str">
        <f>B13</f>
        <v>修正项6</v>
      </c>
      <c r="M23" s="8" t="s">
        <v>2102</v>
      </c>
      <c r="N23" s="8" t="str">
        <f>B15</f>
        <v>修正项7</v>
      </c>
      <c r="O23" s="8" t="s">
        <v>2102</v>
      </c>
      <c r="P23" s="8" t="str">
        <f>B17</f>
        <v>楼层</v>
      </c>
      <c r="Q23" s="8" t="s">
        <v>2102</v>
      </c>
      <c r="R23" s="661" t="s">
        <v>2103</v>
      </c>
      <c r="S23" s="8" t="s">
        <v>2104</v>
      </c>
      <c r="T23" s="725"/>
      <c r="U23" s="725"/>
      <c r="V23" s="725"/>
      <c r="W23" s="725"/>
      <c r="X23" s="725"/>
      <c r="Y23" s="725"/>
      <c r="Z23" s="725"/>
      <c r="AA23" s="725"/>
      <c r="AB23" s="725"/>
      <c r="AC23" s="725"/>
      <c r="AD23" s="725"/>
      <c r="AE23" s="725"/>
      <c r="AF23" s="725"/>
      <c r="AG23" s="725"/>
      <c r="AH23" s="725"/>
      <c r="AI23" s="725"/>
      <c r="AJ23" s="725"/>
      <c r="AK23" s="725"/>
      <c r="AL23" s="725"/>
      <c r="AM23" s="725"/>
      <c r="AN23" s="725"/>
      <c r="AO23" s="725"/>
      <c r="AP23" s="725"/>
      <c r="AQ23" s="725"/>
      <c r="AR23" s="725"/>
      <c r="AS23" s="725"/>
    </row>
    <row r="24" spans="1:45" s="666" customFormat="1">
      <c r="A24" s="662" t="s">
        <v>2105</v>
      </c>
      <c r="B24" s="662"/>
      <c r="C24" s="2802">
        <v>1</v>
      </c>
      <c r="D24" s="2803"/>
      <c r="E24" s="2802">
        <v>1</v>
      </c>
      <c r="F24" s="2803"/>
      <c r="G24" s="2802">
        <v>1</v>
      </c>
      <c r="H24" s="2803"/>
      <c r="I24" s="2802">
        <v>1</v>
      </c>
      <c r="J24" s="2803"/>
      <c r="K24" s="2802">
        <v>1</v>
      </c>
      <c r="L24" s="2803"/>
      <c r="M24" s="2802">
        <v>1</v>
      </c>
      <c r="N24" s="2803"/>
      <c r="O24" s="2802">
        <v>1</v>
      </c>
      <c r="P24" s="2803"/>
      <c r="Q24" s="2802">
        <v>1</v>
      </c>
      <c r="R24" s="665"/>
      <c r="S24" s="663">
        <f t="shared" ref="S24:S54" si="11">ROUND(R24*B24/10000,0)</f>
        <v>0</v>
      </c>
      <c r="T24" s="726"/>
      <c r="U24" s="726"/>
      <c r="V24" s="726"/>
      <c r="W24" s="726"/>
      <c r="X24" s="726"/>
      <c r="Y24" s="726"/>
      <c r="Z24" s="726"/>
      <c r="AA24" s="726"/>
      <c r="AB24" s="726"/>
      <c r="AC24" s="726"/>
      <c r="AD24" s="726"/>
      <c r="AE24" s="726"/>
      <c r="AF24" s="726"/>
      <c r="AG24" s="726"/>
      <c r="AH24" s="726"/>
      <c r="AI24" s="726"/>
      <c r="AJ24" s="726"/>
      <c r="AK24" s="726"/>
      <c r="AL24" s="726"/>
      <c r="AM24" s="726"/>
      <c r="AN24" s="726"/>
      <c r="AO24" s="726"/>
      <c r="AP24" s="726"/>
      <c r="AQ24" s="726"/>
      <c r="AR24" s="726"/>
      <c r="AS24" s="726"/>
    </row>
    <row r="25" spans="1:45">
      <c r="A25" s="147"/>
      <c r="B25" s="54"/>
      <c r="C25" s="21">
        <f>IF(B25="",1,(LOOKUP(B25,$3:$3,$4:$4)-LOOKUP($B$24,$3:$3,$4:$4)+100)/100)</f>
        <v>1</v>
      </c>
      <c r="D25" s="664"/>
      <c r="E25" s="21">
        <f>(SUMIF($5:$5,D25,$6:$6)-SUMIF($5:$5,$D$24,$6:$6)+100)/100</f>
        <v>1</v>
      </c>
      <c r="F25" s="664"/>
      <c r="G25" s="21">
        <f>(SUMIF($7:$7,F25,$8:$8)-SUMIF($7:$7,$F$24,$8:$8)+100)/100</f>
        <v>1</v>
      </c>
      <c r="H25" s="664"/>
      <c r="I25" s="21">
        <f>(SUMIF($9:$9,H25,$10:$10)-SUMIF($9:$9,$H$24,$10:$10)+100)/100</f>
        <v>1</v>
      </c>
      <c r="J25" s="664"/>
      <c r="K25" s="21">
        <f>(SUMIF($11:$11,J25,$12:$12)-SUMIF($11:$11,$J$24,$12:$12)+100)/100</f>
        <v>1</v>
      </c>
      <c r="L25" s="664"/>
      <c r="M25" s="21">
        <f>(SUMIF($13:$13,L25,$14:$14)-SUMIF($13:$13,$L$24,$14:$14)+100)/100</f>
        <v>1</v>
      </c>
      <c r="N25" s="664"/>
      <c r="O25" s="21">
        <f>(SUMIF($15:$15,N25,$16:$16)-SUMIF($15:$15,$N$24,$16:$16)+100)/100</f>
        <v>1</v>
      </c>
      <c r="P25" s="664"/>
      <c r="Q25" s="21">
        <f>(SUMIF($17:$17,P25,$18:$18)-SUMIF($17:$17,$P$24,$18:$18)+100)/100</f>
        <v>1</v>
      </c>
      <c r="R25" s="660">
        <f>IF(B25="",0,ROUND($R$24*C25*E25*G25*I25*K25*M25*O25*Q25,0))</f>
        <v>0</v>
      </c>
      <c r="S25" s="313">
        <f t="shared" si="11"/>
        <v>0</v>
      </c>
    </row>
    <row r="26" spans="1:45">
      <c r="A26" s="147"/>
      <c r="B26" s="54"/>
      <c r="C26" s="21">
        <f t="shared" ref="C26:C89" si="12">IF(B26="",1,(LOOKUP(B26,$3:$3,$4:$4)-LOOKUP($B$24,$3:$3,$4:$4)+100)/100)</f>
        <v>1</v>
      </c>
      <c r="D26" s="664"/>
      <c r="E26" s="21">
        <f t="shared" ref="E26:E89" si="13">(SUMIF($5:$5,D26,$6:$6)-SUMIF($5:$5,$D$24,$6:$6)+100)/100</f>
        <v>1</v>
      </c>
      <c r="F26" s="664"/>
      <c r="G26" s="21">
        <f t="shared" ref="G26:G89" si="14">(SUMIF($7:$7,F26,$8:$8)-SUMIF($7:$7,$F$24,$8:$8)+100)/100</f>
        <v>1</v>
      </c>
      <c r="H26" s="664"/>
      <c r="I26" s="21">
        <f t="shared" ref="I26:I89" si="15">(SUMIF($9:$9,H26,$10:$10)-SUMIF($9:$9,$H$24,$10:$10)+100)/100</f>
        <v>1</v>
      </c>
      <c r="J26" s="664"/>
      <c r="K26" s="21">
        <f t="shared" ref="K26:K89" si="16">(SUMIF($11:$11,J26,$12:$12)-SUMIF($11:$11,$J$24,$12:$12)+100)/100</f>
        <v>1</v>
      </c>
      <c r="L26" s="664"/>
      <c r="M26" s="21">
        <f t="shared" ref="M26:M89" si="17">(SUMIF($13:$13,L26,$14:$14)-SUMIF($13:$13,$L$24,$14:$14)+100)/100</f>
        <v>1</v>
      </c>
      <c r="N26" s="664"/>
      <c r="O26" s="21">
        <f t="shared" ref="O26:O89" si="18">(SUMIF($15:$15,N26,$16:$16)-SUMIF($15:$15,$N$24,$16:$16)+100)/100</f>
        <v>1</v>
      </c>
      <c r="P26" s="664"/>
      <c r="Q26" s="21">
        <f t="shared" ref="Q26:Q89" si="19">(SUMIF($17:$17,P26,$18:$18)-SUMIF($17:$17,$P$24,$18:$18)+100)/100</f>
        <v>1</v>
      </c>
      <c r="R26" s="660">
        <f t="shared" ref="R26:R89" si="20">IF(B26="",0,ROUND($R$24*C26*E26*G26*I26*K26*M26*O26*Q26,0))</f>
        <v>0</v>
      </c>
      <c r="S26" s="313">
        <f t="shared" si="11"/>
        <v>0</v>
      </c>
    </row>
    <row r="27" spans="1:45">
      <c r="A27" s="147"/>
      <c r="B27" s="54"/>
      <c r="C27" s="21">
        <f t="shared" si="12"/>
        <v>1</v>
      </c>
      <c r="D27" s="664"/>
      <c r="E27" s="21">
        <f t="shared" si="13"/>
        <v>1</v>
      </c>
      <c r="F27" s="664"/>
      <c r="G27" s="21">
        <f t="shared" si="14"/>
        <v>1</v>
      </c>
      <c r="H27" s="664"/>
      <c r="I27" s="21">
        <f t="shared" si="15"/>
        <v>1</v>
      </c>
      <c r="J27" s="664"/>
      <c r="K27" s="21">
        <f t="shared" si="16"/>
        <v>1</v>
      </c>
      <c r="L27" s="664"/>
      <c r="M27" s="21">
        <f t="shared" si="17"/>
        <v>1</v>
      </c>
      <c r="N27" s="664"/>
      <c r="O27" s="21">
        <f t="shared" si="18"/>
        <v>1</v>
      </c>
      <c r="P27" s="664"/>
      <c r="Q27" s="21">
        <f t="shared" si="19"/>
        <v>1</v>
      </c>
      <c r="R27" s="660">
        <f t="shared" si="20"/>
        <v>0</v>
      </c>
      <c r="S27" s="313">
        <f t="shared" si="11"/>
        <v>0</v>
      </c>
    </row>
    <row r="28" spans="1:45">
      <c r="A28" s="147"/>
      <c r="B28" s="54"/>
      <c r="C28" s="21">
        <f t="shared" si="12"/>
        <v>1</v>
      </c>
      <c r="D28" s="664"/>
      <c r="E28" s="21">
        <f t="shared" si="13"/>
        <v>1</v>
      </c>
      <c r="F28" s="664"/>
      <c r="G28" s="21">
        <f t="shared" si="14"/>
        <v>1</v>
      </c>
      <c r="H28" s="664"/>
      <c r="I28" s="21">
        <f t="shared" si="15"/>
        <v>1</v>
      </c>
      <c r="J28" s="664"/>
      <c r="K28" s="21">
        <f t="shared" si="16"/>
        <v>1</v>
      </c>
      <c r="L28" s="664"/>
      <c r="M28" s="21">
        <f t="shared" si="17"/>
        <v>1</v>
      </c>
      <c r="N28" s="664"/>
      <c r="O28" s="21">
        <f t="shared" si="18"/>
        <v>1</v>
      </c>
      <c r="P28" s="664"/>
      <c r="Q28" s="21">
        <f t="shared" si="19"/>
        <v>1</v>
      </c>
      <c r="R28" s="660">
        <f t="shared" si="20"/>
        <v>0</v>
      </c>
      <c r="S28" s="313">
        <f t="shared" si="11"/>
        <v>0</v>
      </c>
    </row>
    <row r="29" spans="1:45">
      <c r="A29" s="147"/>
      <c r="B29" s="54"/>
      <c r="C29" s="21">
        <f t="shared" si="12"/>
        <v>1</v>
      </c>
      <c r="D29" s="664"/>
      <c r="E29" s="21">
        <f t="shared" si="13"/>
        <v>1</v>
      </c>
      <c r="F29" s="664"/>
      <c r="G29" s="21">
        <f t="shared" si="14"/>
        <v>1</v>
      </c>
      <c r="H29" s="664"/>
      <c r="I29" s="21">
        <f t="shared" si="15"/>
        <v>1</v>
      </c>
      <c r="J29" s="664"/>
      <c r="K29" s="21">
        <f t="shared" si="16"/>
        <v>1</v>
      </c>
      <c r="L29" s="664"/>
      <c r="M29" s="21">
        <f t="shared" si="17"/>
        <v>1</v>
      </c>
      <c r="N29" s="664"/>
      <c r="O29" s="21">
        <f t="shared" si="18"/>
        <v>1</v>
      </c>
      <c r="P29" s="664"/>
      <c r="Q29" s="21">
        <f t="shared" si="19"/>
        <v>1</v>
      </c>
      <c r="R29" s="660">
        <f t="shared" si="20"/>
        <v>0</v>
      </c>
      <c r="S29" s="313">
        <f t="shared" si="11"/>
        <v>0</v>
      </c>
    </row>
    <row r="30" spans="1:45">
      <c r="A30" s="147"/>
      <c r="B30" s="54"/>
      <c r="C30" s="21">
        <f t="shared" si="12"/>
        <v>1</v>
      </c>
      <c r="D30" s="664"/>
      <c r="E30" s="21">
        <f t="shared" si="13"/>
        <v>1</v>
      </c>
      <c r="F30" s="664"/>
      <c r="G30" s="21">
        <f t="shared" si="14"/>
        <v>1</v>
      </c>
      <c r="H30" s="664"/>
      <c r="I30" s="21">
        <f t="shared" si="15"/>
        <v>1</v>
      </c>
      <c r="J30" s="664"/>
      <c r="K30" s="21">
        <f t="shared" si="16"/>
        <v>1</v>
      </c>
      <c r="L30" s="664"/>
      <c r="M30" s="21">
        <f t="shared" si="17"/>
        <v>1</v>
      </c>
      <c r="N30" s="664"/>
      <c r="O30" s="21">
        <f t="shared" si="18"/>
        <v>1</v>
      </c>
      <c r="P30" s="664"/>
      <c r="Q30" s="21">
        <f t="shared" si="19"/>
        <v>1</v>
      </c>
      <c r="R30" s="660">
        <f t="shared" si="20"/>
        <v>0</v>
      </c>
      <c r="S30" s="313">
        <f t="shared" si="11"/>
        <v>0</v>
      </c>
    </row>
    <row r="31" spans="1:45">
      <c r="A31" s="147"/>
      <c r="B31" s="54"/>
      <c r="C31" s="21">
        <f t="shared" si="12"/>
        <v>1</v>
      </c>
      <c r="D31" s="664"/>
      <c r="E31" s="21">
        <f t="shared" si="13"/>
        <v>1</v>
      </c>
      <c r="F31" s="664"/>
      <c r="G31" s="21">
        <f t="shared" si="14"/>
        <v>1</v>
      </c>
      <c r="H31" s="664"/>
      <c r="I31" s="21">
        <f t="shared" si="15"/>
        <v>1</v>
      </c>
      <c r="J31" s="664"/>
      <c r="K31" s="21">
        <f t="shared" si="16"/>
        <v>1</v>
      </c>
      <c r="L31" s="664"/>
      <c r="M31" s="21">
        <f t="shared" si="17"/>
        <v>1</v>
      </c>
      <c r="N31" s="664"/>
      <c r="O31" s="21">
        <f t="shared" si="18"/>
        <v>1</v>
      </c>
      <c r="P31" s="664"/>
      <c r="Q31" s="21">
        <f t="shared" si="19"/>
        <v>1</v>
      </c>
      <c r="R31" s="660">
        <f t="shared" si="20"/>
        <v>0</v>
      </c>
      <c r="S31" s="313">
        <f t="shared" si="11"/>
        <v>0</v>
      </c>
    </row>
    <row r="32" spans="1:45">
      <c r="A32" s="147"/>
      <c r="B32" s="54"/>
      <c r="C32" s="21">
        <f t="shared" si="12"/>
        <v>1</v>
      </c>
      <c r="D32" s="664"/>
      <c r="E32" s="21">
        <f t="shared" si="13"/>
        <v>1</v>
      </c>
      <c r="F32" s="664"/>
      <c r="G32" s="21">
        <f t="shared" si="14"/>
        <v>1</v>
      </c>
      <c r="H32" s="664"/>
      <c r="I32" s="21">
        <f t="shared" si="15"/>
        <v>1</v>
      </c>
      <c r="J32" s="664"/>
      <c r="K32" s="21">
        <f t="shared" si="16"/>
        <v>1</v>
      </c>
      <c r="L32" s="664"/>
      <c r="M32" s="21">
        <f t="shared" si="17"/>
        <v>1</v>
      </c>
      <c r="N32" s="664"/>
      <c r="O32" s="21">
        <f t="shared" si="18"/>
        <v>1</v>
      </c>
      <c r="P32" s="664"/>
      <c r="Q32" s="21">
        <f t="shared" si="19"/>
        <v>1</v>
      </c>
      <c r="R32" s="660">
        <f t="shared" si="20"/>
        <v>0</v>
      </c>
      <c r="S32" s="313">
        <f t="shared" si="11"/>
        <v>0</v>
      </c>
    </row>
    <row r="33" spans="1:19">
      <c r="A33" s="147"/>
      <c r="B33" s="54"/>
      <c r="C33" s="21">
        <f t="shared" si="12"/>
        <v>1</v>
      </c>
      <c r="D33" s="664"/>
      <c r="E33" s="21">
        <f t="shared" si="13"/>
        <v>1</v>
      </c>
      <c r="F33" s="664"/>
      <c r="G33" s="21">
        <f t="shared" si="14"/>
        <v>1</v>
      </c>
      <c r="H33" s="664"/>
      <c r="I33" s="21">
        <f t="shared" si="15"/>
        <v>1</v>
      </c>
      <c r="J33" s="664"/>
      <c r="K33" s="21">
        <f t="shared" si="16"/>
        <v>1</v>
      </c>
      <c r="L33" s="664"/>
      <c r="M33" s="21">
        <f t="shared" si="17"/>
        <v>1</v>
      </c>
      <c r="N33" s="664"/>
      <c r="O33" s="21">
        <f t="shared" si="18"/>
        <v>1</v>
      </c>
      <c r="P33" s="664"/>
      <c r="Q33" s="21">
        <f t="shared" si="19"/>
        <v>1</v>
      </c>
      <c r="R33" s="660">
        <f t="shared" si="20"/>
        <v>0</v>
      </c>
      <c r="S33" s="313">
        <f t="shared" si="11"/>
        <v>0</v>
      </c>
    </row>
    <row r="34" spans="1:19">
      <c r="A34" s="147"/>
      <c r="B34" s="54"/>
      <c r="C34" s="21">
        <f t="shared" si="12"/>
        <v>1</v>
      </c>
      <c r="D34" s="664"/>
      <c r="E34" s="21">
        <f t="shared" si="13"/>
        <v>1</v>
      </c>
      <c r="F34" s="664"/>
      <c r="G34" s="21">
        <f t="shared" si="14"/>
        <v>1</v>
      </c>
      <c r="H34" s="664"/>
      <c r="I34" s="21">
        <f t="shared" si="15"/>
        <v>1</v>
      </c>
      <c r="J34" s="664"/>
      <c r="K34" s="21">
        <f t="shared" si="16"/>
        <v>1</v>
      </c>
      <c r="L34" s="664"/>
      <c r="M34" s="21">
        <f t="shared" si="17"/>
        <v>1</v>
      </c>
      <c r="N34" s="664"/>
      <c r="O34" s="21">
        <f t="shared" si="18"/>
        <v>1</v>
      </c>
      <c r="P34" s="664"/>
      <c r="Q34" s="21">
        <f t="shared" si="19"/>
        <v>1</v>
      </c>
      <c r="R34" s="660">
        <f t="shared" si="20"/>
        <v>0</v>
      </c>
      <c r="S34" s="313">
        <f t="shared" si="11"/>
        <v>0</v>
      </c>
    </row>
    <row r="35" spans="1:19">
      <c r="A35" s="147"/>
      <c r="B35" s="54"/>
      <c r="C35" s="21">
        <f t="shared" si="12"/>
        <v>1</v>
      </c>
      <c r="D35" s="664"/>
      <c r="E35" s="21">
        <f t="shared" si="13"/>
        <v>1</v>
      </c>
      <c r="F35" s="664"/>
      <c r="G35" s="21">
        <f t="shared" si="14"/>
        <v>1</v>
      </c>
      <c r="H35" s="664"/>
      <c r="I35" s="21">
        <f t="shared" si="15"/>
        <v>1</v>
      </c>
      <c r="J35" s="664"/>
      <c r="K35" s="21">
        <f t="shared" si="16"/>
        <v>1</v>
      </c>
      <c r="L35" s="664"/>
      <c r="M35" s="21">
        <f t="shared" si="17"/>
        <v>1</v>
      </c>
      <c r="N35" s="664"/>
      <c r="O35" s="21">
        <f t="shared" si="18"/>
        <v>1</v>
      </c>
      <c r="P35" s="664"/>
      <c r="Q35" s="21">
        <f t="shared" si="19"/>
        <v>1</v>
      </c>
      <c r="R35" s="660">
        <f t="shared" si="20"/>
        <v>0</v>
      </c>
      <c r="S35" s="313">
        <f t="shared" si="11"/>
        <v>0</v>
      </c>
    </row>
    <row r="36" spans="1:19">
      <c r="A36" s="147"/>
      <c r="B36" s="54"/>
      <c r="C36" s="21">
        <f t="shared" si="12"/>
        <v>1</v>
      </c>
      <c r="D36" s="664"/>
      <c r="E36" s="21">
        <f t="shared" si="13"/>
        <v>1</v>
      </c>
      <c r="F36" s="664"/>
      <c r="G36" s="21">
        <f t="shared" si="14"/>
        <v>1</v>
      </c>
      <c r="H36" s="664"/>
      <c r="I36" s="21">
        <f t="shared" si="15"/>
        <v>1</v>
      </c>
      <c r="J36" s="664"/>
      <c r="K36" s="21">
        <f t="shared" si="16"/>
        <v>1</v>
      </c>
      <c r="L36" s="664"/>
      <c r="M36" s="21">
        <f t="shared" si="17"/>
        <v>1</v>
      </c>
      <c r="N36" s="664"/>
      <c r="O36" s="21">
        <f t="shared" si="18"/>
        <v>1</v>
      </c>
      <c r="P36" s="664"/>
      <c r="Q36" s="21">
        <f t="shared" si="19"/>
        <v>1</v>
      </c>
      <c r="R36" s="660">
        <f t="shared" si="20"/>
        <v>0</v>
      </c>
      <c r="S36" s="313">
        <f t="shared" si="11"/>
        <v>0</v>
      </c>
    </row>
    <row r="37" spans="1:19">
      <c r="A37" s="147"/>
      <c r="B37" s="54"/>
      <c r="C37" s="21">
        <f t="shared" si="12"/>
        <v>1</v>
      </c>
      <c r="D37" s="664"/>
      <c r="E37" s="21">
        <f t="shared" si="13"/>
        <v>1</v>
      </c>
      <c r="F37" s="664"/>
      <c r="G37" s="21">
        <f t="shared" si="14"/>
        <v>1</v>
      </c>
      <c r="H37" s="664"/>
      <c r="I37" s="21">
        <f t="shared" si="15"/>
        <v>1</v>
      </c>
      <c r="J37" s="664"/>
      <c r="K37" s="21">
        <f t="shared" si="16"/>
        <v>1</v>
      </c>
      <c r="L37" s="664"/>
      <c r="M37" s="21">
        <f t="shared" si="17"/>
        <v>1</v>
      </c>
      <c r="N37" s="664"/>
      <c r="O37" s="21">
        <f t="shared" si="18"/>
        <v>1</v>
      </c>
      <c r="P37" s="664"/>
      <c r="Q37" s="21">
        <f t="shared" si="19"/>
        <v>1</v>
      </c>
      <c r="R37" s="660">
        <f t="shared" si="20"/>
        <v>0</v>
      </c>
      <c r="S37" s="313">
        <f t="shared" si="11"/>
        <v>0</v>
      </c>
    </row>
    <row r="38" spans="1:19">
      <c r="A38" s="147"/>
      <c r="B38" s="54"/>
      <c r="C38" s="21">
        <f t="shared" si="12"/>
        <v>1</v>
      </c>
      <c r="D38" s="664"/>
      <c r="E38" s="21">
        <f t="shared" si="13"/>
        <v>1</v>
      </c>
      <c r="F38" s="664"/>
      <c r="G38" s="21">
        <f t="shared" si="14"/>
        <v>1</v>
      </c>
      <c r="H38" s="664"/>
      <c r="I38" s="21">
        <f t="shared" si="15"/>
        <v>1</v>
      </c>
      <c r="J38" s="664"/>
      <c r="K38" s="21">
        <f t="shared" si="16"/>
        <v>1</v>
      </c>
      <c r="L38" s="664"/>
      <c r="M38" s="21">
        <f t="shared" si="17"/>
        <v>1</v>
      </c>
      <c r="N38" s="664"/>
      <c r="O38" s="21">
        <f t="shared" si="18"/>
        <v>1</v>
      </c>
      <c r="P38" s="664"/>
      <c r="Q38" s="21">
        <f t="shared" si="19"/>
        <v>1</v>
      </c>
      <c r="R38" s="660">
        <f t="shared" si="20"/>
        <v>0</v>
      </c>
      <c r="S38" s="313">
        <f t="shared" si="11"/>
        <v>0</v>
      </c>
    </row>
    <row r="39" spans="1:19">
      <c r="A39" s="147"/>
      <c r="B39" s="54"/>
      <c r="C39" s="21">
        <f t="shared" si="12"/>
        <v>1</v>
      </c>
      <c r="D39" s="664"/>
      <c r="E39" s="21">
        <f t="shared" si="13"/>
        <v>1</v>
      </c>
      <c r="F39" s="664"/>
      <c r="G39" s="21">
        <f t="shared" si="14"/>
        <v>1</v>
      </c>
      <c r="H39" s="664"/>
      <c r="I39" s="21">
        <f t="shared" si="15"/>
        <v>1</v>
      </c>
      <c r="J39" s="664"/>
      <c r="K39" s="21">
        <f t="shared" si="16"/>
        <v>1</v>
      </c>
      <c r="L39" s="664"/>
      <c r="M39" s="21">
        <f t="shared" si="17"/>
        <v>1</v>
      </c>
      <c r="N39" s="664"/>
      <c r="O39" s="21">
        <f t="shared" si="18"/>
        <v>1</v>
      </c>
      <c r="P39" s="664"/>
      <c r="Q39" s="21">
        <f t="shared" si="19"/>
        <v>1</v>
      </c>
      <c r="R39" s="660">
        <f t="shared" si="20"/>
        <v>0</v>
      </c>
      <c r="S39" s="313">
        <f t="shared" si="11"/>
        <v>0</v>
      </c>
    </row>
    <row r="40" spans="1:19">
      <c r="A40" s="147"/>
      <c r="B40" s="54"/>
      <c r="C40" s="21">
        <f t="shared" si="12"/>
        <v>1</v>
      </c>
      <c r="D40" s="664"/>
      <c r="E40" s="21">
        <f t="shared" si="13"/>
        <v>1</v>
      </c>
      <c r="F40" s="664"/>
      <c r="G40" s="21">
        <f t="shared" si="14"/>
        <v>1</v>
      </c>
      <c r="H40" s="664"/>
      <c r="I40" s="21">
        <f t="shared" si="15"/>
        <v>1</v>
      </c>
      <c r="J40" s="664"/>
      <c r="K40" s="21">
        <f t="shared" si="16"/>
        <v>1</v>
      </c>
      <c r="L40" s="664"/>
      <c r="M40" s="21">
        <f t="shared" si="17"/>
        <v>1</v>
      </c>
      <c r="N40" s="664"/>
      <c r="O40" s="21">
        <f t="shared" si="18"/>
        <v>1</v>
      </c>
      <c r="P40" s="664"/>
      <c r="Q40" s="21">
        <f t="shared" si="19"/>
        <v>1</v>
      </c>
      <c r="R40" s="660">
        <f t="shared" si="20"/>
        <v>0</v>
      </c>
      <c r="S40" s="313">
        <f t="shared" si="11"/>
        <v>0</v>
      </c>
    </row>
    <row r="41" spans="1:19">
      <c r="A41" s="147"/>
      <c r="B41" s="54"/>
      <c r="C41" s="21">
        <f t="shared" si="12"/>
        <v>1</v>
      </c>
      <c r="D41" s="664"/>
      <c r="E41" s="21">
        <f t="shared" si="13"/>
        <v>1</v>
      </c>
      <c r="F41" s="664"/>
      <c r="G41" s="21">
        <f t="shared" si="14"/>
        <v>1</v>
      </c>
      <c r="H41" s="664"/>
      <c r="I41" s="21">
        <f t="shared" si="15"/>
        <v>1</v>
      </c>
      <c r="J41" s="664"/>
      <c r="K41" s="21">
        <f t="shared" si="16"/>
        <v>1</v>
      </c>
      <c r="L41" s="664"/>
      <c r="M41" s="21">
        <f t="shared" si="17"/>
        <v>1</v>
      </c>
      <c r="N41" s="664"/>
      <c r="O41" s="21">
        <f t="shared" si="18"/>
        <v>1</v>
      </c>
      <c r="P41" s="664"/>
      <c r="Q41" s="21">
        <f t="shared" si="19"/>
        <v>1</v>
      </c>
      <c r="R41" s="660">
        <f t="shared" si="20"/>
        <v>0</v>
      </c>
      <c r="S41" s="313">
        <f t="shared" si="11"/>
        <v>0</v>
      </c>
    </row>
    <row r="42" spans="1:19">
      <c r="A42" s="147"/>
      <c r="B42" s="54"/>
      <c r="C42" s="21">
        <f t="shared" si="12"/>
        <v>1</v>
      </c>
      <c r="D42" s="664"/>
      <c r="E42" s="21">
        <f t="shared" si="13"/>
        <v>1</v>
      </c>
      <c r="F42" s="664"/>
      <c r="G42" s="21">
        <f t="shared" si="14"/>
        <v>1</v>
      </c>
      <c r="H42" s="664"/>
      <c r="I42" s="21">
        <f t="shared" si="15"/>
        <v>1</v>
      </c>
      <c r="J42" s="664"/>
      <c r="K42" s="21">
        <f t="shared" si="16"/>
        <v>1</v>
      </c>
      <c r="L42" s="664"/>
      <c r="M42" s="21">
        <f t="shared" si="17"/>
        <v>1</v>
      </c>
      <c r="N42" s="664"/>
      <c r="O42" s="21">
        <f t="shared" si="18"/>
        <v>1</v>
      </c>
      <c r="P42" s="664"/>
      <c r="Q42" s="21">
        <f t="shared" si="19"/>
        <v>1</v>
      </c>
      <c r="R42" s="660">
        <f t="shared" si="20"/>
        <v>0</v>
      </c>
      <c r="S42" s="313">
        <f t="shared" si="11"/>
        <v>0</v>
      </c>
    </row>
    <row r="43" spans="1:19">
      <c r="A43" s="147"/>
      <c r="B43" s="54"/>
      <c r="C43" s="21">
        <f t="shared" si="12"/>
        <v>1</v>
      </c>
      <c r="D43" s="664"/>
      <c r="E43" s="21">
        <f t="shared" si="13"/>
        <v>1</v>
      </c>
      <c r="F43" s="664"/>
      <c r="G43" s="21">
        <f t="shared" si="14"/>
        <v>1</v>
      </c>
      <c r="H43" s="664"/>
      <c r="I43" s="21">
        <f t="shared" si="15"/>
        <v>1</v>
      </c>
      <c r="J43" s="664"/>
      <c r="K43" s="21">
        <f t="shared" si="16"/>
        <v>1</v>
      </c>
      <c r="L43" s="664"/>
      <c r="M43" s="21">
        <f t="shared" si="17"/>
        <v>1</v>
      </c>
      <c r="N43" s="664"/>
      <c r="O43" s="21">
        <f t="shared" si="18"/>
        <v>1</v>
      </c>
      <c r="P43" s="664"/>
      <c r="Q43" s="21">
        <f t="shared" si="19"/>
        <v>1</v>
      </c>
      <c r="R43" s="660">
        <f t="shared" si="20"/>
        <v>0</v>
      </c>
      <c r="S43" s="313">
        <f t="shared" si="11"/>
        <v>0</v>
      </c>
    </row>
    <row r="44" spans="1:19">
      <c r="A44" s="147"/>
      <c r="B44" s="54"/>
      <c r="C44" s="21">
        <f t="shared" si="12"/>
        <v>1</v>
      </c>
      <c r="D44" s="664"/>
      <c r="E44" s="21">
        <f t="shared" si="13"/>
        <v>1</v>
      </c>
      <c r="F44" s="664"/>
      <c r="G44" s="21">
        <f t="shared" si="14"/>
        <v>1</v>
      </c>
      <c r="H44" s="664"/>
      <c r="I44" s="21">
        <f t="shared" si="15"/>
        <v>1</v>
      </c>
      <c r="J44" s="664"/>
      <c r="K44" s="21">
        <f t="shared" si="16"/>
        <v>1</v>
      </c>
      <c r="L44" s="664"/>
      <c r="M44" s="21">
        <f t="shared" si="17"/>
        <v>1</v>
      </c>
      <c r="N44" s="664"/>
      <c r="O44" s="21">
        <f t="shared" si="18"/>
        <v>1</v>
      </c>
      <c r="P44" s="664"/>
      <c r="Q44" s="21">
        <f t="shared" si="19"/>
        <v>1</v>
      </c>
      <c r="R44" s="660">
        <f t="shared" si="20"/>
        <v>0</v>
      </c>
      <c r="S44" s="313">
        <f t="shared" si="11"/>
        <v>0</v>
      </c>
    </row>
    <row r="45" spans="1:19">
      <c r="A45" s="147"/>
      <c r="B45" s="54"/>
      <c r="C45" s="21">
        <f t="shared" si="12"/>
        <v>1</v>
      </c>
      <c r="D45" s="664"/>
      <c r="E45" s="21">
        <f t="shared" si="13"/>
        <v>1</v>
      </c>
      <c r="F45" s="664"/>
      <c r="G45" s="21">
        <f t="shared" si="14"/>
        <v>1</v>
      </c>
      <c r="H45" s="664"/>
      <c r="I45" s="21">
        <f t="shared" si="15"/>
        <v>1</v>
      </c>
      <c r="J45" s="664"/>
      <c r="K45" s="21">
        <f t="shared" si="16"/>
        <v>1</v>
      </c>
      <c r="L45" s="664"/>
      <c r="M45" s="21">
        <f t="shared" si="17"/>
        <v>1</v>
      </c>
      <c r="N45" s="664"/>
      <c r="O45" s="21">
        <f t="shared" si="18"/>
        <v>1</v>
      </c>
      <c r="P45" s="664"/>
      <c r="Q45" s="21">
        <f t="shared" si="19"/>
        <v>1</v>
      </c>
      <c r="R45" s="660">
        <f t="shared" si="20"/>
        <v>0</v>
      </c>
      <c r="S45" s="313">
        <f t="shared" si="11"/>
        <v>0</v>
      </c>
    </row>
    <row r="46" spans="1:19">
      <c r="A46" s="147"/>
      <c r="B46" s="54"/>
      <c r="C46" s="21">
        <f t="shared" si="12"/>
        <v>1</v>
      </c>
      <c r="D46" s="664"/>
      <c r="E46" s="21">
        <f t="shared" si="13"/>
        <v>1</v>
      </c>
      <c r="F46" s="664"/>
      <c r="G46" s="21">
        <f t="shared" si="14"/>
        <v>1</v>
      </c>
      <c r="H46" s="664"/>
      <c r="I46" s="21">
        <f t="shared" si="15"/>
        <v>1</v>
      </c>
      <c r="J46" s="664"/>
      <c r="K46" s="21">
        <f t="shared" si="16"/>
        <v>1</v>
      </c>
      <c r="L46" s="664"/>
      <c r="M46" s="21">
        <f t="shared" si="17"/>
        <v>1</v>
      </c>
      <c r="N46" s="664"/>
      <c r="O46" s="21">
        <f t="shared" si="18"/>
        <v>1</v>
      </c>
      <c r="P46" s="664"/>
      <c r="Q46" s="21">
        <f t="shared" si="19"/>
        <v>1</v>
      </c>
      <c r="R46" s="660">
        <f t="shared" si="20"/>
        <v>0</v>
      </c>
      <c r="S46" s="313">
        <f t="shared" si="11"/>
        <v>0</v>
      </c>
    </row>
    <row r="47" spans="1:19">
      <c r="A47" s="147"/>
      <c r="B47" s="54"/>
      <c r="C47" s="21">
        <f t="shared" si="12"/>
        <v>1</v>
      </c>
      <c r="D47" s="664"/>
      <c r="E47" s="21">
        <f t="shared" si="13"/>
        <v>1</v>
      </c>
      <c r="F47" s="664"/>
      <c r="G47" s="21">
        <f t="shared" si="14"/>
        <v>1</v>
      </c>
      <c r="H47" s="664"/>
      <c r="I47" s="21">
        <f t="shared" si="15"/>
        <v>1</v>
      </c>
      <c r="J47" s="664"/>
      <c r="K47" s="21">
        <f t="shared" si="16"/>
        <v>1</v>
      </c>
      <c r="L47" s="664"/>
      <c r="M47" s="21">
        <f t="shared" si="17"/>
        <v>1</v>
      </c>
      <c r="N47" s="664"/>
      <c r="O47" s="21">
        <f t="shared" si="18"/>
        <v>1</v>
      </c>
      <c r="P47" s="664"/>
      <c r="Q47" s="21">
        <f t="shared" si="19"/>
        <v>1</v>
      </c>
      <c r="R47" s="660">
        <f t="shared" si="20"/>
        <v>0</v>
      </c>
      <c r="S47" s="313">
        <f t="shared" si="11"/>
        <v>0</v>
      </c>
    </row>
    <row r="48" spans="1:19">
      <c r="A48" s="147"/>
      <c r="B48" s="54"/>
      <c r="C48" s="21">
        <f t="shared" si="12"/>
        <v>1</v>
      </c>
      <c r="D48" s="664"/>
      <c r="E48" s="21">
        <f t="shared" si="13"/>
        <v>1</v>
      </c>
      <c r="F48" s="664"/>
      <c r="G48" s="21">
        <f t="shared" si="14"/>
        <v>1</v>
      </c>
      <c r="H48" s="664"/>
      <c r="I48" s="21">
        <f t="shared" si="15"/>
        <v>1</v>
      </c>
      <c r="J48" s="664"/>
      <c r="K48" s="21">
        <f t="shared" si="16"/>
        <v>1</v>
      </c>
      <c r="L48" s="664"/>
      <c r="M48" s="21">
        <f t="shared" si="17"/>
        <v>1</v>
      </c>
      <c r="N48" s="664"/>
      <c r="O48" s="21">
        <f t="shared" si="18"/>
        <v>1</v>
      </c>
      <c r="P48" s="664"/>
      <c r="Q48" s="21">
        <f t="shared" si="19"/>
        <v>1</v>
      </c>
      <c r="R48" s="660">
        <f t="shared" si="20"/>
        <v>0</v>
      </c>
      <c r="S48" s="313">
        <f t="shared" si="11"/>
        <v>0</v>
      </c>
    </row>
    <row r="49" spans="1:19">
      <c r="A49" s="147"/>
      <c r="B49" s="54"/>
      <c r="C49" s="21">
        <f t="shared" si="12"/>
        <v>1</v>
      </c>
      <c r="D49" s="664"/>
      <c r="E49" s="21">
        <f t="shared" si="13"/>
        <v>1</v>
      </c>
      <c r="F49" s="664"/>
      <c r="G49" s="21">
        <f t="shared" si="14"/>
        <v>1</v>
      </c>
      <c r="H49" s="664"/>
      <c r="I49" s="21">
        <f t="shared" si="15"/>
        <v>1</v>
      </c>
      <c r="J49" s="664"/>
      <c r="K49" s="21">
        <f t="shared" si="16"/>
        <v>1</v>
      </c>
      <c r="L49" s="664"/>
      <c r="M49" s="21">
        <f t="shared" si="17"/>
        <v>1</v>
      </c>
      <c r="N49" s="664"/>
      <c r="O49" s="21">
        <f t="shared" si="18"/>
        <v>1</v>
      </c>
      <c r="P49" s="664"/>
      <c r="Q49" s="21">
        <f t="shared" si="19"/>
        <v>1</v>
      </c>
      <c r="R49" s="660">
        <f t="shared" si="20"/>
        <v>0</v>
      </c>
      <c r="S49" s="313">
        <f t="shared" si="11"/>
        <v>0</v>
      </c>
    </row>
    <row r="50" spans="1:19">
      <c r="A50" s="147"/>
      <c r="B50" s="54"/>
      <c r="C50" s="21">
        <f t="shared" si="12"/>
        <v>1</v>
      </c>
      <c r="D50" s="664"/>
      <c r="E50" s="21">
        <f t="shared" si="13"/>
        <v>1</v>
      </c>
      <c r="F50" s="664"/>
      <c r="G50" s="21">
        <f t="shared" si="14"/>
        <v>1</v>
      </c>
      <c r="H50" s="664"/>
      <c r="I50" s="21">
        <f t="shared" si="15"/>
        <v>1</v>
      </c>
      <c r="J50" s="664"/>
      <c r="K50" s="21">
        <f t="shared" si="16"/>
        <v>1</v>
      </c>
      <c r="L50" s="664"/>
      <c r="M50" s="21">
        <f t="shared" si="17"/>
        <v>1</v>
      </c>
      <c r="N50" s="664"/>
      <c r="O50" s="21">
        <f t="shared" si="18"/>
        <v>1</v>
      </c>
      <c r="P50" s="664"/>
      <c r="Q50" s="21">
        <f t="shared" si="19"/>
        <v>1</v>
      </c>
      <c r="R50" s="660">
        <f t="shared" si="20"/>
        <v>0</v>
      </c>
      <c r="S50" s="313">
        <f t="shared" si="11"/>
        <v>0</v>
      </c>
    </row>
    <row r="51" spans="1:19">
      <c r="A51" s="147"/>
      <c r="B51" s="54"/>
      <c r="C51" s="21">
        <f t="shared" si="12"/>
        <v>1</v>
      </c>
      <c r="D51" s="664"/>
      <c r="E51" s="21">
        <f t="shared" si="13"/>
        <v>1</v>
      </c>
      <c r="F51" s="664"/>
      <c r="G51" s="21">
        <f t="shared" si="14"/>
        <v>1</v>
      </c>
      <c r="H51" s="664"/>
      <c r="I51" s="21">
        <f t="shared" si="15"/>
        <v>1</v>
      </c>
      <c r="J51" s="664"/>
      <c r="K51" s="21">
        <f t="shared" si="16"/>
        <v>1</v>
      </c>
      <c r="L51" s="664"/>
      <c r="M51" s="21">
        <f t="shared" si="17"/>
        <v>1</v>
      </c>
      <c r="N51" s="664"/>
      <c r="O51" s="21">
        <f t="shared" si="18"/>
        <v>1</v>
      </c>
      <c r="P51" s="664"/>
      <c r="Q51" s="21">
        <f t="shared" si="19"/>
        <v>1</v>
      </c>
      <c r="R51" s="660">
        <f t="shared" si="20"/>
        <v>0</v>
      </c>
      <c r="S51" s="313">
        <f t="shared" si="11"/>
        <v>0</v>
      </c>
    </row>
    <row r="52" spans="1:19">
      <c r="A52" s="147"/>
      <c r="B52" s="54"/>
      <c r="C52" s="21">
        <f t="shared" si="12"/>
        <v>1</v>
      </c>
      <c r="D52" s="664"/>
      <c r="E52" s="21">
        <f t="shared" si="13"/>
        <v>1</v>
      </c>
      <c r="F52" s="664"/>
      <c r="G52" s="21">
        <f t="shared" si="14"/>
        <v>1</v>
      </c>
      <c r="H52" s="664"/>
      <c r="I52" s="21">
        <f t="shared" si="15"/>
        <v>1</v>
      </c>
      <c r="J52" s="664"/>
      <c r="K52" s="21">
        <f t="shared" si="16"/>
        <v>1</v>
      </c>
      <c r="L52" s="664"/>
      <c r="M52" s="21">
        <f t="shared" si="17"/>
        <v>1</v>
      </c>
      <c r="N52" s="664"/>
      <c r="O52" s="21">
        <f t="shared" si="18"/>
        <v>1</v>
      </c>
      <c r="P52" s="664"/>
      <c r="Q52" s="21">
        <f t="shared" si="19"/>
        <v>1</v>
      </c>
      <c r="R52" s="660">
        <f t="shared" si="20"/>
        <v>0</v>
      </c>
      <c r="S52" s="313">
        <f t="shared" si="11"/>
        <v>0</v>
      </c>
    </row>
    <row r="53" spans="1:19">
      <c r="A53" s="147"/>
      <c r="B53" s="54"/>
      <c r="C53" s="21">
        <f t="shared" si="12"/>
        <v>1</v>
      </c>
      <c r="D53" s="664"/>
      <c r="E53" s="21">
        <f t="shared" si="13"/>
        <v>1</v>
      </c>
      <c r="F53" s="664"/>
      <c r="G53" s="21">
        <f t="shared" si="14"/>
        <v>1</v>
      </c>
      <c r="H53" s="664"/>
      <c r="I53" s="21">
        <f t="shared" si="15"/>
        <v>1</v>
      </c>
      <c r="J53" s="664"/>
      <c r="K53" s="21">
        <f t="shared" si="16"/>
        <v>1</v>
      </c>
      <c r="L53" s="664"/>
      <c r="M53" s="21">
        <f t="shared" si="17"/>
        <v>1</v>
      </c>
      <c r="N53" s="664"/>
      <c r="O53" s="21">
        <f t="shared" si="18"/>
        <v>1</v>
      </c>
      <c r="P53" s="664"/>
      <c r="Q53" s="21">
        <f t="shared" si="19"/>
        <v>1</v>
      </c>
      <c r="R53" s="660">
        <f t="shared" si="20"/>
        <v>0</v>
      </c>
      <c r="S53" s="313">
        <f t="shared" si="11"/>
        <v>0</v>
      </c>
    </row>
    <row r="54" spans="1:19">
      <c r="A54" s="147"/>
      <c r="B54" s="54"/>
      <c r="C54" s="21">
        <f t="shared" si="12"/>
        <v>1</v>
      </c>
      <c r="D54" s="664"/>
      <c r="E54" s="21">
        <f t="shared" si="13"/>
        <v>1</v>
      </c>
      <c r="F54" s="664"/>
      <c r="G54" s="21">
        <f t="shared" si="14"/>
        <v>1</v>
      </c>
      <c r="H54" s="664"/>
      <c r="I54" s="21">
        <f t="shared" si="15"/>
        <v>1</v>
      </c>
      <c r="J54" s="664"/>
      <c r="K54" s="21">
        <f t="shared" si="16"/>
        <v>1</v>
      </c>
      <c r="L54" s="664"/>
      <c r="M54" s="21">
        <f t="shared" si="17"/>
        <v>1</v>
      </c>
      <c r="N54" s="664"/>
      <c r="O54" s="21">
        <f t="shared" si="18"/>
        <v>1</v>
      </c>
      <c r="P54" s="664"/>
      <c r="Q54" s="21">
        <f t="shared" si="19"/>
        <v>1</v>
      </c>
      <c r="R54" s="660">
        <f t="shared" si="20"/>
        <v>0</v>
      </c>
      <c r="S54" s="313">
        <f t="shared" si="11"/>
        <v>0</v>
      </c>
    </row>
    <row r="55" spans="1:19">
      <c r="A55" s="147"/>
      <c r="B55" s="54"/>
      <c r="C55" s="21">
        <f t="shared" si="12"/>
        <v>1</v>
      </c>
      <c r="D55" s="664"/>
      <c r="E55" s="21">
        <f t="shared" si="13"/>
        <v>1</v>
      </c>
      <c r="F55" s="664"/>
      <c r="G55" s="21">
        <f t="shared" si="14"/>
        <v>1</v>
      </c>
      <c r="H55" s="664"/>
      <c r="I55" s="21">
        <f t="shared" si="15"/>
        <v>1</v>
      </c>
      <c r="J55" s="664"/>
      <c r="K55" s="21">
        <f t="shared" si="16"/>
        <v>1</v>
      </c>
      <c r="L55" s="664"/>
      <c r="M55" s="21">
        <f t="shared" si="17"/>
        <v>1</v>
      </c>
      <c r="N55" s="664"/>
      <c r="O55" s="21">
        <f t="shared" si="18"/>
        <v>1</v>
      </c>
      <c r="P55" s="664"/>
      <c r="Q55" s="21">
        <f t="shared" si="19"/>
        <v>1</v>
      </c>
      <c r="R55" s="660">
        <f t="shared" si="20"/>
        <v>0</v>
      </c>
      <c r="S55" s="313">
        <f t="shared" ref="S55:S77" si="21">ROUND(R55*B55/10000,0)</f>
        <v>0</v>
      </c>
    </row>
    <row r="56" spans="1:19">
      <c r="A56" s="147"/>
      <c r="B56" s="54"/>
      <c r="C56" s="21">
        <f t="shared" si="12"/>
        <v>1</v>
      </c>
      <c r="D56" s="664"/>
      <c r="E56" s="21">
        <f t="shared" si="13"/>
        <v>1</v>
      </c>
      <c r="F56" s="664"/>
      <c r="G56" s="21">
        <f t="shared" si="14"/>
        <v>1</v>
      </c>
      <c r="H56" s="664"/>
      <c r="I56" s="21">
        <f t="shared" si="15"/>
        <v>1</v>
      </c>
      <c r="J56" s="664"/>
      <c r="K56" s="21">
        <f t="shared" si="16"/>
        <v>1</v>
      </c>
      <c r="L56" s="664"/>
      <c r="M56" s="21">
        <f t="shared" si="17"/>
        <v>1</v>
      </c>
      <c r="N56" s="664"/>
      <c r="O56" s="21">
        <f t="shared" si="18"/>
        <v>1</v>
      </c>
      <c r="P56" s="664"/>
      <c r="Q56" s="21">
        <f t="shared" si="19"/>
        <v>1</v>
      </c>
      <c r="R56" s="660">
        <f t="shared" si="20"/>
        <v>0</v>
      </c>
      <c r="S56" s="313">
        <f t="shared" si="21"/>
        <v>0</v>
      </c>
    </row>
    <row r="57" spans="1:19">
      <c r="A57" s="147"/>
      <c r="B57" s="54"/>
      <c r="C57" s="21">
        <f t="shared" si="12"/>
        <v>1</v>
      </c>
      <c r="D57" s="664"/>
      <c r="E57" s="21">
        <f t="shared" si="13"/>
        <v>1</v>
      </c>
      <c r="F57" s="664"/>
      <c r="G57" s="21">
        <f t="shared" si="14"/>
        <v>1</v>
      </c>
      <c r="H57" s="664"/>
      <c r="I57" s="21">
        <f t="shared" si="15"/>
        <v>1</v>
      </c>
      <c r="J57" s="664"/>
      <c r="K57" s="21">
        <f t="shared" si="16"/>
        <v>1</v>
      </c>
      <c r="L57" s="664"/>
      <c r="M57" s="21">
        <f t="shared" si="17"/>
        <v>1</v>
      </c>
      <c r="N57" s="664"/>
      <c r="O57" s="21">
        <f t="shared" si="18"/>
        <v>1</v>
      </c>
      <c r="P57" s="664"/>
      <c r="Q57" s="21">
        <f t="shared" si="19"/>
        <v>1</v>
      </c>
      <c r="R57" s="660">
        <f t="shared" si="20"/>
        <v>0</v>
      </c>
      <c r="S57" s="313">
        <f t="shared" si="21"/>
        <v>0</v>
      </c>
    </row>
    <row r="58" spans="1:19">
      <c r="A58" s="147"/>
      <c r="B58" s="54"/>
      <c r="C58" s="21">
        <f t="shared" si="12"/>
        <v>1</v>
      </c>
      <c r="D58" s="664"/>
      <c r="E58" s="21">
        <f t="shared" si="13"/>
        <v>1</v>
      </c>
      <c r="F58" s="664"/>
      <c r="G58" s="21">
        <f t="shared" si="14"/>
        <v>1</v>
      </c>
      <c r="H58" s="664"/>
      <c r="I58" s="21">
        <f t="shared" si="15"/>
        <v>1</v>
      </c>
      <c r="J58" s="664"/>
      <c r="K58" s="21">
        <f t="shared" si="16"/>
        <v>1</v>
      </c>
      <c r="L58" s="664"/>
      <c r="M58" s="21">
        <f t="shared" si="17"/>
        <v>1</v>
      </c>
      <c r="N58" s="664"/>
      <c r="O58" s="21">
        <f t="shared" si="18"/>
        <v>1</v>
      </c>
      <c r="P58" s="664"/>
      <c r="Q58" s="21">
        <f t="shared" si="19"/>
        <v>1</v>
      </c>
      <c r="R58" s="660">
        <f t="shared" si="20"/>
        <v>0</v>
      </c>
      <c r="S58" s="313">
        <f t="shared" si="21"/>
        <v>0</v>
      </c>
    </row>
    <row r="59" spans="1:19">
      <c r="A59" s="147"/>
      <c r="B59" s="54"/>
      <c r="C59" s="21">
        <f t="shared" si="12"/>
        <v>1</v>
      </c>
      <c r="D59" s="664"/>
      <c r="E59" s="21">
        <f t="shared" si="13"/>
        <v>1</v>
      </c>
      <c r="F59" s="664"/>
      <c r="G59" s="21">
        <f t="shared" si="14"/>
        <v>1</v>
      </c>
      <c r="H59" s="664"/>
      <c r="I59" s="21">
        <f t="shared" si="15"/>
        <v>1</v>
      </c>
      <c r="J59" s="664"/>
      <c r="K59" s="21">
        <f t="shared" si="16"/>
        <v>1</v>
      </c>
      <c r="L59" s="664"/>
      <c r="M59" s="21">
        <f t="shared" si="17"/>
        <v>1</v>
      </c>
      <c r="N59" s="664"/>
      <c r="O59" s="21">
        <f t="shared" si="18"/>
        <v>1</v>
      </c>
      <c r="P59" s="664"/>
      <c r="Q59" s="21">
        <f t="shared" si="19"/>
        <v>1</v>
      </c>
      <c r="R59" s="660">
        <f t="shared" si="20"/>
        <v>0</v>
      </c>
      <c r="S59" s="313">
        <f t="shared" si="21"/>
        <v>0</v>
      </c>
    </row>
    <row r="60" spans="1:19">
      <c r="A60" s="147"/>
      <c r="B60" s="54"/>
      <c r="C60" s="21">
        <f t="shared" si="12"/>
        <v>1</v>
      </c>
      <c r="D60" s="664"/>
      <c r="E60" s="21">
        <f t="shared" si="13"/>
        <v>1</v>
      </c>
      <c r="F60" s="664"/>
      <c r="G60" s="21">
        <f t="shared" si="14"/>
        <v>1</v>
      </c>
      <c r="H60" s="664"/>
      <c r="I60" s="21">
        <f t="shared" si="15"/>
        <v>1</v>
      </c>
      <c r="J60" s="664"/>
      <c r="K60" s="21">
        <f t="shared" si="16"/>
        <v>1</v>
      </c>
      <c r="L60" s="664"/>
      <c r="M60" s="21">
        <f t="shared" si="17"/>
        <v>1</v>
      </c>
      <c r="N60" s="664"/>
      <c r="O60" s="21">
        <f t="shared" si="18"/>
        <v>1</v>
      </c>
      <c r="P60" s="664"/>
      <c r="Q60" s="21">
        <f t="shared" si="19"/>
        <v>1</v>
      </c>
      <c r="R60" s="660">
        <f t="shared" si="20"/>
        <v>0</v>
      </c>
      <c r="S60" s="313">
        <f t="shared" si="21"/>
        <v>0</v>
      </c>
    </row>
    <row r="61" spans="1:19">
      <c r="A61" s="147"/>
      <c r="B61" s="54"/>
      <c r="C61" s="21">
        <f t="shared" si="12"/>
        <v>1</v>
      </c>
      <c r="D61" s="664"/>
      <c r="E61" s="21">
        <f t="shared" si="13"/>
        <v>1</v>
      </c>
      <c r="F61" s="664"/>
      <c r="G61" s="21">
        <f t="shared" si="14"/>
        <v>1</v>
      </c>
      <c r="H61" s="664"/>
      <c r="I61" s="21">
        <f t="shared" si="15"/>
        <v>1</v>
      </c>
      <c r="J61" s="664"/>
      <c r="K61" s="21">
        <f t="shared" si="16"/>
        <v>1</v>
      </c>
      <c r="L61" s="664"/>
      <c r="M61" s="21">
        <f t="shared" si="17"/>
        <v>1</v>
      </c>
      <c r="N61" s="664"/>
      <c r="O61" s="21">
        <f t="shared" si="18"/>
        <v>1</v>
      </c>
      <c r="P61" s="664"/>
      <c r="Q61" s="21">
        <f t="shared" si="19"/>
        <v>1</v>
      </c>
      <c r="R61" s="660">
        <f t="shared" si="20"/>
        <v>0</v>
      </c>
      <c r="S61" s="313">
        <f t="shared" si="21"/>
        <v>0</v>
      </c>
    </row>
    <row r="62" spans="1:19">
      <c r="A62" s="147"/>
      <c r="B62" s="54"/>
      <c r="C62" s="21">
        <f t="shared" si="12"/>
        <v>1</v>
      </c>
      <c r="D62" s="664"/>
      <c r="E62" s="21">
        <f t="shared" si="13"/>
        <v>1</v>
      </c>
      <c r="F62" s="664"/>
      <c r="G62" s="21">
        <f t="shared" si="14"/>
        <v>1</v>
      </c>
      <c r="H62" s="664"/>
      <c r="I62" s="21">
        <f t="shared" si="15"/>
        <v>1</v>
      </c>
      <c r="J62" s="664"/>
      <c r="K62" s="21">
        <f t="shared" si="16"/>
        <v>1</v>
      </c>
      <c r="L62" s="664"/>
      <c r="M62" s="21">
        <f t="shared" si="17"/>
        <v>1</v>
      </c>
      <c r="N62" s="664"/>
      <c r="O62" s="21">
        <f t="shared" si="18"/>
        <v>1</v>
      </c>
      <c r="P62" s="664"/>
      <c r="Q62" s="21">
        <f t="shared" si="19"/>
        <v>1</v>
      </c>
      <c r="R62" s="660">
        <f t="shared" si="20"/>
        <v>0</v>
      </c>
      <c r="S62" s="313">
        <f t="shared" si="21"/>
        <v>0</v>
      </c>
    </row>
    <row r="63" spans="1:19">
      <c r="A63" s="147"/>
      <c r="B63" s="54"/>
      <c r="C63" s="21">
        <f t="shared" si="12"/>
        <v>1</v>
      </c>
      <c r="D63" s="664"/>
      <c r="E63" s="21">
        <f t="shared" si="13"/>
        <v>1</v>
      </c>
      <c r="F63" s="664"/>
      <c r="G63" s="21">
        <f t="shared" si="14"/>
        <v>1</v>
      </c>
      <c r="H63" s="664"/>
      <c r="I63" s="21">
        <f t="shared" si="15"/>
        <v>1</v>
      </c>
      <c r="J63" s="664"/>
      <c r="K63" s="21">
        <f t="shared" si="16"/>
        <v>1</v>
      </c>
      <c r="L63" s="664"/>
      <c r="M63" s="21">
        <f t="shared" si="17"/>
        <v>1</v>
      </c>
      <c r="N63" s="664"/>
      <c r="O63" s="21">
        <f t="shared" si="18"/>
        <v>1</v>
      </c>
      <c r="P63" s="664"/>
      <c r="Q63" s="21">
        <f t="shared" si="19"/>
        <v>1</v>
      </c>
      <c r="R63" s="660">
        <f t="shared" si="20"/>
        <v>0</v>
      </c>
      <c r="S63" s="313">
        <f t="shared" si="21"/>
        <v>0</v>
      </c>
    </row>
    <row r="64" spans="1:19">
      <c r="A64" s="147"/>
      <c r="B64" s="54"/>
      <c r="C64" s="21">
        <f t="shared" si="12"/>
        <v>1</v>
      </c>
      <c r="D64" s="664"/>
      <c r="E64" s="21">
        <f t="shared" si="13"/>
        <v>1</v>
      </c>
      <c r="F64" s="664"/>
      <c r="G64" s="21">
        <f t="shared" si="14"/>
        <v>1</v>
      </c>
      <c r="H64" s="664"/>
      <c r="I64" s="21">
        <f t="shared" si="15"/>
        <v>1</v>
      </c>
      <c r="J64" s="664"/>
      <c r="K64" s="21">
        <f t="shared" si="16"/>
        <v>1</v>
      </c>
      <c r="L64" s="664"/>
      <c r="M64" s="21">
        <f t="shared" si="17"/>
        <v>1</v>
      </c>
      <c r="N64" s="664"/>
      <c r="O64" s="21">
        <f t="shared" si="18"/>
        <v>1</v>
      </c>
      <c r="P64" s="664"/>
      <c r="Q64" s="21">
        <f t="shared" si="19"/>
        <v>1</v>
      </c>
      <c r="R64" s="660">
        <f t="shared" si="20"/>
        <v>0</v>
      </c>
      <c r="S64" s="313">
        <f t="shared" si="21"/>
        <v>0</v>
      </c>
    </row>
    <row r="65" spans="1:19">
      <c r="A65" s="147"/>
      <c r="B65" s="54"/>
      <c r="C65" s="21">
        <f t="shared" si="12"/>
        <v>1</v>
      </c>
      <c r="D65" s="664"/>
      <c r="E65" s="21">
        <f t="shared" si="13"/>
        <v>1</v>
      </c>
      <c r="F65" s="664"/>
      <c r="G65" s="21">
        <f t="shared" si="14"/>
        <v>1</v>
      </c>
      <c r="H65" s="664"/>
      <c r="I65" s="21">
        <f t="shared" si="15"/>
        <v>1</v>
      </c>
      <c r="J65" s="664"/>
      <c r="K65" s="21">
        <f t="shared" si="16"/>
        <v>1</v>
      </c>
      <c r="L65" s="664"/>
      <c r="M65" s="21">
        <f t="shared" si="17"/>
        <v>1</v>
      </c>
      <c r="N65" s="664"/>
      <c r="O65" s="21">
        <f t="shared" si="18"/>
        <v>1</v>
      </c>
      <c r="P65" s="664"/>
      <c r="Q65" s="21">
        <f t="shared" si="19"/>
        <v>1</v>
      </c>
      <c r="R65" s="660">
        <f t="shared" si="20"/>
        <v>0</v>
      </c>
      <c r="S65" s="313">
        <f t="shared" si="21"/>
        <v>0</v>
      </c>
    </row>
    <row r="66" spans="1:19">
      <c r="A66" s="147"/>
      <c r="B66" s="54"/>
      <c r="C66" s="21">
        <f t="shared" si="12"/>
        <v>1</v>
      </c>
      <c r="D66" s="664"/>
      <c r="E66" s="21">
        <f t="shared" si="13"/>
        <v>1</v>
      </c>
      <c r="F66" s="664"/>
      <c r="G66" s="21">
        <f t="shared" si="14"/>
        <v>1</v>
      </c>
      <c r="H66" s="664"/>
      <c r="I66" s="21">
        <f t="shared" si="15"/>
        <v>1</v>
      </c>
      <c r="J66" s="664"/>
      <c r="K66" s="21">
        <f t="shared" si="16"/>
        <v>1</v>
      </c>
      <c r="L66" s="664"/>
      <c r="M66" s="21">
        <f t="shared" si="17"/>
        <v>1</v>
      </c>
      <c r="N66" s="664"/>
      <c r="O66" s="21">
        <f t="shared" si="18"/>
        <v>1</v>
      </c>
      <c r="P66" s="664"/>
      <c r="Q66" s="21">
        <f t="shared" si="19"/>
        <v>1</v>
      </c>
      <c r="R66" s="660">
        <f t="shared" si="20"/>
        <v>0</v>
      </c>
      <c r="S66" s="313">
        <f t="shared" si="21"/>
        <v>0</v>
      </c>
    </row>
    <row r="67" spans="1:19">
      <c r="A67" s="147"/>
      <c r="B67" s="54"/>
      <c r="C67" s="21">
        <f t="shared" si="12"/>
        <v>1</v>
      </c>
      <c r="D67" s="664"/>
      <c r="E67" s="21">
        <f t="shared" si="13"/>
        <v>1</v>
      </c>
      <c r="F67" s="664"/>
      <c r="G67" s="21">
        <f t="shared" si="14"/>
        <v>1</v>
      </c>
      <c r="H67" s="664"/>
      <c r="I67" s="21">
        <f t="shared" si="15"/>
        <v>1</v>
      </c>
      <c r="J67" s="664"/>
      <c r="K67" s="21">
        <f t="shared" si="16"/>
        <v>1</v>
      </c>
      <c r="L67" s="664"/>
      <c r="M67" s="21">
        <f t="shared" si="17"/>
        <v>1</v>
      </c>
      <c r="N67" s="664"/>
      <c r="O67" s="21">
        <f t="shared" si="18"/>
        <v>1</v>
      </c>
      <c r="P67" s="664"/>
      <c r="Q67" s="21">
        <f t="shared" si="19"/>
        <v>1</v>
      </c>
      <c r="R67" s="660">
        <f t="shared" si="20"/>
        <v>0</v>
      </c>
      <c r="S67" s="313">
        <f t="shared" si="21"/>
        <v>0</v>
      </c>
    </row>
    <row r="68" spans="1:19">
      <c r="A68" s="147"/>
      <c r="B68" s="54"/>
      <c r="C68" s="21">
        <f t="shared" si="12"/>
        <v>1</v>
      </c>
      <c r="D68" s="664"/>
      <c r="E68" s="21">
        <f t="shared" si="13"/>
        <v>1</v>
      </c>
      <c r="F68" s="664"/>
      <c r="G68" s="21">
        <f t="shared" si="14"/>
        <v>1</v>
      </c>
      <c r="H68" s="664"/>
      <c r="I68" s="21">
        <f t="shared" si="15"/>
        <v>1</v>
      </c>
      <c r="J68" s="664"/>
      <c r="K68" s="21">
        <f t="shared" si="16"/>
        <v>1</v>
      </c>
      <c r="L68" s="664"/>
      <c r="M68" s="21">
        <f t="shared" si="17"/>
        <v>1</v>
      </c>
      <c r="N68" s="664"/>
      <c r="O68" s="21">
        <f t="shared" si="18"/>
        <v>1</v>
      </c>
      <c r="P68" s="664"/>
      <c r="Q68" s="21">
        <f t="shared" si="19"/>
        <v>1</v>
      </c>
      <c r="R68" s="660">
        <f t="shared" si="20"/>
        <v>0</v>
      </c>
      <c r="S68" s="313">
        <f t="shared" si="21"/>
        <v>0</v>
      </c>
    </row>
    <row r="69" spans="1:19">
      <c r="A69" s="147"/>
      <c r="B69" s="54"/>
      <c r="C69" s="21">
        <f t="shared" si="12"/>
        <v>1</v>
      </c>
      <c r="D69" s="664"/>
      <c r="E69" s="21">
        <f t="shared" si="13"/>
        <v>1</v>
      </c>
      <c r="F69" s="664"/>
      <c r="G69" s="21">
        <f t="shared" si="14"/>
        <v>1</v>
      </c>
      <c r="H69" s="664"/>
      <c r="I69" s="21">
        <f t="shared" si="15"/>
        <v>1</v>
      </c>
      <c r="J69" s="664"/>
      <c r="K69" s="21">
        <f t="shared" si="16"/>
        <v>1</v>
      </c>
      <c r="L69" s="664"/>
      <c r="M69" s="21">
        <f t="shared" si="17"/>
        <v>1</v>
      </c>
      <c r="N69" s="664"/>
      <c r="O69" s="21">
        <f t="shared" si="18"/>
        <v>1</v>
      </c>
      <c r="P69" s="664"/>
      <c r="Q69" s="21">
        <f t="shared" si="19"/>
        <v>1</v>
      </c>
      <c r="R69" s="660">
        <f t="shared" si="20"/>
        <v>0</v>
      </c>
      <c r="S69" s="313">
        <f t="shared" si="21"/>
        <v>0</v>
      </c>
    </row>
    <row r="70" spans="1:19">
      <c r="A70" s="147"/>
      <c r="B70" s="54"/>
      <c r="C70" s="21">
        <f t="shared" si="12"/>
        <v>1</v>
      </c>
      <c r="D70" s="664"/>
      <c r="E70" s="21">
        <f t="shared" si="13"/>
        <v>1</v>
      </c>
      <c r="F70" s="664"/>
      <c r="G70" s="21">
        <f t="shared" si="14"/>
        <v>1</v>
      </c>
      <c r="H70" s="664"/>
      <c r="I70" s="21">
        <f t="shared" si="15"/>
        <v>1</v>
      </c>
      <c r="J70" s="664"/>
      <c r="K70" s="21">
        <f t="shared" si="16"/>
        <v>1</v>
      </c>
      <c r="L70" s="664"/>
      <c r="M70" s="21">
        <f t="shared" si="17"/>
        <v>1</v>
      </c>
      <c r="N70" s="664"/>
      <c r="O70" s="21">
        <f t="shared" si="18"/>
        <v>1</v>
      </c>
      <c r="P70" s="664"/>
      <c r="Q70" s="21">
        <f t="shared" si="19"/>
        <v>1</v>
      </c>
      <c r="R70" s="660">
        <f t="shared" si="20"/>
        <v>0</v>
      </c>
      <c r="S70" s="313">
        <f t="shared" si="21"/>
        <v>0</v>
      </c>
    </row>
    <row r="71" spans="1:19">
      <c r="A71" s="147"/>
      <c r="B71" s="54"/>
      <c r="C71" s="21">
        <f t="shared" si="12"/>
        <v>1</v>
      </c>
      <c r="D71" s="664"/>
      <c r="E71" s="21">
        <f t="shared" si="13"/>
        <v>1</v>
      </c>
      <c r="F71" s="664"/>
      <c r="G71" s="21">
        <f t="shared" si="14"/>
        <v>1</v>
      </c>
      <c r="H71" s="664"/>
      <c r="I71" s="21">
        <f t="shared" si="15"/>
        <v>1</v>
      </c>
      <c r="J71" s="664"/>
      <c r="K71" s="21">
        <f t="shared" si="16"/>
        <v>1</v>
      </c>
      <c r="L71" s="664"/>
      <c r="M71" s="21">
        <f t="shared" si="17"/>
        <v>1</v>
      </c>
      <c r="N71" s="664"/>
      <c r="O71" s="21">
        <f t="shared" si="18"/>
        <v>1</v>
      </c>
      <c r="P71" s="664"/>
      <c r="Q71" s="21">
        <f t="shared" si="19"/>
        <v>1</v>
      </c>
      <c r="R71" s="660">
        <f t="shared" si="20"/>
        <v>0</v>
      </c>
      <c r="S71" s="313">
        <f t="shared" si="21"/>
        <v>0</v>
      </c>
    </row>
    <row r="72" spans="1:19">
      <c r="A72" s="147"/>
      <c r="B72" s="54"/>
      <c r="C72" s="21">
        <f t="shared" si="12"/>
        <v>1</v>
      </c>
      <c r="D72" s="664"/>
      <c r="E72" s="21">
        <f t="shared" si="13"/>
        <v>1</v>
      </c>
      <c r="F72" s="664"/>
      <c r="G72" s="21">
        <f t="shared" si="14"/>
        <v>1</v>
      </c>
      <c r="H72" s="664"/>
      <c r="I72" s="21">
        <f t="shared" si="15"/>
        <v>1</v>
      </c>
      <c r="J72" s="664"/>
      <c r="K72" s="21">
        <f t="shared" si="16"/>
        <v>1</v>
      </c>
      <c r="L72" s="664"/>
      <c r="M72" s="21">
        <f t="shared" si="17"/>
        <v>1</v>
      </c>
      <c r="N72" s="664"/>
      <c r="O72" s="21">
        <f t="shared" si="18"/>
        <v>1</v>
      </c>
      <c r="P72" s="664"/>
      <c r="Q72" s="21">
        <f t="shared" si="19"/>
        <v>1</v>
      </c>
      <c r="R72" s="660">
        <f t="shared" si="20"/>
        <v>0</v>
      </c>
      <c r="S72" s="313">
        <f t="shared" si="21"/>
        <v>0</v>
      </c>
    </row>
    <row r="73" spans="1:19">
      <c r="A73" s="147"/>
      <c r="B73" s="54"/>
      <c r="C73" s="21">
        <f t="shared" si="12"/>
        <v>1</v>
      </c>
      <c r="D73" s="664"/>
      <c r="E73" s="21">
        <f t="shared" si="13"/>
        <v>1</v>
      </c>
      <c r="F73" s="664"/>
      <c r="G73" s="21">
        <f t="shared" si="14"/>
        <v>1</v>
      </c>
      <c r="H73" s="664"/>
      <c r="I73" s="21">
        <f t="shared" si="15"/>
        <v>1</v>
      </c>
      <c r="J73" s="664"/>
      <c r="K73" s="21">
        <f t="shared" si="16"/>
        <v>1</v>
      </c>
      <c r="L73" s="664"/>
      <c r="M73" s="21">
        <f t="shared" si="17"/>
        <v>1</v>
      </c>
      <c r="N73" s="664"/>
      <c r="O73" s="21">
        <f t="shared" si="18"/>
        <v>1</v>
      </c>
      <c r="P73" s="664"/>
      <c r="Q73" s="21">
        <f t="shared" si="19"/>
        <v>1</v>
      </c>
      <c r="R73" s="660">
        <f t="shared" si="20"/>
        <v>0</v>
      </c>
      <c r="S73" s="313">
        <f t="shared" si="21"/>
        <v>0</v>
      </c>
    </row>
    <row r="74" spans="1:19">
      <c r="A74" s="147"/>
      <c r="B74" s="54"/>
      <c r="C74" s="21">
        <f t="shared" si="12"/>
        <v>1</v>
      </c>
      <c r="D74" s="664"/>
      <c r="E74" s="21">
        <f t="shared" si="13"/>
        <v>1</v>
      </c>
      <c r="F74" s="664"/>
      <c r="G74" s="21">
        <f t="shared" si="14"/>
        <v>1</v>
      </c>
      <c r="H74" s="664"/>
      <c r="I74" s="21">
        <f t="shared" si="15"/>
        <v>1</v>
      </c>
      <c r="J74" s="664"/>
      <c r="K74" s="21">
        <f t="shared" si="16"/>
        <v>1</v>
      </c>
      <c r="L74" s="664"/>
      <c r="M74" s="21">
        <f t="shared" si="17"/>
        <v>1</v>
      </c>
      <c r="N74" s="664"/>
      <c r="O74" s="21">
        <f t="shared" si="18"/>
        <v>1</v>
      </c>
      <c r="P74" s="664"/>
      <c r="Q74" s="21">
        <f t="shared" si="19"/>
        <v>1</v>
      </c>
      <c r="R74" s="660">
        <f t="shared" si="20"/>
        <v>0</v>
      </c>
      <c r="S74" s="313">
        <f t="shared" si="21"/>
        <v>0</v>
      </c>
    </row>
    <row r="75" spans="1:19">
      <c r="A75" s="147"/>
      <c r="B75" s="54"/>
      <c r="C75" s="21">
        <f t="shared" si="12"/>
        <v>1</v>
      </c>
      <c r="D75" s="664"/>
      <c r="E75" s="21">
        <f t="shared" si="13"/>
        <v>1</v>
      </c>
      <c r="F75" s="664"/>
      <c r="G75" s="21">
        <f t="shared" si="14"/>
        <v>1</v>
      </c>
      <c r="H75" s="664"/>
      <c r="I75" s="21">
        <f t="shared" si="15"/>
        <v>1</v>
      </c>
      <c r="J75" s="664"/>
      <c r="K75" s="21">
        <f t="shared" si="16"/>
        <v>1</v>
      </c>
      <c r="L75" s="664"/>
      <c r="M75" s="21">
        <f t="shared" si="17"/>
        <v>1</v>
      </c>
      <c r="N75" s="664"/>
      <c r="O75" s="21">
        <f t="shared" si="18"/>
        <v>1</v>
      </c>
      <c r="P75" s="664"/>
      <c r="Q75" s="21">
        <f t="shared" si="19"/>
        <v>1</v>
      </c>
      <c r="R75" s="660">
        <f t="shared" si="20"/>
        <v>0</v>
      </c>
      <c r="S75" s="313">
        <f t="shared" si="21"/>
        <v>0</v>
      </c>
    </row>
    <row r="76" spans="1:19">
      <c r="A76" s="147"/>
      <c r="B76" s="54"/>
      <c r="C76" s="21">
        <f t="shared" si="12"/>
        <v>1</v>
      </c>
      <c r="D76" s="664"/>
      <c r="E76" s="21">
        <f t="shared" si="13"/>
        <v>1</v>
      </c>
      <c r="F76" s="664"/>
      <c r="G76" s="21">
        <f t="shared" si="14"/>
        <v>1</v>
      </c>
      <c r="H76" s="664"/>
      <c r="I76" s="21">
        <f t="shared" si="15"/>
        <v>1</v>
      </c>
      <c r="J76" s="664"/>
      <c r="K76" s="21">
        <f t="shared" si="16"/>
        <v>1</v>
      </c>
      <c r="L76" s="664"/>
      <c r="M76" s="21">
        <f t="shared" si="17"/>
        <v>1</v>
      </c>
      <c r="N76" s="664"/>
      <c r="O76" s="21">
        <f t="shared" si="18"/>
        <v>1</v>
      </c>
      <c r="P76" s="664"/>
      <c r="Q76" s="21">
        <f t="shared" si="19"/>
        <v>1</v>
      </c>
      <c r="R76" s="660">
        <f t="shared" si="20"/>
        <v>0</v>
      </c>
      <c r="S76" s="313">
        <f t="shared" si="21"/>
        <v>0</v>
      </c>
    </row>
    <row r="77" spans="1:19">
      <c r="A77" s="147"/>
      <c r="B77" s="54"/>
      <c r="C77" s="21">
        <f t="shared" si="12"/>
        <v>1</v>
      </c>
      <c r="D77" s="664"/>
      <c r="E77" s="21">
        <f t="shared" si="13"/>
        <v>1</v>
      </c>
      <c r="F77" s="664"/>
      <c r="G77" s="21">
        <f t="shared" si="14"/>
        <v>1</v>
      </c>
      <c r="H77" s="664"/>
      <c r="I77" s="21">
        <f t="shared" si="15"/>
        <v>1</v>
      </c>
      <c r="J77" s="664"/>
      <c r="K77" s="21">
        <f t="shared" si="16"/>
        <v>1</v>
      </c>
      <c r="L77" s="664"/>
      <c r="M77" s="21">
        <f t="shared" si="17"/>
        <v>1</v>
      </c>
      <c r="N77" s="664"/>
      <c r="O77" s="21">
        <f t="shared" si="18"/>
        <v>1</v>
      </c>
      <c r="P77" s="664"/>
      <c r="Q77" s="21">
        <f t="shared" si="19"/>
        <v>1</v>
      </c>
      <c r="R77" s="660">
        <f t="shared" si="20"/>
        <v>0</v>
      </c>
      <c r="S77" s="313">
        <f t="shared" si="21"/>
        <v>0</v>
      </c>
    </row>
    <row r="78" spans="1:19">
      <c r="A78" s="147"/>
      <c r="B78" s="54"/>
      <c r="C78" s="21">
        <f t="shared" si="12"/>
        <v>1</v>
      </c>
      <c r="D78" s="664"/>
      <c r="E78" s="21">
        <f t="shared" si="13"/>
        <v>1</v>
      </c>
      <c r="F78" s="664"/>
      <c r="G78" s="21">
        <f t="shared" si="14"/>
        <v>1</v>
      </c>
      <c r="H78" s="664"/>
      <c r="I78" s="21">
        <f t="shared" si="15"/>
        <v>1</v>
      </c>
      <c r="J78" s="664"/>
      <c r="K78" s="21">
        <f t="shared" si="16"/>
        <v>1</v>
      </c>
      <c r="L78" s="664"/>
      <c r="M78" s="21">
        <f t="shared" si="17"/>
        <v>1</v>
      </c>
      <c r="N78" s="664"/>
      <c r="O78" s="21">
        <f t="shared" si="18"/>
        <v>1</v>
      </c>
      <c r="P78" s="664"/>
      <c r="Q78" s="21">
        <f t="shared" si="19"/>
        <v>1</v>
      </c>
      <c r="R78" s="660">
        <f t="shared" si="20"/>
        <v>0</v>
      </c>
      <c r="S78" s="313">
        <f t="shared" ref="S78:S122" si="22">ROUND(R78*B78/10000,0)</f>
        <v>0</v>
      </c>
    </row>
    <row r="79" spans="1:19">
      <c r="A79" s="147"/>
      <c r="B79" s="54"/>
      <c r="C79" s="21">
        <f t="shared" si="12"/>
        <v>1</v>
      </c>
      <c r="D79" s="664"/>
      <c r="E79" s="21">
        <f t="shared" si="13"/>
        <v>1</v>
      </c>
      <c r="F79" s="664"/>
      <c r="G79" s="21">
        <f t="shared" si="14"/>
        <v>1</v>
      </c>
      <c r="H79" s="664"/>
      <c r="I79" s="21">
        <f t="shared" si="15"/>
        <v>1</v>
      </c>
      <c r="J79" s="664"/>
      <c r="K79" s="21">
        <f t="shared" si="16"/>
        <v>1</v>
      </c>
      <c r="L79" s="664"/>
      <c r="M79" s="21">
        <f t="shared" si="17"/>
        <v>1</v>
      </c>
      <c r="N79" s="664"/>
      <c r="O79" s="21">
        <f t="shared" si="18"/>
        <v>1</v>
      </c>
      <c r="P79" s="664"/>
      <c r="Q79" s="21">
        <f t="shared" si="19"/>
        <v>1</v>
      </c>
      <c r="R79" s="660">
        <f t="shared" si="20"/>
        <v>0</v>
      </c>
      <c r="S79" s="313">
        <f t="shared" si="22"/>
        <v>0</v>
      </c>
    </row>
    <row r="80" spans="1:19">
      <c r="A80" s="147"/>
      <c r="B80" s="54"/>
      <c r="C80" s="21">
        <f t="shared" si="12"/>
        <v>1</v>
      </c>
      <c r="D80" s="664"/>
      <c r="E80" s="21">
        <f t="shared" si="13"/>
        <v>1</v>
      </c>
      <c r="F80" s="664"/>
      <c r="G80" s="21">
        <f t="shared" si="14"/>
        <v>1</v>
      </c>
      <c r="H80" s="664"/>
      <c r="I80" s="21">
        <f t="shared" si="15"/>
        <v>1</v>
      </c>
      <c r="J80" s="664"/>
      <c r="K80" s="21">
        <f t="shared" si="16"/>
        <v>1</v>
      </c>
      <c r="L80" s="664"/>
      <c r="M80" s="21">
        <f t="shared" si="17"/>
        <v>1</v>
      </c>
      <c r="N80" s="664"/>
      <c r="O80" s="21">
        <f t="shared" si="18"/>
        <v>1</v>
      </c>
      <c r="P80" s="664"/>
      <c r="Q80" s="21">
        <f t="shared" si="19"/>
        <v>1</v>
      </c>
      <c r="R80" s="660">
        <f t="shared" si="20"/>
        <v>0</v>
      </c>
      <c r="S80" s="313">
        <f t="shared" si="22"/>
        <v>0</v>
      </c>
    </row>
    <row r="81" spans="1:19">
      <c r="A81" s="147"/>
      <c r="B81" s="54"/>
      <c r="C81" s="21">
        <f t="shared" si="12"/>
        <v>1</v>
      </c>
      <c r="D81" s="664"/>
      <c r="E81" s="21">
        <f t="shared" si="13"/>
        <v>1</v>
      </c>
      <c r="F81" s="664"/>
      <c r="G81" s="21">
        <f t="shared" si="14"/>
        <v>1</v>
      </c>
      <c r="H81" s="664"/>
      <c r="I81" s="21">
        <f t="shared" si="15"/>
        <v>1</v>
      </c>
      <c r="J81" s="664"/>
      <c r="K81" s="21">
        <f t="shared" si="16"/>
        <v>1</v>
      </c>
      <c r="L81" s="664"/>
      <c r="M81" s="21">
        <f t="shared" si="17"/>
        <v>1</v>
      </c>
      <c r="N81" s="664"/>
      <c r="O81" s="21">
        <f t="shared" si="18"/>
        <v>1</v>
      </c>
      <c r="P81" s="664"/>
      <c r="Q81" s="21">
        <f t="shared" si="19"/>
        <v>1</v>
      </c>
      <c r="R81" s="660">
        <f t="shared" si="20"/>
        <v>0</v>
      </c>
      <c r="S81" s="313">
        <f t="shared" si="22"/>
        <v>0</v>
      </c>
    </row>
    <row r="82" spans="1:19">
      <c r="A82" s="147"/>
      <c r="B82" s="54"/>
      <c r="C82" s="21">
        <f t="shared" si="12"/>
        <v>1</v>
      </c>
      <c r="D82" s="664"/>
      <c r="E82" s="21">
        <f t="shared" si="13"/>
        <v>1</v>
      </c>
      <c r="F82" s="664"/>
      <c r="G82" s="21">
        <f t="shared" si="14"/>
        <v>1</v>
      </c>
      <c r="H82" s="664"/>
      <c r="I82" s="21">
        <f t="shared" si="15"/>
        <v>1</v>
      </c>
      <c r="J82" s="664"/>
      <c r="K82" s="21">
        <f t="shared" si="16"/>
        <v>1</v>
      </c>
      <c r="L82" s="664"/>
      <c r="M82" s="21">
        <f t="shared" si="17"/>
        <v>1</v>
      </c>
      <c r="N82" s="664"/>
      <c r="O82" s="21">
        <f t="shared" si="18"/>
        <v>1</v>
      </c>
      <c r="P82" s="664"/>
      <c r="Q82" s="21">
        <f t="shared" si="19"/>
        <v>1</v>
      </c>
      <c r="R82" s="660">
        <f t="shared" si="20"/>
        <v>0</v>
      </c>
      <c r="S82" s="313">
        <f t="shared" si="22"/>
        <v>0</v>
      </c>
    </row>
    <row r="83" spans="1:19">
      <c r="A83" s="147"/>
      <c r="B83" s="54"/>
      <c r="C83" s="21">
        <f t="shared" si="12"/>
        <v>1</v>
      </c>
      <c r="D83" s="664"/>
      <c r="E83" s="21">
        <f t="shared" si="13"/>
        <v>1</v>
      </c>
      <c r="F83" s="664"/>
      <c r="G83" s="21">
        <f t="shared" si="14"/>
        <v>1</v>
      </c>
      <c r="H83" s="664"/>
      <c r="I83" s="21">
        <f t="shared" si="15"/>
        <v>1</v>
      </c>
      <c r="J83" s="664"/>
      <c r="K83" s="21">
        <f t="shared" si="16"/>
        <v>1</v>
      </c>
      <c r="L83" s="664"/>
      <c r="M83" s="21">
        <f t="shared" si="17"/>
        <v>1</v>
      </c>
      <c r="N83" s="664"/>
      <c r="O83" s="21">
        <f t="shared" si="18"/>
        <v>1</v>
      </c>
      <c r="P83" s="664"/>
      <c r="Q83" s="21">
        <f t="shared" si="19"/>
        <v>1</v>
      </c>
      <c r="R83" s="660">
        <f t="shared" si="20"/>
        <v>0</v>
      </c>
      <c r="S83" s="313">
        <f t="shared" si="22"/>
        <v>0</v>
      </c>
    </row>
    <row r="84" spans="1:19">
      <c r="A84" s="147"/>
      <c r="B84" s="54"/>
      <c r="C84" s="21">
        <f t="shared" si="12"/>
        <v>1</v>
      </c>
      <c r="D84" s="664"/>
      <c r="E84" s="21">
        <f t="shared" si="13"/>
        <v>1</v>
      </c>
      <c r="F84" s="664"/>
      <c r="G84" s="21">
        <f t="shared" si="14"/>
        <v>1</v>
      </c>
      <c r="H84" s="664"/>
      <c r="I84" s="21">
        <f t="shared" si="15"/>
        <v>1</v>
      </c>
      <c r="J84" s="664"/>
      <c r="K84" s="21">
        <f t="shared" si="16"/>
        <v>1</v>
      </c>
      <c r="L84" s="664"/>
      <c r="M84" s="21">
        <f t="shared" si="17"/>
        <v>1</v>
      </c>
      <c r="N84" s="664"/>
      <c r="O84" s="21">
        <f t="shared" si="18"/>
        <v>1</v>
      </c>
      <c r="P84" s="664"/>
      <c r="Q84" s="21">
        <f t="shared" si="19"/>
        <v>1</v>
      </c>
      <c r="R84" s="660">
        <f t="shared" si="20"/>
        <v>0</v>
      </c>
      <c r="S84" s="313">
        <f t="shared" si="22"/>
        <v>0</v>
      </c>
    </row>
    <row r="85" spans="1:19">
      <c r="A85" s="147"/>
      <c r="B85" s="54"/>
      <c r="C85" s="21">
        <f t="shared" si="12"/>
        <v>1</v>
      </c>
      <c r="D85" s="664"/>
      <c r="E85" s="21">
        <f t="shared" si="13"/>
        <v>1</v>
      </c>
      <c r="F85" s="664"/>
      <c r="G85" s="21">
        <f t="shared" si="14"/>
        <v>1</v>
      </c>
      <c r="H85" s="664"/>
      <c r="I85" s="21">
        <f t="shared" si="15"/>
        <v>1</v>
      </c>
      <c r="J85" s="664"/>
      <c r="K85" s="21">
        <f t="shared" si="16"/>
        <v>1</v>
      </c>
      <c r="L85" s="664"/>
      <c r="M85" s="21">
        <f t="shared" si="17"/>
        <v>1</v>
      </c>
      <c r="N85" s="664"/>
      <c r="O85" s="21">
        <f t="shared" si="18"/>
        <v>1</v>
      </c>
      <c r="P85" s="664"/>
      <c r="Q85" s="21">
        <f t="shared" si="19"/>
        <v>1</v>
      </c>
      <c r="R85" s="660">
        <f t="shared" si="20"/>
        <v>0</v>
      </c>
      <c r="S85" s="313">
        <f t="shared" si="22"/>
        <v>0</v>
      </c>
    </row>
    <row r="86" spans="1:19">
      <c r="A86" s="147"/>
      <c r="B86" s="54"/>
      <c r="C86" s="21">
        <f t="shared" si="12"/>
        <v>1</v>
      </c>
      <c r="D86" s="664"/>
      <c r="E86" s="21">
        <f t="shared" si="13"/>
        <v>1</v>
      </c>
      <c r="F86" s="664"/>
      <c r="G86" s="21">
        <f t="shared" si="14"/>
        <v>1</v>
      </c>
      <c r="H86" s="664"/>
      <c r="I86" s="21">
        <f t="shared" si="15"/>
        <v>1</v>
      </c>
      <c r="J86" s="664"/>
      <c r="K86" s="21">
        <f t="shared" si="16"/>
        <v>1</v>
      </c>
      <c r="L86" s="664"/>
      <c r="M86" s="21">
        <f t="shared" si="17"/>
        <v>1</v>
      </c>
      <c r="N86" s="664"/>
      <c r="O86" s="21">
        <f t="shared" si="18"/>
        <v>1</v>
      </c>
      <c r="P86" s="664"/>
      <c r="Q86" s="21">
        <f t="shared" si="19"/>
        <v>1</v>
      </c>
      <c r="R86" s="660">
        <f t="shared" si="20"/>
        <v>0</v>
      </c>
      <c r="S86" s="313">
        <f t="shared" si="22"/>
        <v>0</v>
      </c>
    </row>
    <row r="87" spans="1:19">
      <c r="A87" s="147"/>
      <c r="B87" s="54"/>
      <c r="C87" s="21">
        <f t="shared" si="12"/>
        <v>1</v>
      </c>
      <c r="D87" s="664"/>
      <c r="E87" s="21">
        <f t="shared" si="13"/>
        <v>1</v>
      </c>
      <c r="F87" s="664"/>
      <c r="G87" s="21">
        <f t="shared" si="14"/>
        <v>1</v>
      </c>
      <c r="H87" s="664"/>
      <c r="I87" s="21">
        <f t="shared" si="15"/>
        <v>1</v>
      </c>
      <c r="J87" s="664"/>
      <c r="K87" s="21">
        <f t="shared" si="16"/>
        <v>1</v>
      </c>
      <c r="L87" s="664"/>
      <c r="M87" s="21">
        <f t="shared" si="17"/>
        <v>1</v>
      </c>
      <c r="N87" s="664"/>
      <c r="O87" s="21">
        <f t="shared" si="18"/>
        <v>1</v>
      </c>
      <c r="P87" s="664"/>
      <c r="Q87" s="21">
        <f t="shared" si="19"/>
        <v>1</v>
      </c>
      <c r="R87" s="660">
        <f t="shared" si="20"/>
        <v>0</v>
      </c>
      <c r="S87" s="313">
        <f t="shared" si="22"/>
        <v>0</v>
      </c>
    </row>
    <row r="88" spans="1:19">
      <c r="A88" s="147"/>
      <c r="B88" s="54"/>
      <c r="C88" s="21">
        <f t="shared" si="12"/>
        <v>1</v>
      </c>
      <c r="D88" s="664"/>
      <c r="E88" s="21">
        <f t="shared" si="13"/>
        <v>1</v>
      </c>
      <c r="F88" s="664"/>
      <c r="G88" s="21">
        <f t="shared" si="14"/>
        <v>1</v>
      </c>
      <c r="H88" s="664"/>
      <c r="I88" s="21">
        <f t="shared" si="15"/>
        <v>1</v>
      </c>
      <c r="J88" s="664"/>
      <c r="K88" s="21">
        <f t="shared" si="16"/>
        <v>1</v>
      </c>
      <c r="L88" s="664"/>
      <c r="M88" s="21">
        <f t="shared" si="17"/>
        <v>1</v>
      </c>
      <c r="N88" s="664"/>
      <c r="O88" s="21">
        <f t="shared" si="18"/>
        <v>1</v>
      </c>
      <c r="P88" s="664"/>
      <c r="Q88" s="21">
        <f t="shared" si="19"/>
        <v>1</v>
      </c>
      <c r="R88" s="660">
        <f t="shared" si="20"/>
        <v>0</v>
      </c>
      <c r="S88" s="313">
        <f t="shared" si="22"/>
        <v>0</v>
      </c>
    </row>
    <row r="89" spans="1:19">
      <c r="A89" s="147"/>
      <c r="B89" s="54"/>
      <c r="C89" s="21">
        <f t="shared" si="12"/>
        <v>1</v>
      </c>
      <c r="D89" s="664"/>
      <c r="E89" s="21">
        <f t="shared" si="13"/>
        <v>1</v>
      </c>
      <c r="F89" s="664"/>
      <c r="G89" s="21">
        <f t="shared" si="14"/>
        <v>1</v>
      </c>
      <c r="H89" s="664"/>
      <c r="I89" s="21">
        <f t="shared" si="15"/>
        <v>1</v>
      </c>
      <c r="J89" s="664"/>
      <c r="K89" s="21">
        <f t="shared" si="16"/>
        <v>1</v>
      </c>
      <c r="L89" s="664"/>
      <c r="M89" s="21">
        <f t="shared" si="17"/>
        <v>1</v>
      </c>
      <c r="N89" s="664"/>
      <c r="O89" s="21">
        <f t="shared" si="18"/>
        <v>1</v>
      </c>
      <c r="P89" s="664"/>
      <c r="Q89" s="21">
        <f t="shared" si="19"/>
        <v>1</v>
      </c>
      <c r="R89" s="660">
        <f t="shared" si="20"/>
        <v>0</v>
      </c>
      <c r="S89" s="313">
        <f t="shared" si="22"/>
        <v>0</v>
      </c>
    </row>
    <row r="90" spans="1:19">
      <c r="A90" s="147"/>
      <c r="B90" s="54"/>
      <c r="C90" s="21">
        <f t="shared" ref="C90:C153" si="23">IF(B90="",1,(LOOKUP(B90,$3:$3,$4:$4)-LOOKUP($B$24,$3:$3,$4:$4)+100)/100)</f>
        <v>1</v>
      </c>
      <c r="D90" s="664"/>
      <c r="E90" s="21">
        <f t="shared" ref="E90:E153" si="24">(SUMIF($5:$5,D90,$6:$6)-SUMIF($5:$5,$D$24,$6:$6)+100)/100</f>
        <v>1</v>
      </c>
      <c r="F90" s="664"/>
      <c r="G90" s="21">
        <f t="shared" ref="G90:G153" si="25">(SUMIF($7:$7,F90,$8:$8)-SUMIF($7:$7,$F$24,$8:$8)+100)/100</f>
        <v>1</v>
      </c>
      <c r="H90" s="664"/>
      <c r="I90" s="21">
        <f t="shared" ref="I90:I153" si="26">(SUMIF($9:$9,H90,$10:$10)-SUMIF($9:$9,$H$24,$10:$10)+100)/100</f>
        <v>1</v>
      </c>
      <c r="J90" s="664"/>
      <c r="K90" s="21">
        <f t="shared" ref="K90:K153" si="27">(SUMIF($11:$11,J90,$12:$12)-SUMIF($11:$11,$J$24,$12:$12)+100)/100</f>
        <v>1</v>
      </c>
      <c r="L90" s="664"/>
      <c r="M90" s="21">
        <f t="shared" ref="M90:M153" si="28">(SUMIF($13:$13,L90,$14:$14)-SUMIF($13:$13,$L$24,$14:$14)+100)/100</f>
        <v>1</v>
      </c>
      <c r="N90" s="664"/>
      <c r="O90" s="21">
        <f t="shared" ref="O90:O153" si="29">(SUMIF($15:$15,N90,$16:$16)-SUMIF($15:$15,$N$24,$16:$16)+100)/100</f>
        <v>1</v>
      </c>
      <c r="P90" s="664"/>
      <c r="Q90" s="21">
        <f t="shared" ref="Q90:Q153" si="30">(SUMIF($17:$17,P90,$18:$18)-SUMIF($17:$17,$P$24,$18:$18)+100)/100</f>
        <v>1</v>
      </c>
      <c r="R90" s="660">
        <f t="shared" ref="R90:R153" si="31">IF(B90="",0,ROUND($R$24*C90*E90*G90*I90*K90*M90*O90*Q90,0))</f>
        <v>0</v>
      </c>
      <c r="S90" s="313">
        <f t="shared" si="22"/>
        <v>0</v>
      </c>
    </row>
    <row r="91" spans="1:19">
      <c r="A91" s="147"/>
      <c r="B91" s="54"/>
      <c r="C91" s="21">
        <f t="shared" si="23"/>
        <v>1</v>
      </c>
      <c r="D91" s="664"/>
      <c r="E91" s="21">
        <f t="shared" si="24"/>
        <v>1</v>
      </c>
      <c r="F91" s="664"/>
      <c r="G91" s="21">
        <f t="shared" si="25"/>
        <v>1</v>
      </c>
      <c r="H91" s="664"/>
      <c r="I91" s="21">
        <f t="shared" si="26"/>
        <v>1</v>
      </c>
      <c r="J91" s="664"/>
      <c r="K91" s="21">
        <f t="shared" si="27"/>
        <v>1</v>
      </c>
      <c r="L91" s="664"/>
      <c r="M91" s="21">
        <f t="shared" si="28"/>
        <v>1</v>
      </c>
      <c r="N91" s="664"/>
      <c r="O91" s="21">
        <f t="shared" si="29"/>
        <v>1</v>
      </c>
      <c r="P91" s="664"/>
      <c r="Q91" s="21">
        <f t="shared" si="30"/>
        <v>1</v>
      </c>
      <c r="R91" s="660">
        <f t="shared" si="31"/>
        <v>0</v>
      </c>
      <c r="S91" s="313">
        <f t="shared" si="22"/>
        <v>0</v>
      </c>
    </row>
    <row r="92" spans="1:19">
      <c r="A92" s="147"/>
      <c r="B92" s="54"/>
      <c r="C92" s="21">
        <f t="shared" si="23"/>
        <v>1</v>
      </c>
      <c r="D92" s="664"/>
      <c r="E92" s="21">
        <f t="shared" si="24"/>
        <v>1</v>
      </c>
      <c r="F92" s="664"/>
      <c r="G92" s="21">
        <f t="shared" si="25"/>
        <v>1</v>
      </c>
      <c r="H92" s="664"/>
      <c r="I92" s="21">
        <f t="shared" si="26"/>
        <v>1</v>
      </c>
      <c r="J92" s="664"/>
      <c r="K92" s="21">
        <f t="shared" si="27"/>
        <v>1</v>
      </c>
      <c r="L92" s="664"/>
      <c r="M92" s="21">
        <f t="shared" si="28"/>
        <v>1</v>
      </c>
      <c r="N92" s="664"/>
      <c r="O92" s="21">
        <f t="shared" si="29"/>
        <v>1</v>
      </c>
      <c r="P92" s="664"/>
      <c r="Q92" s="21">
        <f t="shared" si="30"/>
        <v>1</v>
      </c>
      <c r="R92" s="660">
        <f t="shared" si="31"/>
        <v>0</v>
      </c>
      <c r="S92" s="313">
        <f t="shared" si="22"/>
        <v>0</v>
      </c>
    </row>
    <row r="93" spans="1:19">
      <c r="A93" s="147"/>
      <c r="B93" s="54"/>
      <c r="C93" s="21">
        <f t="shared" si="23"/>
        <v>1</v>
      </c>
      <c r="D93" s="664"/>
      <c r="E93" s="21">
        <f t="shared" si="24"/>
        <v>1</v>
      </c>
      <c r="F93" s="664"/>
      <c r="G93" s="21">
        <f t="shared" si="25"/>
        <v>1</v>
      </c>
      <c r="H93" s="664"/>
      <c r="I93" s="21">
        <f t="shared" si="26"/>
        <v>1</v>
      </c>
      <c r="J93" s="664"/>
      <c r="K93" s="21">
        <f t="shared" si="27"/>
        <v>1</v>
      </c>
      <c r="L93" s="664"/>
      <c r="M93" s="21">
        <f t="shared" si="28"/>
        <v>1</v>
      </c>
      <c r="N93" s="664"/>
      <c r="O93" s="21">
        <f t="shared" si="29"/>
        <v>1</v>
      </c>
      <c r="P93" s="664"/>
      <c r="Q93" s="21">
        <f t="shared" si="30"/>
        <v>1</v>
      </c>
      <c r="R93" s="660">
        <f t="shared" si="31"/>
        <v>0</v>
      </c>
      <c r="S93" s="313">
        <f t="shared" si="22"/>
        <v>0</v>
      </c>
    </row>
    <row r="94" spans="1:19">
      <c r="A94" s="147"/>
      <c r="B94" s="54"/>
      <c r="C94" s="21">
        <f t="shared" si="23"/>
        <v>1</v>
      </c>
      <c r="D94" s="664"/>
      <c r="E94" s="21">
        <f t="shared" si="24"/>
        <v>1</v>
      </c>
      <c r="F94" s="664"/>
      <c r="G94" s="21">
        <f t="shared" si="25"/>
        <v>1</v>
      </c>
      <c r="H94" s="664"/>
      <c r="I94" s="21">
        <f t="shared" si="26"/>
        <v>1</v>
      </c>
      <c r="J94" s="664"/>
      <c r="K94" s="21">
        <f t="shared" si="27"/>
        <v>1</v>
      </c>
      <c r="L94" s="664"/>
      <c r="M94" s="21">
        <f t="shared" si="28"/>
        <v>1</v>
      </c>
      <c r="N94" s="664"/>
      <c r="O94" s="21">
        <f t="shared" si="29"/>
        <v>1</v>
      </c>
      <c r="P94" s="664"/>
      <c r="Q94" s="21">
        <f t="shared" si="30"/>
        <v>1</v>
      </c>
      <c r="R94" s="660">
        <f t="shared" si="31"/>
        <v>0</v>
      </c>
      <c r="S94" s="313">
        <f t="shared" si="22"/>
        <v>0</v>
      </c>
    </row>
    <row r="95" spans="1:19">
      <c r="A95" s="147"/>
      <c r="B95" s="54"/>
      <c r="C95" s="21">
        <f t="shared" si="23"/>
        <v>1</v>
      </c>
      <c r="D95" s="664"/>
      <c r="E95" s="21">
        <f t="shared" si="24"/>
        <v>1</v>
      </c>
      <c r="F95" s="664"/>
      <c r="G95" s="21">
        <f t="shared" si="25"/>
        <v>1</v>
      </c>
      <c r="H95" s="664"/>
      <c r="I95" s="21">
        <f t="shared" si="26"/>
        <v>1</v>
      </c>
      <c r="J95" s="664"/>
      <c r="K95" s="21">
        <f t="shared" si="27"/>
        <v>1</v>
      </c>
      <c r="L95" s="664"/>
      <c r="M95" s="21">
        <f t="shared" si="28"/>
        <v>1</v>
      </c>
      <c r="N95" s="664"/>
      <c r="O95" s="21">
        <f t="shared" si="29"/>
        <v>1</v>
      </c>
      <c r="P95" s="664"/>
      <c r="Q95" s="21">
        <f t="shared" si="30"/>
        <v>1</v>
      </c>
      <c r="R95" s="660">
        <f t="shared" si="31"/>
        <v>0</v>
      </c>
      <c r="S95" s="313">
        <f t="shared" si="22"/>
        <v>0</v>
      </c>
    </row>
    <row r="96" spans="1:19">
      <c r="A96" s="147"/>
      <c r="B96" s="54"/>
      <c r="C96" s="21">
        <f t="shared" si="23"/>
        <v>1</v>
      </c>
      <c r="D96" s="664"/>
      <c r="E96" s="21">
        <f t="shared" si="24"/>
        <v>1</v>
      </c>
      <c r="F96" s="664"/>
      <c r="G96" s="21">
        <f t="shared" si="25"/>
        <v>1</v>
      </c>
      <c r="H96" s="664"/>
      <c r="I96" s="21">
        <f t="shared" si="26"/>
        <v>1</v>
      </c>
      <c r="J96" s="664"/>
      <c r="K96" s="21">
        <f t="shared" si="27"/>
        <v>1</v>
      </c>
      <c r="L96" s="664"/>
      <c r="M96" s="21">
        <f t="shared" si="28"/>
        <v>1</v>
      </c>
      <c r="N96" s="664"/>
      <c r="O96" s="21">
        <f t="shared" si="29"/>
        <v>1</v>
      </c>
      <c r="P96" s="664"/>
      <c r="Q96" s="21">
        <f t="shared" si="30"/>
        <v>1</v>
      </c>
      <c r="R96" s="660">
        <f t="shared" si="31"/>
        <v>0</v>
      </c>
      <c r="S96" s="313">
        <f t="shared" si="22"/>
        <v>0</v>
      </c>
    </row>
    <row r="97" spans="1:19">
      <c r="A97" s="147"/>
      <c r="B97" s="54"/>
      <c r="C97" s="21">
        <f t="shared" si="23"/>
        <v>1</v>
      </c>
      <c r="D97" s="664"/>
      <c r="E97" s="21">
        <f t="shared" si="24"/>
        <v>1</v>
      </c>
      <c r="F97" s="664"/>
      <c r="G97" s="21">
        <f t="shared" si="25"/>
        <v>1</v>
      </c>
      <c r="H97" s="664"/>
      <c r="I97" s="21">
        <f t="shared" si="26"/>
        <v>1</v>
      </c>
      <c r="J97" s="664"/>
      <c r="K97" s="21">
        <f t="shared" si="27"/>
        <v>1</v>
      </c>
      <c r="L97" s="664"/>
      <c r="M97" s="21">
        <f t="shared" si="28"/>
        <v>1</v>
      </c>
      <c r="N97" s="664"/>
      <c r="O97" s="21">
        <f t="shared" si="29"/>
        <v>1</v>
      </c>
      <c r="P97" s="664"/>
      <c r="Q97" s="21">
        <f t="shared" si="30"/>
        <v>1</v>
      </c>
      <c r="R97" s="660">
        <f t="shared" si="31"/>
        <v>0</v>
      </c>
      <c r="S97" s="313">
        <f t="shared" si="22"/>
        <v>0</v>
      </c>
    </row>
    <row r="98" spans="1:19">
      <c r="A98" s="147"/>
      <c r="B98" s="54"/>
      <c r="C98" s="21">
        <f t="shared" si="23"/>
        <v>1</v>
      </c>
      <c r="D98" s="664"/>
      <c r="E98" s="21">
        <f t="shared" si="24"/>
        <v>1</v>
      </c>
      <c r="F98" s="664"/>
      <c r="G98" s="21">
        <f t="shared" si="25"/>
        <v>1</v>
      </c>
      <c r="H98" s="664"/>
      <c r="I98" s="21">
        <f t="shared" si="26"/>
        <v>1</v>
      </c>
      <c r="J98" s="664"/>
      <c r="K98" s="21">
        <f t="shared" si="27"/>
        <v>1</v>
      </c>
      <c r="L98" s="664"/>
      <c r="M98" s="21">
        <f t="shared" si="28"/>
        <v>1</v>
      </c>
      <c r="N98" s="664"/>
      <c r="O98" s="21">
        <f t="shared" si="29"/>
        <v>1</v>
      </c>
      <c r="P98" s="664"/>
      <c r="Q98" s="21">
        <f t="shared" si="30"/>
        <v>1</v>
      </c>
      <c r="R98" s="660">
        <f t="shared" si="31"/>
        <v>0</v>
      </c>
      <c r="S98" s="313">
        <f t="shared" si="22"/>
        <v>0</v>
      </c>
    </row>
    <row r="99" spans="1:19">
      <c r="A99" s="147"/>
      <c r="B99" s="54"/>
      <c r="C99" s="21">
        <f t="shared" si="23"/>
        <v>1</v>
      </c>
      <c r="D99" s="664"/>
      <c r="E99" s="21">
        <f t="shared" si="24"/>
        <v>1</v>
      </c>
      <c r="F99" s="664"/>
      <c r="G99" s="21">
        <f t="shared" si="25"/>
        <v>1</v>
      </c>
      <c r="H99" s="664"/>
      <c r="I99" s="21">
        <f t="shared" si="26"/>
        <v>1</v>
      </c>
      <c r="J99" s="664"/>
      <c r="K99" s="21">
        <f t="shared" si="27"/>
        <v>1</v>
      </c>
      <c r="L99" s="664"/>
      <c r="M99" s="21">
        <f t="shared" si="28"/>
        <v>1</v>
      </c>
      <c r="N99" s="664"/>
      <c r="O99" s="21">
        <f t="shared" si="29"/>
        <v>1</v>
      </c>
      <c r="P99" s="664"/>
      <c r="Q99" s="21">
        <f t="shared" si="30"/>
        <v>1</v>
      </c>
      <c r="R99" s="660">
        <f t="shared" si="31"/>
        <v>0</v>
      </c>
      <c r="S99" s="313">
        <f t="shared" si="22"/>
        <v>0</v>
      </c>
    </row>
    <row r="100" spans="1:19">
      <c r="A100" s="147"/>
      <c r="B100" s="54"/>
      <c r="C100" s="21">
        <f t="shared" si="23"/>
        <v>1</v>
      </c>
      <c r="D100" s="664"/>
      <c r="E100" s="21">
        <f t="shared" si="24"/>
        <v>1</v>
      </c>
      <c r="F100" s="664"/>
      <c r="G100" s="21">
        <f t="shared" si="25"/>
        <v>1</v>
      </c>
      <c r="H100" s="664"/>
      <c r="I100" s="21">
        <f t="shared" si="26"/>
        <v>1</v>
      </c>
      <c r="J100" s="664"/>
      <c r="K100" s="21">
        <f t="shared" si="27"/>
        <v>1</v>
      </c>
      <c r="L100" s="664"/>
      <c r="M100" s="21">
        <f t="shared" si="28"/>
        <v>1</v>
      </c>
      <c r="N100" s="664"/>
      <c r="O100" s="21">
        <f t="shared" si="29"/>
        <v>1</v>
      </c>
      <c r="P100" s="664"/>
      <c r="Q100" s="21">
        <f t="shared" si="30"/>
        <v>1</v>
      </c>
      <c r="R100" s="660">
        <f t="shared" si="31"/>
        <v>0</v>
      </c>
      <c r="S100" s="313">
        <f t="shared" si="22"/>
        <v>0</v>
      </c>
    </row>
    <row r="101" spans="1:19">
      <c r="A101" s="147"/>
      <c r="B101" s="54"/>
      <c r="C101" s="21">
        <f t="shared" si="23"/>
        <v>1</v>
      </c>
      <c r="D101" s="664"/>
      <c r="E101" s="21">
        <f t="shared" si="24"/>
        <v>1</v>
      </c>
      <c r="F101" s="664"/>
      <c r="G101" s="21">
        <f t="shared" si="25"/>
        <v>1</v>
      </c>
      <c r="H101" s="664"/>
      <c r="I101" s="21">
        <f t="shared" si="26"/>
        <v>1</v>
      </c>
      <c r="J101" s="664"/>
      <c r="K101" s="21">
        <f t="shared" si="27"/>
        <v>1</v>
      </c>
      <c r="L101" s="664"/>
      <c r="M101" s="21">
        <f t="shared" si="28"/>
        <v>1</v>
      </c>
      <c r="N101" s="664"/>
      <c r="O101" s="21">
        <f t="shared" si="29"/>
        <v>1</v>
      </c>
      <c r="P101" s="664"/>
      <c r="Q101" s="21">
        <f t="shared" si="30"/>
        <v>1</v>
      </c>
      <c r="R101" s="660">
        <f t="shared" si="31"/>
        <v>0</v>
      </c>
      <c r="S101" s="313">
        <f t="shared" si="22"/>
        <v>0</v>
      </c>
    </row>
    <row r="102" spans="1:19">
      <c r="A102" s="147"/>
      <c r="B102" s="54"/>
      <c r="C102" s="21">
        <f t="shared" si="23"/>
        <v>1</v>
      </c>
      <c r="D102" s="664"/>
      <c r="E102" s="21">
        <f t="shared" si="24"/>
        <v>1</v>
      </c>
      <c r="F102" s="664"/>
      <c r="G102" s="21">
        <f t="shared" si="25"/>
        <v>1</v>
      </c>
      <c r="H102" s="664"/>
      <c r="I102" s="21">
        <f t="shared" si="26"/>
        <v>1</v>
      </c>
      <c r="J102" s="664"/>
      <c r="K102" s="21">
        <f t="shared" si="27"/>
        <v>1</v>
      </c>
      <c r="L102" s="664"/>
      <c r="M102" s="21">
        <f t="shared" si="28"/>
        <v>1</v>
      </c>
      <c r="N102" s="664"/>
      <c r="O102" s="21">
        <f t="shared" si="29"/>
        <v>1</v>
      </c>
      <c r="P102" s="664"/>
      <c r="Q102" s="21">
        <f t="shared" si="30"/>
        <v>1</v>
      </c>
      <c r="R102" s="660">
        <f t="shared" si="31"/>
        <v>0</v>
      </c>
      <c r="S102" s="313">
        <f t="shared" si="22"/>
        <v>0</v>
      </c>
    </row>
    <row r="103" spans="1:19">
      <c r="A103" s="147"/>
      <c r="B103" s="54"/>
      <c r="C103" s="21">
        <f t="shared" si="23"/>
        <v>1</v>
      </c>
      <c r="D103" s="664"/>
      <c r="E103" s="21">
        <f t="shared" si="24"/>
        <v>1</v>
      </c>
      <c r="F103" s="664"/>
      <c r="G103" s="21">
        <f t="shared" si="25"/>
        <v>1</v>
      </c>
      <c r="H103" s="664"/>
      <c r="I103" s="21">
        <f t="shared" si="26"/>
        <v>1</v>
      </c>
      <c r="J103" s="664"/>
      <c r="K103" s="21">
        <f t="shared" si="27"/>
        <v>1</v>
      </c>
      <c r="L103" s="664"/>
      <c r="M103" s="21">
        <f t="shared" si="28"/>
        <v>1</v>
      </c>
      <c r="N103" s="664"/>
      <c r="O103" s="21">
        <f t="shared" si="29"/>
        <v>1</v>
      </c>
      <c r="P103" s="664"/>
      <c r="Q103" s="21">
        <f t="shared" si="30"/>
        <v>1</v>
      </c>
      <c r="R103" s="660">
        <f t="shared" si="31"/>
        <v>0</v>
      </c>
      <c r="S103" s="313">
        <f t="shared" si="22"/>
        <v>0</v>
      </c>
    </row>
    <row r="104" spans="1:19">
      <c r="A104" s="147"/>
      <c r="B104" s="54"/>
      <c r="C104" s="21">
        <f t="shared" si="23"/>
        <v>1</v>
      </c>
      <c r="D104" s="664"/>
      <c r="E104" s="21">
        <f t="shared" si="24"/>
        <v>1</v>
      </c>
      <c r="F104" s="664"/>
      <c r="G104" s="21">
        <f t="shared" si="25"/>
        <v>1</v>
      </c>
      <c r="H104" s="664"/>
      <c r="I104" s="21">
        <f t="shared" si="26"/>
        <v>1</v>
      </c>
      <c r="J104" s="664"/>
      <c r="K104" s="21">
        <f t="shared" si="27"/>
        <v>1</v>
      </c>
      <c r="L104" s="664"/>
      <c r="M104" s="21">
        <f t="shared" si="28"/>
        <v>1</v>
      </c>
      <c r="N104" s="664"/>
      <c r="O104" s="21">
        <f t="shared" si="29"/>
        <v>1</v>
      </c>
      <c r="P104" s="664"/>
      <c r="Q104" s="21">
        <f t="shared" si="30"/>
        <v>1</v>
      </c>
      <c r="R104" s="660">
        <f t="shared" si="31"/>
        <v>0</v>
      </c>
      <c r="S104" s="313">
        <f t="shared" si="22"/>
        <v>0</v>
      </c>
    </row>
    <row r="105" spans="1:19">
      <c r="A105" s="147"/>
      <c r="B105" s="54"/>
      <c r="C105" s="21">
        <f t="shared" si="23"/>
        <v>1</v>
      </c>
      <c r="D105" s="664"/>
      <c r="E105" s="21">
        <f t="shared" si="24"/>
        <v>1</v>
      </c>
      <c r="F105" s="664"/>
      <c r="G105" s="21">
        <f t="shared" si="25"/>
        <v>1</v>
      </c>
      <c r="H105" s="664"/>
      <c r="I105" s="21">
        <f t="shared" si="26"/>
        <v>1</v>
      </c>
      <c r="J105" s="664"/>
      <c r="K105" s="21">
        <f t="shared" si="27"/>
        <v>1</v>
      </c>
      <c r="L105" s="664"/>
      <c r="M105" s="21">
        <f t="shared" si="28"/>
        <v>1</v>
      </c>
      <c r="N105" s="664"/>
      <c r="O105" s="21">
        <f t="shared" si="29"/>
        <v>1</v>
      </c>
      <c r="P105" s="664"/>
      <c r="Q105" s="21">
        <f t="shared" si="30"/>
        <v>1</v>
      </c>
      <c r="R105" s="660">
        <f t="shared" si="31"/>
        <v>0</v>
      </c>
      <c r="S105" s="313">
        <f t="shared" si="22"/>
        <v>0</v>
      </c>
    </row>
    <row r="106" spans="1:19">
      <c r="A106" s="147"/>
      <c r="B106" s="54"/>
      <c r="C106" s="21">
        <f t="shared" si="23"/>
        <v>1</v>
      </c>
      <c r="D106" s="664"/>
      <c r="E106" s="21">
        <f t="shared" si="24"/>
        <v>1</v>
      </c>
      <c r="F106" s="664"/>
      <c r="G106" s="21">
        <f t="shared" si="25"/>
        <v>1</v>
      </c>
      <c r="H106" s="664"/>
      <c r="I106" s="21">
        <f t="shared" si="26"/>
        <v>1</v>
      </c>
      <c r="J106" s="664"/>
      <c r="K106" s="21">
        <f t="shared" si="27"/>
        <v>1</v>
      </c>
      <c r="L106" s="664"/>
      <c r="M106" s="21">
        <f t="shared" si="28"/>
        <v>1</v>
      </c>
      <c r="N106" s="664"/>
      <c r="O106" s="21">
        <f t="shared" si="29"/>
        <v>1</v>
      </c>
      <c r="P106" s="664"/>
      <c r="Q106" s="21">
        <f t="shared" si="30"/>
        <v>1</v>
      </c>
      <c r="R106" s="660">
        <f t="shared" si="31"/>
        <v>0</v>
      </c>
      <c r="S106" s="313">
        <f t="shared" si="22"/>
        <v>0</v>
      </c>
    </row>
    <row r="107" spans="1:19">
      <c r="A107" s="147"/>
      <c r="B107" s="54"/>
      <c r="C107" s="21">
        <f t="shared" si="23"/>
        <v>1</v>
      </c>
      <c r="D107" s="664"/>
      <c r="E107" s="21">
        <f t="shared" si="24"/>
        <v>1</v>
      </c>
      <c r="F107" s="664"/>
      <c r="G107" s="21">
        <f t="shared" si="25"/>
        <v>1</v>
      </c>
      <c r="H107" s="664"/>
      <c r="I107" s="21">
        <f t="shared" si="26"/>
        <v>1</v>
      </c>
      <c r="J107" s="664"/>
      <c r="K107" s="21">
        <f t="shared" si="27"/>
        <v>1</v>
      </c>
      <c r="L107" s="664"/>
      <c r="M107" s="21">
        <f t="shared" si="28"/>
        <v>1</v>
      </c>
      <c r="N107" s="664"/>
      <c r="O107" s="21">
        <f t="shared" si="29"/>
        <v>1</v>
      </c>
      <c r="P107" s="664"/>
      <c r="Q107" s="21">
        <f t="shared" si="30"/>
        <v>1</v>
      </c>
      <c r="R107" s="660">
        <f t="shared" si="31"/>
        <v>0</v>
      </c>
      <c r="S107" s="313">
        <f t="shared" si="22"/>
        <v>0</v>
      </c>
    </row>
    <row r="108" spans="1:19">
      <c r="A108" s="147"/>
      <c r="B108" s="54"/>
      <c r="C108" s="21">
        <f t="shared" si="23"/>
        <v>1</v>
      </c>
      <c r="D108" s="664"/>
      <c r="E108" s="21">
        <f t="shared" si="24"/>
        <v>1</v>
      </c>
      <c r="F108" s="664"/>
      <c r="G108" s="21">
        <f t="shared" si="25"/>
        <v>1</v>
      </c>
      <c r="H108" s="664"/>
      <c r="I108" s="21">
        <f t="shared" si="26"/>
        <v>1</v>
      </c>
      <c r="J108" s="664"/>
      <c r="K108" s="21">
        <f t="shared" si="27"/>
        <v>1</v>
      </c>
      <c r="L108" s="664"/>
      <c r="M108" s="21">
        <f t="shared" si="28"/>
        <v>1</v>
      </c>
      <c r="N108" s="664"/>
      <c r="O108" s="21">
        <f t="shared" si="29"/>
        <v>1</v>
      </c>
      <c r="P108" s="664"/>
      <c r="Q108" s="21">
        <f t="shared" si="30"/>
        <v>1</v>
      </c>
      <c r="R108" s="660">
        <f t="shared" si="31"/>
        <v>0</v>
      </c>
      <c r="S108" s="313">
        <f t="shared" si="22"/>
        <v>0</v>
      </c>
    </row>
    <row r="109" spans="1:19">
      <c r="A109" s="147"/>
      <c r="B109" s="54"/>
      <c r="C109" s="21">
        <f t="shared" si="23"/>
        <v>1</v>
      </c>
      <c r="D109" s="664"/>
      <c r="E109" s="21">
        <f t="shared" si="24"/>
        <v>1</v>
      </c>
      <c r="F109" s="664"/>
      <c r="G109" s="21">
        <f t="shared" si="25"/>
        <v>1</v>
      </c>
      <c r="H109" s="664"/>
      <c r="I109" s="21">
        <f t="shared" si="26"/>
        <v>1</v>
      </c>
      <c r="J109" s="664"/>
      <c r="K109" s="21">
        <f t="shared" si="27"/>
        <v>1</v>
      </c>
      <c r="L109" s="664"/>
      <c r="M109" s="21">
        <f t="shared" si="28"/>
        <v>1</v>
      </c>
      <c r="N109" s="664"/>
      <c r="O109" s="21">
        <f t="shared" si="29"/>
        <v>1</v>
      </c>
      <c r="P109" s="664"/>
      <c r="Q109" s="21">
        <f t="shared" si="30"/>
        <v>1</v>
      </c>
      <c r="R109" s="660">
        <f t="shared" si="31"/>
        <v>0</v>
      </c>
      <c r="S109" s="313">
        <f t="shared" si="22"/>
        <v>0</v>
      </c>
    </row>
    <row r="110" spans="1:19">
      <c r="A110" s="147"/>
      <c r="B110" s="54"/>
      <c r="C110" s="21">
        <f t="shared" si="23"/>
        <v>1</v>
      </c>
      <c r="D110" s="664"/>
      <c r="E110" s="21">
        <f t="shared" si="24"/>
        <v>1</v>
      </c>
      <c r="F110" s="664"/>
      <c r="G110" s="21">
        <f t="shared" si="25"/>
        <v>1</v>
      </c>
      <c r="H110" s="664"/>
      <c r="I110" s="21">
        <f t="shared" si="26"/>
        <v>1</v>
      </c>
      <c r="J110" s="664"/>
      <c r="K110" s="21">
        <f t="shared" si="27"/>
        <v>1</v>
      </c>
      <c r="L110" s="664"/>
      <c r="M110" s="21">
        <f t="shared" si="28"/>
        <v>1</v>
      </c>
      <c r="N110" s="664"/>
      <c r="O110" s="21">
        <f t="shared" si="29"/>
        <v>1</v>
      </c>
      <c r="P110" s="664"/>
      <c r="Q110" s="21">
        <f t="shared" si="30"/>
        <v>1</v>
      </c>
      <c r="R110" s="660">
        <f t="shared" si="31"/>
        <v>0</v>
      </c>
      <c r="S110" s="313">
        <f t="shared" si="22"/>
        <v>0</v>
      </c>
    </row>
    <row r="111" spans="1:19">
      <c r="A111" s="147"/>
      <c r="B111" s="54"/>
      <c r="C111" s="21">
        <f t="shared" si="23"/>
        <v>1</v>
      </c>
      <c r="D111" s="664"/>
      <c r="E111" s="21">
        <f t="shared" si="24"/>
        <v>1</v>
      </c>
      <c r="F111" s="664"/>
      <c r="G111" s="21">
        <f t="shared" si="25"/>
        <v>1</v>
      </c>
      <c r="H111" s="664"/>
      <c r="I111" s="21">
        <f t="shared" si="26"/>
        <v>1</v>
      </c>
      <c r="J111" s="664"/>
      <c r="K111" s="21">
        <f t="shared" si="27"/>
        <v>1</v>
      </c>
      <c r="L111" s="664"/>
      <c r="M111" s="21">
        <f t="shared" si="28"/>
        <v>1</v>
      </c>
      <c r="N111" s="664"/>
      <c r="O111" s="21">
        <f t="shared" si="29"/>
        <v>1</v>
      </c>
      <c r="P111" s="664"/>
      <c r="Q111" s="21">
        <f t="shared" si="30"/>
        <v>1</v>
      </c>
      <c r="R111" s="660">
        <f t="shared" si="31"/>
        <v>0</v>
      </c>
      <c r="S111" s="313">
        <f t="shared" si="22"/>
        <v>0</v>
      </c>
    </row>
    <row r="112" spans="1:19">
      <c r="A112" s="147"/>
      <c r="B112" s="54"/>
      <c r="C112" s="21">
        <f t="shared" si="23"/>
        <v>1</v>
      </c>
      <c r="D112" s="664"/>
      <c r="E112" s="21">
        <f t="shared" si="24"/>
        <v>1</v>
      </c>
      <c r="F112" s="664"/>
      <c r="G112" s="21">
        <f t="shared" si="25"/>
        <v>1</v>
      </c>
      <c r="H112" s="664"/>
      <c r="I112" s="21">
        <f t="shared" si="26"/>
        <v>1</v>
      </c>
      <c r="J112" s="664"/>
      <c r="K112" s="21">
        <f t="shared" si="27"/>
        <v>1</v>
      </c>
      <c r="L112" s="664"/>
      <c r="M112" s="21">
        <f t="shared" si="28"/>
        <v>1</v>
      </c>
      <c r="N112" s="664"/>
      <c r="O112" s="21">
        <f t="shared" si="29"/>
        <v>1</v>
      </c>
      <c r="P112" s="664"/>
      <c r="Q112" s="21">
        <f t="shared" si="30"/>
        <v>1</v>
      </c>
      <c r="R112" s="660">
        <f t="shared" si="31"/>
        <v>0</v>
      </c>
      <c r="S112" s="313">
        <f t="shared" si="22"/>
        <v>0</v>
      </c>
    </row>
    <row r="113" spans="1:19">
      <c r="A113" s="147"/>
      <c r="B113" s="54"/>
      <c r="C113" s="21">
        <f t="shared" si="23"/>
        <v>1</v>
      </c>
      <c r="D113" s="664"/>
      <c r="E113" s="21">
        <f t="shared" si="24"/>
        <v>1</v>
      </c>
      <c r="F113" s="664"/>
      <c r="G113" s="21">
        <f t="shared" si="25"/>
        <v>1</v>
      </c>
      <c r="H113" s="664"/>
      <c r="I113" s="21">
        <f t="shared" si="26"/>
        <v>1</v>
      </c>
      <c r="J113" s="664"/>
      <c r="K113" s="21">
        <f t="shared" si="27"/>
        <v>1</v>
      </c>
      <c r="L113" s="664"/>
      <c r="M113" s="21">
        <f t="shared" si="28"/>
        <v>1</v>
      </c>
      <c r="N113" s="664"/>
      <c r="O113" s="21">
        <f t="shared" si="29"/>
        <v>1</v>
      </c>
      <c r="P113" s="664"/>
      <c r="Q113" s="21">
        <f t="shared" si="30"/>
        <v>1</v>
      </c>
      <c r="R113" s="660">
        <f t="shared" si="31"/>
        <v>0</v>
      </c>
      <c r="S113" s="313">
        <f t="shared" si="22"/>
        <v>0</v>
      </c>
    </row>
    <row r="114" spans="1:19">
      <c r="A114" s="147"/>
      <c r="B114" s="54"/>
      <c r="C114" s="21">
        <f t="shared" si="23"/>
        <v>1</v>
      </c>
      <c r="D114" s="664"/>
      <c r="E114" s="21">
        <f t="shared" si="24"/>
        <v>1</v>
      </c>
      <c r="F114" s="664"/>
      <c r="G114" s="21">
        <f t="shared" si="25"/>
        <v>1</v>
      </c>
      <c r="H114" s="664"/>
      <c r="I114" s="21">
        <f t="shared" si="26"/>
        <v>1</v>
      </c>
      <c r="J114" s="664"/>
      <c r="K114" s="21">
        <f t="shared" si="27"/>
        <v>1</v>
      </c>
      <c r="L114" s="664"/>
      <c r="M114" s="21">
        <f t="shared" si="28"/>
        <v>1</v>
      </c>
      <c r="N114" s="664"/>
      <c r="O114" s="21">
        <f t="shared" si="29"/>
        <v>1</v>
      </c>
      <c r="P114" s="664"/>
      <c r="Q114" s="21">
        <f t="shared" si="30"/>
        <v>1</v>
      </c>
      <c r="R114" s="660">
        <f t="shared" si="31"/>
        <v>0</v>
      </c>
      <c r="S114" s="313">
        <f t="shared" si="22"/>
        <v>0</v>
      </c>
    </row>
    <row r="115" spans="1:19">
      <c r="A115" s="147"/>
      <c r="B115" s="54"/>
      <c r="C115" s="21">
        <f t="shared" si="23"/>
        <v>1</v>
      </c>
      <c r="D115" s="664"/>
      <c r="E115" s="21">
        <f t="shared" si="24"/>
        <v>1</v>
      </c>
      <c r="F115" s="664"/>
      <c r="G115" s="21">
        <f t="shared" si="25"/>
        <v>1</v>
      </c>
      <c r="H115" s="664"/>
      <c r="I115" s="21">
        <f t="shared" si="26"/>
        <v>1</v>
      </c>
      <c r="J115" s="664"/>
      <c r="K115" s="21">
        <f t="shared" si="27"/>
        <v>1</v>
      </c>
      <c r="L115" s="664"/>
      <c r="M115" s="21">
        <f t="shared" si="28"/>
        <v>1</v>
      </c>
      <c r="N115" s="664"/>
      <c r="O115" s="21">
        <f t="shared" si="29"/>
        <v>1</v>
      </c>
      <c r="P115" s="664"/>
      <c r="Q115" s="21">
        <f t="shared" si="30"/>
        <v>1</v>
      </c>
      <c r="R115" s="660">
        <f t="shared" si="31"/>
        <v>0</v>
      </c>
      <c r="S115" s="313">
        <f t="shared" si="22"/>
        <v>0</v>
      </c>
    </row>
    <row r="116" spans="1:19">
      <c r="A116" s="147"/>
      <c r="B116" s="54"/>
      <c r="C116" s="21">
        <f t="shared" si="23"/>
        <v>1</v>
      </c>
      <c r="D116" s="664"/>
      <c r="E116" s="21">
        <f t="shared" si="24"/>
        <v>1</v>
      </c>
      <c r="F116" s="664"/>
      <c r="G116" s="21">
        <f t="shared" si="25"/>
        <v>1</v>
      </c>
      <c r="H116" s="664"/>
      <c r="I116" s="21">
        <f t="shared" si="26"/>
        <v>1</v>
      </c>
      <c r="J116" s="664"/>
      <c r="K116" s="21">
        <f t="shared" si="27"/>
        <v>1</v>
      </c>
      <c r="L116" s="664"/>
      <c r="M116" s="21">
        <f t="shared" si="28"/>
        <v>1</v>
      </c>
      <c r="N116" s="664"/>
      <c r="O116" s="21">
        <f t="shared" si="29"/>
        <v>1</v>
      </c>
      <c r="P116" s="664"/>
      <c r="Q116" s="21">
        <f t="shared" si="30"/>
        <v>1</v>
      </c>
      <c r="R116" s="660">
        <f t="shared" si="31"/>
        <v>0</v>
      </c>
      <c r="S116" s="313">
        <f t="shared" si="22"/>
        <v>0</v>
      </c>
    </row>
    <row r="117" spans="1:19">
      <c r="A117" s="147"/>
      <c r="B117" s="54"/>
      <c r="C117" s="21">
        <f t="shared" si="23"/>
        <v>1</v>
      </c>
      <c r="D117" s="664"/>
      <c r="E117" s="21">
        <f t="shared" si="24"/>
        <v>1</v>
      </c>
      <c r="F117" s="664"/>
      <c r="G117" s="21">
        <f t="shared" si="25"/>
        <v>1</v>
      </c>
      <c r="H117" s="664"/>
      <c r="I117" s="21">
        <f t="shared" si="26"/>
        <v>1</v>
      </c>
      <c r="J117" s="664"/>
      <c r="K117" s="21">
        <f t="shared" si="27"/>
        <v>1</v>
      </c>
      <c r="L117" s="664"/>
      <c r="M117" s="21">
        <f t="shared" si="28"/>
        <v>1</v>
      </c>
      <c r="N117" s="664"/>
      <c r="O117" s="21">
        <f t="shared" si="29"/>
        <v>1</v>
      </c>
      <c r="P117" s="664"/>
      <c r="Q117" s="21">
        <f t="shared" si="30"/>
        <v>1</v>
      </c>
      <c r="R117" s="660">
        <f t="shared" si="31"/>
        <v>0</v>
      </c>
      <c r="S117" s="313">
        <f t="shared" si="22"/>
        <v>0</v>
      </c>
    </row>
    <row r="118" spans="1:19">
      <c r="A118" s="147"/>
      <c r="B118" s="54"/>
      <c r="C118" s="21">
        <f t="shared" si="23"/>
        <v>1</v>
      </c>
      <c r="D118" s="664"/>
      <c r="E118" s="21">
        <f t="shared" si="24"/>
        <v>1</v>
      </c>
      <c r="F118" s="664"/>
      <c r="G118" s="21">
        <f t="shared" si="25"/>
        <v>1</v>
      </c>
      <c r="H118" s="664"/>
      <c r="I118" s="21">
        <f t="shared" si="26"/>
        <v>1</v>
      </c>
      <c r="J118" s="664"/>
      <c r="K118" s="21">
        <f t="shared" si="27"/>
        <v>1</v>
      </c>
      <c r="L118" s="664"/>
      <c r="M118" s="21">
        <f t="shared" si="28"/>
        <v>1</v>
      </c>
      <c r="N118" s="664"/>
      <c r="O118" s="21">
        <f t="shared" si="29"/>
        <v>1</v>
      </c>
      <c r="P118" s="664"/>
      <c r="Q118" s="21">
        <f t="shared" si="30"/>
        <v>1</v>
      </c>
      <c r="R118" s="660">
        <f t="shared" si="31"/>
        <v>0</v>
      </c>
      <c r="S118" s="313">
        <f t="shared" si="22"/>
        <v>0</v>
      </c>
    </row>
    <row r="119" spans="1:19">
      <c r="A119" s="147"/>
      <c r="B119" s="54"/>
      <c r="C119" s="21">
        <f t="shared" si="23"/>
        <v>1</v>
      </c>
      <c r="D119" s="664"/>
      <c r="E119" s="21">
        <f t="shared" si="24"/>
        <v>1</v>
      </c>
      <c r="F119" s="664"/>
      <c r="G119" s="21">
        <f t="shared" si="25"/>
        <v>1</v>
      </c>
      <c r="H119" s="664"/>
      <c r="I119" s="21">
        <f t="shared" si="26"/>
        <v>1</v>
      </c>
      <c r="J119" s="664"/>
      <c r="K119" s="21">
        <f t="shared" si="27"/>
        <v>1</v>
      </c>
      <c r="L119" s="664"/>
      <c r="M119" s="21">
        <f t="shared" si="28"/>
        <v>1</v>
      </c>
      <c r="N119" s="664"/>
      <c r="O119" s="21">
        <f t="shared" si="29"/>
        <v>1</v>
      </c>
      <c r="P119" s="664"/>
      <c r="Q119" s="21">
        <f t="shared" si="30"/>
        <v>1</v>
      </c>
      <c r="R119" s="660">
        <f t="shared" si="31"/>
        <v>0</v>
      </c>
      <c r="S119" s="313">
        <f t="shared" si="22"/>
        <v>0</v>
      </c>
    </row>
    <row r="120" spans="1:19">
      <c r="A120" s="147"/>
      <c r="B120" s="54"/>
      <c r="C120" s="21">
        <f t="shared" si="23"/>
        <v>1</v>
      </c>
      <c r="D120" s="664"/>
      <c r="E120" s="21">
        <f t="shared" si="24"/>
        <v>1</v>
      </c>
      <c r="F120" s="664"/>
      <c r="G120" s="21">
        <f t="shared" si="25"/>
        <v>1</v>
      </c>
      <c r="H120" s="664"/>
      <c r="I120" s="21">
        <f t="shared" si="26"/>
        <v>1</v>
      </c>
      <c r="J120" s="664"/>
      <c r="K120" s="21">
        <f t="shared" si="27"/>
        <v>1</v>
      </c>
      <c r="L120" s="664"/>
      <c r="M120" s="21">
        <f t="shared" si="28"/>
        <v>1</v>
      </c>
      <c r="N120" s="664"/>
      <c r="O120" s="21">
        <f t="shared" si="29"/>
        <v>1</v>
      </c>
      <c r="P120" s="664"/>
      <c r="Q120" s="21">
        <f t="shared" si="30"/>
        <v>1</v>
      </c>
      <c r="R120" s="660">
        <f t="shared" si="31"/>
        <v>0</v>
      </c>
      <c r="S120" s="313">
        <f t="shared" si="22"/>
        <v>0</v>
      </c>
    </row>
    <row r="121" spans="1:19">
      <c r="A121" s="147"/>
      <c r="B121" s="54"/>
      <c r="C121" s="21">
        <f t="shared" si="23"/>
        <v>1</v>
      </c>
      <c r="D121" s="664"/>
      <c r="E121" s="21">
        <f t="shared" si="24"/>
        <v>1</v>
      </c>
      <c r="F121" s="664"/>
      <c r="G121" s="21">
        <f t="shared" si="25"/>
        <v>1</v>
      </c>
      <c r="H121" s="664"/>
      <c r="I121" s="21">
        <f t="shared" si="26"/>
        <v>1</v>
      </c>
      <c r="J121" s="664"/>
      <c r="K121" s="21">
        <f t="shared" si="27"/>
        <v>1</v>
      </c>
      <c r="L121" s="664"/>
      <c r="M121" s="21">
        <f t="shared" si="28"/>
        <v>1</v>
      </c>
      <c r="N121" s="664"/>
      <c r="O121" s="21">
        <f t="shared" si="29"/>
        <v>1</v>
      </c>
      <c r="P121" s="664"/>
      <c r="Q121" s="21">
        <f t="shared" si="30"/>
        <v>1</v>
      </c>
      <c r="R121" s="660">
        <f t="shared" si="31"/>
        <v>0</v>
      </c>
      <c r="S121" s="313">
        <f t="shared" si="22"/>
        <v>0</v>
      </c>
    </row>
    <row r="122" spans="1:19">
      <c r="A122" s="147"/>
      <c r="B122" s="54"/>
      <c r="C122" s="21">
        <f t="shared" si="23"/>
        <v>1</v>
      </c>
      <c r="D122" s="664"/>
      <c r="E122" s="21">
        <f t="shared" si="24"/>
        <v>1</v>
      </c>
      <c r="F122" s="664"/>
      <c r="G122" s="21">
        <f t="shared" si="25"/>
        <v>1</v>
      </c>
      <c r="H122" s="664"/>
      <c r="I122" s="21">
        <f t="shared" si="26"/>
        <v>1</v>
      </c>
      <c r="J122" s="664"/>
      <c r="K122" s="21">
        <f t="shared" si="27"/>
        <v>1</v>
      </c>
      <c r="L122" s="664"/>
      <c r="M122" s="21">
        <f t="shared" si="28"/>
        <v>1</v>
      </c>
      <c r="N122" s="664"/>
      <c r="O122" s="21">
        <f t="shared" si="29"/>
        <v>1</v>
      </c>
      <c r="P122" s="664"/>
      <c r="Q122" s="21">
        <f t="shared" si="30"/>
        <v>1</v>
      </c>
      <c r="R122" s="660">
        <f t="shared" si="31"/>
        <v>0</v>
      </c>
      <c r="S122" s="313">
        <f t="shared" si="22"/>
        <v>0</v>
      </c>
    </row>
    <row r="123" spans="1:19">
      <c r="A123" s="147"/>
      <c r="B123" s="54"/>
      <c r="C123" s="21">
        <f t="shared" si="23"/>
        <v>1</v>
      </c>
      <c r="D123" s="664"/>
      <c r="E123" s="21">
        <f t="shared" si="24"/>
        <v>1</v>
      </c>
      <c r="F123" s="664"/>
      <c r="G123" s="21">
        <f t="shared" si="25"/>
        <v>1</v>
      </c>
      <c r="H123" s="664"/>
      <c r="I123" s="21">
        <f t="shared" si="26"/>
        <v>1</v>
      </c>
      <c r="J123" s="664"/>
      <c r="K123" s="21">
        <f t="shared" si="27"/>
        <v>1</v>
      </c>
      <c r="L123" s="664"/>
      <c r="M123" s="21">
        <f t="shared" si="28"/>
        <v>1</v>
      </c>
      <c r="N123" s="664"/>
      <c r="O123" s="21">
        <f t="shared" si="29"/>
        <v>1</v>
      </c>
      <c r="P123" s="664"/>
      <c r="Q123" s="21">
        <f t="shared" si="30"/>
        <v>1</v>
      </c>
      <c r="R123" s="660">
        <f t="shared" si="31"/>
        <v>0</v>
      </c>
      <c r="S123" s="313">
        <f t="shared" ref="S123:S186" si="32">ROUND(R123*B123/10000,0)</f>
        <v>0</v>
      </c>
    </row>
    <row r="124" spans="1:19">
      <c r="A124" s="147"/>
      <c r="B124" s="54"/>
      <c r="C124" s="21">
        <f t="shared" si="23"/>
        <v>1</v>
      </c>
      <c r="D124" s="664"/>
      <c r="E124" s="21">
        <f t="shared" si="24"/>
        <v>1</v>
      </c>
      <c r="F124" s="664"/>
      <c r="G124" s="21">
        <f t="shared" si="25"/>
        <v>1</v>
      </c>
      <c r="H124" s="664"/>
      <c r="I124" s="21">
        <f t="shared" si="26"/>
        <v>1</v>
      </c>
      <c r="J124" s="664"/>
      <c r="K124" s="21">
        <f t="shared" si="27"/>
        <v>1</v>
      </c>
      <c r="L124" s="664"/>
      <c r="M124" s="21">
        <f t="shared" si="28"/>
        <v>1</v>
      </c>
      <c r="N124" s="664"/>
      <c r="O124" s="21">
        <f t="shared" si="29"/>
        <v>1</v>
      </c>
      <c r="P124" s="664"/>
      <c r="Q124" s="21">
        <f t="shared" si="30"/>
        <v>1</v>
      </c>
      <c r="R124" s="660">
        <f t="shared" si="31"/>
        <v>0</v>
      </c>
      <c r="S124" s="313">
        <f t="shared" si="32"/>
        <v>0</v>
      </c>
    </row>
    <row r="125" spans="1:19">
      <c r="A125" s="147"/>
      <c r="B125" s="54"/>
      <c r="C125" s="21">
        <f t="shared" si="23"/>
        <v>1</v>
      </c>
      <c r="D125" s="664"/>
      <c r="E125" s="21">
        <f t="shared" si="24"/>
        <v>1</v>
      </c>
      <c r="F125" s="664"/>
      <c r="G125" s="21">
        <f t="shared" si="25"/>
        <v>1</v>
      </c>
      <c r="H125" s="664"/>
      <c r="I125" s="21">
        <f t="shared" si="26"/>
        <v>1</v>
      </c>
      <c r="J125" s="664"/>
      <c r="K125" s="21">
        <f t="shared" si="27"/>
        <v>1</v>
      </c>
      <c r="L125" s="664"/>
      <c r="M125" s="21">
        <f t="shared" si="28"/>
        <v>1</v>
      </c>
      <c r="N125" s="664"/>
      <c r="O125" s="21">
        <f t="shared" si="29"/>
        <v>1</v>
      </c>
      <c r="P125" s="664"/>
      <c r="Q125" s="21">
        <f t="shared" si="30"/>
        <v>1</v>
      </c>
      <c r="R125" s="660">
        <f t="shared" si="31"/>
        <v>0</v>
      </c>
      <c r="S125" s="313">
        <f t="shared" si="32"/>
        <v>0</v>
      </c>
    </row>
    <row r="126" spans="1:19">
      <c r="A126" s="147"/>
      <c r="B126" s="54"/>
      <c r="C126" s="21">
        <f t="shared" si="23"/>
        <v>1</v>
      </c>
      <c r="D126" s="664"/>
      <c r="E126" s="21">
        <f t="shared" si="24"/>
        <v>1</v>
      </c>
      <c r="F126" s="664"/>
      <c r="G126" s="21">
        <f t="shared" si="25"/>
        <v>1</v>
      </c>
      <c r="H126" s="664"/>
      <c r="I126" s="21">
        <f t="shared" si="26"/>
        <v>1</v>
      </c>
      <c r="J126" s="664"/>
      <c r="K126" s="21">
        <f t="shared" si="27"/>
        <v>1</v>
      </c>
      <c r="L126" s="664"/>
      <c r="M126" s="21">
        <f t="shared" si="28"/>
        <v>1</v>
      </c>
      <c r="N126" s="664"/>
      <c r="O126" s="21">
        <f t="shared" si="29"/>
        <v>1</v>
      </c>
      <c r="P126" s="664"/>
      <c r="Q126" s="21">
        <f t="shared" si="30"/>
        <v>1</v>
      </c>
      <c r="R126" s="660">
        <f t="shared" si="31"/>
        <v>0</v>
      </c>
      <c r="S126" s="313">
        <f t="shared" si="32"/>
        <v>0</v>
      </c>
    </row>
    <row r="127" spans="1:19">
      <c r="A127" s="147"/>
      <c r="B127" s="54"/>
      <c r="C127" s="21">
        <f t="shared" si="23"/>
        <v>1</v>
      </c>
      <c r="D127" s="664"/>
      <c r="E127" s="21">
        <f t="shared" si="24"/>
        <v>1</v>
      </c>
      <c r="F127" s="664"/>
      <c r="G127" s="21">
        <f t="shared" si="25"/>
        <v>1</v>
      </c>
      <c r="H127" s="664"/>
      <c r="I127" s="21">
        <f t="shared" si="26"/>
        <v>1</v>
      </c>
      <c r="J127" s="664"/>
      <c r="K127" s="21">
        <f t="shared" si="27"/>
        <v>1</v>
      </c>
      <c r="L127" s="664"/>
      <c r="M127" s="21">
        <f t="shared" si="28"/>
        <v>1</v>
      </c>
      <c r="N127" s="664"/>
      <c r="O127" s="21">
        <f t="shared" si="29"/>
        <v>1</v>
      </c>
      <c r="P127" s="664"/>
      <c r="Q127" s="21">
        <f t="shared" si="30"/>
        <v>1</v>
      </c>
      <c r="R127" s="660">
        <f t="shared" si="31"/>
        <v>0</v>
      </c>
      <c r="S127" s="313">
        <f t="shared" si="32"/>
        <v>0</v>
      </c>
    </row>
    <row r="128" spans="1:19">
      <c r="A128" s="147"/>
      <c r="B128" s="54"/>
      <c r="C128" s="21">
        <f t="shared" si="23"/>
        <v>1</v>
      </c>
      <c r="D128" s="664"/>
      <c r="E128" s="21">
        <f t="shared" si="24"/>
        <v>1</v>
      </c>
      <c r="F128" s="664"/>
      <c r="G128" s="21">
        <f t="shared" si="25"/>
        <v>1</v>
      </c>
      <c r="H128" s="664"/>
      <c r="I128" s="21">
        <f t="shared" si="26"/>
        <v>1</v>
      </c>
      <c r="J128" s="664"/>
      <c r="K128" s="21">
        <f t="shared" si="27"/>
        <v>1</v>
      </c>
      <c r="L128" s="664"/>
      <c r="M128" s="21">
        <f t="shared" si="28"/>
        <v>1</v>
      </c>
      <c r="N128" s="664"/>
      <c r="O128" s="21">
        <f t="shared" si="29"/>
        <v>1</v>
      </c>
      <c r="P128" s="664"/>
      <c r="Q128" s="21">
        <f t="shared" si="30"/>
        <v>1</v>
      </c>
      <c r="R128" s="660">
        <f t="shared" si="31"/>
        <v>0</v>
      </c>
      <c r="S128" s="313">
        <f t="shared" si="32"/>
        <v>0</v>
      </c>
    </row>
    <row r="129" spans="1:19">
      <c r="A129" s="147"/>
      <c r="B129" s="54"/>
      <c r="C129" s="21">
        <f t="shared" si="23"/>
        <v>1</v>
      </c>
      <c r="D129" s="664"/>
      <c r="E129" s="21">
        <f t="shared" si="24"/>
        <v>1</v>
      </c>
      <c r="F129" s="664"/>
      <c r="G129" s="21">
        <f t="shared" si="25"/>
        <v>1</v>
      </c>
      <c r="H129" s="664"/>
      <c r="I129" s="21">
        <f t="shared" si="26"/>
        <v>1</v>
      </c>
      <c r="J129" s="664"/>
      <c r="K129" s="21">
        <f t="shared" si="27"/>
        <v>1</v>
      </c>
      <c r="L129" s="664"/>
      <c r="M129" s="21">
        <f t="shared" si="28"/>
        <v>1</v>
      </c>
      <c r="N129" s="664"/>
      <c r="O129" s="21">
        <f t="shared" si="29"/>
        <v>1</v>
      </c>
      <c r="P129" s="664"/>
      <c r="Q129" s="21">
        <f t="shared" si="30"/>
        <v>1</v>
      </c>
      <c r="R129" s="660">
        <f t="shared" si="31"/>
        <v>0</v>
      </c>
      <c r="S129" s="313">
        <f t="shared" si="32"/>
        <v>0</v>
      </c>
    </row>
    <row r="130" spans="1:19">
      <c r="A130" s="147"/>
      <c r="B130" s="54"/>
      <c r="C130" s="21">
        <f t="shared" si="23"/>
        <v>1</v>
      </c>
      <c r="D130" s="664"/>
      <c r="E130" s="21">
        <f t="shared" si="24"/>
        <v>1</v>
      </c>
      <c r="F130" s="664"/>
      <c r="G130" s="21">
        <f t="shared" si="25"/>
        <v>1</v>
      </c>
      <c r="H130" s="664"/>
      <c r="I130" s="21">
        <f t="shared" si="26"/>
        <v>1</v>
      </c>
      <c r="J130" s="664"/>
      <c r="K130" s="21">
        <f t="shared" si="27"/>
        <v>1</v>
      </c>
      <c r="L130" s="664"/>
      <c r="M130" s="21">
        <f t="shared" si="28"/>
        <v>1</v>
      </c>
      <c r="N130" s="664"/>
      <c r="O130" s="21">
        <f t="shared" si="29"/>
        <v>1</v>
      </c>
      <c r="P130" s="664"/>
      <c r="Q130" s="21">
        <f t="shared" si="30"/>
        <v>1</v>
      </c>
      <c r="R130" s="660">
        <f t="shared" si="31"/>
        <v>0</v>
      </c>
      <c r="S130" s="313">
        <f t="shared" si="32"/>
        <v>0</v>
      </c>
    </row>
    <row r="131" spans="1:19">
      <c r="A131" s="147"/>
      <c r="B131" s="54"/>
      <c r="C131" s="21">
        <f t="shared" si="23"/>
        <v>1</v>
      </c>
      <c r="D131" s="664"/>
      <c r="E131" s="21">
        <f t="shared" si="24"/>
        <v>1</v>
      </c>
      <c r="F131" s="664"/>
      <c r="G131" s="21">
        <f t="shared" si="25"/>
        <v>1</v>
      </c>
      <c r="H131" s="664"/>
      <c r="I131" s="21">
        <f t="shared" si="26"/>
        <v>1</v>
      </c>
      <c r="J131" s="664"/>
      <c r="K131" s="21">
        <f t="shared" si="27"/>
        <v>1</v>
      </c>
      <c r="L131" s="664"/>
      <c r="M131" s="21">
        <f t="shared" si="28"/>
        <v>1</v>
      </c>
      <c r="N131" s="664"/>
      <c r="O131" s="21">
        <f t="shared" si="29"/>
        <v>1</v>
      </c>
      <c r="P131" s="664"/>
      <c r="Q131" s="21">
        <f t="shared" si="30"/>
        <v>1</v>
      </c>
      <c r="R131" s="660">
        <f t="shared" si="31"/>
        <v>0</v>
      </c>
      <c r="S131" s="313">
        <f t="shared" si="32"/>
        <v>0</v>
      </c>
    </row>
    <row r="132" spans="1:19">
      <c r="A132" s="147"/>
      <c r="B132" s="54"/>
      <c r="C132" s="21">
        <f t="shared" si="23"/>
        <v>1</v>
      </c>
      <c r="D132" s="664"/>
      <c r="E132" s="21">
        <f t="shared" si="24"/>
        <v>1</v>
      </c>
      <c r="F132" s="664"/>
      <c r="G132" s="21">
        <f t="shared" si="25"/>
        <v>1</v>
      </c>
      <c r="H132" s="664"/>
      <c r="I132" s="21">
        <f t="shared" si="26"/>
        <v>1</v>
      </c>
      <c r="J132" s="664"/>
      <c r="K132" s="21">
        <f t="shared" si="27"/>
        <v>1</v>
      </c>
      <c r="L132" s="664"/>
      <c r="M132" s="21">
        <f t="shared" si="28"/>
        <v>1</v>
      </c>
      <c r="N132" s="664"/>
      <c r="O132" s="21">
        <f t="shared" si="29"/>
        <v>1</v>
      </c>
      <c r="P132" s="664"/>
      <c r="Q132" s="21">
        <f t="shared" si="30"/>
        <v>1</v>
      </c>
      <c r="R132" s="660">
        <f t="shared" si="31"/>
        <v>0</v>
      </c>
      <c r="S132" s="313">
        <f t="shared" si="32"/>
        <v>0</v>
      </c>
    </row>
    <row r="133" spans="1:19">
      <c r="A133" s="147"/>
      <c r="B133" s="54"/>
      <c r="C133" s="21">
        <f t="shared" si="23"/>
        <v>1</v>
      </c>
      <c r="D133" s="664"/>
      <c r="E133" s="21">
        <f t="shared" si="24"/>
        <v>1</v>
      </c>
      <c r="F133" s="664"/>
      <c r="G133" s="21">
        <f t="shared" si="25"/>
        <v>1</v>
      </c>
      <c r="H133" s="664"/>
      <c r="I133" s="21">
        <f t="shared" si="26"/>
        <v>1</v>
      </c>
      <c r="J133" s="664"/>
      <c r="K133" s="21">
        <f t="shared" si="27"/>
        <v>1</v>
      </c>
      <c r="L133" s="664"/>
      <c r="M133" s="21">
        <f t="shared" si="28"/>
        <v>1</v>
      </c>
      <c r="N133" s="664"/>
      <c r="O133" s="21">
        <f t="shared" si="29"/>
        <v>1</v>
      </c>
      <c r="P133" s="664"/>
      <c r="Q133" s="21">
        <f t="shared" si="30"/>
        <v>1</v>
      </c>
      <c r="R133" s="660">
        <f t="shared" si="31"/>
        <v>0</v>
      </c>
      <c r="S133" s="313">
        <f t="shared" si="32"/>
        <v>0</v>
      </c>
    </row>
    <row r="134" spans="1:19">
      <c r="A134" s="147"/>
      <c r="B134" s="54"/>
      <c r="C134" s="21">
        <f t="shared" si="23"/>
        <v>1</v>
      </c>
      <c r="D134" s="664"/>
      <c r="E134" s="21">
        <f t="shared" si="24"/>
        <v>1</v>
      </c>
      <c r="F134" s="664"/>
      <c r="G134" s="21">
        <f t="shared" si="25"/>
        <v>1</v>
      </c>
      <c r="H134" s="664"/>
      <c r="I134" s="21">
        <f t="shared" si="26"/>
        <v>1</v>
      </c>
      <c r="J134" s="664"/>
      <c r="K134" s="21">
        <f t="shared" si="27"/>
        <v>1</v>
      </c>
      <c r="L134" s="664"/>
      <c r="M134" s="21">
        <f t="shared" si="28"/>
        <v>1</v>
      </c>
      <c r="N134" s="664"/>
      <c r="O134" s="21">
        <f t="shared" si="29"/>
        <v>1</v>
      </c>
      <c r="P134" s="664"/>
      <c r="Q134" s="21">
        <f t="shared" si="30"/>
        <v>1</v>
      </c>
      <c r="R134" s="660">
        <f t="shared" si="31"/>
        <v>0</v>
      </c>
      <c r="S134" s="313">
        <f t="shared" si="32"/>
        <v>0</v>
      </c>
    </row>
    <row r="135" spans="1:19">
      <c r="A135" s="147"/>
      <c r="B135" s="54"/>
      <c r="C135" s="21">
        <f t="shared" si="23"/>
        <v>1</v>
      </c>
      <c r="D135" s="664"/>
      <c r="E135" s="21">
        <f t="shared" si="24"/>
        <v>1</v>
      </c>
      <c r="F135" s="664"/>
      <c r="G135" s="21">
        <f t="shared" si="25"/>
        <v>1</v>
      </c>
      <c r="H135" s="664"/>
      <c r="I135" s="21">
        <f t="shared" si="26"/>
        <v>1</v>
      </c>
      <c r="J135" s="664"/>
      <c r="K135" s="21">
        <f t="shared" si="27"/>
        <v>1</v>
      </c>
      <c r="L135" s="664"/>
      <c r="M135" s="21">
        <f t="shared" si="28"/>
        <v>1</v>
      </c>
      <c r="N135" s="664"/>
      <c r="O135" s="21">
        <f t="shared" si="29"/>
        <v>1</v>
      </c>
      <c r="P135" s="664"/>
      <c r="Q135" s="21">
        <f t="shared" si="30"/>
        <v>1</v>
      </c>
      <c r="R135" s="660">
        <f t="shared" si="31"/>
        <v>0</v>
      </c>
      <c r="S135" s="313">
        <f t="shared" si="32"/>
        <v>0</v>
      </c>
    </row>
    <row r="136" spans="1:19">
      <c r="A136" s="147"/>
      <c r="B136" s="54"/>
      <c r="C136" s="21">
        <f t="shared" si="23"/>
        <v>1</v>
      </c>
      <c r="D136" s="664"/>
      <c r="E136" s="21">
        <f t="shared" si="24"/>
        <v>1</v>
      </c>
      <c r="F136" s="664"/>
      <c r="G136" s="21">
        <f t="shared" si="25"/>
        <v>1</v>
      </c>
      <c r="H136" s="664"/>
      <c r="I136" s="21">
        <f t="shared" si="26"/>
        <v>1</v>
      </c>
      <c r="J136" s="664"/>
      <c r="K136" s="21">
        <f t="shared" si="27"/>
        <v>1</v>
      </c>
      <c r="L136" s="664"/>
      <c r="M136" s="21">
        <f t="shared" si="28"/>
        <v>1</v>
      </c>
      <c r="N136" s="664"/>
      <c r="O136" s="21">
        <f t="shared" si="29"/>
        <v>1</v>
      </c>
      <c r="P136" s="664"/>
      <c r="Q136" s="21">
        <f t="shared" si="30"/>
        <v>1</v>
      </c>
      <c r="R136" s="660">
        <f t="shared" si="31"/>
        <v>0</v>
      </c>
      <c r="S136" s="313">
        <f t="shared" si="32"/>
        <v>0</v>
      </c>
    </row>
    <row r="137" spans="1:19">
      <c r="A137" s="147"/>
      <c r="B137" s="54"/>
      <c r="C137" s="21">
        <f t="shared" si="23"/>
        <v>1</v>
      </c>
      <c r="D137" s="664"/>
      <c r="E137" s="21">
        <f t="shared" si="24"/>
        <v>1</v>
      </c>
      <c r="F137" s="664"/>
      <c r="G137" s="21">
        <f t="shared" si="25"/>
        <v>1</v>
      </c>
      <c r="H137" s="664"/>
      <c r="I137" s="21">
        <f t="shared" si="26"/>
        <v>1</v>
      </c>
      <c r="J137" s="664"/>
      <c r="K137" s="21">
        <f t="shared" si="27"/>
        <v>1</v>
      </c>
      <c r="L137" s="664"/>
      <c r="M137" s="21">
        <f t="shared" si="28"/>
        <v>1</v>
      </c>
      <c r="N137" s="664"/>
      <c r="O137" s="21">
        <f t="shared" si="29"/>
        <v>1</v>
      </c>
      <c r="P137" s="664"/>
      <c r="Q137" s="21">
        <f t="shared" si="30"/>
        <v>1</v>
      </c>
      <c r="R137" s="660">
        <f t="shared" si="31"/>
        <v>0</v>
      </c>
      <c r="S137" s="313">
        <f t="shared" si="32"/>
        <v>0</v>
      </c>
    </row>
    <row r="138" spans="1:19">
      <c r="A138" s="147"/>
      <c r="B138" s="54"/>
      <c r="C138" s="21">
        <f t="shared" si="23"/>
        <v>1</v>
      </c>
      <c r="D138" s="664"/>
      <c r="E138" s="21">
        <f t="shared" si="24"/>
        <v>1</v>
      </c>
      <c r="F138" s="664"/>
      <c r="G138" s="21">
        <f t="shared" si="25"/>
        <v>1</v>
      </c>
      <c r="H138" s="664"/>
      <c r="I138" s="21">
        <f t="shared" si="26"/>
        <v>1</v>
      </c>
      <c r="J138" s="664"/>
      <c r="K138" s="21">
        <f t="shared" si="27"/>
        <v>1</v>
      </c>
      <c r="L138" s="664"/>
      <c r="M138" s="21">
        <f t="shared" si="28"/>
        <v>1</v>
      </c>
      <c r="N138" s="664"/>
      <c r="O138" s="21">
        <f t="shared" si="29"/>
        <v>1</v>
      </c>
      <c r="P138" s="664"/>
      <c r="Q138" s="21">
        <f t="shared" si="30"/>
        <v>1</v>
      </c>
      <c r="R138" s="660">
        <f t="shared" si="31"/>
        <v>0</v>
      </c>
      <c r="S138" s="313">
        <f t="shared" si="32"/>
        <v>0</v>
      </c>
    </row>
    <row r="139" spans="1:19">
      <c r="A139" s="147"/>
      <c r="B139" s="54"/>
      <c r="C139" s="21">
        <f t="shared" si="23"/>
        <v>1</v>
      </c>
      <c r="D139" s="664"/>
      <c r="E139" s="21">
        <f t="shared" si="24"/>
        <v>1</v>
      </c>
      <c r="F139" s="664"/>
      <c r="G139" s="21">
        <f t="shared" si="25"/>
        <v>1</v>
      </c>
      <c r="H139" s="664"/>
      <c r="I139" s="21">
        <f t="shared" si="26"/>
        <v>1</v>
      </c>
      <c r="J139" s="664"/>
      <c r="K139" s="21">
        <f t="shared" si="27"/>
        <v>1</v>
      </c>
      <c r="L139" s="664"/>
      <c r="M139" s="21">
        <f t="shared" si="28"/>
        <v>1</v>
      </c>
      <c r="N139" s="664"/>
      <c r="O139" s="21">
        <f t="shared" si="29"/>
        <v>1</v>
      </c>
      <c r="P139" s="664"/>
      <c r="Q139" s="21">
        <f t="shared" si="30"/>
        <v>1</v>
      </c>
      <c r="R139" s="660">
        <f t="shared" si="31"/>
        <v>0</v>
      </c>
      <c r="S139" s="313">
        <f t="shared" si="32"/>
        <v>0</v>
      </c>
    </row>
    <row r="140" spans="1:19">
      <c r="A140" s="147"/>
      <c r="B140" s="54"/>
      <c r="C140" s="21">
        <f t="shared" si="23"/>
        <v>1</v>
      </c>
      <c r="D140" s="664"/>
      <c r="E140" s="21">
        <f t="shared" si="24"/>
        <v>1</v>
      </c>
      <c r="F140" s="664"/>
      <c r="G140" s="21">
        <f t="shared" si="25"/>
        <v>1</v>
      </c>
      <c r="H140" s="664"/>
      <c r="I140" s="21">
        <f t="shared" si="26"/>
        <v>1</v>
      </c>
      <c r="J140" s="664"/>
      <c r="K140" s="21">
        <f t="shared" si="27"/>
        <v>1</v>
      </c>
      <c r="L140" s="664"/>
      <c r="M140" s="21">
        <f t="shared" si="28"/>
        <v>1</v>
      </c>
      <c r="N140" s="664"/>
      <c r="O140" s="21">
        <f t="shared" si="29"/>
        <v>1</v>
      </c>
      <c r="P140" s="664"/>
      <c r="Q140" s="21">
        <f t="shared" si="30"/>
        <v>1</v>
      </c>
      <c r="R140" s="660">
        <f t="shared" si="31"/>
        <v>0</v>
      </c>
      <c r="S140" s="313">
        <f t="shared" si="32"/>
        <v>0</v>
      </c>
    </row>
    <row r="141" spans="1:19">
      <c r="A141" s="147"/>
      <c r="B141" s="54"/>
      <c r="C141" s="21">
        <f t="shared" si="23"/>
        <v>1</v>
      </c>
      <c r="D141" s="664"/>
      <c r="E141" s="21">
        <f t="shared" si="24"/>
        <v>1</v>
      </c>
      <c r="F141" s="664"/>
      <c r="G141" s="21">
        <f t="shared" si="25"/>
        <v>1</v>
      </c>
      <c r="H141" s="664"/>
      <c r="I141" s="21">
        <f t="shared" si="26"/>
        <v>1</v>
      </c>
      <c r="J141" s="664"/>
      <c r="K141" s="21">
        <f t="shared" si="27"/>
        <v>1</v>
      </c>
      <c r="L141" s="664"/>
      <c r="M141" s="21">
        <f t="shared" si="28"/>
        <v>1</v>
      </c>
      <c r="N141" s="664"/>
      <c r="O141" s="21">
        <f t="shared" si="29"/>
        <v>1</v>
      </c>
      <c r="P141" s="664"/>
      <c r="Q141" s="21">
        <f t="shared" si="30"/>
        <v>1</v>
      </c>
      <c r="R141" s="660">
        <f t="shared" si="31"/>
        <v>0</v>
      </c>
      <c r="S141" s="313">
        <f t="shared" si="32"/>
        <v>0</v>
      </c>
    </row>
    <row r="142" spans="1:19">
      <c r="A142" s="147"/>
      <c r="B142" s="54"/>
      <c r="C142" s="21">
        <f t="shared" si="23"/>
        <v>1</v>
      </c>
      <c r="D142" s="664"/>
      <c r="E142" s="21">
        <f t="shared" si="24"/>
        <v>1</v>
      </c>
      <c r="F142" s="664"/>
      <c r="G142" s="21">
        <f t="shared" si="25"/>
        <v>1</v>
      </c>
      <c r="H142" s="664"/>
      <c r="I142" s="21">
        <f t="shared" si="26"/>
        <v>1</v>
      </c>
      <c r="J142" s="664"/>
      <c r="K142" s="21">
        <f t="shared" si="27"/>
        <v>1</v>
      </c>
      <c r="L142" s="664"/>
      <c r="M142" s="21">
        <f t="shared" si="28"/>
        <v>1</v>
      </c>
      <c r="N142" s="664"/>
      <c r="O142" s="21">
        <f t="shared" si="29"/>
        <v>1</v>
      </c>
      <c r="P142" s="664"/>
      <c r="Q142" s="21">
        <f t="shared" si="30"/>
        <v>1</v>
      </c>
      <c r="R142" s="660">
        <f t="shared" si="31"/>
        <v>0</v>
      </c>
      <c r="S142" s="313">
        <f t="shared" si="32"/>
        <v>0</v>
      </c>
    </row>
    <row r="143" spans="1:19">
      <c r="A143" s="147"/>
      <c r="B143" s="54"/>
      <c r="C143" s="21">
        <f t="shared" si="23"/>
        <v>1</v>
      </c>
      <c r="D143" s="664"/>
      <c r="E143" s="21">
        <f t="shared" si="24"/>
        <v>1</v>
      </c>
      <c r="F143" s="664"/>
      <c r="G143" s="21">
        <f t="shared" si="25"/>
        <v>1</v>
      </c>
      <c r="H143" s="664"/>
      <c r="I143" s="21">
        <f t="shared" si="26"/>
        <v>1</v>
      </c>
      <c r="J143" s="664"/>
      <c r="K143" s="21">
        <f t="shared" si="27"/>
        <v>1</v>
      </c>
      <c r="L143" s="664"/>
      <c r="M143" s="21">
        <f t="shared" si="28"/>
        <v>1</v>
      </c>
      <c r="N143" s="664"/>
      <c r="O143" s="21">
        <f t="shared" si="29"/>
        <v>1</v>
      </c>
      <c r="P143" s="664"/>
      <c r="Q143" s="21">
        <f t="shared" si="30"/>
        <v>1</v>
      </c>
      <c r="R143" s="660">
        <f t="shared" si="31"/>
        <v>0</v>
      </c>
      <c r="S143" s="313">
        <f t="shared" si="32"/>
        <v>0</v>
      </c>
    </row>
    <row r="144" spans="1:19">
      <c r="A144" s="147"/>
      <c r="B144" s="54"/>
      <c r="C144" s="21">
        <f t="shared" si="23"/>
        <v>1</v>
      </c>
      <c r="D144" s="664"/>
      <c r="E144" s="21">
        <f t="shared" si="24"/>
        <v>1</v>
      </c>
      <c r="F144" s="664"/>
      <c r="G144" s="21">
        <f t="shared" si="25"/>
        <v>1</v>
      </c>
      <c r="H144" s="664"/>
      <c r="I144" s="21">
        <f t="shared" si="26"/>
        <v>1</v>
      </c>
      <c r="J144" s="664"/>
      <c r="K144" s="21">
        <f t="shared" si="27"/>
        <v>1</v>
      </c>
      <c r="L144" s="664"/>
      <c r="M144" s="21">
        <f t="shared" si="28"/>
        <v>1</v>
      </c>
      <c r="N144" s="664"/>
      <c r="O144" s="21">
        <f t="shared" si="29"/>
        <v>1</v>
      </c>
      <c r="P144" s="664"/>
      <c r="Q144" s="21">
        <f t="shared" si="30"/>
        <v>1</v>
      </c>
      <c r="R144" s="660">
        <f t="shared" si="31"/>
        <v>0</v>
      </c>
      <c r="S144" s="313">
        <f t="shared" si="32"/>
        <v>0</v>
      </c>
    </row>
    <row r="145" spans="1:19">
      <c r="A145" s="147"/>
      <c r="B145" s="54"/>
      <c r="C145" s="21">
        <f t="shared" si="23"/>
        <v>1</v>
      </c>
      <c r="D145" s="664"/>
      <c r="E145" s="21">
        <f t="shared" si="24"/>
        <v>1</v>
      </c>
      <c r="F145" s="664"/>
      <c r="G145" s="21">
        <f t="shared" si="25"/>
        <v>1</v>
      </c>
      <c r="H145" s="664"/>
      <c r="I145" s="21">
        <f t="shared" si="26"/>
        <v>1</v>
      </c>
      <c r="J145" s="664"/>
      <c r="K145" s="21">
        <f t="shared" si="27"/>
        <v>1</v>
      </c>
      <c r="L145" s="664"/>
      <c r="M145" s="21">
        <f t="shared" si="28"/>
        <v>1</v>
      </c>
      <c r="N145" s="664"/>
      <c r="O145" s="21">
        <f t="shared" si="29"/>
        <v>1</v>
      </c>
      <c r="P145" s="664"/>
      <c r="Q145" s="21">
        <f t="shared" si="30"/>
        <v>1</v>
      </c>
      <c r="R145" s="660">
        <f t="shared" si="31"/>
        <v>0</v>
      </c>
      <c r="S145" s="313">
        <f t="shared" si="32"/>
        <v>0</v>
      </c>
    </row>
    <row r="146" spans="1:19">
      <c r="A146" s="147"/>
      <c r="B146" s="54"/>
      <c r="C146" s="21">
        <f t="shared" si="23"/>
        <v>1</v>
      </c>
      <c r="D146" s="664"/>
      <c r="E146" s="21">
        <f t="shared" si="24"/>
        <v>1</v>
      </c>
      <c r="F146" s="664"/>
      <c r="G146" s="21">
        <f t="shared" si="25"/>
        <v>1</v>
      </c>
      <c r="H146" s="664"/>
      <c r="I146" s="21">
        <f t="shared" si="26"/>
        <v>1</v>
      </c>
      <c r="J146" s="664"/>
      <c r="K146" s="21">
        <f t="shared" si="27"/>
        <v>1</v>
      </c>
      <c r="L146" s="664"/>
      <c r="M146" s="21">
        <f t="shared" si="28"/>
        <v>1</v>
      </c>
      <c r="N146" s="664"/>
      <c r="O146" s="21">
        <f t="shared" si="29"/>
        <v>1</v>
      </c>
      <c r="P146" s="664"/>
      <c r="Q146" s="21">
        <f t="shared" si="30"/>
        <v>1</v>
      </c>
      <c r="R146" s="660">
        <f t="shared" si="31"/>
        <v>0</v>
      </c>
      <c r="S146" s="313">
        <f t="shared" si="32"/>
        <v>0</v>
      </c>
    </row>
    <row r="147" spans="1:19">
      <c r="A147" s="147"/>
      <c r="B147" s="54"/>
      <c r="C147" s="21">
        <f t="shared" si="23"/>
        <v>1</v>
      </c>
      <c r="D147" s="664"/>
      <c r="E147" s="21">
        <f t="shared" si="24"/>
        <v>1</v>
      </c>
      <c r="F147" s="664"/>
      <c r="G147" s="21">
        <f t="shared" si="25"/>
        <v>1</v>
      </c>
      <c r="H147" s="664"/>
      <c r="I147" s="21">
        <f t="shared" si="26"/>
        <v>1</v>
      </c>
      <c r="J147" s="664"/>
      <c r="K147" s="21">
        <f t="shared" si="27"/>
        <v>1</v>
      </c>
      <c r="L147" s="664"/>
      <c r="M147" s="21">
        <f t="shared" si="28"/>
        <v>1</v>
      </c>
      <c r="N147" s="664"/>
      <c r="O147" s="21">
        <f t="shared" si="29"/>
        <v>1</v>
      </c>
      <c r="P147" s="664"/>
      <c r="Q147" s="21">
        <f t="shared" si="30"/>
        <v>1</v>
      </c>
      <c r="R147" s="660">
        <f t="shared" si="31"/>
        <v>0</v>
      </c>
      <c r="S147" s="313">
        <f t="shared" si="32"/>
        <v>0</v>
      </c>
    </row>
    <row r="148" spans="1:19">
      <c r="A148" s="147"/>
      <c r="B148" s="54"/>
      <c r="C148" s="21">
        <f t="shared" si="23"/>
        <v>1</v>
      </c>
      <c r="D148" s="664"/>
      <c r="E148" s="21">
        <f t="shared" si="24"/>
        <v>1</v>
      </c>
      <c r="F148" s="664"/>
      <c r="G148" s="21">
        <f t="shared" si="25"/>
        <v>1</v>
      </c>
      <c r="H148" s="664"/>
      <c r="I148" s="21">
        <f t="shared" si="26"/>
        <v>1</v>
      </c>
      <c r="J148" s="664"/>
      <c r="K148" s="21">
        <f t="shared" si="27"/>
        <v>1</v>
      </c>
      <c r="L148" s="664"/>
      <c r="M148" s="21">
        <f t="shared" si="28"/>
        <v>1</v>
      </c>
      <c r="N148" s="664"/>
      <c r="O148" s="21">
        <f t="shared" si="29"/>
        <v>1</v>
      </c>
      <c r="P148" s="664"/>
      <c r="Q148" s="21">
        <f t="shared" si="30"/>
        <v>1</v>
      </c>
      <c r="R148" s="660">
        <f t="shared" si="31"/>
        <v>0</v>
      </c>
      <c r="S148" s="313">
        <f t="shared" si="32"/>
        <v>0</v>
      </c>
    </row>
    <row r="149" spans="1:19">
      <c r="A149" s="147"/>
      <c r="B149" s="54"/>
      <c r="C149" s="21">
        <f t="shared" si="23"/>
        <v>1</v>
      </c>
      <c r="D149" s="664"/>
      <c r="E149" s="21">
        <f t="shared" si="24"/>
        <v>1</v>
      </c>
      <c r="F149" s="664"/>
      <c r="G149" s="21">
        <f t="shared" si="25"/>
        <v>1</v>
      </c>
      <c r="H149" s="664"/>
      <c r="I149" s="21">
        <f t="shared" si="26"/>
        <v>1</v>
      </c>
      <c r="J149" s="664"/>
      <c r="K149" s="21">
        <f t="shared" si="27"/>
        <v>1</v>
      </c>
      <c r="L149" s="664"/>
      <c r="M149" s="21">
        <f t="shared" si="28"/>
        <v>1</v>
      </c>
      <c r="N149" s="664"/>
      <c r="O149" s="21">
        <f t="shared" si="29"/>
        <v>1</v>
      </c>
      <c r="P149" s="664"/>
      <c r="Q149" s="21">
        <f t="shared" si="30"/>
        <v>1</v>
      </c>
      <c r="R149" s="660">
        <f t="shared" si="31"/>
        <v>0</v>
      </c>
      <c r="S149" s="313">
        <f t="shared" si="32"/>
        <v>0</v>
      </c>
    </row>
    <row r="150" spans="1:19">
      <c r="A150" s="147"/>
      <c r="B150" s="54"/>
      <c r="C150" s="21">
        <f t="shared" si="23"/>
        <v>1</v>
      </c>
      <c r="D150" s="664"/>
      <c r="E150" s="21">
        <f t="shared" si="24"/>
        <v>1</v>
      </c>
      <c r="F150" s="664"/>
      <c r="G150" s="21">
        <f t="shared" si="25"/>
        <v>1</v>
      </c>
      <c r="H150" s="664"/>
      <c r="I150" s="21">
        <f t="shared" si="26"/>
        <v>1</v>
      </c>
      <c r="J150" s="664"/>
      <c r="K150" s="21">
        <f t="shared" si="27"/>
        <v>1</v>
      </c>
      <c r="L150" s="664"/>
      <c r="M150" s="21">
        <f t="shared" si="28"/>
        <v>1</v>
      </c>
      <c r="N150" s="664"/>
      <c r="O150" s="21">
        <f t="shared" si="29"/>
        <v>1</v>
      </c>
      <c r="P150" s="664"/>
      <c r="Q150" s="21">
        <f t="shared" si="30"/>
        <v>1</v>
      </c>
      <c r="R150" s="660">
        <f t="shared" si="31"/>
        <v>0</v>
      </c>
      <c r="S150" s="313">
        <f t="shared" si="32"/>
        <v>0</v>
      </c>
    </row>
    <row r="151" spans="1:19">
      <c r="A151" s="147"/>
      <c r="B151" s="54"/>
      <c r="C151" s="21">
        <f t="shared" si="23"/>
        <v>1</v>
      </c>
      <c r="D151" s="664"/>
      <c r="E151" s="21">
        <f t="shared" si="24"/>
        <v>1</v>
      </c>
      <c r="F151" s="664"/>
      <c r="G151" s="21">
        <f t="shared" si="25"/>
        <v>1</v>
      </c>
      <c r="H151" s="664"/>
      <c r="I151" s="21">
        <f t="shared" si="26"/>
        <v>1</v>
      </c>
      <c r="J151" s="664"/>
      <c r="K151" s="21">
        <f t="shared" si="27"/>
        <v>1</v>
      </c>
      <c r="L151" s="664"/>
      <c r="M151" s="21">
        <f t="shared" si="28"/>
        <v>1</v>
      </c>
      <c r="N151" s="664"/>
      <c r="O151" s="21">
        <f t="shared" si="29"/>
        <v>1</v>
      </c>
      <c r="P151" s="664"/>
      <c r="Q151" s="21">
        <f t="shared" si="30"/>
        <v>1</v>
      </c>
      <c r="R151" s="660">
        <f t="shared" si="31"/>
        <v>0</v>
      </c>
      <c r="S151" s="313">
        <f t="shared" si="32"/>
        <v>0</v>
      </c>
    </row>
    <row r="152" spans="1:19">
      <c r="A152" s="147"/>
      <c r="B152" s="54"/>
      <c r="C152" s="21">
        <f t="shared" si="23"/>
        <v>1</v>
      </c>
      <c r="D152" s="664"/>
      <c r="E152" s="21">
        <f t="shared" si="24"/>
        <v>1</v>
      </c>
      <c r="F152" s="664"/>
      <c r="G152" s="21">
        <f t="shared" si="25"/>
        <v>1</v>
      </c>
      <c r="H152" s="664"/>
      <c r="I152" s="21">
        <f t="shared" si="26"/>
        <v>1</v>
      </c>
      <c r="J152" s="664"/>
      <c r="K152" s="21">
        <f t="shared" si="27"/>
        <v>1</v>
      </c>
      <c r="L152" s="664"/>
      <c r="M152" s="21">
        <f t="shared" si="28"/>
        <v>1</v>
      </c>
      <c r="N152" s="664"/>
      <c r="O152" s="21">
        <f t="shared" si="29"/>
        <v>1</v>
      </c>
      <c r="P152" s="664"/>
      <c r="Q152" s="21">
        <f t="shared" si="30"/>
        <v>1</v>
      </c>
      <c r="R152" s="660">
        <f t="shared" si="31"/>
        <v>0</v>
      </c>
      <c r="S152" s="313">
        <f t="shared" si="32"/>
        <v>0</v>
      </c>
    </row>
    <row r="153" spans="1:19">
      <c r="A153" s="147"/>
      <c r="B153" s="54"/>
      <c r="C153" s="21">
        <f t="shared" si="23"/>
        <v>1</v>
      </c>
      <c r="D153" s="664"/>
      <c r="E153" s="21">
        <f t="shared" si="24"/>
        <v>1</v>
      </c>
      <c r="F153" s="664"/>
      <c r="G153" s="21">
        <f t="shared" si="25"/>
        <v>1</v>
      </c>
      <c r="H153" s="664"/>
      <c r="I153" s="21">
        <f t="shared" si="26"/>
        <v>1</v>
      </c>
      <c r="J153" s="664"/>
      <c r="K153" s="21">
        <f t="shared" si="27"/>
        <v>1</v>
      </c>
      <c r="L153" s="664"/>
      <c r="M153" s="21">
        <f t="shared" si="28"/>
        <v>1</v>
      </c>
      <c r="N153" s="664"/>
      <c r="O153" s="21">
        <f t="shared" si="29"/>
        <v>1</v>
      </c>
      <c r="P153" s="664"/>
      <c r="Q153" s="21">
        <f t="shared" si="30"/>
        <v>1</v>
      </c>
      <c r="R153" s="660">
        <f t="shared" si="31"/>
        <v>0</v>
      </c>
      <c r="S153" s="313">
        <f t="shared" si="32"/>
        <v>0</v>
      </c>
    </row>
    <row r="154" spans="1:19">
      <c r="A154" s="147"/>
      <c r="B154" s="54"/>
      <c r="C154" s="21">
        <f t="shared" ref="C154:C217" si="33">IF(B154="",1,(LOOKUP(B154,$3:$3,$4:$4)-LOOKUP($B$24,$3:$3,$4:$4)+100)/100)</f>
        <v>1</v>
      </c>
      <c r="D154" s="664"/>
      <c r="E154" s="21">
        <f t="shared" ref="E154:E217" si="34">(SUMIF($5:$5,D154,$6:$6)-SUMIF($5:$5,$D$24,$6:$6)+100)/100</f>
        <v>1</v>
      </c>
      <c r="F154" s="664"/>
      <c r="G154" s="21">
        <f t="shared" ref="G154:G217" si="35">(SUMIF($7:$7,F154,$8:$8)-SUMIF($7:$7,$F$24,$8:$8)+100)/100</f>
        <v>1</v>
      </c>
      <c r="H154" s="664"/>
      <c r="I154" s="21">
        <f t="shared" ref="I154:I217" si="36">(SUMIF($9:$9,H154,$10:$10)-SUMIF($9:$9,$H$24,$10:$10)+100)/100</f>
        <v>1</v>
      </c>
      <c r="J154" s="664"/>
      <c r="K154" s="21">
        <f t="shared" ref="K154:K217" si="37">(SUMIF($11:$11,J154,$12:$12)-SUMIF($11:$11,$J$24,$12:$12)+100)/100</f>
        <v>1</v>
      </c>
      <c r="L154" s="664"/>
      <c r="M154" s="21">
        <f t="shared" ref="M154:M217" si="38">(SUMIF($13:$13,L154,$14:$14)-SUMIF($13:$13,$L$24,$14:$14)+100)/100</f>
        <v>1</v>
      </c>
      <c r="N154" s="664"/>
      <c r="O154" s="21">
        <f t="shared" ref="O154:O217" si="39">(SUMIF($15:$15,N154,$16:$16)-SUMIF($15:$15,$N$24,$16:$16)+100)/100</f>
        <v>1</v>
      </c>
      <c r="P154" s="664"/>
      <c r="Q154" s="21">
        <f t="shared" ref="Q154:Q217" si="40">(SUMIF($17:$17,P154,$18:$18)-SUMIF($17:$17,$P$24,$18:$18)+100)/100</f>
        <v>1</v>
      </c>
      <c r="R154" s="660">
        <f t="shared" ref="R154:R217" si="41">IF(B154="",0,ROUND($R$24*C154*E154*G154*I154*K154*M154*O154*Q154,0))</f>
        <v>0</v>
      </c>
      <c r="S154" s="313">
        <f t="shared" si="32"/>
        <v>0</v>
      </c>
    </row>
    <row r="155" spans="1:19">
      <c r="A155" s="147"/>
      <c r="B155" s="54"/>
      <c r="C155" s="21">
        <f t="shared" si="33"/>
        <v>1</v>
      </c>
      <c r="D155" s="664"/>
      <c r="E155" s="21">
        <f t="shared" si="34"/>
        <v>1</v>
      </c>
      <c r="F155" s="664"/>
      <c r="G155" s="21">
        <f t="shared" si="35"/>
        <v>1</v>
      </c>
      <c r="H155" s="664"/>
      <c r="I155" s="21">
        <f t="shared" si="36"/>
        <v>1</v>
      </c>
      <c r="J155" s="664"/>
      <c r="K155" s="21">
        <f t="shared" si="37"/>
        <v>1</v>
      </c>
      <c r="L155" s="664"/>
      <c r="M155" s="21">
        <f t="shared" si="38"/>
        <v>1</v>
      </c>
      <c r="N155" s="664"/>
      <c r="O155" s="21">
        <f t="shared" si="39"/>
        <v>1</v>
      </c>
      <c r="P155" s="664"/>
      <c r="Q155" s="21">
        <f t="shared" si="40"/>
        <v>1</v>
      </c>
      <c r="R155" s="660">
        <f t="shared" si="41"/>
        <v>0</v>
      </c>
      <c r="S155" s="313">
        <f t="shared" si="32"/>
        <v>0</v>
      </c>
    </row>
    <row r="156" spans="1:19">
      <c r="A156" s="147"/>
      <c r="B156" s="54"/>
      <c r="C156" s="21">
        <f t="shared" si="33"/>
        <v>1</v>
      </c>
      <c r="D156" s="664"/>
      <c r="E156" s="21">
        <f t="shared" si="34"/>
        <v>1</v>
      </c>
      <c r="F156" s="664"/>
      <c r="G156" s="21">
        <f t="shared" si="35"/>
        <v>1</v>
      </c>
      <c r="H156" s="664"/>
      <c r="I156" s="21">
        <f t="shared" si="36"/>
        <v>1</v>
      </c>
      <c r="J156" s="664"/>
      <c r="K156" s="21">
        <f t="shared" si="37"/>
        <v>1</v>
      </c>
      <c r="L156" s="664"/>
      <c r="M156" s="21">
        <f t="shared" si="38"/>
        <v>1</v>
      </c>
      <c r="N156" s="664"/>
      <c r="O156" s="21">
        <f t="shared" si="39"/>
        <v>1</v>
      </c>
      <c r="P156" s="664"/>
      <c r="Q156" s="21">
        <f t="shared" si="40"/>
        <v>1</v>
      </c>
      <c r="R156" s="660">
        <f t="shared" si="41"/>
        <v>0</v>
      </c>
      <c r="S156" s="313">
        <f t="shared" si="32"/>
        <v>0</v>
      </c>
    </row>
    <row r="157" spans="1:19">
      <c r="A157" s="147"/>
      <c r="B157" s="54"/>
      <c r="C157" s="21">
        <f t="shared" si="33"/>
        <v>1</v>
      </c>
      <c r="D157" s="664"/>
      <c r="E157" s="21">
        <f t="shared" si="34"/>
        <v>1</v>
      </c>
      <c r="F157" s="664"/>
      <c r="G157" s="21">
        <f t="shared" si="35"/>
        <v>1</v>
      </c>
      <c r="H157" s="664"/>
      <c r="I157" s="21">
        <f t="shared" si="36"/>
        <v>1</v>
      </c>
      <c r="J157" s="664"/>
      <c r="K157" s="21">
        <f t="shared" si="37"/>
        <v>1</v>
      </c>
      <c r="L157" s="664"/>
      <c r="M157" s="21">
        <f t="shared" si="38"/>
        <v>1</v>
      </c>
      <c r="N157" s="664"/>
      <c r="O157" s="21">
        <f t="shared" si="39"/>
        <v>1</v>
      </c>
      <c r="P157" s="664"/>
      <c r="Q157" s="21">
        <f t="shared" si="40"/>
        <v>1</v>
      </c>
      <c r="R157" s="660">
        <f t="shared" si="41"/>
        <v>0</v>
      </c>
      <c r="S157" s="313">
        <f t="shared" si="32"/>
        <v>0</v>
      </c>
    </row>
    <row r="158" spans="1:19">
      <c r="A158" s="147"/>
      <c r="B158" s="54"/>
      <c r="C158" s="21">
        <f t="shared" si="33"/>
        <v>1</v>
      </c>
      <c r="D158" s="664"/>
      <c r="E158" s="21">
        <f t="shared" si="34"/>
        <v>1</v>
      </c>
      <c r="F158" s="664"/>
      <c r="G158" s="21">
        <f t="shared" si="35"/>
        <v>1</v>
      </c>
      <c r="H158" s="664"/>
      <c r="I158" s="21">
        <f t="shared" si="36"/>
        <v>1</v>
      </c>
      <c r="J158" s="664"/>
      <c r="K158" s="21">
        <f t="shared" si="37"/>
        <v>1</v>
      </c>
      <c r="L158" s="664"/>
      <c r="M158" s="21">
        <f t="shared" si="38"/>
        <v>1</v>
      </c>
      <c r="N158" s="664"/>
      <c r="O158" s="21">
        <f t="shared" si="39"/>
        <v>1</v>
      </c>
      <c r="P158" s="664"/>
      <c r="Q158" s="21">
        <f t="shared" si="40"/>
        <v>1</v>
      </c>
      <c r="R158" s="660">
        <f t="shared" si="41"/>
        <v>0</v>
      </c>
      <c r="S158" s="313">
        <f t="shared" si="32"/>
        <v>0</v>
      </c>
    </row>
    <row r="159" spans="1:19">
      <c r="A159" s="147"/>
      <c r="B159" s="54"/>
      <c r="C159" s="21">
        <f t="shared" si="33"/>
        <v>1</v>
      </c>
      <c r="D159" s="664"/>
      <c r="E159" s="21">
        <f t="shared" si="34"/>
        <v>1</v>
      </c>
      <c r="F159" s="664"/>
      <c r="G159" s="21">
        <f t="shared" si="35"/>
        <v>1</v>
      </c>
      <c r="H159" s="664"/>
      <c r="I159" s="21">
        <f t="shared" si="36"/>
        <v>1</v>
      </c>
      <c r="J159" s="664"/>
      <c r="K159" s="21">
        <f t="shared" si="37"/>
        <v>1</v>
      </c>
      <c r="L159" s="664"/>
      <c r="M159" s="21">
        <f t="shared" si="38"/>
        <v>1</v>
      </c>
      <c r="N159" s="664"/>
      <c r="O159" s="21">
        <f t="shared" si="39"/>
        <v>1</v>
      </c>
      <c r="P159" s="664"/>
      <c r="Q159" s="21">
        <f t="shared" si="40"/>
        <v>1</v>
      </c>
      <c r="R159" s="660">
        <f t="shared" si="41"/>
        <v>0</v>
      </c>
      <c r="S159" s="313">
        <f t="shared" si="32"/>
        <v>0</v>
      </c>
    </row>
    <row r="160" spans="1:19">
      <c r="A160" s="147"/>
      <c r="B160" s="54"/>
      <c r="C160" s="21">
        <f t="shared" si="33"/>
        <v>1</v>
      </c>
      <c r="D160" s="664"/>
      <c r="E160" s="21">
        <f t="shared" si="34"/>
        <v>1</v>
      </c>
      <c r="F160" s="664"/>
      <c r="G160" s="21">
        <f t="shared" si="35"/>
        <v>1</v>
      </c>
      <c r="H160" s="664"/>
      <c r="I160" s="21">
        <f t="shared" si="36"/>
        <v>1</v>
      </c>
      <c r="J160" s="664"/>
      <c r="K160" s="21">
        <f t="shared" si="37"/>
        <v>1</v>
      </c>
      <c r="L160" s="664"/>
      <c r="M160" s="21">
        <f t="shared" si="38"/>
        <v>1</v>
      </c>
      <c r="N160" s="664"/>
      <c r="O160" s="21">
        <f t="shared" si="39"/>
        <v>1</v>
      </c>
      <c r="P160" s="664"/>
      <c r="Q160" s="21">
        <f t="shared" si="40"/>
        <v>1</v>
      </c>
      <c r="R160" s="660">
        <f t="shared" si="41"/>
        <v>0</v>
      </c>
      <c r="S160" s="313">
        <f t="shared" si="32"/>
        <v>0</v>
      </c>
    </row>
    <row r="161" spans="1:19">
      <c r="A161" s="147"/>
      <c r="B161" s="54"/>
      <c r="C161" s="21">
        <f t="shared" si="33"/>
        <v>1</v>
      </c>
      <c r="D161" s="664"/>
      <c r="E161" s="21">
        <f t="shared" si="34"/>
        <v>1</v>
      </c>
      <c r="F161" s="664"/>
      <c r="G161" s="21">
        <f t="shared" si="35"/>
        <v>1</v>
      </c>
      <c r="H161" s="664"/>
      <c r="I161" s="21">
        <f t="shared" si="36"/>
        <v>1</v>
      </c>
      <c r="J161" s="664"/>
      <c r="K161" s="21">
        <f t="shared" si="37"/>
        <v>1</v>
      </c>
      <c r="L161" s="664"/>
      <c r="M161" s="21">
        <f t="shared" si="38"/>
        <v>1</v>
      </c>
      <c r="N161" s="664"/>
      <c r="O161" s="21">
        <f t="shared" si="39"/>
        <v>1</v>
      </c>
      <c r="P161" s="664"/>
      <c r="Q161" s="21">
        <f t="shared" si="40"/>
        <v>1</v>
      </c>
      <c r="R161" s="660">
        <f t="shared" si="41"/>
        <v>0</v>
      </c>
      <c r="S161" s="313">
        <f t="shared" si="32"/>
        <v>0</v>
      </c>
    </row>
    <row r="162" spans="1:19">
      <c r="A162" s="147"/>
      <c r="B162" s="54"/>
      <c r="C162" s="21">
        <f t="shared" si="33"/>
        <v>1</v>
      </c>
      <c r="D162" s="664"/>
      <c r="E162" s="21">
        <f t="shared" si="34"/>
        <v>1</v>
      </c>
      <c r="F162" s="664"/>
      <c r="G162" s="21">
        <f t="shared" si="35"/>
        <v>1</v>
      </c>
      <c r="H162" s="664"/>
      <c r="I162" s="21">
        <f t="shared" si="36"/>
        <v>1</v>
      </c>
      <c r="J162" s="664"/>
      <c r="K162" s="21">
        <f t="shared" si="37"/>
        <v>1</v>
      </c>
      <c r="L162" s="664"/>
      <c r="M162" s="21">
        <f t="shared" si="38"/>
        <v>1</v>
      </c>
      <c r="N162" s="664"/>
      <c r="O162" s="21">
        <f t="shared" si="39"/>
        <v>1</v>
      </c>
      <c r="P162" s="664"/>
      <c r="Q162" s="21">
        <f t="shared" si="40"/>
        <v>1</v>
      </c>
      <c r="R162" s="660">
        <f t="shared" si="41"/>
        <v>0</v>
      </c>
      <c r="S162" s="313">
        <f t="shared" si="32"/>
        <v>0</v>
      </c>
    </row>
    <row r="163" spans="1:19">
      <c r="A163" s="147"/>
      <c r="B163" s="54"/>
      <c r="C163" s="21">
        <f t="shared" si="33"/>
        <v>1</v>
      </c>
      <c r="D163" s="664"/>
      <c r="E163" s="21">
        <f t="shared" si="34"/>
        <v>1</v>
      </c>
      <c r="F163" s="664"/>
      <c r="G163" s="21">
        <f t="shared" si="35"/>
        <v>1</v>
      </c>
      <c r="H163" s="664"/>
      <c r="I163" s="21">
        <f t="shared" si="36"/>
        <v>1</v>
      </c>
      <c r="J163" s="664"/>
      <c r="K163" s="21">
        <f t="shared" si="37"/>
        <v>1</v>
      </c>
      <c r="L163" s="664"/>
      <c r="M163" s="21">
        <f t="shared" si="38"/>
        <v>1</v>
      </c>
      <c r="N163" s="664"/>
      <c r="O163" s="21">
        <f t="shared" si="39"/>
        <v>1</v>
      </c>
      <c r="P163" s="664"/>
      <c r="Q163" s="21">
        <f t="shared" si="40"/>
        <v>1</v>
      </c>
      <c r="R163" s="660">
        <f t="shared" si="41"/>
        <v>0</v>
      </c>
      <c r="S163" s="313">
        <f t="shared" si="32"/>
        <v>0</v>
      </c>
    </row>
    <row r="164" spans="1:19">
      <c r="A164" s="147"/>
      <c r="B164" s="54"/>
      <c r="C164" s="21">
        <f t="shared" si="33"/>
        <v>1</v>
      </c>
      <c r="D164" s="664"/>
      <c r="E164" s="21">
        <f t="shared" si="34"/>
        <v>1</v>
      </c>
      <c r="F164" s="664"/>
      <c r="G164" s="21">
        <f t="shared" si="35"/>
        <v>1</v>
      </c>
      <c r="H164" s="664"/>
      <c r="I164" s="21">
        <f t="shared" si="36"/>
        <v>1</v>
      </c>
      <c r="J164" s="664"/>
      <c r="K164" s="21">
        <f t="shared" si="37"/>
        <v>1</v>
      </c>
      <c r="L164" s="664"/>
      <c r="M164" s="21">
        <f t="shared" si="38"/>
        <v>1</v>
      </c>
      <c r="N164" s="664"/>
      <c r="O164" s="21">
        <f t="shared" si="39"/>
        <v>1</v>
      </c>
      <c r="P164" s="664"/>
      <c r="Q164" s="21">
        <f t="shared" si="40"/>
        <v>1</v>
      </c>
      <c r="R164" s="660">
        <f t="shared" si="41"/>
        <v>0</v>
      </c>
      <c r="S164" s="313">
        <f t="shared" si="32"/>
        <v>0</v>
      </c>
    </row>
    <row r="165" spans="1:19">
      <c r="A165" s="147"/>
      <c r="B165" s="54"/>
      <c r="C165" s="21">
        <f t="shared" si="33"/>
        <v>1</v>
      </c>
      <c r="D165" s="664"/>
      <c r="E165" s="21">
        <f t="shared" si="34"/>
        <v>1</v>
      </c>
      <c r="F165" s="664"/>
      <c r="G165" s="21">
        <f t="shared" si="35"/>
        <v>1</v>
      </c>
      <c r="H165" s="664"/>
      <c r="I165" s="21">
        <f t="shared" si="36"/>
        <v>1</v>
      </c>
      <c r="J165" s="664"/>
      <c r="K165" s="21">
        <f t="shared" si="37"/>
        <v>1</v>
      </c>
      <c r="L165" s="664"/>
      <c r="M165" s="21">
        <f t="shared" si="38"/>
        <v>1</v>
      </c>
      <c r="N165" s="664"/>
      <c r="O165" s="21">
        <f t="shared" si="39"/>
        <v>1</v>
      </c>
      <c r="P165" s="664"/>
      <c r="Q165" s="21">
        <f t="shared" si="40"/>
        <v>1</v>
      </c>
      <c r="R165" s="660">
        <f t="shared" si="41"/>
        <v>0</v>
      </c>
      <c r="S165" s="313">
        <f t="shared" si="32"/>
        <v>0</v>
      </c>
    </row>
    <row r="166" spans="1:19">
      <c r="A166" s="147"/>
      <c r="B166" s="54"/>
      <c r="C166" s="21">
        <f t="shared" si="33"/>
        <v>1</v>
      </c>
      <c r="D166" s="664"/>
      <c r="E166" s="21">
        <f t="shared" si="34"/>
        <v>1</v>
      </c>
      <c r="F166" s="664"/>
      <c r="G166" s="21">
        <f t="shared" si="35"/>
        <v>1</v>
      </c>
      <c r="H166" s="664"/>
      <c r="I166" s="21">
        <f t="shared" si="36"/>
        <v>1</v>
      </c>
      <c r="J166" s="664"/>
      <c r="K166" s="21">
        <f t="shared" si="37"/>
        <v>1</v>
      </c>
      <c r="L166" s="664"/>
      <c r="M166" s="21">
        <f t="shared" si="38"/>
        <v>1</v>
      </c>
      <c r="N166" s="664"/>
      <c r="O166" s="21">
        <f t="shared" si="39"/>
        <v>1</v>
      </c>
      <c r="P166" s="664"/>
      <c r="Q166" s="21">
        <f t="shared" si="40"/>
        <v>1</v>
      </c>
      <c r="R166" s="660">
        <f t="shared" si="41"/>
        <v>0</v>
      </c>
      <c r="S166" s="313">
        <f t="shared" si="32"/>
        <v>0</v>
      </c>
    </row>
    <row r="167" spans="1:19">
      <c r="A167" s="147"/>
      <c r="B167" s="54"/>
      <c r="C167" s="21">
        <f t="shared" si="33"/>
        <v>1</v>
      </c>
      <c r="D167" s="664"/>
      <c r="E167" s="21">
        <f t="shared" si="34"/>
        <v>1</v>
      </c>
      <c r="F167" s="664"/>
      <c r="G167" s="21">
        <f t="shared" si="35"/>
        <v>1</v>
      </c>
      <c r="H167" s="664"/>
      <c r="I167" s="21">
        <f t="shared" si="36"/>
        <v>1</v>
      </c>
      <c r="J167" s="664"/>
      <c r="K167" s="21">
        <f t="shared" si="37"/>
        <v>1</v>
      </c>
      <c r="L167" s="664"/>
      <c r="M167" s="21">
        <f t="shared" si="38"/>
        <v>1</v>
      </c>
      <c r="N167" s="664"/>
      <c r="O167" s="21">
        <f t="shared" si="39"/>
        <v>1</v>
      </c>
      <c r="P167" s="664"/>
      <c r="Q167" s="21">
        <f t="shared" si="40"/>
        <v>1</v>
      </c>
      <c r="R167" s="660">
        <f t="shared" si="41"/>
        <v>0</v>
      </c>
      <c r="S167" s="313">
        <f t="shared" si="32"/>
        <v>0</v>
      </c>
    </row>
    <row r="168" spans="1:19">
      <c r="A168" s="147"/>
      <c r="B168" s="54"/>
      <c r="C168" s="21">
        <f t="shared" si="33"/>
        <v>1</v>
      </c>
      <c r="D168" s="664"/>
      <c r="E168" s="21">
        <f t="shared" si="34"/>
        <v>1</v>
      </c>
      <c r="F168" s="664"/>
      <c r="G168" s="21">
        <f t="shared" si="35"/>
        <v>1</v>
      </c>
      <c r="H168" s="664"/>
      <c r="I168" s="21">
        <f t="shared" si="36"/>
        <v>1</v>
      </c>
      <c r="J168" s="664"/>
      <c r="K168" s="21">
        <f t="shared" si="37"/>
        <v>1</v>
      </c>
      <c r="L168" s="664"/>
      <c r="M168" s="21">
        <f t="shared" si="38"/>
        <v>1</v>
      </c>
      <c r="N168" s="664"/>
      <c r="O168" s="21">
        <f t="shared" si="39"/>
        <v>1</v>
      </c>
      <c r="P168" s="664"/>
      <c r="Q168" s="21">
        <f t="shared" si="40"/>
        <v>1</v>
      </c>
      <c r="R168" s="660">
        <f t="shared" si="41"/>
        <v>0</v>
      </c>
      <c r="S168" s="313">
        <f t="shared" si="32"/>
        <v>0</v>
      </c>
    </row>
    <row r="169" spans="1:19">
      <c r="A169" s="147"/>
      <c r="B169" s="54"/>
      <c r="C169" s="21">
        <f t="shared" si="33"/>
        <v>1</v>
      </c>
      <c r="D169" s="664"/>
      <c r="E169" s="21">
        <f t="shared" si="34"/>
        <v>1</v>
      </c>
      <c r="F169" s="664"/>
      <c r="G169" s="21">
        <f t="shared" si="35"/>
        <v>1</v>
      </c>
      <c r="H169" s="664"/>
      <c r="I169" s="21">
        <f t="shared" si="36"/>
        <v>1</v>
      </c>
      <c r="J169" s="664"/>
      <c r="K169" s="21">
        <f t="shared" si="37"/>
        <v>1</v>
      </c>
      <c r="L169" s="664"/>
      <c r="M169" s="21">
        <f t="shared" si="38"/>
        <v>1</v>
      </c>
      <c r="N169" s="664"/>
      <c r="O169" s="21">
        <f t="shared" si="39"/>
        <v>1</v>
      </c>
      <c r="P169" s="664"/>
      <c r="Q169" s="21">
        <f t="shared" si="40"/>
        <v>1</v>
      </c>
      <c r="R169" s="660">
        <f t="shared" si="41"/>
        <v>0</v>
      </c>
      <c r="S169" s="313">
        <f t="shared" si="32"/>
        <v>0</v>
      </c>
    </row>
    <row r="170" spans="1:19">
      <c r="A170" s="147"/>
      <c r="B170" s="54"/>
      <c r="C170" s="21">
        <f t="shared" si="33"/>
        <v>1</v>
      </c>
      <c r="D170" s="664"/>
      <c r="E170" s="21">
        <f t="shared" si="34"/>
        <v>1</v>
      </c>
      <c r="F170" s="664"/>
      <c r="G170" s="21">
        <f t="shared" si="35"/>
        <v>1</v>
      </c>
      <c r="H170" s="664"/>
      <c r="I170" s="21">
        <f t="shared" si="36"/>
        <v>1</v>
      </c>
      <c r="J170" s="664"/>
      <c r="K170" s="21">
        <f t="shared" si="37"/>
        <v>1</v>
      </c>
      <c r="L170" s="664"/>
      <c r="M170" s="21">
        <f t="shared" si="38"/>
        <v>1</v>
      </c>
      <c r="N170" s="664"/>
      <c r="O170" s="21">
        <f t="shared" si="39"/>
        <v>1</v>
      </c>
      <c r="P170" s="664"/>
      <c r="Q170" s="21">
        <f t="shared" si="40"/>
        <v>1</v>
      </c>
      <c r="R170" s="660">
        <f t="shared" si="41"/>
        <v>0</v>
      </c>
      <c r="S170" s="313">
        <f t="shared" si="32"/>
        <v>0</v>
      </c>
    </row>
    <row r="171" spans="1:19">
      <c r="A171" s="147"/>
      <c r="B171" s="54"/>
      <c r="C171" s="21">
        <f t="shared" si="33"/>
        <v>1</v>
      </c>
      <c r="D171" s="664"/>
      <c r="E171" s="21">
        <f t="shared" si="34"/>
        <v>1</v>
      </c>
      <c r="F171" s="664"/>
      <c r="G171" s="21">
        <f t="shared" si="35"/>
        <v>1</v>
      </c>
      <c r="H171" s="664"/>
      <c r="I171" s="21">
        <f t="shared" si="36"/>
        <v>1</v>
      </c>
      <c r="J171" s="664"/>
      <c r="K171" s="21">
        <f t="shared" si="37"/>
        <v>1</v>
      </c>
      <c r="L171" s="664"/>
      <c r="M171" s="21">
        <f t="shared" si="38"/>
        <v>1</v>
      </c>
      <c r="N171" s="664"/>
      <c r="O171" s="21">
        <f t="shared" si="39"/>
        <v>1</v>
      </c>
      <c r="P171" s="664"/>
      <c r="Q171" s="21">
        <f t="shared" si="40"/>
        <v>1</v>
      </c>
      <c r="R171" s="660">
        <f t="shared" si="41"/>
        <v>0</v>
      </c>
      <c r="S171" s="313">
        <f t="shared" si="32"/>
        <v>0</v>
      </c>
    </row>
    <row r="172" spans="1:19">
      <c r="A172" s="147"/>
      <c r="B172" s="54"/>
      <c r="C172" s="21">
        <f t="shared" si="33"/>
        <v>1</v>
      </c>
      <c r="D172" s="664"/>
      <c r="E172" s="21">
        <f t="shared" si="34"/>
        <v>1</v>
      </c>
      <c r="F172" s="664"/>
      <c r="G172" s="21">
        <f t="shared" si="35"/>
        <v>1</v>
      </c>
      <c r="H172" s="664"/>
      <c r="I172" s="21">
        <f t="shared" si="36"/>
        <v>1</v>
      </c>
      <c r="J172" s="664"/>
      <c r="K172" s="21">
        <f t="shared" si="37"/>
        <v>1</v>
      </c>
      <c r="L172" s="664"/>
      <c r="M172" s="21">
        <f t="shared" si="38"/>
        <v>1</v>
      </c>
      <c r="N172" s="664"/>
      <c r="O172" s="21">
        <f t="shared" si="39"/>
        <v>1</v>
      </c>
      <c r="P172" s="664"/>
      <c r="Q172" s="21">
        <f t="shared" si="40"/>
        <v>1</v>
      </c>
      <c r="R172" s="660">
        <f t="shared" si="41"/>
        <v>0</v>
      </c>
      <c r="S172" s="313">
        <f t="shared" si="32"/>
        <v>0</v>
      </c>
    </row>
    <row r="173" spans="1:19">
      <c r="A173" s="147"/>
      <c r="B173" s="54"/>
      <c r="C173" s="21">
        <f t="shared" si="33"/>
        <v>1</v>
      </c>
      <c r="D173" s="664"/>
      <c r="E173" s="21">
        <f t="shared" si="34"/>
        <v>1</v>
      </c>
      <c r="F173" s="664"/>
      <c r="G173" s="21">
        <f t="shared" si="35"/>
        <v>1</v>
      </c>
      <c r="H173" s="664"/>
      <c r="I173" s="21">
        <f t="shared" si="36"/>
        <v>1</v>
      </c>
      <c r="J173" s="664"/>
      <c r="K173" s="21">
        <f t="shared" si="37"/>
        <v>1</v>
      </c>
      <c r="L173" s="664"/>
      <c r="M173" s="21">
        <f t="shared" si="38"/>
        <v>1</v>
      </c>
      <c r="N173" s="664"/>
      <c r="O173" s="21">
        <f t="shared" si="39"/>
        <v>1</v>
      </c>
      <c r="P173" s="664"/>
      <c r="Q173" s="21">
        <f t="shared" si="40"/>
        <v>1</v>
      </c>
      <c r="R173" s="660">
        <f t="shared" si="41"/>
        <v>0</v>
      </c>
      <c r="S173" s="313">
        <f t="shared" si="32"/>
        <v>0</v>
      </c>
    </row>
    <row r="174" spans="1:19">
      <c r="A174" s="147"/>
      <c r="B174" s="54"/>
      <c r="C174" s="21">
        <f t="shared" si="33"/>
        <v>1</v>
      </c>
      <c r="D174" s="664"/>
      <c r="E174" s="21">
        <f t="shared" si="34"/>
        <v>1</v>
      </c>
      <c r="F174" s="664"/>
      <c r="G174" s="21">
        <f t="shared" si="35"/>
        <v>1</v>
      </c>
      <c r="H174" s="664"/>
      <c r="I174" s="21">
        <f t="shared" si="36"/>
        <v>1</v>
      </c>
      <c r="J174" s="664"/>
      <c r="K174" s="21">
        <f t="shared" si="37"/>
        <v>1</v>
      </c>
      <c r="L174" s="664"/>
      <c r="M174" s="21">
        <f t="shared" si="38"/>
        <v>1</v>
      </c>
      <c r="N174" s="664"/>
      <c r="O174" s="21">
        <f t="shared" si="39"/>
        <v>1</v>
      </c>
      <c r="P174" s="664"/>
      <c r="Q174" s="21">
        <f t="shared" si="40"/>
        <v>1</v>
      </c>
      <c r="R174" s="660">
        <f t="shared" si="41"/>
        <v>0</v>
      </c>
      <c r="S174" s="313">
        <f t="shared" si="32"/>
        <v>0</v>
      </c>
    </row>
    <row r="175" spans="1:19">
      <c r="A175" s="147"/>
      <c r="B175" s="54"/>
      <c r="C175" s="21">
        <f t="shared" si="33"/>
        <v>1</v>
      </c>
      <c r="D175" s="664"/>
      <c r="E175" s="21">
        <f t="shared" si="34"/>
        <v>1</v>
      </c>
      <c r="F175" s="664"/>
      <c r="G175" s="21">
        <f t="shared" si="35"/>
        <v>1</v>
      </c>
      <c r="H175" s="664"/>
      <c r="I175" s="21">
        <f t="shared" si="36"/>
        <v>1</v>
      </c>
      <c r="J175" s="664"/>
      <c r="K175" s="21">
        <f t="shared" si="37"/>
        <v>1</v>
      </c>
      <c r="L175" s="664"/>
      <c r="M175" s="21">
        <f t="shared" si="38"/>
        <v>1</v>
      </c>
      <c r="N175" s="664"/>
      <c r="O175" s="21">
        <f t="shared" si="39"/>
        <v>1</v>
      </c>
      <c r="P175" s="664"/>
      <c r="Q175" s="21">
        <f t="shared" si="40"/>
        <v>1</v>
      </c>
      <c r="R175" s="660">
        <f t="shared" si="41"/>
        <v>0</v>
      </c>
      <c r="S175" s="313">
        <f t="shared" si="32"/>
        <v>0</v>
      </c>
    </row>
    <row r="176" spans="1:19">
      <c r="A176" s="147"/>
      <c r="B176" s="54"/>
      <c r="C176" s="21">
        <f t="shared" si="33"/>
        <v>1</v>
      </c>
      <c r="D176" s="664"/>
      <c r="E176" s="21">
        <f t="shared" si="34"/>
        <v>1</v>
      </c>
      <c r="F176" s="664"/>
      <c r="G176" s="21">
        <f t="shared" si="35"/>
        <v>1</v>
      </c>
      <c r="H176" s="664"/>
      <c r="I176" s="21">
        <f t="shared" si="36"/>
        <v>1</v>
      </c>
      <c r="J176" s="664"/>
      <c r="K176" s="21">
        <f t="shared" si="37"/>
        <v>1</v>
      </c>
      <c r="L176" s="664"/>
      <c r="M176" s="21">
        <f t="shared" si="38"/>
        <v>1</v>
      </c>
      <c r="N176" s="664"/>
      <c r="O176" s="21">
        <f t="shared" si="39"/>
        <v>1</v>
      </c>
      <c r="P176" s="664"/>
      <c r="Q176" s="21">
        <f t="shared" si="40"/>
        <v>1</v>
      </c>
      <c r="R176" s="660">
        <f t="shared" si="41"/>
        <v>0</v>
      </c>
      <c r="S176" s="313">
        <f t="shared" si="32"/>
        <v>0</v>
      </c>
    </row>
    <row r="177" spans="1:19">
      <c r="A177" s="147"/>
      <c r="B177" s="54"/>
      <c r="C177" s="21">
        <f t="shared" si="33"/>
        <v>1</v>
      </c>
      <c r="D177" s="664"/>
      <c r="E177" s="21">
        <f t="shared" si="34"/>
        <v>1</v>
      </c>
      <c r="F177" s="664"/>
      <c r="G177" s="21">
        <f t="shared" si="35"/>
        <v>1</v>
      </c>
      <c r="H177" s="664"/>
      <c r="I177" s="21">
        <f t="shared" si="36"/>
        <v>1</v>
      </c>
      <c r="J177" s="664"/>
      <c r="K177" s="21">
        <f t="shared" si="37"/>
        <v>1</v>
      </c>
      <c r="L177" s="664"/>
      <c r="M177" s="21">
        <f t="shared" si="38"/>
        <v>1</v>
      </c>
      <c r="N177" s="664"/>
      <c r="O177" s="21">
        <f t="shared" si="39"/>
        <v>1</v>
      </c>
      <c r="P177" s="664"/>
      <c r="Q177" s="21">
        <f t="shared" si="40"/>
        <v>1</v>
      </c>
      <c r="R177" s="660">
        <f t="shared" si="41"/>
        <v>0</v>
      </c>
      <c r="S177" s="313">
        <f t="shared" si="32"/>
        <v>0</v>
      </c>
    </row>
    <row r="178" spans="1:19">
      <c r="A178" s="147"/>
      <c r="B178" s="54"/>
      <c r="C178" s="21">
        <f t="shared" si="33"/>
        <v>1</v>
      </c>
      <c r="D178" s="664"/>
      <c r="E178" s="21">
        <f t="shared" si="34"/>
        <v>1</v>
      </c>
      <c r="F178" s="664"/>
      <c r="G178" s="21">
        <f t="shared" si="35"/>
        <v>1</v>
      </c>
      <c r="H178" s="664"/>
      <c r="I178" s="21">
        <f t="shared" si="36"/>
        <v>1</v>
      </c>
      <c r="J178" s="664"/>
      <c r="K178" s="21">
        <f t="shared" si="37"/>
        <v>1</v>
      </c>
      <c r="L178" s="664"/>
      <c r="M178" s="21">
        <f t="shared" si="38"/>
        <v>1</v>
      </c>
      <c r="N178" s="664"/>
      <c r="O178" s="21">
        <f t="shared" si="39"/>
        <v>1</v>
      </c>
      <c r="P178" s="664"/>
      <c r="Q178" s="21">
        <f t="shared" si="40"/>
        <v>1</v>
      </c>
      <c r="R178" s="660">
        <f t="shared" si="41"/>
        <v>0</v>
      </c>
      <c r="S178" s="313">
        <f t="shared" si="32"/>
        <v>0</v>
      </c>
    </row>
    <row r="179" spans="1:19">
      <c r="A179" s="147"/>
      <c r="B179" s="54"/>
      <c r="C179" s="21">
        <f t="shared" si="33"/>
        <v>1</v>
      </c>
      <c r="D179" s="664"/>
      <c r="E179" s="21">
        <f t="shared" si="34"/>
        <v>1</v>
      </c>
      <c r="F179" s="664"/>
      <c r="G179" s="21">
        <f t="shared" si="35"/>
        <v>1</v>
      </c>
      <c r="H179" s="664"/>
      <c r="I179" s="21">
        <f t="shared" si="36"/>
        <v>1</v>
      </c>
      <c r="J179" s="664"/>
      <c r="K179" s="21">
        <f t="shared" si="37"/>
        <v>1</v>
      </c>
      <c r="L179" s="664"/>
      <c r="M179" s="21">
        <f t="shared" si="38"/>
        <v>1</v>
      </c>
      <c r="N179" s="664"/>
      <c r="O179" s="21">
        <f t="shared" si="39"/>
        <v>1</v>
      </c>
      <c r="P179" s="664"/>
      <c r="Q179" s="21">
        <f t="shared" si="40"/>
        <v>1</v>
      </c>
      <c r="R179" s="660">
        <f t="shared" si="41"/>
        <v>0</v>
      </c>
      <c r="S179" s="313">
        <f t="shared" si="32"/>
        <v>0</v>
      </c>
    </row>
    <row r="180" spans="1:19">
      <c r="A180" s="147"/>
      <c r="B180" s="54"/>
      <c r="C180" s="21">
        <f t="shared" si="33"/>
        <v>1</v>
      </c>
      <c r="D180" s="664"/>
      <c r="E180" s="21">
        <f t="shared" si="34"/>
        <v>1</v>
      </c>
      <c r="F180" s="664"/>
      <c r="G180" s="21">
        <f t="shared" si="35"/>
        <v>1</v>
      </c>
      <c r="H180" s="664"/>
      <c r="I180" s="21">
        <f t="shared" si="36"/>
        <v>1</v>
      </c>
      <c r="J180" s="664"/>
      <c r="K180" s="21">
        <f t="shared" si="37"/>
        <v>1</v>
      </c>
      <c r="L180" s="664"/>
      <c r="M180" s="21">
        <f t="shared" si="38"/>
        <v>1</v>
      </c>
      <c r="N180" s="664"/>
      <c r="O180" s="21">
        <f t="shared" si="39"/>
        <v>1</v>
      </c>
      <c r="P180" s="664"/>
      <c r="Q180" s="21">
        <f t="shared" si="40"/>
        <v>1</v>
      </c>
      <c r="R180" s="660">
        <f t="shared" si="41"/>
        <v>0</v>
      </c>
      <c r="S180" s="313">
        <f t="shared" si="32"/>
        <v>0</v>
      </c>
    </row>
    <row r="181" spans="1:19">
      <c r="A181" s="147"/>
      <c r="B181" s="54"/>
      <c r="C181" s="21">
        <f t="shared" si="33"/>
        <v>1</v>
      </c>
      <c r="D181" s="664"/>
      <c r="E181" s="21">
        <f t="shared" si="34"/>
        <v>1</v>
      </c>
      <c r="F181" s="664"/>
      <c r="G181" s="21">
        <f t="shared" si="35"/>
        <v>1</v>
      </c>
      <c r="H181" s="664"/>
      <c r="I181" s="21">
        <f t="shared" si="36"/>
        <v>1</v>
      </c>
      <c r="J181" s="664"/>
      <c r="K181" s="21">
        <f t="shared" si="37"/>
        <v>1</v>
      </c>
      <c r="L181" s="664"/>
      <c r="M181" s="21">
        <f t="shared" si="38"/>
        <v>1</v>
      </c>
      <c r="N181" s="664"/>
      <c r="O181" s="21">
        <f t="shared" si="39"/>
        <v>1</v>
      </c>
      <c r="P181" s="664"/>
      <c r="Q181" s="21">
        <f t="shared" si="40"/>
        <v>1</v>
      </c>
      <c r="R181" s="660">
        <f t="shared" si="41"/>
        <v>0</v>
      </c>
      <c r="S181" s="313">
        <f t="shared" si="32"/>
        <v>0</v>
      </c>
    </row>
    <row r="182" spans="1:19">
      <c r="A182" s="147"/>
      <c r="B182" s="54"/>
      <c r="C182" s="21">
        <f t="shared" si="33"/>
        <v>1</v>
      </c>
      <c r="D182" s="664"/>
      <c r="E182" s="21">
        <f t="shared" si="34"/>
        <v>1</v>
      </c>
      <c r="F182" s="664"/>
      <c r="G182" s="21">
        <f t="shared" si="35"/>
        <v>1</v>
      </c>
      <c r="H182" s="664"/>
      <c r="I182" s="21">
        <f t="shared" si="36"/>
        <v>1</v>
      </c>
      <c r="J182" s="664"/>
      <c r="K182" s="21">
        <f t="shared" si="37"/>
        <v>1</v>
      </c>
      <c r="L182" s="664"/>
      <c r="M182" s="21">
        <f t="shared" si="38"/>
        <v>1</v>
      </c>
      <c r="N182" s="664"/>
      <c r="O182" s="21">
        <f t="shared" si="39"/>
        <v>1</v>
      </c>
      <c r="P182" s="664"/>
      <c r="Q182" s="21">
        <f t="shared" si="40"/>
        <v>1</v>
      </c>
      <c r="R182" s="660">
        <f t="shared" si="41"/>
        <v>0</v>
      </c>
      <c r="S182" s="313">
        <f t="shared" si="32"/>
        <v>0</v>
      </c>
    </row>
    <row r="183" spans="1:19">
      <c r="A183" s="147"/>
      <c r="B183" s="54"/>
      <c r="C183" s="21">
        <f t="shared" si="33"/>
        <v>1</v>
      </c>
      <c r="D183" s="664"/>
      <c r="E183" s="21">
        <f t="shared" si="34"/>
        <v>1</v>
      </c>
      <c r="F183" s="664"/>
      <c r="G183" s="21">
        <f t="shared" si="35"/>
        <v>1</v>
      </c>
      <c r="H183" s="664"/>
      <c r="I183" s="21">
        <f t="shared" si="36"/>
        <v>1</v>
      </c>
      <c r="J183" s="664"/>
      <c r="K183" s="21">
        <f t="shared" si="37"/>
        <v>1</v>
      </c>
      <c r="L183" s="664"/>
      <c r="M183" s="21">
        <f t="shared" si="38"/>
        <v>1</v>
      </c>
      <c r="N183" s="664"/>
      <c r="O183" s="21">
        <f t="shared" si="39"/>
        <v>1</v>
      </c>
      <c r="P183" s="664"/>
      <c r="Q183" s="21">
        <f t="shared" si="40"/>
        <v>1</v>
      </c>
      <c r="R183" s="660">
        <f t="shared" si="41"/>
        <v>0</v>
      </c>
      <c r="S183" s="313">
        <f t="shared" si="32"/>
        <v>0</v>
      </c>
    </row>
    <row r="184" spans="1:19">
      <c r="A184" s="147"/>
      <c r="B184" s="54"/>
      <c r="C184" s="21">
        <f t="shared" si="33"/>
        <v>1</v>
      </c>
      <c r="D184" s="664"/>
      <c r="E184" s="21">
        <f t="shared" si="34"/>
        <v>1</v>
      </c>
      <c r="F184" s="664"/>
      <c r="G184" s="21">
        <f t="shared" si="35"/>
        <v>1</v>
      </c>
      <c r="H184" s="664"/>
      <c r="I184" s="21">
        <f t="shared" si="36"/>
        <v>1</v>
      </c>
      <c r="J184" s="664"/>
      <c r="K184" s="21">
        <f t="shared" si="37"/>
        <v>1</v>
      </c>
      <c r="L184" s="664"/>
      <c r="M184" s="21">
        <f t="shared" si="38"/>
        <v>1</v>
      </c>
      <c r="N184" s="664"/>
      <c r="O184" s="21">
        <f t="shared" si="39"/>
        <v>1</v>
      </c>
      <c r="P184" s="664"/>
      <c r="Q184" s="21">
        <f t="shared" si="40"/>
        <v>1</v>
      </c>
      <c r="R184" s="660">
        <f t="shared" si="41"/>
        <v>0</v>
      </c>
      <c r="S184" s="313">
        <f t="shared" si="32"/>
        <v>0</v>
      </c>
    </row>
    <row r="185" spans="1:19">
      <c r="A185" s="147"/>
      <c r="B185" s="54"/>
      <c r="C185" s="21">
        <f t="shared" si="33"/>
        <v>1</v>
      </c>
      <c r="D185" s="664"/>
      <c r="E185" s="21">
        <f t="shared" si="34"/>
        <v>1</v>
      </c>
      <c r="F185" s="664"/>
      <c r="G185" s="21">
        <f t="shared" si="35"/>
        <v>1</v>
      </c>
      <c r="H185" s="664"/>
      <c r="I185" s="21">
        <f t="shared" si="36"/>
        <v>1</v>
      </c>
      <c r="J185" s="664"/>
      <c r="K185" s="21">
        <f t="shared" si="37"/>
        <v>1</v>
      </c>
      <c r="L185" s="664"/>
      <c r="M185" s="21">
        <f t="shared" si="38"/>
        <v>1</v>
      </c>
      <c r="N185" s="664"/>
      <c r="O185" s="21">
        <f t="shared" si="39"/>
        <v>1</v>
      </c>
      <c r="P185" s="664"/>
      <c r="Q185" s="21">
        <f t="shared" si="40"/>
        <v>1</v>
      </c>
      <c r="R185" s="660">
        <f t="shared" si="41"/>
        <v>0</v>
      </c>
      <c r="S185" s="313">
        <f t="shared" si="32"/>
        <v>0</v>
      </c>
    </row>
    <row r="186" spans="1:19">
      <c r="A186" s="147"/>
      <c r="B186" s="54"/>
      <c r="C186" s="21">
        <f t="shared" si="33"/>
        <v>1</v>
      </c>
      <c r="D186" s="664"/>
      <c r="E186" s="21">
        <f t="shared" si="34"/>
        <v>1</v>
      </c>
      <c r="F186" s="664"/>
      <c r="G186" s="21">
        <f t="shared" si="35"/>
        <v>1</v>
      </c>
      <c r="H186" s="664"/>
      <c r="I186" s="21">
        <f t="shared" si="36"/>
        <v>1</v>
      </c>
      <c r="J186" s="664"/>
      <c r="K186" s="21">
        <f t="shared" si="37"/>
        <v>1</v>
      </c>
      <c r="L186" s="664"/>
      <c r="M186" s="21">
        <f t="shared" si="38"/>
        <v>1</v>
      </c>
      <c r="N186" s="664"/>
      <c r="O186" s="21">
        <f t="shared" si="39"/>
        <v>1</v>
      </c>
      <c r="P186" s="664"/>
      <c r="Q186" s="21">
        <f t="shared" si="40"/>
        <v>1</v>
      </c>
      <c r="R186" s="660">
        <f t="shared" si="41"/>
        <v>0</v>
      </c>
      <c r="S186" s="313">
        <f t="shared" si="32"/>
        <v>0</v>
      </c>
    </row>
    <row r="187" spans="1:19">
      <c r="A187" s="147"/>
      <c r="B187" s="54"/>
      <c r="C187" s="21">
        <f t="shared" si="33"/>
        <v>1</v>
      </c>
      <c r="D187" s="664"/>
      <c r="E187" s="21">
        <f t="shared" si="34"/>
        <v>1</v>
      </c>
      <c r="F187" s="664"/>
      <c r="G187" s="21">
        <f t="shared" si="35"/>
        <v>1</v>
      </c>
      <c r="H187" s="664"/>
      <c r="I187" s="21">
        <f t="shared" si="36"/>
        <v>1</v>
      </c>
      <c r="J187" s="664"/>
      <c r="K187" s="21">
        <f t="shared" si="37"/>
        <v>1</v>
      </c>
      <c r="L187" s="664"/>
      <c r="M187" s="21">
        <f t="shared" si="38"/>
        <v>1</v>
      </c>
      <c r="N187" s="664"/>
      <c r="O187" s="21">
        <f t="shared" si="39"/>
        <v>1</v>
      </c>
      <c r="P187" s="664"/>
      <c r="Q187" s="21">
        <f t="shared" si="40"/>
        <v>1</v>
      </c>
      <c r="R187" s="660">
        <f t="shared" si="41"/>
        <v>0</v>
      </c>
      <c r="S187" s="313">
        <f t="shared" ref="S187:S222" si="42">ROUND(R187*B187/10000,0)</f>
        <v>0</v>
      </c>
    </row>
    <row r="188" spans="1:19">
      <c r="A188" s="147"/>
      <c r="B188" s="54"/>
      <c r="C188" s="21">
        <f t="shared" si="33"/>
        <v>1</v>
      </c>
      <c r="D188" s="664"/>
      <c r="E188" s="21">
        <f t="shared" si="34"/>
        <v>1</v>
      </c>
      <c r="F188" s="664"/>
      <c r="G188" s="21">
        <f t="shared" si="35"/>
        <v>1</v>
      </c>
      <c r="H188" s="664"/>
      <c r="I188" s="21">
        <f t="shared" si="36"/>
        <v>1</v>
      </c>
      <c r="J188" s="664"/>
      <c r="K188" s="21">
        <f t="shared" si="37"/>
        <v>1</v>
      </c>
      <c r="L188" s="664"/>
      <c r="M188" s="21">
        <f t="shared" si="38"/>
        <v>1</v>
      </c>
      <c r="N188" s="664"/>
      <c r="O188" s="21">
        <f t="shared" si="39"/>
        <v>1</v>
      </c>
      <c r="P188" s="664"/>
      <c r="Q188" s="21">
        <f t="shared" si="40"/>
        <v>1</v>
      </c>
      <c r="R188" s="660">
        <f t="shared" si="41"/>
        <v>0</v>
      </c>
      <c r="S188" s="313">
        <f t="shared" si="42"/>
        <v>0</v>
      </c>
    </row>
    <row r="189" spans="1:19">
      <c r="A189" s="147"/>
      <c r="B189" s="54"/>
      <c r="C189" s="21">
        <f t="shared" si="33"/>
        <v>1</v>
      </c>
      <c r="D189" s="664"/>
      <c r="E189" s="21">
        <f t="shared" si="34"/>
        <v>1</v>
      </c>
      <c r="F189" s="664"/>
      <c r="G189" s="21">
        <f t="shared" si="35"/>
        <v>1</v>
      </c>
      <c r="H189" s="664"/>
      <c r="I189" s="21">
        <f t="shared" si="36"/>
        <v>1</v>
      </c>
      <c r="J189" s="664"/>
      <c r="K189" s="21">
        <f t="shared" si="37"/>
        <v>1</v>
      </c>
      <c r="L189" s="664"/>
      <c r="M189" s="21">
        <f t="shared" si="38"/>
        <v>1</v>
      </c>
      <c r="N189" s="664"/>
      <c r="O189" s="21">
        <f t="shared" si="39"/>
        <v>1</v>
      </c>
      <c r="P189" s="664"/>
      <c r="Q189" s="21">
        <f t="shared" si="40"/>
        <v>1</v>
      </c>
      <c r="R189" s="660">
        <f t="shared" si="41"/>
        <v>0</v>
      </c>
      <c r="S189" s="313">
        <f t="shared" si="42"/>
        <v>0</v>
      </c>
    </row>
    <row r="190" spans="1:19">
      <c r="A190" s="147"/>
      <c r="B190" s="54"/>
      <c r="C190" s="21">
        <f t="shared" si="33"/>
        <v>1</v>
      </c>
      <c r="D190" s="664"/>
      <c r="E190" s="21">
        <f t="shared" si="34"/>
        <v>1</v>
      </c>
      <c r="F190" s="664"/>
      <c r="G190" s="21">
        <f t="shared" si="35"/>
        <v>1</v>
      </c>
      <c r="H190" s="664"/>
      <c r="I190" s="21">
        <f t="shared" si="36"/>
        <v>1</v>
      </c>
      <c r="J190" s="664"/>
      <c r="K190" s="21">
        <f t="shared" si="37"/>
        <v>1</v>
      </c>
      <c r="L190" s="664"/>
      <c r="M190" s="21">
        <f t="shared" si="38"/>
        <v>1</v>
      </c>
      <c r="N190" s="664"/>
      <c r="O190" s="21">
        <f t="shared" si="39"/>
        <v>1</v>
      </c>
      <c r="P190" s="664"/>
      <c r="Q190" s="21">
        <f t="shared" si="40"/>
        <v>1</v>
      </c>
      <c r="R190" s="660">
        <f t="shared" si="41"/>
        <v>0</v>
      </c>
      <c r="S190" s="313">
        <f t="shared" si="42"/>
        <v>0</v>
      </c>
    </row>
    <row r="191" spans="1:19">
      <c r="A191" s="147"/>
      <c r="B191" s="54"/>
      <c r="C191" s="21">
        <f t="shared" si="33"/>
        <v>1</v>
      </c>
      <c r="D191" s="664"/>
      <c r="E191" s="21">
        <f t="shared" si="34"/>
        <v>1</v>
      </c>
      <c r="F191" s="664"/>
      <c r="G191" s="21">
        <f t="shared" si="35"/>
        <v>1</v>
      </c>
      <c r="H191" s="664"/>
      <c r="I191" s="21">
        <f t="shared" si="36"/>
        <v>1</v>
      </c>
      <c r="J191" s="664"/>
      <c r="K191" s="21">
        <f t="shared" si="37"/>
        <v>1</v>
      </c>
      <c r="L191" s="664"/>
      <c r="M191" s="21">
        <f t="shared" si="38"/>
        <v>1</v>
      </c>
      <c r="N191" s="664"/>
      <c r="O191" s="21">
        <f t="shared" si="39"/>
        <v>1</v>
      </c>
      <c r="P191" s="664"/>
      <c r="Q191" s="21">
        <f t="shared" si="40"/>
        <v>1</v>
      </c>
      <c r="R191" s="660">
        <f t="shared" si="41"/>
        <v>0</v>
      </c>
      <c r="S191" s="313">
        <f t="shared" si="42"/>
        <v>0</v>
      </c>
    </row>
    <row r="192" spans="1:19">
      <c r="A192" s="147"/>
      <c r="B192" s="54"/>
      <c r="C192" s="21">
        <f t="shared" si="33"/>
        <v>1</v>
      </c>
      <c r="D192" s="664"/>
      <c r="E192" s="21">
        <f t="shared" si="34"/>
        <v>1</v>
      </c>
      <c r="F192" s="664"/>
      <c r="G192" s="21">
        <f t="shared" si="35"/>
        <v>1</v>
      </c>
      <c r="H192" s="664"/>
      <c r="I192" s="21">
        <f t="shared" si="36"/>
        <v>1</v>
      </c>
      <c r="J192" s="664"/>
      <c r="K192" s="21">
        <f t="shared" si="37"/>
        <v>1</v>
      </c>
      <c r="L192" s="664"/>
      <c r="M192" s="21">
        <f t="shared" si="38"/>
        <v>1</v>
      </c>
      <c r="N192" s="664"/>
      <c r="O192" s="21">
        <f t="shared" si="39"/>
        <v>1</v>
      </c>
      <c r="P192" s="664"/>
      <c r="Q192" s="21">
        <f t="shared" si="40"/>
        <v>1</v>
      </c>
      <c r="R192" s="660">
        <f t="shared" si="41"/>
        <v>0</v>
      </c>
      <c r="S192" s="313">
        <f t="shared" si="42"/>
        <v>0</v>
      </c>
    </row>
    <row r="193" spans="1:19">
      <c r="A193" s="147"/>
      <c r="B193" s="54"/>
      <c r="C193" s="21">
        <f t="shared" si="33"/>
        <v>1</v>
      </c>
      <c r="D193" s="664"/>
      <c r="E193" s="21">
        <f t="shared" si="34"/>
        <v>1</v>
      </c>
      <c r="F193" s="664"/>
      <c r="G193" s="21">
        <f t="shared" si="35"/>
        <v>1</v>
      </c>
      <c r="H193" s="664"/>
      <c r="I193" s="21">
        <f t="shared" si="36"/>
        <v>1</v>
      </c>
      <c r="J193" s="664"/>
      <c r="K193" s="21">
        <f t="shared" si="37"/>
        <v>1</v>
      </c>
      <c r="L193" s="664"/>
      <c r="M193" s="21">
        <f t="shared" si="38"/>
        <v>1</v>
      </c>
      <c r="N193" s="664"/>
      <c r="O193" s="21">
        <f t="shared" si="39"/>
        <v>1</v>
      </c>
      <c r="P193" s="664"/>
      <c r="Q193" s="21">
        <f t="shared" si="40"/>
        <v>1</v>
      </c>
      <c r="R193" s="660">
        <f t="shared" si="41"/>
        <v>0</v>
      </c>
      <c r="S193" s="313">
        <f t="shared" si="42"/>
        <v>0</v>
      </c>
    </row>
    <row r="194" spans="1:19">
      <c r="A194" s="147"/>
      <c r="B194" s="54"/>
      <c r="C194" s="21">
        <f t="shared" si="33"/>
        <v>1</v>
      </c>
      <c r="D194" s="664"/>
      <c r="E194" s="21">
        <f t="shared" si="34"/>
        <v>1</v>
      </c>
      <c r="F194" s="664"/>
      <c r="G194" s="21">
        <f t="shared" si="35"/>
        <v>1</v>
      </c>
      <c r="H194" s="664"/>
      <c r="I194" s="21">
        <f t="shared" si="36"/>
        <v>1</v>
      </c>
      <c r="J194" s="664"/>
      <c r="K194" s="21">
        <f t="shared" si="37"/>
        <v>1</v>
      </c>
      <c r="L194" s="664"/>
      <c r="M194" s="21">
        <f t="shared" si="38"/>
        <v>1</v>
      </c>
      <c r="N194" s="664"/>
      <c r="O194" s="21">
        <f t="shared" si="39"/>
        <v>1</v>
      </c>
      <c r="P194" s="664"/>
      <c r="Q194" s="21">
        <f t="shared" si="40"/>
        <v>1</v>
      </c>
      <c r="R194" s="660">
        <f t="shared" si="41"/>
        <v>0</v>
      </c>
      <c r="S194" s="313">
        <f t="shared" si="42"/>
        <v>0</v>
      </c>
    </row>
    <row r="195" spans="1:19">
      <c r="A195" s="147"/>
      <c r="B195" s="54"/>
      <c r="C195" s="21">
        <f t="shared" si="33"/>
        <v>1</v>
      </c>
      <c r="D195" s="664"/>
      <c r="E195" s="21">
        <f t="shared" si="34"/>
        <v>1</v>
      </c>
      <c r="F195" s="664"/>
      <c r="G195" s="21">
        <f t="shared" si="35"/>
        <v>1</v>
      </c>
      <c r="H195" s="664"/>
      <c r="I195" s="21">
        <f t="shared" si="36"/>
        <v>1</v>
      </c>
      <c r="J195" s="664"/>
      <c r="K195" s="21">
        <f t="shared" si="37"/>
        <v>1</v>
      </c>
      <c r="L195" s="664"/>
      <c r="M195" s="21">
        <f t="shared" si="38"/>
        <v>1</v>
      </c>
      <c r="N195" s="664"/>
      <c r="O195" s="21">
        <f t="shared" si="39"/>
        <v>1</v>
      </c>
      <c r="P195" s="664"/>
      <c r="Q195" s="21">
        <f t="shared" si="40"/>
        <v>1</v>
      </c>
      <c r="R195" s="660">
        <f t="shared" si="41"/>
        <v>0</v>
      </c>
      <c r="S195" s="313">
        <f t="shared" si="42"/>
        <v>0</v>
      </c>
    </row>
    <row r="196" spans="1:19">
      <c r="A196" s="147"/>
      <c r="B196" s="54"/>
      <c r="C196" s="21">
        <f t="shared" si="33"/>
        <v>1</v>
      </c>
      <c r="D196" s="664"/>
      <c r="E196" s="21">
        <f t="shared" si="34"/>
        <v>1</v>
      </c>
      <c r="F196" s="664"/>
      <c r="G196" s="21">
        <f t="shared" si="35"/>
        <v>1</v>
      </c>
      <c r="H196" s="664"/>
      <c r="I196" s="21">
        <f t="shared" si="36"/>
        <v>1</v>
      </c>
      <c r="J196" s="664"/>
      <c r="K196" s="21">
        <f t="shared" si="37"/>
        <v>1</v>
      </c>
      <c r="L196" s="664"/>
      <c r="M196" s="21">
        <f t="shared" si="38"/>
        <v>1</v>
      </c>
      <c r="N196" s="664"/>
      <c r="O196" s="21">
        <f t="shared" si="39"/>
        <v>1</v>
      </c>
      <c r="P196" s="664"/>
      <c r="Q196" s="21">
        <f t="shared" si="40"/>
        <v>1</v>
      </c>
      <c r="R196" s="660">
        <f t="shared" si="41"/>
        <v>0</v>
      </c>
      <c r="S196" s="313">
        <f t="shared" si="42"/>
        <v>0</v>
      </c>
    </row>
    <row r="197" spans="1:19">
      <c r="A197" s="147"/>
      <c r="B197" s="54"/>
      <c r="C197" s="21">
        <f t="shared" si="33"/>
        <v>1</v>
      </c>
      <c r="D197" s="664"/>
      <c r="E197" s="21">
        <f t="shared" si="34"/>
        <v>1</v>
      </c>
      <c r="F197" s="664"/>
      <c r="G197" s="21">
        <f t="shared" si="35"/>
        <v>1</v>
      </c>
      <c r="H197" s="664"/>
      <c r="I197" s="21">
        <f t="shared" si="36"/>
        <v>1</v>
      </c>
      <c r="J197" s="664"/>
      <c r="K197" s="21">
        <f t="shared" si="37"/>
        <v>1</v>
      </c>
      <c r="L197" s="664"/>
      <c r="M197" s="21">
        <f t="shared" si="38"/>
        <v>1</v>
      </c>
      <c r="N197" s="664"/>
      <c r="O197" s="21">
        <f t="shared" si="39"/>
        <v>1</v>
      </c>
      <c r="P197" s="664"/>
      <c r="Q197" s="21">
        <f t="shared" si="40"/>
        <v>1</v>
      </c>
      <c r="R197" s="660">
        <f t="shared" si="41"/>
        <v>0</v>
      </c>
      <c r="S197" s="313">
        <f t="shared" si="42"/>
        <v>0</v>
      </c>
    </row>
    <row r="198" spans="1:19">
      <c r="A198" s="147"/>
      <c r="B198" s="54"/>
      <c r="C198" s="21">
        <f t="shared" si="33"/>
        <v>1</v>
      </c>
      <c r="D198" s="664"/>
      <c r="E198" s="21">
        <f t="shared" si="34"/>
        <v>1</v>
      </c>
      <c r="F198" s="664"/>
      <c r="G198" s="21">
        <f t="shared" si="35"/>
        <v>1</v>
      </c>
      <c r="H198" s="664"/>
      <c r="I198" s="21">
        <f t="shared" si="36"/>
        <v>1</v>
      </c>
      <c r="J198" s="664"/>
      <c r="K198" s="21">
        <f t="shared" si="37"/>
        <v>1</v>
      </c>
      <c r="L198" s="664"/>
      <c r="M198" s="21">
        <f t="shared" si="38"/>
        <v>1</v>
      </c>
      <c r="N198" s="664"/>
      <c r="O198" s="21">
        <f t="shared" si="39"/>
        <v>1</v>
      </c>
      <c r="P198" s="664"/>
      <c r="Q198" s="21">
        <f t="shared" si="40"/>
        <v>1</v>
      </c>
      <c r="R198" s="660">
        <f t="shared" si="41"/>
        <v>0</v>
      </c>
      <c r="S198" s="313">
        <f t="shared" si="42"/>
        <v>0</v>
      </c>
    </row>
    <row r="199" spans="1:19">
      <c r="A199" s="147"/>
      <c r="B199" s="54"/>
      <c r="C199" s="21">
        <f t="shared" si="33"/>
        <v>1</v>
      </c>
      <c r="D199" s="664"/>
      <c r="E199" s="21">
        <f t="shared" si="34"/>
        <v>1</v>
      </c>
      <c r="F199" s="664"/>
      <c r="G199" s="21">
        <f t="shared" si="35"/>
        <v>1</v>
      </c>
      <c r="H199" s="664"/>
      <c r="I199" s="21">
        <f t="shared" si="36"/>
        <v>1</v>
      </c>
      <c r="J199" s="664"/>
      <c r="K199" s="21">
        <f t="shared" si="37"/>
        <v>1</v>
      </c>
      <c r="L199" s="664"/>
      <c r="M199" s="21">
        <f t="shared" si="38"/>
        <v>1</v>
      </c>
      <c r="N199" s="664"/>
      <c r="O199" s="21">
        <f t="shared" si="39"/>
        <v>1</v>
      </c>
      <c r="P199" s="664"/>
      <c r="Q199" s="21">
        <f t="shared" si="40"/>
        <v>1</v>
      </c>
      <c r="R199" s="660">
        <f t="shared" si="41"/>
        <v>0</v>
      </c>
      <c r="S199" s="313">
        <f t="shared" si="42"/>
        <v>0</v>
      </c>
    </row>
    <row r="200" spans="1:19">
      <c r="A200" s="147"/>
      <c r="B200" s="54"/>
      <c r="C200" s="21">
        <f t="shared" si="33"/>
        <v>1</v>
      </c>
      <c r="D200" s="664"/>
      <c r="E200" s="21">
        <f t="shared" si="34"/>
        <v>1</v>
      </c>
      <c r="F200" s="664"/>
      <c r="G200" s="21">
        <f t="shared" si="35"/>
        <v>1</v>
      </c>
      <c r="H200" s="664"/>
      <c r="I200" s="21">
        <f t="shared" si="36"/>
        <v>1</v>
      </c>
      <c r="J200" s="664"/>
      <c r="K200" s="21">
        <f t="shared" si="37"/>
        <v>1</v>
      </c>
      <c r="L200" s="664"/>
      <c r="M200" s="21">
        <f t="shared" si="38"/>
        <v>1</v>
      </c>
      <c r="N200" s="664"/>
      <c r="O200" s="21">
        <f t="shared" si="39"/>
        <v>1</v>
      </c>
      <c r="P200" s="664"/>
      <c r="Q200" s="21">
        <f t="shared" si="40"/>
        <v>1</v>
      </c>
      <c r="R200" s="660">
        <f t="shared" si="41"/>
        <v>0</v>
      </c>
      <c r="S200" s="313">
        <f t="shared" si="42"/>
        <v>0</v>
      </c>
    </row>
    <row r="201" spans="1:19">
      <c r="A201" s="147"/>
      <c r="B201" s="54"/>
      <c r="C201" s="21">
        <f t="shared" si="33"/>
        <v>1</v>
      </c>
      <c r="D201" s="664"/>
      <c r="E201" s="21">
        <f t="shared" si="34"/>
        <v>1</v>
      </c>
      <c r="F201" s="664"/>
      <c r="G201" s="21">
        <f t="shared" si="35"/>
        <v>1</v>
      </c>
      <c r="H201" s="664"/>
      <c r="I201" s="21">
        <f t="shared" si="36"/>
        <v>1</v>
      </c>
      <c r="J201" s="664"/>
      <c r="K201" s="21">
        <f t="shared" si="37"/>
        <v>1</v>
      </c>
      <c r="L201" s="664"/>
      <c r="M201" s="21">
        <f t="shared" si="38"/>
        <v>1</v>
      </c>
      <c r="N201" s="664"/>
      <c r="O201" s="21">
        <f t="shared" si="39"/>
        <v>1</v>
      </c>
      <c r="P201" s="664"/>
      <c r="Q201" s="21">
        <f t="shared" si="40"/>
        <v>1</v>
      </c>
      <c r="R201" s="660">
        <f t="shared" si="41"/>
        <v>0</v>
      </c>
      <c r="S201" s="313">
        <f t="shared" si="42"/>
        <v>0</v>
      </c>
    </row>
    <row r="202" spans="1:19">
      <c r="A202" s="147"/>
      <c r="B202" s="54"/>
      <c r="C202" s="21">
        <f t="shared" si="33"/>
        <v>1</v>
      </c>
      <c r="D202" s="664"/>
      <c r="E202" s="21">
        <f t="shared" si="34"/>
        <v>1</v>
      </c>
      <c r="F202" s="664"/>
      <c r="G202" s="21">
        <f t="shared" si="35"/>
        <v>1</v>
      </c>
      <c r="H202" s="664"/>
      <c r="I202" s="21">
        <f t="shared" si="36"/>
        <v>1</v>
      </c>
      <c r="J202" s="664"/>
      <c r="K202" s="21">
        <f t="shared" si="37"/>
        <v>1</v>
      </c>
      <c r="L202" s="664"/>
      <c r="M202" s="21">
        <f t="shared" si="38"/>
        <v>1</v>
      </c>
      <c r="N202" s="664"/>
      <c r="O202" s="21">
        <f t="shared" si="39"/>
        <v>1</v>
      </c>
      <c r="P202" s="664"/>
      <c r="Q202" s="21">
        <f t="shared" si="40"/>
        <v>1</v>
      </c>
      <c r="R202" s="660">
        <f t="shared" si="41"/>
        <v>0</v>
      </c>
      <c r="S202" s="313">
        <f t="shared" si="42"/>
        <v>0</v>
      </c>
    </row>
    <row r="203" spans="1:19">
      <c r="A203" s="147"/>
      <c r="B203" s="54"/>
      <c r="C203" s="21">
        <f t="shared" si="33"/>
        <v>1</v>
      </c>
      <c r="D203" s="664"/>
      <c r="E203" s="21">
        <f t="shared" si="34"/>
        <v>1</v>
      </c>
      <c r="F203" s="664"/>
      <c r="G203" s="21">
        <f t="shared" si="35"/>
        <v>1</v>
      </c>
      <c r="H203" s="664"/>
      <c r="I203" s="21">
        <f t="shared" si="36"/>
        <v>1</v>
      </c>
      <c r="J203" s="664"/>
      <c r="K203" s="21">
        <f t="shared" si="37"/>
        <v>1</v>
      </c>
      <c r="L203" s="664"/>
      <c r="M203" s="21">
        <f t="shared" si="38"/>
        <v>1</v>
      </c>
      <c r="N203" s="664"/>
      <c r="O203" s="21">
        <f t="shared" si="39"/>
        <v>1</v>
      </c>
      <c r="P203" s="664"/>
      <c r="Q203" s="21">
        <f t="shared" si="40"/>
        <v>1</v>
      </c>
      <c r="R203" s="660">
        <f t="shared" si="41"/>
        <v>0</v>
      </c>
      <c r="S203" s="313">
        <f t="shared" si="42"/>
        <v>0</v>
      </c>
    </row>
    <row r="204" spans="1:19">
      <c r="A204" s="147"/>
      <c r="B204" s="54"/>
      <c r="C204" s="21">
        <f t="shared" si="33"/>
        <v>1</v>
      </c>
      <c r="D204" s="664"/>
      <c r="E204" s="21">
        <f t="shared" si="34"/>
        <v>1</v>
      </c>
      <c r="F204" s="664"/>
      <c r="G204" s="21">
        <f t="shared" si="35"/>
        <v>1</v>
      </c>
      <c r="H204" s="664"/>
      <c r="I204" s="21">
        <f t="shared" si="36"/>
        <v>1</v>
      </c>
      <c r="J204" s="664"/>
      <c r="K204" s="21">
        <f t="shared" si="37"/>
        <v>1</v>
      </c>
      <c r="L204" s="664"/>
      <c r="M204" s="21">
        <f t="shared" si="38"/>
        <v>1</v>
      </c>
      <c r="N204" s="664"/>
      <c r="O204" s="21">
        <f t="shared" si="39"/>
        <v>1</v>
      </c>
      <c r="P204" s="664"/>
      <c r="Q204" s="21">
        <f t="shared" si="40"/>
        <v>1</v>
      </c>
      <c r="R204" s="660">
        <f t="shared" si="41"/>
        <v>0</v>
      </c>
      <c r="S204" s="313">
        <f t="shared" si="42"/>
        <v>0</v>
      </c>
    </row>
    <row r="205" spans="1:19">
      <c r="A205" s="147"/>
      <c r="B205" s="54"/>
      <c r="C205" s="21">
        <f t="shared" si="33"/>
        <v>1</v>
      </c>
      <c r="D205" s="664"/>
      <c r="E205" s="21">
        <f t="shared" si="34"/>
        <v>1</v>
      </c>
      <c r="F205" s="664"/>
      <c r="G205" s="21">
        <f t="shared" si="35"/>
        <v>1</v>
      </c>
      <c r="H205" s="664"/>
      <c r="I205" s="21">
        <f t="shared" si="36"/>
        <v>1</v>
      </c>
      <c r="J205" s="664"/>
      <c r="K205" s="21">
        <f t="shared" si="37"/>
        <v>1</v>
      </c>
      <c r="L205" s="664"/>
      <c r="M205" s="21">
        <f t="shared" si="38"/>
        <v>1</v>
      </c>
      <c r="N205" s="664"/>
      <c r="O205" s="21">
        <f t="shared" si="39"/>
        <v>1</v>
      </c>
      <c r="P205" s="664"/>
      <c r="Q205" s="21">
        <f t="shared" si="40"/>
        <v>1</v>
      </c>
      <c r="R205" s="660">
        <f t="shared" si="41"/>
        <v>0</v>
      </c>
      <c r="S205" s="313">
        <f t="shared" si="42"/>
        <v>0</v>
      </c>
    </row>
    <row r="206" spans="1:19">
      <c r="A206" s="147"/>
      <c r="B206" s="54"/>
      <c r="C206" s="21">
        <f t="shared" si="33"/>
        <v>1</v>
      </c>
      <c r="D206" s="664"/>
      <c r="E206" s="21">
        <f t="shared" si="34"/>
        <v>1</v>
      </c>
      <c r="F206" s="664"/>
      <c r="G206" s="21">
        <f t="shared" si="35"/>
        <v>1</v>
      </c>
      <c r="H206" s="664"/>
      <c r="I206" s="21">
        <f t="shared" si="36"/>
        <v>1</v>
      </c>
      <c r="J206" s="664"/>
      <c r="K206" s="21">
        <f t="shared" si="37"/>
        <v>1</v>
      </c>
      <c r="L206" s="664"/>
      <c r="M206" s="21">
        <f t="shared" si="38"/>
        <v>1</v>
      </c>
      <c r="N206" s="664"/>
      <c r="O206" s="21">
        <f t="shared" si="39"/>
        <v>1</v>
      </c>
      <c r="P206" s="664"/>
      <c r="Q206" s="21">
        <f t="shared" si="40"/>
        <v>1</v>
      </c>
      <c r="R206" s="660">
        <f t="shared" si="41"/>
        <v>0</v>
      </c>
      <c r="S206" s="313">
        <f t="shared" si="42"/>
        <v>0</v>
      </c>
    </row>
    <row r="207" spans="1:19">
      <c r="A207" s="147"/>
      <c r="B207" s="54"/>
      <c r="C207" s="21">
        <f t="shared" si="33"/>
        <v>1</v>
      </c>
      <c r="D207" s="664"/>
      <c r="E207" s="21">
        <f t="shared" si="34"/>
        <v>1</v>
      </c>
      <c r="F207" s="664"/>
      <c r="G207" s="21">
        <f t="shared" si="35"/>
        <v>1</v>
      </c>
      <c r="H207" s="664"/>
      <c r="I207" s="21">
        <f t="shared" si="36"/>
        <v>1</v>
      </c>
      <c r="J207" s="664"/>
      <c r="K207" s="21">
        <f t="shared" si="37"/>
        <v>1</v>
      </c>
      <c r="L207" s="664"/>
      <c r="M207" s="21">
        <f t="shared" si="38"/>
        <v>1</v>
      </c>
      <c r="N207" s="664"/>
      <c r="O207" s="21">
        <f t="shared" si="39"/>
        <v>1</v>
      </c>
      <c r="P207" s="664"/>
      <c r="Q207" s="21">
        <f t="shared" si="40"/>
        <v>1</v>
      </c>
      <c r="R207" s="660">
        <f t="shared" si="41"/>
        <v>0</v>
      </c>
      <c r="S207" s="313">
        <f t="shared" si="42"/>
        <v>0</v>
      </c>
    </row>
    <row r="208" spans="1:19">
      <c r="A208" s="147"/>
      <c r="B208" s="54"/>
      <c r="C208" s="21">
        <f t="shared" si="33"/>
        <v>1</v>
      </c>
      <c r="D208" s="664"/>
      <c r="E208" s="21">
        <f t="shared" si="34"/>
        <v>1</v>
      </c>
      <c r="F208" s="664"/>
      <c r="G208" s="21">
        <f t="shared" si="35"/>
        <v>1</v>
      </c>
      <c r="H208" s="664"/>
      <c r="I208" s="21">
        <f t="shared" si="36"/>
        <v>1</v>
      </c>
      <c r="J208" s="664"/>
      <c r="K208" s="21">
        <f t="shared" si="37"/>
        <v>1</v>
      </c>
      <c r="L208" s="664"/>
      <c r="M208" s="21">
        <f t="shared" si="38"/>
        <v>1</v>
      </c>
      <c r="N208" s="664"/>
      <c r="O208" s="21">
        <f t="shared" si="39"/>
        <v>1</v>
      </c>
      <c r="P208" s="664"/>
      <c r="Q208" s="21">
        <f t="shared" si="40"/>
        <v>1</v>
      </c>
      <c r="R208" s="660">
        <f t="shared" si="41"/>
        <v>0</v>
      </c>
      <c r="S208" s="313">
        <f t="shared" si="42"/>
        <v>0</v>
      </c>
    </row>
    <row r="209" spans="1:19">
      <c r="A209" s="147"/>
      <c r="B209" s="54"/>
      <c r="C209" s="21">
        <f t="shared" si="33"/>
        <v>1</v>
      </c>
      <c r="D209" s="664"/>
      <c r="E209" s="21">
        <f t="shared" si="34"/>
        <v>1</v>
      </c>
      <c r="F209" s="664"/>
      <c r="G209" s="21">
        <f t="shared" si="35"/>
        <v>1</v>
      </c>
      <c r="H209" s="664"/>
      <c r="I209" s="21">
        <f t="shared" si="36"/>
        <v>1</v>
      </c>
      <c r="J209" s="664"/>
      <c r="K209" s="21">
        <f t="shared" si="37"/>
        <v>1</v>
      </c>
      <c r="L209" s="664"/>
      <c r="M209" s="21">
        <f t="shared" si="38"/>
        <v>1</v>
      </c>
      <c r="N209" s="664"/>
      <c r="O209" s="21">
        <f t="shared" si="39"/>
        <v>1</v>
      </c>
      <c r="P209" s="664"/>
      <c r="Q209" s="21">
        <f t="shared" si="40"/>
        <v>1</v>
      </c>
      <c r="R209" s="660">
        <f t="shared" si="41"/>
        <v>0</v>
      </c>
      <c r="S209" s="313">
        <f t="shared" si="42"/>
        <v>0</v>
      </c>
    </row>
    <row r="210" spans="1:19">
      <c r="A210" s="147"/>
      <c r="B210" s="54"/>
      <c r="C210" s="21">
        <f t="shared" si="33"/>
        <v>1</v>
      </c>
      <c r="D210" s="664"/>
      <c r="E210" s="21">
        <f t="shared" si="34"/>
        <v>1</v>
      </c>
      <c r="F210" s="664"/>
      <c r="G210" s="21">
        <f t="shared" si="35"/>
        <v>1</v>
      </c>
      <c r="H210" s="664"/>
      <c r="I210" s="21">
        <f t="shared" si="36"/>
        <v>1</v>
      </c>
      <c r="J210" s="664"/>
      <c r="K210" s="21">
        <f t="shared" si="37"/>
        <v>1</v>
      </c>
      <c r="L210" s="664"/>
      <c r="M210" s="21">
        <f t="shared" si="38"/>
        <v>1</v>
      </c>
      <c r="N210" s="664"/>
      <c r="O210" s="21">
        <f t="shared" si="39"/>
        <v>1</v>
      </c>
      <c r="P210" s="664"/>
      <c r="Q210" s="21">
        <f t="shared" si="40"/>
        <v>1</v>
      </c>
      <c r="R210" s="660">
        <f t="shared" si="41"/>
        <v>0</v>
      </c>
      <c r="S210" s="313">
        <f t="shared" si="42"/>
        <v>0</v>
      </c>
    </row>
    <row r="211" spans="1:19">
      <c r="A211" s="147"/>
      <c r="B211" s="54"/>
      <c r="C211" s="21">
        <f t="shared" si="33"/>
        <v>1</v>
      </c>
      <c r="D211" s="664"/>
      <c r="E211" s="21">
        <f t="shared" si="34"/>
        <v>1</v>
      </c>
      <c r="F211" s="664"/>
      <c r="G211" s="21">
        <f t="shared" si="35"/>
        <v>1</v>
      </c>
      <c r="H211" s="664"/>
      <c r="I211" s="21">
        <f t="shared" si="36"/>
        <v>1</v>
      </c>
      <c r="J211" s="664"/>
      <c r="K211" s="21">
        <f t="shared" si="37"/>
        <v>1</v>
      </c>
      <c r="L211" s="664"/>
      <c r="M211" s="21">
        <f t="shared" si="38"/>
        <v>1</v>
      </c>
      <c r="N211" s="664"/>
      <c r="O211" s="21">
        <f t="shared" si="39"/>
        <v>1</v>
      </c>
      <c r="P211" s="664"/>
      <c r="Q211" s="21">
        <f t="shared" si="40"/>
        <v>1</v>
      </c>
      <c r="R211" s="660">
        <f t="shared" si="41"/>
        <v>0</v>
      </c>
      <c r="S211" s="313">
        <f t="shared" si="42"/>
        <v>0</v>
      </c>
    </row>
    <row r="212" spans="1:19">
      <c r="A212" s="147"/>
      <c r="B212" s="54"/>
      <c r="C212" s="21">
        <f t="shared" si="33"/>
        <v>1</v>
      </c>
      <c r="D212" s="664"/>
      <c r="E212" s="21">
        <f t="shared" si="34"/>
        <v>1</v>
      </c>
      <c r="F212" s="664"/>
      <c r="G212" s="21">
        <f t="shared" si="35"/>
        <v>1</v>
      </c>
      <c r="H212" s="664"/>
      <c r="I212" s="21">
        <f t="shared" si="36"/>
        <v>1</v>
      </c>
      <c r="J212" s="664"/>
      <c r="K212" s="21">
        <f t="shared" si="37"/>
        <v>1</v>
      </c>
      <c r="L212" s="664"/>
      <c r="M212" s="21">
        <f t="shared" si="38"/>
        <v>1</v>
      </c>
      <c r="N212" s="664"/>
      <c r="O212" s="21">
        <f t="shared" si="39"/>
        <v>1</v>
      </c>
      <c r="P212" s="664"/>
      <c r="Q212" s="21">
        <f t="shared" si="40"/>
        <v>1</v>
      </c>
      <c r="R212" s="660">
        <f t="shared" si="41"/>
        <v>0</v>
      </c>
      <c r="S212" s="313">
        <f t="shared" si="42"/>
        <v>0</v>
      </c>
    </row>
    <row r="213" spans="1:19">
      <c r="A213" s="147"/>
      <c r="B213" s="54"/>
      <c r="C213" s="21">
        <f t="shared" si="33"/>
        <v>1</v>
      </c>
      <c r="D213" s="664"/>
      <c r="E213" s="21">
        <f t="shared" si="34"/>
        <v>1</v>
      </c>
      <c r="F213" s="664"/>
      <c r="G213" s="21">
        <f t="shared" si="35"/>
        <v>1</v>
      </c>
      <c r="H213" s="664"/>
      <c r="I213" s="21">
        <f t="shared" si="36"/>
        <v>1</v>
      </c>
      <c r="J213" s="664"/>
      <c r="K213" s="21">
        <f t="shared" si="37"/>
        <v>1</v>
      </c>
      <c r="L213" s="664"/>
      <c r="M213" s="21">
        <f t="shared" si="38"/>
        <v>1</v>
      </c>
      <c r="N213" s="664"/>
      <c r="O213" s="21">
        <f t="shared" si="39"/>
        <v>1</v>
      </c>
      <c r="P213" s="664"/>
      <c r="Q213" s="21">
        <f t="shared" si="40"/>
        <v>1</v>
      </c>
      <c r="R213" s="660">
        <f t="shared" si="41"/>
        <v>0</v>
      </c>
      <c r="S213" s="313">
        <f t="shared" si="42"/>
        <v>0</v>
      </c>
    </row>
    <row r="214" spans="1:19">
      <c r="A214" s="147"/>
      <c r="B214" s="54"/>
      <c r="C214" s="21">
        <f t="shared" si="33"/>
        <v>1</v>
      </c>
      <c r="D214" s="664"/>
      <c r="E214" s="21">
        <f t="shared" si="34"/>
        <v>1</v>
      </c>
      <c r="F214" s="664"/>
      <c r="G214" s="21">
        <f t="shared" si="35"/>
        <v>1</v>
      </c>
      <c r="H214" s="664"/>
      <c r="I214" s="21">
        <f t="shared" si="36"/>
        <v>1</v>
      </c>
      <c r="J214" s="664"/>
      <c r="K214" s="21">
        <f t="shared" si="37"/>
        <v>1</v>
      </c>
      <c r="L214" s="664"/>
      <c r="M214" s="21">
        <f t="shared" si="38"/>
        <v>1</v>
      </c>
      <c r="N214" s="664"/>
      <c r="O214" s="21">
        <f t="shared" si="39"/>
        <v>1</v>
      </c>
      <c r="P214" s="664"/>
      <c r="Q214" s="21">
        <f t="shared" si="40"/>
        <v>1</v>
      </c>
      <c r="R214" s="660">
        <f t="shared" si="41"/>
        <v>0</v>
      </c>
      <c r="S214" s="313">
        <f t="shared" si="42"/>
        <v>0</v>
      </c>
    </row>
    <row r="215" spans="1:19">
      <c r="A215" s="147"/>
      <c r="B215" s="54"/>
      <c r="C215" s="21">
        <f t="shared" si="33"/>
        <v>1</v>
      </c>
      <c r="D215" s="664"/>
      <c r="E215" s="21">
        <f t="shared" si="34"/>
        <v>1</v>
      </c>
      <c r="F215" s="664"/>
      <c r="G215" s="21">
        <f t="shared" si="35"/>
        <v>1</v>
      </c>
      <c r="H215" s="664"/>
      <c r="I215" s="21">
        <f t="shared" si="36"/>
        <v>1</v>
      </c>
      <c r="J215" s="664"/>
      <c r="K215" s="21">
        <f t="shared" si="37"/>
        <v>1</v>
      </c>
      <c r="L215" s="664"/>
      <c r="M215" s="21">
        <f t="shared" si="38"/>
        <v>1</v>
      </c>
      <c r="N215" s="664"/>
      <c r="O215" s="21">
        <f t="shared" si="39"/>
        <v>1</v>
      </c>
      <c r="P215" s="664"/>
      <c r="Q215" s="21">
        <f t="shared" si="40"/>
        <v>1</v>
      </c>
      <c r="R215" s="660">
        <f t="shared" si="41"/>
        <v>0</v>
      </c>
      <c r="S215" s="313">
        <f t="shared" si="42"/>
        <v>0</v>
      </c>
    </row>
    <row r="216" spans="1:19">
      <c r="A216" s="147"/>
      <c r="B216" s="54"/>
      <c r="C216" s="21">
        <f t="shared" si="33"/>
        <v>1</v>
      </c>
      <c r="D216" s="664"/>
      <c r="E216" s="21">
        <f t="shared" si="34"/>
        <v>1</v>
      </c>
      <c r="F216" s="664"/>
      <c r="G216" s="21">
        <f t="shared" si="35"/>
        <v>1</v>
      </c>
      <c r="H216" s="664"/>
      <c r="I216" s="21">
        <f t="shared" si="36"/>
        <v>1</v>
      </c>
      <c r="J216" s="664"/>
      <c r="K216" s="21">
        <f t="shared" si="37"/>
        <v>1</v>
      </c>
      <c r="L216" s="664"/>
      <c r="M216" s="21">
        <f t="shared" si="38"/>
        <v>1</v>
      </c>
      <c r="N216" s="664"/>
      <c r="O216" s="21">
        <f t="shared" si="39"/>
        <v>1</v>
      </c>
      <c r="P216" s="664"/>
      <c r="Q216" s="21">
        <f t="shared" si="40"/>
        <v>1</v>
      </c>
      <c r="R216" s="660">
        <f t="shared" si="41"/>
        <v>0</v>
      </c>
      <c r="S216" s="313">
        <f t="shared" si="42"/>
        <v>0</v>
      </c>
    </row>
    <row r="217" spans="1:19">
      <c r="A217" s="147"/>
      <c r="B217" s="54"/>
      <c r="C217" s="21">
        <f t="shared" si="33"/>
        <v>1</v>
      </c>
      <c r="D217" s="664"/>
      <c r="E217" s="21">
        <f t="shared" si="34"/>
        <v>1</v>
      </c>
      <c r="F217" s="664"/>
      <c r="G217" s="21">
        <f t="shared" si="35"/>
        <v>1</v>
      </c>
      <c r="H217" s="664"/>
      <c r="I217" s="21">
        <f t="shared" si="36"/>
        <v>1</v>
      </c>
      <c r="J217" s="664"/>
      <c r="K217" s="21">
        <f t="shared" si="37"/>
        <v>1</v>
      </c>
      <c r="L217" s="664"/>
      <c r="M217" s="21">
        <f t="shared" si="38"/>
        <v>1</v>
      </c>
      <c r="N217" s="664"/>
      <c r="O217" s="21">
        <f t="shared" si="39"/>
        <v>1</v>
      </c>
      <c r="P217" s="664"/>
      <c r="Q217" s="21">
        <f t="shared" si="40"/>
        <v>1</v>
      </c>
      <c r="R217" s="660">
        <f t="shared" si="41"/>
        <v>0</v>
      </c>
      <c r="S217" s="313">
        <f t="shared" si="42"/>
        <v>0</v>
      </c>
    </row>
    <row r="218" spans="1:19">
      <c r="A218" s="147"/>
      <c r="B218" s="54"/>
      <c r="C218" s="21">
        <f t="shared" ref="C218:C281" si="43">IF(B218="",1,(LOOKUP(B218,$3:$3,$4:$4)-LOOKUP($B$24,$3:$3,$4:$4)+100)/100)</f>
        <v>1</v>
      </c>
      <c r="D218" s="664"/>
      <c r="E218" s="21">
        <f t="shared" ref="E218:E281" si="44">(SUMIF($5:$5,D218,$6:$6)-SUMIF($5:$5,$D$24,$6:$6)+100)/100</f>
        <v>1</v>
      </c>
      <c r="F218" s="664"/>
      <c r="G218" s="21">
        <f t="shared" ref="G218:G281" si="45">(SUMIF($7:$7,F218,$8:$8)-SUMIF($7:$7,$F$24,$8:$8)+100)/100</f>
        <v>1</v>
      </c>
      <c r="H218" s="664"/>
      <c r="I218" s="21">
        <f t="shared" ref="I218:I281" si="46">(SUMIF($9:$9,H218,$10:$10)-SUMIF($9:$9,$H$24,$10:$10)+100)/100</f>
        <v>1</v>
      </c>
      <c r="J218" s="664"/>
      <c r="K218" s="21">
        <f t="shared" ref="K218:K281" si="47">(SUMIF($11:$11,J218,$12:$12)-SUMIF($11:$11,$J$24,$12:$12)+100)/100</f>
        <v>1</v>
      </c>
      <c r="L218" s="664"/>
      <c r="M218" s="21">
        <f t="shared" ref="M218:M281" si="48">(SUMIF($13:$13,L218,$14:$14)-SUMIF($13:$13,$L$24,$14:$14)+100)/100</f>
        <v>1</v>
      </c>
      <c r="N218" s="664"/>
      <c r="O218" s="21">
        <f t="shared" ref="O218:O281" si="49">(SUMIF($15:$15,N218,$16:$16)-SUMIF($15:$15,$N$24,$16:$16)+100)/100</f>
        <v>1</v>
      </c>
      <c r="P218" s="664"/>
      <c r="Q218" s="21">
        <f t="shared" ref="Q218:Q281" si="50">(SUMIF($17:$17,P218,$18:$18)-SUMIF($17:$17,$P$24,$18:$18)+100)/100</f>
        <v>1</v>
      </c>
      <c r="R218" s="660">
        <f t="shared" ref="R218:R281" si="51">IF(B218="",0,ROUND($R$24*C218*E218*G218*I218*K218*M218*O218*Q218,0))</f>
        <v>0</v>
      </c>
      <c r="S218" s="313">
        <f t="shared" si="42"/>
        <v>0</v>
      </c>
    </row>
    <row r="219" spans="1:19">
      <c r="A219" s="147"/>
      <c r="B219" s="54"/>
      <c r="C219" s="21">
        <f t="shared" si="43"/>
        <v>1</v>
      </c>
      <c r="D219" s="664"/>
      <c r="E219" s="21">
        <f t="shared" si="44"/>
        <v>1</v>
      </c>
      <c r="F219" s="664"/>
      <c r="G219" s="21">
        <f t="shared" si="45"/>
        <v>1</v>
      </c>
      <c r="H219" s="664"/>
      <c r="I219" s="21">
        <f t="shared" si="46"/>
        <v>1</v>
      </c>
      <c r="J219" s="664"/>
      <c r="K219" s="21">
        <f t="shared" si="47"/>
        <v>1</v>
      </c>
      <c r="L219" s="664"/>
      <c r="M219" s="21">
        <f t="shared" si="48"/>
        <v>1</v>
      </c>
      <c r="N219" s="664"/>
      <c r="O219" s="21">
        <f t="shared" si="49"/>
        <v>1</v>
      </c>
      <c r="P219" s="664"/>
      <c r="Q219" s="21">
        <f t="shared" si="50"/>
        <v>1</v>
      </c>
      <c r="R219" s="660">
        <f t="shared" si="51"/>
        <v>0</v>
      </c>
      <c r="S219" s="313">
        <f t="shared" si="42"/>
        <v>0</v>
      </c>
    </row>
    <row r="220" spans="1:19">
      <c r="A220" s="147"/>
      <c r="B220" s="54"/>
      <c r="C220" s="21">
        <f t="shared" si="43"/>
        <v>1</v>
      </c>
      <c r="D220" s="664"/>
      <c r="E220" s="21">
        <f t="shared" si="44"/>
        <v>1</v>
      </c>
      <c r="F220" s="664"/>
      <c r="G220" s="21">
        <f t="shared" si="45"/>
        <v>1</v>
      </c>
      <c r="H220" s="664"/>
      <c r="I220" s="21">
        <f t="shared" si="46"/>
        <v>1</v>
      </c>
      <c r="J220" s="664"/>
      <c r="K220" s="21">
        <f t="shared" si="47"/>
        <v>1</v>
      </c>
      <c r="L220" s="664"/>
      <c r="M220" s="21">
        <f t="shared" si="48"/>
        <v>1</v>
      </c>
      <c r="N220" s="664"/>
      <c r="O220" s="21">
        <f t="shared" si="49"/>
        <v>1</v>
      </c>
      <c r="P220" s="664"/>
      <c r="Q220" s="21">
        <f t="shared" si="50"/>
        <v>1</v>
      </c>
      <c r="R220" s="660">
        <f t="shared" si="51"/>
        <v>0</v>
      </c>
      <c r="S220" s="313">
        <f t="shared" si="42"/>
        <v>0</v>
      </c>
    </row>
    <row r="221" spans="1:19">
      <c r="A221" s="147"/>
      <c r="B221" s="54"/>
      <c r="C221" s="21">
        <f t="shared" si="43"/>
        <v>1</v>
      </c>
      <c r="D221" s="664"/>
      <c r="E221" s="21">
        <f t="shared" si="44"/>
        <v>1</v>
      </c>
      <c r="F221" s="664"/>
      <c r="G221" s="21">
        <f t="shared" si="45"/>
        <v>1</v>
      </c>
      <c r="H221" s="664"/>
      <c r="I221" s="21">
        <f t="shared" si="46"/>
        <v>1</v>
      </c>
      <c r="J221" s="664"/>
      <c r="K221" s="21">
        <f t="shared" si="47"/>
        <v>1</v>
      </c>
      <c r="L221" s="664"/>
      <c r="M221" s="21">
        <f t="shared" si="48"/>
        <v>1</v>
      </c>
      <c r="N221" s="664"/>
      <c r="O221" s="21">
        <f t="shared" si="49"/>
        <v>1</v>
      </c>
      <c r="P221" s="664"/>
      <c r="Q221" s="21">
        <f t="shared" si="50"/>
        <v>1</v>
      </c>
      <c r="R221" s="660">
        <f t="shared" si="51"/>
        <v>0</v>
      </c>
      <c r="S221" s="313">
        <f t="shared" si="42"/>
        <v>0</v>
      </c>
    </row>
    <row r="222" spans="1:19">
      <c r="A222" s="147"/>
      <c r="B222" s="54"/>
      <c r="C222" s="21">
        <f t="shared" si="43"/>
        <v>1</v>
      </c>
      <c r="D222" s="664"/>
      <c r="E222" s="21">
        <f t="shared" si="44"/>
        <v>1</v>
      </c>
      <c r="F222" s="664"/>
      <c r="G222" s="21">
        <f t="shared" si="45"/>
        <v>1</v>
      </c>
      <c r="H222" s="664"/>
      <c r="I222" s="21">
        <f t="shared" si="46"/>
        <v>1</v>
      </c>
      <c r="J222" s="664"/>
      <c r="K222" s="21">
        <f t="shared" si="47"/>
        <v>1</v>
      </c>
      <c r="L222" s="664"/>
      <c r="M222" s="21">
        <f t="shared" si="48"/>
        <v>1</v>
      </c>
      <c r="N222" s="664"/>
      <c r="O222" s="21">
        <f t="shared" si="49"/>
        <v>1</v>
      </c>
      <c r="P222" s="664"/>
      <c r="Q222" s="21">
        <f t="shared" si="50"/>
        <v>1</v>
      </c>
      <c r="R222" s="660">
        <f t="shared" si="51"/>
        <v>0</v>
      </c>
      <c r="S222" s="313">
        <f t="shared" si="42"/>
        <v>0</v>
      </c>
    </row>
    <row r="223" spans="1:19">
      <c r="A223" s="147"/>
      <c r="B223" s="54"/>
      <c r="C223" s="21">
        <f t="shared" si="43"/>
        <v>1</v>
      </c>
      <c r="D223" s="664"/>
      <c r="E223" s="21">
        <f t="shared" si="44"/>
        <v>1</v>
      </c>
      <c r="F223" s="664"/>
      <c r="G223" s="21">
        <f t="shared" si="45"/>
        <v>1</v>
      </c>
      <c r="H223" s="664"/>
      <c r="I223" s="21">
        <f t="shared" si="46"/>
        <v>1</v>
      </c>
      <c r="J223" s="664"/>
      <c r="K223" s="21">
        <f t="shared" si="47"/>
        <v>1</v>
      </c>
      <c r="L223" s="664"/>
      <c r="M223" s="21">
        <f t="shared" si="48"/>
        <v>1</v>
      </c>
      <c r="N223" s="664"/>
      <c r="O223" s="21">
        <f t="shared" si="49"/>
        <v>1</v>
      </c>
      <c r="P223" s="664"/>
      <c r="Q223" s="21">
        <f t="shared" si="50"/>
        <v>1</v>
      </c>
      <c r="R223" s="660">
        <f t="shared" si="51"/>
        <v>0</v>
      </c>
      <c r="S223" s="313">
        <f t="shared" ref="S223:S286" si="52">ROUND(R223*B223/10000,0)</f>
        <v>0</v>
      </c>
    </row>
    <row r="224" spans="1:19">
      <c r="A224" s="147"/>
      <c r="B224" s="54"/>
      <c r="C224" s="21">
        <f t="shared" si="43"/>
        <v>1</v>
      </c>
      <c r="D224" s="664"/>
      <c r="E224" s="21">
        <f t="shared" si="44"/>
        <v>1</v>
      </c>
      <c r="F224" s="664"/>
      <c r="G224" s="21">
        <f t="shared" si="45"/>
        <v>1</v>
      </c>
      <c r="H224" s="664"/>
      <c r="I224" s="21">
        <f t="shared" si="46"/>
        <v>1</v>
      </c>
      <c r="J224" s="664"/>
      <c r="K224" s="21">
        <f t="shared" si="47"/>
        <v>1</v>
      </c>
      <c r="L224" s="664"/>
      <c r="M224" s="21">
        <f t="shared" si="48"/>
        <v>1</v>
      </c>
      <c r="N224" s="664"/>
      <c r="O224" s="21">
        <f t="shared" si="49"/>
        <v>1</v>
      </c>
      <c r="P224" s="664"/>
      <c r="Q224" s="21">
        <f t="shared" si="50"/>
        <v>1</v>
      </c>
      <c r="R224" s="660">
        <f t="shared" si="51"/>
        <v>0</v>
      </c>
      <c r="S224" s="313">
        <f t="shared" si="52"/>
        <v>0</v>
      </c>
    </row>
    <row r="225" spans="1:19">
      <c r="A225" s="147"/>
      <c r="B225" s="54"/>
      <c r="C225" s="21">
        <f t="shared" si="43"/>
        <v>1</v>
      </c>
      <c r="D225" s="664"/>
      <c r="E225" s="21">
        <f t="shared" si="44"/>
        <v>1</v>
      </c>
      <c r="F225" s="664"/>
      <c r="G225" s="21">
        <f t="shared" si="45"/>
        <v>1</v>
      </c>
      <c r="H225" s="664"/>
      <c r="I225" s="21">
        <f t="shared" si="46"/>
        <v>1</v>
      </c>
      <c r="J225" s="664"/>
      <c r="K225" s="21">
        <f t="shared" si="47"/>
        <v>1</v>
      </c>
      <c r="L225" s="664"/>
      <c r="M225" s="21">
        <f t="shared" si="48"/>
        <v>1</v>
      </c>
      <c r="N225" s="664"/>
      <c r="O225" s="21">
        <f t="shared" si="49"/>
        <v>1</v>
      </c>
      <c r="P225" s="664"/>
      <c r="Q225" s="21">
        <f t="shared" si="50"/>
        <v>1</v>
      </c>
      <c r="R225" s="660">
        <f t="shared" si="51"/>
        <v>0</v>
      </c>
      <c r="S225" s="313">
        <f t="shared" si="52"/>
        <v>0</v>
      </c>
    </row>
    <row r="226" spans="1:19">
      <c r="A226" s="147"/>
      <c r="B226" s="54"/>
      <c r="C226" s="21">
        <f t="shared" si="43"/>
        <v>1</v>
      </c>
      <c r="D226" s="664"/>
      <c r="E226" s="21">
        <f t="shared" si="44"/>
        <v>1</v>
      </c>
      <c r="F226" s="664"/>
      <c r="G226" s="21">
        <f t="shared" si="45"/>
        <v>1</v>
      </c>
      <c r="H226" s="664"/>
      <c r="I226" s="21">
        <f t="shared" si="46"/>
        <v>1</v>
      </c>
      <c r="J226" s="664"/>
      <c r="K226" s="21">
        <f t="shared" si="47"/>
        <v>1</v>
      </c>
      <c r="L226" s="664"/>
      <c r="M226" s="21">
        <f t="shared" si="48"/>
        <v>1</v>
      </c>
      <c r="N226" s="664"/>
      <c r="O226" s="21">
        <f t="shared" si="49"/>
        <v>1</v>
      </c>
      <c r="P226" s="664"/>
      <c r="Q226" s="21">
        <f t="shared" si="50"/>
        <v>1</v>
      </c>
      <c r="R226" s="660">
        <f t="shared" si="51"/>
        <v>0</v>
      </c>
      <c r="S226" s="313">
        <f t="shared" si="52"/>
        <v>0</v>
      </c>
    </row>
    <row r="227" spans="1:19">
      <c r="A227" s="147"/>
      <c r="B227" s="54"/>
      <c r="C227" s="21">
        <f t="shared" si="43"/>
        <v>1</v>
      </c>
      <c r="D227" s="664"/>
      <c r="E227" s="21">
        <f t="shared" si="44"/>
        <v>1</v>
      </c>
      <c r="F227" s="664"/>
      <c r="G227" s="21">
        <f t="shared" si="45"/>
        <v>1</v>
      </c>
      <c r="H227" s="664"/>
      <c r="I227" s="21">
        <f t="shared" si="46"/>
        <v>1</v>
      </c>
      <c r="J227" s="664"/>
      <c r="K227" s="21">
        <f t="shared" si="47"/>
        <v>1</v>
      </c>
      <c r="L227" s="664"/>
      <c r="M227" s="21">
        <f t="shared" si="48"/>
        <v>1</v>
      </c>
      <c r="N227" s="664"/>
      <c r="O227" s="21">
        <f t="shared" si="49"/>
        <v>1</v>
      </c>
      <c r="P227" s="664"/>
      <c r="Q227" s="21">
        <f t="shared" si="50"/>
        <v>1</v>
      </c>
      <c r="R227" s="660">
        <f t="shared" si="51"/>
        <v>0</v>
      </c>
      <c r="S227" s="313">
        <f t="shared" si="52"/>
        <v>0</v>
      </c>
    </row>
    <row r="228" spans="1:19">
      <c r="A228" s="147"/>
      <c r="B228" s="54"/>
      <c r="C228" s="21">
        <f t="shared" si="43"/>
        <v>1</v>
      </c>
      <c r="D228" s="664"/>
      <c r="E228" s="21">
        <f t="shared" si="44"/>
        <v>1</v>
      </c>
      <c r="F228" s="664"/>
      <c r="G228" s="21">
        <f t="shared" si="45"/>
        <v>1</v>
      </c>
      <c r="H228" s="664"/>
      <c r="I228" s="21">
        <f t="shared" si="46"/>
        <v>1</v>
      </c>
      <c r="J228" s="664"/>
      <c r="K228" s="21">
        <f t="shared" si="47"/>
        <v>1</v>
      </c>
      <c r="L228" s="664"/>
      <c r="M228" s="21">
        <f t="shared" si="48"/>
        <v>1</v>
      </c>
      <c r="N228" s="664"/>
      <c r="O228" s="21">
        <f t="shared" si="49"/>
        <v>1</v>
      </c>
      <c r="P228" s="664"/>
      <c r="Q228" s="21">
        <f t="shared" si="50"/>
        <v>1</v>
      </c>
      <c r="R228" s="660">
        <f t="shared" si="51"/>
        <v>0</v>
      </c>
      <c r="S228" s="313">
        <f t="shared" si="52"/>
        <v>0</v>
      </c>
    </row>
    <row r="229" spans="1:19">
      <c r="A229" s="147"/>
      <c r="B229" s="54"/>
      <c r="C229" s="21">
        <f t="shared" si="43"/>
        <v>1</v>
      </c>
      <c r="D229" s="664"/>
      <c r="E229" s="21">
        <f t="shared" si="44"/>
        <v>1</v>
      </c>
      <c r="F229" s="664"/>
      <c r="G229" s="21">
        <f t="shared" si="45"/>
        <v>1</v>
      </c>
      <c r="H229" s="664"/>
      <c r="I229" s="21">
        <f t="shared" si="46"/>
        <v>1</v>
      </c>
      <c r="J229" s="664"/>
      <c r="K229" s="21">
        <f t="shared" si="47"/>
        <v>1</v>
      </c>
      <c r="L229" s="664"/>
      <c r="M229" s="21">
        <f t="shared" si="48"/>
        <v>1</v>
      </c>
      <c r="N229" s="664"/>
      <c r="O229" s="21">
        <f t="shared" si="49"/>
        <v>1</v>
      </c>
      <c r="P229" s="664"/>
      <c r="Q229" s="21">
        <f t="shared" si="50"/>
        <v>1</v>
      </c>
      <c r="R229" s="660">
        <f t="shared" si="51"/>
        <v>0</v>
      </c>
      <c r="S229" s="313">
        <f t="shared" si="52"/>
        <v>0</v>
      </c>
    </row>
    <row r="230" spans="1:19">
      <c r="A230" s="147"/>
      <c r="B230" s="54"/>
      <c r="C230" s="21">
        <f t="shared" si="43"/>
        <v>1</v>
      </c>
      <c r="D230" s="664"/>
      <c r="E230" s="21">
        <f t="shared" si="44"/>
        <v>1</v>
      </c>
      <c r="F230" s="664"/>
      <c r="G230" s="21">
        <f t="shared" si="45"/>
        <v>1</v>
      </c>
      <c r="H230" s="664"/>
      <c r="I230" s="21">
        <f t="shared" si="46"/>
        <v>1</v>
      </c>
      <c r="J230" s="664"/>
      <c r="K230" s="21">
        <f t="shared" si="47"/>
        <v>1</v>
      </c>
      <c r="L230" s="664"/>
      <c r="M230" s="21">
        <f t="shared" si="48"/>
        <v>1</v>
      </c>
      <c r="N230" s="664"/>
      <c r="O230" s="21">
        <f t="shared" si="49"/>
        <v>1</v>
      </c>
      <c r="P230" s="664"/>
      <c r="Q230" s="21">
        <f t="shared" si="50"/>
        <v>1</v>
      </c>
      <c r="R230" s="660">
        <f t="shared" si="51"/>
        <v>0</v>
      </c>
      <c r="S230" s="313">
        <f t="shared" si="52"/>
        <v>0</v>
      </c>
    </row>
    <row r="231" spans="1:19">
      <c r="A231" s="147"/>
      <c r="B231" s="54"/>
      <c r="C231" s="21">
        <f t="shared" si="43"/>
        <v>1</v>
      </c>
      <c r="D231" s="664"/>
      <c r="E231" s="21">
        <f t="shared" si="44"/>
        <v>1</v>
      </c>
      <c r="F231" s="664"/>
      <c r="G231" s="21">
        <f t="shared" si="45"/>
        <v>1</v>
      </c>
      <c r="H231" s="664"/>
      <c r="I231" s="21">
        <f t="shared" si="46"/>
        <v>1</v>
      </c>
      <c r="J231" s="664"/>
      <c r="K231" s="21">
        <f t="shared" si="47"/>
        <v>1</v>
      </c>
      <c r="L231" s="664"/>
      <c r="M231" s="21">
        <f t="shared" si="48"/>
        <v>1</v>
      </c>
      <c r="N231" s="664"/>
      <c r="O231" s="21">
        <f t="shared" si="49"/>
        <v>1</v>
      </c>
      <c r="P231" s="664"/>
      <c r="Q231" s="21">
        <f t="shared" si="50"/>
        <v>1</v>
      </c>
      <c r="R231" s="660">
        <f t="shared" si="51"/>
        <v>0</v>
      </c>
      <c r="S231" s="313">
        <f t="shared" si="52"/>
        <v>0</v>
      </c>
    </row>
    <row r="232" spans="1:19">
      <c r="A232" s="147"/>
      <c r="B232" s="54"/>
      <c r="C232" s="21">
        <f t="shared" si="43"/>
        <v>1</v>
      </c>
      <c r="D232" s="664"/>
      <c r="E232" s="21">
        <f t="shared" si="44"/>
        <v>1</v>
      </c>
      <c r="F232" s="664"/>
      <c r="G232" s="21">
        <f t="shared" si="45"/>
        <v>1</v>
      </c>
      <c r="H232" s="664"/>
      <c r="I232" s="21">
        <f t="shared" si="46"/>
        <v>1</v>
      </c>
      <c r="J232" s="664"/>
      <c r="K232" s="21">
        <f t="shared" si="47"/>
        <v>1</v>
      </c>
      <c r="L232" s="664"/>
      <c r="M232" s="21">
        <f t="shared" si="48"/>
        <v>1</v>
      </c>
      <c r="N232" s="664"/>
      <c r="O232" s="21">
        <f t="shared" si="49"/>
        <v>1</v>
      </c>
      <c r="P232" s="664"/>
      <c r="Q232" s="21">
        <f t="shared" si="50"/>
        <v>1</v>
      </c>
      <c r="R232" s="660">
        <f t="shared" si="51"/>
        <v>0</v>
      </c>
      <c r="S232" s="313">
        <f t="shared" si="52"/>
        <v>0</v>
      </c>
    </row>
    <row r="233" spans="1:19">
      <c r="A233" s="147"/>
      <c r="B233" s="54"/>
      <c r="C233" s="21">
        <f t="shared" si="43"/>
        <v>1</v>
      </c>
      <c r="D233" s="664"/>
      <c r="E233" s="21">
        <f t="shared" si="44"/>
        <v>1</v>
      </c>
      <c r="F233" s="664"/>
      <c r="G233" s="21">
        <f t="shared" si="45"/>
        <v>1</v>
      </c>
      <c r="H233" s="664"/>
      <c r="I233" s="21">
        <f t="shared" si="46"/>
        <v>1</v>
      </c>
      <c r="J233" s="664"/>
      <c r="K233" s="21">
        <f t="shared" si="47"/>
        <v>1</v>
      </c>
      <c r="L233" s="664"/>
      <c r="M233" s="21">
        <f t="shared" si="48"/>
        <v>1</v>
      </c>
      <c r="N233" s="664"/>
      <c r="O233" s="21">
        <f t="shared" si="49"/>
        <v>1</v>
      </c>
      <c r="P233" s="664"/>
      <c r="Q233" s="21">
        <f t="shared" si="50"/>
        <v>1</v>
      </c>
      <c r="R233" s="660">
        <f t="shared" si="51"/>
        <v>0</v>
      </c>
      <c r="S233" s="313">
        <f t="shared" si="52"/>
        <v>0</v>
      </c>
    </row>
    <row r="234" spans="1:19">
      <c r="A234" s="147"/>
      <c r="B234" s="54"/>
      <c r="C234" s="21">
        <f t="shared" si="43"/>
        <v>1</v>
      </c>
      <c r="D234" s="664"/>
      <c r="E234" s="21">
        <f t="shared" si="44"/>
        <v>1</v>
      </c>
      <c r="F234" s="664"/>
      <c r="G234" s="21">
        <f t="shared" si="45"/>
        <v>1</v>
      </c>
      <c r="H234" s="664"/>
      <c r="I234" s="21">
        <f t="shared" si="46"/>
        <v>1</v>
      </c>
      <c r="J234" s="664"/>
      <c r="K234" s="21">
        <f t="shared" si="47"/>
        <v>1</v>
      </c>
      <c r="L234" s="664"/>
      <c r="M234" s="21">
        <f t="shared" si="48"/>
        <v>1</v>
      </c>
      <c r="N234" s="664"/>
      <c r="O234" s="21">
        <f t="shared" si="49"/>
        <v>1</v>
      </c>
      <c r="P234" s="664"/>
      <c r="Q234" s="21">
        <f t="shared" si="50"/>
        <v>1</v>
      </c>
      <c r="R234" s="660">
        <f t="shared" si="51"/>
        <v>0</v>
      </c>
      <c r="S234" s="313">
        <f t="shared" si="52"/>
        <v>0</v>
      </c>
    </row>
    <row r="235" spans="1:19">
      <c r="A235" s="147"/>
      <c r="B235" s="54"/>
      <c r="C235" s="21">
        <f t="shared" si="43"/>
        <v>1</v>
      </c>
      <c r="D235" s="664"/>
      <c r="E235" s="21">
        <f t="shared" si="44"/>
        <v>1</v>
      </c>
      <c r="F235" s="664"/>
      <c r="G235" s="21">
        <f t="shared" si="45"/>
        <v>1</v>
      </c>
      <c r="H235" s="664"/>
      <c r="I235" s="21">
        <f t="shared" si="46"/>
        <v>1</v>
      </c>
      <c r="J235" s="664"/>
      <c r="K235" s="21">
        <f t="shared" si="47"/>
        <v>1</v>
      </c>
      <c r="L235" s="664"/>
      <c r="M235" s="21">
        <f t="shared" si="48"/>
        <v>1</v>
      </c>
      <c r="N235" s="664"/>
      <c r="O235" s="21">
        <f t="shared" si="49"/>
        <v>1</v>
      </c>
      <c r="P235" s="664"/>
      <c r="Q235" s="21">
        <f t="shared" si="50"/>
        <v>1</v>
      </c>
      <c r="R235" s="660">
        <f t="shared" si="51"/>
        <v>0</v>
      </c>
      <c r="S235" s="313">
        <f t="shared" si="52"/>
        <v>0</v>
      </c>
    </row>
    <row r="236" spans="1:19">
      <c r="A236" s="147"/>
      <c r="B236" s="54"/>
      <c r="C236" s="21">
        <f t="shared" si="43"/>
        <v>1</v>
      </c>
      <c r="D236" s="664"/>
      <c r="E236" s="21">
        <f t="shared" si="44"/>
        <v>1</v>
      </c>
      <c r="F236" s="664"/>
      <c r="G236" s="21">
        <f t="shared" si="45"/>
        <v>1</v>
      </c>
      <c r="H236" s="664"/>
      <c r="I236" s="21">
        <f t="shared" si="46"/>
        <v>1</v>
      </c>
      <c r="J236" s="664"/>
      <c r="K236" s="21">
        <f t="shared" si="47"/>
        <v>1</v>
      </c>
      <c r="L236" s="664"/>
      <c r="M236" s="21">
        <f t="shared" si="48"/>
        <v>1</v>
      </c>
      <c r="N236" s="664"/>
      <c r="O236" s="21">
        <f t="shared" si="49"/>
        <v>1</v>
      </c>
      <c r="P236" s="664"/>
      <c r="Q236" s="21">
        <f t="shared" si="50"/>
        <v>1</v>
      </c>
      <c r="R236" s="660">
        <f t="shared" si="51"/>
        <v>0</v>
      </c>
      <c r="S236" s="313">
        <f t="shared" si="52"/>
        <v>0</v>
      </c>
    </row>
    <row r="237" spans="1:19">
      <c r="A237" s="147"/>
      <c r="B237" s="54"/>
      <c r="C237" s="21">
        <f t="shared" si="43"/>
        <v>1</v>
      </c>
      <c r="D237" s="664"/>
      <c r="E237" s="21">
        <f t="shared" si="44"/>
        <v>1</v>
      </c>
      <c r="F237" s="664"/>
      <c r="G237" s="21">
        <f t="shared" si="45"/>
        <v>1</v>
      </c>
      <c r="H237" s="664"/>
      <c r="I237" s="21">
        <f t="shared" si="46"/>
        <v>1</v>
      </c>
      <c r="J237" s="664"/>
      <c r="K237" s="21">
        <f t="shared" si="47"/>
        <v>1</v>
      </c>
      <c r="L237" s="664"/>
      <c r="M237" s="21">
        <f t="shared" si="48"/>
        <v>1</v>
      </c>
      <c r="N237" s="664"/>
      <c r="O237" s="21">
        <f t="shared" si="49"/>
        <v>1</v>
      </c>
      <c r="P237" s="664"/>
      <c r="Q237" s="21">
        <f t="shared" si="50"/>
        <v>1</v>
      </c>
      <c r="R237" s="660">
        <f t="shared" si="51"/>
        <v>0</v>
      </c>
      <c r="S237" s="313">
        <f t="shared" si="52"/>
        <v>0</v>
      </c>
    </row>
    <row r="238" spans="1:19">
      <c r="A238" s="147"/>
      <c r="B238" s="54"/>
      <c r="C238" s="21">
        <f t="shared" si="43"/>
        <v>1</v>
      </c>
      <c r="D238" s="664"/>
      <c r="E238" s="21">
        <f t="shared" si="44"/>
        <v>1</v>
      </c>
      <c r="F238" s="664"/>
      <c r="G238" s="21">
        <f t="shared" si="45"/>
        <v>1</v>
      </c>
      <c r="H238" s="664"/>
      <c r="I238" s="21">
        <f t="shared" si="46"/>
        <v>1</v>
      </c>
      <c r="J238" s="664"/>
      <c r="K238" s="21">
        <f t="shared" si="47"/>
        <v>1</v>
      </c>
      <c r="L238" s="664"/>
      <c r="M238" s="21">
        <f t="shared" si="48"/>
        <v>1</v>
      </c>
      <c r="N238" s="664"/>
      <c r="O238" s="21">
        <f t="shared" si="49"/>
        <v>1</v>
      </c>
      <c r="P238" s="664"/>
      <c r="Q238" s="21">
        <f t="shared" si="50"/>
        <v>1</v>
      </c>
      <c r="R238" s="660">
        <f t="shared" si="51"/>
        <v>0</v>
      </c>
      <c r="S238" s="313">
        <f t="shared" si="52"/>
        <v>0</v>
      </c>
    </row>
    <row r="239" spans="1:19">
      <c r="A239" s="147"/>
      <c r="B239" s="54"/>
      <c r="C239" s="21">
        <f t="shared" si="43"/>
        <v>1</v>
      </c>
      <c r="D239" s="664"/>
      <c r="E239" s="21">
        <f t="shared" si="44"/>
        <v>1</v>
      </c>
      <c r="F239" s="664"/>
      <c r="G239" s="21">
        <f t="shared" si="45"/>
        <v>1</v>
      </c>
      <c r="H239" s="664"/>
      <c r="I239" s="21">
        <f t="shared" si="46"/>
        <v>1</v>
      </c>
      <c r="J239" s="664"/>
      <c r="K239" s="21">
        <f t="shared" si="47"/>
        <v>1</v>
      </c>
      <c r="L239" s="664"/>
      <c r="M239" s="21">
        <f t="shared" si="48"/>
        <v>1</v>
      </c>
      <c r="N239" s="664"/>
      <c r="O239" s="21">
        <f t="shared" si="49"/>
        <v>1</v>
      </c>
      <c r="P239" s="664"/>
      <c r="Q239" s="21">
        <f t="shared" si="50"/>
        <v>1</v>
      </c>
      <c r="R239" s="660">
        <f t="shared" si="51"/>
        <v>0</v>
      </c>
      <c r="S239" s="313">
        <f t="shared" si="52"/>
        <v>0</v>
      </c>
    </row>
    <row r="240" spans="1:19">
      <c r="A240" s="147"/>
      <c r="B240" s="54"/>
      <c r="C240" s="21">
        <f t="shared" si="43"/>
        <v>1</v>
      </c>
      <c r="D240" s="664"/>
      <c r="E240" s="21">
        <f t="shared" si="44"/>
        <v>1</v>
      </c>
      <c r="F240" s="664"/>
      <c r="G240" s="21">
        <f t="shared" si="45"/>
        <v>1</v>
      </c>
      <c r="H240" s="664"/>
      <c r="I240" s="21">
        <f t="shared" si="46"/>
        <v>1</v>
      </c>
      <c r="J240" s="664"/>
      <c r="K240" s="21">
        <f t="shared" si="47"/>
        <v>1</v>
      </c>
      <c r="L240" s="664"/>
      <c r="M240" s="21">
        <f t="shared" si="48"/>
        <v>1</v>
      </c>
      <c r="N240" s="664"/>
      <c r="O240" s="21">
        <f t="shared" si="49"/>
        <v>1</v>
      </c>
      <c r="P240" s="664"/>
      <c r="Q240" s="21">
        <f t="shared" si="50"/>
        <v>1</v>
      </c>
      <c r="R240" s="660">
        <f t="shared" si="51"/>
        <v>0</v>
      </c>
      <c r="S240" s="313">
        <f t="shared" si="52"/>
        <v>0</v>
      </c>
    </row>
    <row r="241" spans="1:19">
      <c r="A241" s="147"/>
      <c r="B241" s="54"/>
      <c r="C241" s="21">
        <f t="shared" si="43"/>
        <v>1</v>
      </c>
      <c r="D241" s="664"/>
      <c r="E241" s="21">
        <f t="shared" si="44"/>
        <v>1</v>
      </c>
      <c r="F241" s="664"/>
      <c r="G241" s="21">
        <f t="shared" si="45"/>
        <v>1</v>
      </c>
      <c r="H241" s="664"/>
      <c r="I241" s="21">
        <f t="shared" si="46"/>
        <v>1</v>
      </c>
      <c r="J241" s="664"/>
      <c r="K241" s="21">
        <f t="shared" si="47"/>
        <v>1</v>
      </c>
      <c r="L241" s="664"/>
      <c r="M241" s="21">
        <f t="shared" si="48"/>
        <v>1</v>
      </c>
      <c r="N241" s="664"/>
      <c r="O241" s="21">
        <f t="shared" si="49"/>
        <v>1</v>
      </c>
      <c r="P241" s="664"/>
      <c r="Q241" s="21">
        <f t="shared" si="50"/>
        <v>1</v>
      </c>
      <c r="R241" s="660">
        <f t="shared" si="51"/>
        <v>0</v>
      </c>
      <c r="S241" s="313">
        <f t="shared" si="52"/>
        <v>0</v>
      </c>
    </row>
    <row r="242" spans="1:19">
      <c r="A242" s="147"/>
      <c r="B242" s="54"/>
      <c r="C242" s="21">
        <f t="shared" si="43"/>
        <v>1</v>
      </c>
      <c r="D242" s="664"/>
      <c r="E242" s="21">
        <f t="shared" si="44"/>
        <v>1</v>
      </c>
      <c r="F242" s="664"/>
      <c r="G242" s="21">
        <f t="shared" si="45"/>
        <v>1</v>
      </c>
      <c r="H242" s="664"/>
      <c r="I242" s="21">
        <f t="shared" si="46"/>
        <v>1</v>
      </c>
      <c r="J242" s="664"/>
      <c r="K242" s="21">
        <f t="shared" si="47"/>
        <v>1</v>
      </c>
      <c r="L242" s="664"/>
      <c r="M242" s="21">
        <f t="shared" si="48"/>
        <v>1</v>
      </c>
      <c r="N242" s="664"/>
      <c r="O242" s="21">
        <f t="shared" si="49"/>
        <v>1</v>
      </c>
      <c r="P242" s="664"/>
      <c r="Q242" s="21">
        <f t="shared" si="50"/>
        <v>1</v>
      </c>
      <c r="R242" s="660">
        <f t="shared" si="51"/>
        <v>0</v>
      </c>
      <c r="S242" s="313">
        <f t="shared" si="52"/>
        <v>0</v>
      </c>
    </row>
    <row r="243" spans="1:19">
      <c r="A243" s="147"/>
      <c r="B243" s="54"/>
      <c r="C243" s="21">
        <f t="shared" si="43"/>
        <v>1</v>
      </c>
      <c r="D243" s="664"/>
      <c r="E243" s="21">
        <f t="shared" si="44"/>
        <v>1</v>
      </c>
      <c r="F243" s="664"/>
      <c r="G243" s="21">
        <f t="shared" si="45"/>
        <v>1</v>
      </c>
      <c r="H243" s="664"/>
      <c r="I243" s="21">
        <f t="shared" si="46"/>
        <v>1</v>
      </c>
      <c r="J243" s="664"/>
      <c r="K243" s="21">
        <f t="shared" si="47"/>
        <v>1</v>
      </c>
      <c r="L243" s="664"/>
      <c r="M243" s="21">
        <f t="shared" si="48"/>
        <v>1</v>
      </c>
      <c r="N243" s="664"/>
      <c r="O243" s="21">
        <f t="shared" si="49"/>
        <v>1</v>
      </c>
      <c r="P243" s="664"/>
      <c r="Q243" s="21">
        <f t="shared" si="50"/>
        <v>1</v>
      </c>
      <c r="R243" s="660">
        <f t="shared" si="51"/>
        <v>0</v>
      </c>
      <c r="S243" s="313">
        <f t="shared" si="52"/>
        <v>0</v>
      </c>
    </row>
    <row r="244" spans="1:19">
      <c r="A244" s="147"/>
      <c r="B244" s="54"/>
      <c r="C244" s="21">
        <f t="shared" si="43"/>
        <v>1</v>
      </c>
      <c r="D244" s="664"/>
      <c r="E244" s="21">
        <f t="shared" si="44"/>
        <v>1</v>
      </c>
      <c r="F244" s="664"/>
      <c r="G244" s="21">
        <f t="shared" si="45"/>
        <v>1</v>
      </c>
      <c r="H244" s="664"/>
      <c r="I244" s="21">
        <f t="shared" si="46"/>
        <v>1</v>
      </c>
      <c r="J244" s="664"/>
      <c r="K244" s="21">
        <f t="shared" si="47"/>
        <v>1</v>
      </c>
      <c r="L244" s="664"/>
      <c r="M244" s="21">
        <f t="shared" si="48"/>
        <v>1</v>
      </c>
      <c r="N244" s="664"/>
      <c r="O244" s="21">
        <f t="shared" si="49"/>
        <v>1</v>
      </c>
      <c r="P244" s="664"/>
      <c r="Q244" s="21">
        <f t="shared" si="50"/>
        <v>1</v>
      </c>
      <c r="R244" s="660">
        <f t="shared" si="51"/>
        <v>0</v>
      </c>
      <c r="S244" s="313">
        <f t="shared" si="52"/>
        <v>0</v>
      </c>
    </row>
    <row r="245" spans="1:19">
      <c r="A245" s="147"/>
      <c r="B245" s="54"/>
      <c r="C245" s="21">
        <f t="shared" si="43"/>
        <v>1</v>
      </c>
      <c r="D245" s="664"/>
      <c r="E245" s="21">
        <f t="shared" si="44"/>
        <v>1</v>
      </c>
      <c r="F245" s="664"/>
      <c r="G245" s="21">
        <f t="shared" si="45"/>
        <v>1</v>
      </c>
      <c r="H245" s="664"/>
      <c r="I245" s="21">
        <f t="shared" si="46"/>
        <v>1</v>
      </c>
      <c r="J245" s="664"/>
      <c r="K245" s="21">
        <f t="shared" si="47"/>
        <v>1</v>
      </c>
      <c r="L245" s="664"/>
      <c r="M245" s="21">
        <f t="shared" si="48"/>
        <v>1</v>
      </c>
      <c r="N245" s="664"/>
      <c r="O245" s="21">
        <f t="shared" si="49"/>
        <v>1</v>
      </c>
      <c r="P245" s="664"/>
      <c r="Q245" s="21">
        <f t="shared" si="50"/>
        <v>1</v>
      </c>
      <c r="R245" s="660">
        <f t="shared" si="51"/>
        <v>0</v>
      </c>
      <c r="S245" s="313">
        <f t="shared" si="52"/>
        <v>0</v>
      </c>
    </row>
    <row r="246" spans="1:19">
      <c r="A246" s="147"/>
      <c r="B246" s="54"/>
      <c r="C246" s="21">
        <f t="shared" si="43"/>
        <v>1</v>
      </c>
      <c r="D246" s="664"/>
      <c r="E246" s="21">
        <f t="shared" si="44"/>
        <v>1</v>
      </c>
      <c r="F246" s="664"/>
      <c r="G246" s="21">
        <f t="shared" si="45"/>
        <v>1</v>
      </c>
      <c r="H246" s="664"/>
      <c r="I246" s="21">
        <f t="shared" si="46"/>
        <v>1</v>
      </c>
      <c r="J246" s="664"/>
      <c r="K246" s="21">
        <f t="shared" si="47"/>
        <v>1</v>
      </c>
      <c r="L246" s="664"/>
      <c r="M246" s="21">
        <f t="shared" si="48"/>
        <v>1</v>
      </c>
      <c r="N246" s="664"/>
      <c r="O246" s="21">
        <f t="shared" si="49"/>
        <v>1</v>
      </c>
      <c r="P246" s="664"/>
      <c r="Q246" s="21">
        <f t="shared" si="50"/>
        <v>1</v>
      </c>
      <c r="R246" s="660">
        <f t="shared" si="51"/>
        <v>0</v>
      </c>
      <c r="S246" s="313">
        <f t="shared" si="52"/>
        <v>0</v>
      </c>
    </row>
    <row r="247" spans="1:19">
      <c r="A247" s="147"/>
      <c r="B247" s="54"/>
      <c r="C247" s="21">
        <f t="shared" si="43"/>
        <v>1</v>
      </c>
      <c r="D247" s="664"/>
      <c r="E247" s="21">
        <f t="shared" si="44"/>
        <v>1</v>
      </c>
      <c r="F247" s="664"/>
      <c r="G247" s="21">
        <f t="shared" si="45"/>
        <v>1</v>
      </c>
      <c r="H247" s="664"/>
      <c r="I247" s="21">
        <f t="shared" si="46"/>
        <v>1</v>
      </c>
      <c r="J247" s="664"/>
      <c r="K247" s="21">
        <f t="shared" si="47"/>
        <v>1</v>
      </c>
      <c r="L247" s="664"/>
      <c r="M247" s="21">
        <f t="shared" si="48"/>
        <v>1</v>
      </c>
      <c r="N247" s="664"/>
      <c r="O247" s="21">
        <f t="shared" si="49"/>
        <v>1</v>
      </c>
      <c r="P247" s="664"/>
      <c r="Q247" s="21">
        <f t="shared" si="50"/>
        <v>1</v>
      </c>
      <c r="R247" s="660">
        <f t="shared" si="51"/>
        <v>0</v>
      </c>
      <c r="S247" s="313">
        <f t="shared" si="52"/>
        <v>0</v>
      </c>
    </row>
    <row r="248" spans="1:19">
      <c r="A248" s="147"/>
      <c r="B248" s="54"/>
      <c r="C248" s="21">
        <f t="shared" si="43"/>
        <v>1</v>
      </c>
      <c r="D248" s="664"/>
      <c r="E248" s="21">
        <f t="shared" si="44"/>
        <v>1</v>
      </c>
      <c r="F248" s="664"/>
      <c r="G248" s="21">
        <f t="shared" si="45"/>
        <v>1</v>
      </c>
      <c r="H248" s="664"/>
      <c r="I248" s="21">
        <f t="shared" si="46"/>
        <v>1</v>
      </c>
      <c r="J248" s="664"/>
      <c r="K248" s="21">
        <f t="shared" si="47"/>
        <v>1</v>
      </c>
      <c r="L248" s="664"/>
      <c r="M248" s="21">
        <f t="shared" si="48"/>
        <v>1</v>
      </c>
      <c r="N248" s="664"/>
      <c r="O248" s="21">
        <f t="shared" si="49"/>
        <v>1</v>
      </c>
      <c r="P248" s="664"/>
      <c r="Q248" s="21">
        <f t="shared" si="50"/>
        <v>1</v>
      </c>
      <c r="R248" s="660">
        <f t="shared" si="51"/>
        <v>0</v>
      </c>
      <c r="S248" s="313">
        <f t="shared" si="52"/>
        <v>0</v>
      </c>
    </row>
    <row r="249" spans="1:19">
      <c r="A249" s="147"/>
      <c r="B249" s="54"/>
      <c r="C249" s="21">
        <f t="shared" si="43"/>
        <v>1</v>
      </c>
      <c r="D249" s="664"/>
      <c r="E249" s="21">
        <f t="shared" si="44"/>
        <v>1</v>
      </c>
      <c r="F249" s="664"/>
      <c r="G249" s="21">
        <f t="shared" si="45"/>
        <v>1</v>
      </c>
      <c r="H249" s="664"/>
      <c r="I249" s="21">
        <f t="shared" si="46"/>
        <v>1</v>
      </c>
      <c r="J249" s="664"/>
      <c r="K249" s="21">
        <f t="shared" si="47"/>
        <v>1</v>
      </c>
      <c r="L249" s="664"/>
      <c r="M249" s="21">
        <f t="shared" si="48"/>
        <v>1</v>
      </c>
      <c r="N249" s="664"/>
      <c r="O249" s="21">
        <f t="shared" si="49"/>
        <v>1</v>
      </c>
      <c r="P249" s="664"/>
      <c r="Q249" s="21">
        <f t="shared" si="50"/>
        <v>1</v>
      </c>
      <c r="R249" s="660">
        <f t="shared" si="51"/>
        <v>0</v>
      </c>
      <c r="S249" s="313">
        <f t="shared" si="52"/>
        <v>0</v>
      </c>
    </row>
    <row r="250" spans="1:19">
      <c r="A250" s="147"/>
      <c r="B250" s="54"/>
      <c r="C250" s="21">
        <f t="shared" si="43"/>
        <v>1</v>
      </c>
      <c r="D250" s="664"/>
      <c r="E250" s="21">
        <f t="shared" si="44"/>
        <v>1</v>
      </c>
      <c r="F250" s="664"/>
      <c r="G250" s="21">
        <f t="shared" si="45"/>
        <v>1</v>
      </c>
      <c r="H250" s="664"/>
      <c r="I250" s="21">
        <f t="shared" si="46"/>
        <v>1</v>
      </c>
      <c r="J250" s="664"/>
      <c r="K250" s="21">
        <f t="shared" si="47"/>
        <v>1</v>
      </c>
      <c r="L250" s="664"/>
      <c r="M250" s="21">
        <f t="shared" si="48"/>
        <v>1</v>
      </c>
      <c r="N250" s="664"/>
      <c r="O250" s="21">
        <f t="shared" si="49"/>
        <v>1</v>
      </c>
      <c r="P250" s="664"/>
      <c r="Q250" s="21">
        <f t="shared" si="50"/>
        <v>1</v>
      </c>
      <c r="R250" s="660">
        <f t="shared" si="51"/>
        <v>0</v>
      </c>
      <c r="S250" s="313">
        <f t="shared" si="52"/>
        <v>0</v>
      </c>
    </row>
    <row r="251" spans="1:19">
      <c r="A251" s="147"/>
      <c r="B251" s="54"/>
      <c r="C251" s="21">
        <f t="shared" si="43"/>
        <v>1</v>
      </c>
      <c r="D251" s="664"/>
      <c r="E251" s="21">
        <f t="shared" si="44"/>
        <v>1</v>
      </c>
      <c r="F251" s="664"/>
      <c r="G251" s="21">
        <f t="shared" si="45"/>
        <v>1</v>
      </c>
      <c r="H251" s="664"/>
      <c r="I251" s="21">
        <f t="shared" si="46"/>
        <v>1</v>
      </c>
      <c r="J251" s="664"/>
      <c r="K251" s="21">
        <f t="shared" si="47"/>
        <v>1</v>
      </c>
      <c r="L251" s="664"/>
      <c r="M251" s="21">
        <f t="shared" si="48"/>
        <v>1</v>
      </c>
      <c r="N251" s="664"/>
      <c r="O251" s="21">
        <f t="shared" si="49"/>
        <v>1</v>
      </c>
      <c r="P251" s="664"/>
      <c r="Q251" s="21">
        <f t="shared" si="50"/>
        <v>1</v>
      </c>
      <c r="R251" s="660">
        <f t="shared" si="51"/>
        <v>0</v>
      </c>
      <c r="S251" s="313">
        <f t="shared" si="52"/>
        <v>0</v>
      </c>
    </row>
    <row r="252" spans="1:19">
      <c r="A252" s="147"/>
      <c r="B252" s="54"/>
      <c r="C252" s="21">
        <f t="shared" si="43"/>
        <v>1</v>
      </c>
      <c r="D252" s="664"/>
      <c r="E252" s="21">
        <f t="shared" si="44"/>
        <v>1</v>
      </c>
      <c r="F252" s="664"/>
      <c r="G252" s="21">
        <f t="shared" si="45"/>
        <v>1</v>
      </c>
      <c r="H252" s="664"/>
      <c r="I252" s="21">
        <f t="shared" si="46"/>
        <v>1</v>
      </c>
      <c r="J252" s="664"/>
      <c r="K252" s="21">
        <f t="shared" si="47"/>
        <v>1</v>
      </c>
      <c r="L252" s="664"/>
      <c r="M252" s="21">
        <f t="shared" si="48"/>
        <v>1</v>
      </c>
      <c r="N252" s="664"/>
      <c r="O252" s="21">
        <f t="shared" si="49"/>
        <v>1</v>
      </c>
      <c r="P252" s="664"/>
      <c r="Q252" s="21">
        <f t="shared" si="50"/>
        <v>1</v>
      </c>
      <c r="R252" s="660">
        <f t="shared" si="51"/>
        <v>0</v>
      </c>
      <c r="S252" s="313">
        <f t="shared" si="52"/>
        <v>0</v>
      </c>
    </row>
    <row r="253" spans="1:19">
      <c r="A253" s="147"/>
      <c r="B253" s="54"/>
      <c r="C253" s="21">
        <f t="shared" si="43"/>
        <v>1</v>
      </c>
      <c r="D253" s="664"/>
      <c r="E253" s="21">
        <f t="shared" si="44"/>
        <v>1</v>
      </c>
      <c r="F253" s="664"/>
      <c r="G253" s="21">
        <f t="shared" si="45"/>
        <v>1</v>
      </c>
      <c r="H253" s="664"/>
      <c r="I253" s="21">
        <f t="shared" si="46"/>
        <v>1</v>
      </c>
      <c r="J253" s="664"/>
      <c r="K253" s="21">
        <f t="shared" si="47"/>
        <v>1</v>
      </c>
      <c r="L253" s="664"/>
      <c r="M253" s="21">
        <f t="shared" si="48"/>
        <v>1</v>
      </c>
      <c r="N253" s="664"/>
      <c r="O253" s="21">
        <f t="shared" si="49"/>
        <v>1</v>
      </c>
      <c r="P253" s="664"/>
      <c r="Q253" s="21">
        <f t="shared" si="50"/>
        <v>1</v>
      </c>
      <c r="R253" s="660">
        <f t="shared" si="51"/>
        <v>0</v>
      </c>
      <c r="S253" s="313">
        <f t="shared" si="52"/>
        <v>0</v>
      </c>
    </row>
    <row r="254" spans="1:19">
      <c r="A254" s="147"/>
      <c r="B254" s="54"/>
      <c r="C254" s="21">
        <f t="shared" si="43"/>
        <v>1</v>
      </c>
      <c r="D254" s="664"/>
      <c r="E254" s="21">
        <f t="shared" si="44"/>
        <v>1</v>
      </c>
      <c r="F254" s="664"/>
      <c r="G254" s="21">
        <f t="shared" si="45"/>
        <v>1</v>
      </c>
      <c r="H254" s="664"/>
      <c r="I254" s="21">
        <f t="shared" si="46"/>
        <v>1</v>
      </c>
      <c r="J254" s="664"/>
      <c r="K254" s="21">
        <f t="shared" si="47"/>
        <v>1</v>
      </c>
      <c r="L254" s="664"/>
      <c r="M254" s="21">
        <f t="shared" si="48"/>
        <v>1</v>
      </c>
      <c r="N254" s="664"/>
      <c r="O254" s="21">
        <f t="shared" si="49"/>
        <v>1</v>
      </c>
      <c r="P254" s="664"/>
      <c r="Q254" s="21">
        <f t="shared" si="50"/>
        <v>1</v>
      </c>
      <c r="R254" s="660">
        <f t="shared" si="51"/>
        <v>0</v>
      </c>
      <c r="S254" s="313">
        <f t="shared" si="52"/>
        <v>0</v>
      </c>
    </row>
    <row r="255" spans="1:19">
      <c r="A255" s="147"/>
      <c r="B255" s="54"/>
      <c r="C255" s="21">
        <f t="shared" si="43"/>
        <v>1</v>
      </c>
      <c r="D255" s="664"/>
      <c r="E255" s="21">
        <f t="shared" si="44"/>
        <v>1</v>
      </c>
      <c r="F255" s="664"/>
      <c r="G255" s="21">
        <f t="shared" si="45"/>
        <v>1</v>
      </c>
      <c r="H255" s="664"/>
      <c r="I255" s="21">
        <f t="shared" si="46"/>
        <v>1</v>
      </c>
      <c r="J255" s="664"/>
      <c r="K255" s="21">
        <f t="shared" si="47"/>
        <v>1</v>
      </c>
      <c r="L255" s="664"/>
      <c r="M255" s="21">
        <f t="shared" si="48"/>
        <v>1</v>
      </c>
      <c r="N255" s="664"/>
      <c r="O255" s="21">
        <f t="shared" si="49"/>
        <v>1</v>
      </c>
      <c r="P255" s="664"/>
      <c r="Q255" s="21">
        <f t="shared" si="50"/>
        <v>1</v>
      </c>
      <c r="R255" s="660">
        <f t="shared" si="51"/>
        <v>0</v>
      </c>
      <c r="S255" s="313">
        <f t="shared" si="52"/>
        <v>0</v>
      </c>
    </row>
    <row r="256" spans="1:19">
      <c r="A256" s="147"/>
      <c r="B256" s="54"/>
      <c r="C256" s="21">
        <f t="shared" si="43"/>
        <v>1</v>
      </c>
      <c r="D256" s="664"/>
      <c r="E256" s="21">
        <f t="shared" si="44"/>
        <v>1</v>
      </c>
      <c r="F256" s="664"/>
      <c r="G256" s="21">
        <f t="shared" si="45"/>
        <v>1</v>
      </c>
      <c r="H256" s="664"/>
      <c r="I256" s="21">
        <f t="shared" si="46"/>
        <v>1</v>
      </c>
      <c r="J256" s="664"/>
      <c r="K256" s="21">
        <f t="shared" si="47"/>
        <v>1</v>
      </c>
      <c r="L256" s="664"/>
      <c r="M256" s="21">
        <f t="shared" si="48"/>
        <v>1</v>
      </c>
      <c r="N256" s="664"/>
      <c r="O256" s="21">
        <f t="shared" si="49"/>
        <v>1</v>
      </c>
      <c r="P256" s="664"/>
      <c r="Q256" s="21">
        <f t="shared" si="50"/>
        <v>1</v>
      </c>
      <c r="R256" s="660">
        <f t="shared" si="51"/>
        <v>0</v>
      </c>
      <c r="S256" s="313">
        <f t="shared" si="52"/>
        <v>0</v>
      </c>
    </row>
    <row r="257" spans="1:19">
      <c r="A257" s="147"/>
      <c r="B257" s="54"/>
      <c r="C257" s="21">
        <f t="shared" si="43"/>
        <v>1</v>
      </c>
      <c r="D257" s="664"/>
      <c r="E257" s="21">
        <f t="shared" si="44"/>
        <v>1</v>
      </c>
      <c r="F257" s="664"/>
      <c r="G257" s="21">
        <f t="shared" si="45"/>
        <v>1</v>
      </c>
      <c r="H257" s="664"/>
      <c r="I257" s="21">
        <f t="shared" si="46"/>
        <v>1</v>
      </c>
      <c r="J257" s="664"/>
      <c r="K257" s="21">
        <f t="shared" si="47"/>
        <v>1</v>
      </c>
      <c r="L257" s="664"/>
      <c r="M257" s="21">
        <f t="shared" si="48"/>
        <v>1</v>
      </c>
      <c r="N257" s="664"/>
      <c r="O257" s="21">
        <f t="shared" si="49"/>
        <v>1</v>
      </c>
      <c r="P257" s="664"/>
      <c r="Q257" s="21">
        <f t="shared" si="50"/>
        <v>1</v>
      </c>
      <c r="R257" s="660">
        <f t="shared" si="51"/>
        <v>0</v>
      </c>
      <c r="S257" s="313">
        <f t="shared" si="52"/>
        <v>0</v>
      </c>
    </row>
    <row r="258" spans="1:19">
      <c r="A258" s="147"/>
      <c r="B258" s="54"/>
      <c r="C258" s="21">
        <f t="shared" si="43"/>
        <v>1</v>
      </c>
      <c r="D258" s="664"/>
      <c r="E258" s="21">
        <f t="shared" si="44"/>
        <v>1</v>
      </c>
      <c r="F258" s="664"/>
      <c r="G258" s="21">
        <f t="shared" si="45"/>
        <v>1</v>
      </c>
      <c r="H258" s="664"/>
      <c r="I258" s="21">
        <f t="shared" si="46"/>
        <v>1</v>
      </c>
      <c r="J258" s="664"/>
      <c r="K258" s="21">
        <f t="shared" si="47"/>
        <v>1</v>
      </c>
      <c r="L258" s="664"/>
      <c r="M258" s="21">
        <f t="shared" si="48"/>
        <v>1</v>
      </c>
      <c r="N258" s="664"/>
      <c r="O258" s="21">
        <f t="shared" si="49"/>
        <v>1</v>
      </c>
      <c r="P258" s="664"/>
      <c r="Q258" s="21">
        <f t="shared" si="50"/>
        <v>1</v>
      </c>
      <c r="R258" s="660">
        <f t="shared" si="51"/>
        <v>0</v>
      </c>
      <c r="S258" s="313">
        <f t="shared" si="52"/>
        <v>0</v>
      </c>
    </row>
    <row r="259" spans="1:19">
      <c r="A259" s="147"/>
      <c r="B259" s="54"/>
      <c r="C259" s="21">
        <f t="shared" si="43"/>
        <v>1</v>
      </c>
      <c r="D259" s="664"/>
      <c r="E259" s="21">
        <f t="shared" si="44"/>
        <v>1</v>
      </c>
      <c r="F259" s="664"/>
      <c r="G259" s="21">
        <f t="shared" si="45"/>
        <v>1</v>
      </c>
      <c r="H259" s="664"/>
      <c r="I259" s="21">
        <f t="shared" si="46"/>
        <v>1</v>
      </c>
      <c r="J259" s="664"/>
      <c r="K259" s="21">
        <f t="shared" si="47"/>
        <v>1</v>
      </c>
      <c r="L259" s="664"/>
      <c r="M259" s="21">
        <f t="shared" si="48"/>
        <v>1</v>
      </c>
      <c r="N259" s="664"/>
      <c r="O259" s="21">
        <f t="shared" si="49"/>
        <v>1</v>
      </c>
      <c r="P259" s="664"/>
      <c r="Q259" s="21">
        <f t="shared" si="50"/>
        <v>1</v>
      </c>
      <c r="R259" s="660">
        <f t="shared" si="51"/>
        <v>0</v>
      </c>
      <c r="S259" s="313">
        <f t="shared" si="52"/>
        <v>0</v>
      </c>
    </row>
    <row r="260" spans="1:19">
      <c r="A260" s="147"/>
      <c r="B260" s="54"/>
      <c r="C260" s="21">
        <f t="shared" si="43"/>
        <v>1</v>
      </c>
      <c r="D260" s="664"/>
      <c r="E260" s="21">
        <f t="shared" si="44"/>
        <v>1</v>
      </c>
      <c r="F260" s="664"/>
      <c r="G260" s="21">
        <f t="shared" si="45"/>
        <v>1</v>
      </c>
      <c r="H260" s="664"/>
      <c r="I260" s="21">
        <f t="shared" si="46"/>
        <v>1</v>
      </c>
      <c r="J260" s="664"/>
      <c r="K260" s="21">
        <f t="shared" si="47"/>
        <v>1</v>
      </c>
      <c r="L260" s="664"/>
      <c r="M260" s="21">
        <f t="shared" si="48"/>
        <v>1</v>
      </c>
      <c r="N260" s="664"/>
      <c r="O260" s="21">
        <f t="shared" si="49"/>
        <v>1</v>
      </c>
      <c r="P260" s="664"/>
      <c r="Q260" s="21">
        <f t="shared" si="50"/>
        <v>1</v>
      </c>
      <c r="R260" s="660">
        <f t="shared" si="51"/>
        <v>0</v>
      </c>
      <c r="S260" s="313">
        <f t="shared" si="52"/>
        <v>0</v>
      </c>
    </row>
    <row r="261" spans="1:19">
      <c r="A261" s="147"/>
      <c r="B261" s="54"/>
      <c r="C261" s="21">
        <f t="shared" si="43"/>
        <v>1</v>
      </c>
      <c r="D261" s="664"/>
      <c r="E261" s="21">
        <f t="shared" si="44"/>
        <v>1</v>
      </c>
      <c r="F261" s="664"/>
      <c r="G261" s="21">
        <f t="shared" si="45"/>
        <v>1</v>
      </c>
      <c r="H261" s="664"/>
      <c r="I261" s="21">
        <f t="shared" si="46"/>
        <v>1</v>
      </c>
      <c r="J261" s="664"/>
      <c r="K261" s="21">
        <f t="shared" si="47"/>
        <v>1</v>
      </c>
      <c r="L261" s="664"/>
      <c r="M261" s="21">
        <f t="shared" si="48"/>
        <v>1</v>
      </c>
      <c r="N261" s="664"/>
      <c r="O261" s="21">
        <f t="shared" si="49"/>
        <v>1</v>
      </c>
      <c r="P261" s="664"/>
      <c r="Q261" s="21">
        <f t="shared" si="50"/>
        <v>1</v>
      </c>
      <c r="R261" s="660">
        <f t="shared" si="51"/>
        <v>0</v>
      </c>
      <c r="S261" s="313">
        <f t="shared" si="52"/>
        <v>0</v>
      </c>
    </row>
    <row r="262" spans="1:19">
      <c r="A262" s="147"/>
      <c r="B262" s="54"/>
      <c r="C262" s="21">
        <f t="shared" si="43"/>
        <v>1</v>
      </c>
      <c r="D262" s="664"/>
      <c r="E262" s="21">
        <f t="shared" si="44"/>
        <v>1</v>
      </c>
      <c r="F262" s="664"/>
      <c r="G262" s="21">
        <f t="shared" si="45"/>
        <v>1</v>
      </c>
      <c r="H262" s="664"/>
      <c r="I262" s="21">
        <f t="shared" si="46"/>
        <v>1</v>
      </c>
      <c r="J262" s="664"/>
      <c r="K262" s="21">
        <f t="shared" si="47"/>
        <v>1</v>
      </c>
      <c r="L262" s="664"/>
      <c r="M262" s="21">
        <f t="shared" si="48"/>
        <v>1</v>
      </c>
      <c r="N262" s="664"/>
      <c r="O262" s="21">
        <f t="shared" si="49"/>
        <v>1</v>
      </c>
      <c r="P262" s="664"/>
      <c r="Q262" s="21">
        <f t="shared" si="50"/>
        <v>1</v>
      </c>
      <c r="R262" s="660">
        <f t="shared" si="51"/>
        <v>0</v>
      </c>
      <c r="S262" s="313">
        <f t="shared" si="52"/>
        <v>0</v>
      </c>
    </row>
    <row r="263" spans="1:19">
      <c r="A263" s="147"/>
      <c r="B263" s="54"/>
      <c r="C263" s="21">
        <f t="shared" si="43"/>
        <v>1</v>
      </c>
      <c r="D263" s="664"/>
      <c r="E263" s="21">
        <f t="shared" si="44"/>
        <v>1</v>
      </c>
      <c r="F263" s="664"/>
      <c r="G263" s="21">
        <f t="shared" si="45"/>
        <v>1</v>
      </c>
      <c r="H263" s="664"/>
      <c r="I263" s="21">
        <f t="shared" si="46"/>
        <v>1</v>
      </c>
      <c r="J263" s="664"/>
      <c r="K263" s="21">
        <f t="shared" si="47"/>
        <v>1</v>
      </c>
      <c r="L263" s="664"/>
      <c r="M263" s="21">
        <f t="shared" si="48"/>
        <v>1</v>
      </c>
      <c r="N263" s="664"/>
      <c r="O263" s="21">
        <f t="shared" si="49"/>
        <v>1</v>
      </c>
      <c r="P263" s="664"/>
      <c r="Q263" s="21">
        <f t="shared" si="50"/>
        <v>1</v>
      </c>
      <c r="R263" s="660">
        <f t="shared" si="51"/>
        <v>0</v>
      </c>
      <c r="S263" s="313">
        <f t="shared" si="52"/>
        <v>0</v>
      </c>
    </row>
    <row r="264" spans="1:19">
      <c r="A264" s="147"/>
      <c r="B264" s="54"/>
      <c r="C264" s="21">
        <f t="shared" si="43"/>
        <v>1</v>
      </c>
      <c r="D264" s="664"/>
      <c r="E264" s="21">
        <f t="shared" si="44"/>
        <v>1</v>
      </c>
      <c r="F264" s="664"/>
      <c r="G264" s="21">
        <f t="shared" si="45"/>
        <v>1</v>
      </c>
      <c r="H264" s="664"/>
      <c r="I264" s="21">
        <f t="shared" si="46"/>
        <v>1</v>
      </c>
      <c r="J264" s="664"/>
      <c r="K264" s="21">
        <f t="shared" si="47"/>
        <v>1</v>
      </c>
      <c r="L264" s="664"/>
      <c r="M264" s="21">
        <f t="shared" si="48"/>
        <v>1</v>
      </c>
      <c r="N264" s="664"/>
      <c r="O264" s="21">
        <f t="shared" si="49"/>
        <v>1</v>
      </c>
      <c r="P264" s="664"/>
      <c r="Q264" s="21">
        <f t="shared" si="50"/>
        <v>1</v>
      </c>
      <c r="R264" s="660">
        <f t="shared" si="51"/>
        <v>0</v>
      </c>
      <c r="S264" s="313">
        <f t="shared" si="52"/>
        <v>0</v>
      </c>
    </row>
    <row r="265" spans="1:19">
      <c r="A265" s="147"/>
      <c r="B265" s="54"/>
      <c r="C265" s="21">
        <f t="shared" si="43"/>
        <v>1</v>
      </c>
      <c r="D265" s="664"/>
      <c r="E265" s="21">
        <f t="shared" si="44"/>
        <v>1</v>
      </c>
      <c r="F265" s="664"/>
      <c r="G265" s="21">
        <f t="shared" si="45"/>
        <v>1</v>
      </c>
      <c r="H265" s="664"/>
      <c r="I265" s="21">
        <f t="shared" si="46"/>
        <v>1</v>
      </c>
      <c r="J265" s="664"/>
      <c r="K265" s="21">
        <f t="shared" si="47"/>
        <v>1</v>
      </c>
      <c r="L265" s="664"/>
      <c r="M265" s="21">
        <f t="shared" si="48"/>
        <v>1</v>
      </c>
      <c r="N265" s="664"/>
      <c r="O265" s="21">
        <f t="shared" si="49"/>
        <v>1</v>
      </c>
      <c r="P265" s="664"/>
      <c r="Q265" s="21">
        <f t="shared" si="50"/>
        <v>1</v>
      </c>
      <c r="R265" s="660">
        <f t="shared" si="51"/>
        <v>0</v>
      </c>
      <c r="S265" s="313">
        <f t="shared" si="52"/>
        <v>0</v>
      </c>
    </row>
    <row r="266" spans="1:19">
      <c r="A266" s="147"/>
      <c r="B266" s="54"/>
      <c r="C266" s="21">
        <f t="shared" si="43"/>
        <v>1</v>
      </c>
      <c r="D266" s="664"/>
      <c r="E266" s="21">
        <f t="shared" si="44"/>
        <v>1</v>
      </c>
      <c r="F266" s="664"/>
      <c r="G266" s="21">
        <f t="shared" si="45"/>
        <v>1</v>
      </c>
      <c r="H266" s="664"/>
      <c r="I266" s="21">
        <f t="shared" si="46"/>
        <v>1</v>
      </c>
      <c r="J266" s="664"/>
      <c r="K266" s="21">
        <f t="shared" si="47"/>
        <v>1</v>
      </c>
      <c r="L266" s="664"/>
      <c r="M266" s="21">
        <f t="shared" si="48"/>
        <v>1</v>
      </c>
      <c r="N266" s="664"/>
      <c r="O266" s="21">
        <f t="shared" si="49"/>
        <v>1</v>
      </c>
      <c r="P266" s="664"/>
      <c r="Q266" s="21">
        <f t="shared" si="50"/>
        <v>1</v>
      </c>
      <c r="R266" s="660">
        <f t="shared" si="51"/>
        <v>0</v>
      </c>
      <c r="S266" s="313">
        <f t="shared" si="52"/>
        <v>0</v>
      </c>
    </row>
    <row r="267" spans="1:19">
      <c r="A267" s="147"/>
      <c r="B267" s="54"/>
      <c r="C267" s="21">
        <f t="shared" si="43"/>
        <v>1</v>
      </c>
      <c r="D267" s="664"/>
      <c r="E267" s="21">
        <f t="shared" si="44"/>
        <v>1</v>
      </c>
      <c r="F267" s="664"/>
      <c r="G267" s="21">
        <f t="shared" si="45"/>
        <v>1</v>
      </c>
      <c r="H267" s="664"/>
      <c r="I267" s="21">
        <f t="shared" si="46"/>
        <v>1</v>
      </c>
      <c r="J267" s="664"/>
      <c r="K267" s="21">
        <f t="shared" si="47"/>
        <v>1</v>
      </c>
      <c r="L267" s="664"/>
      <c r="M267" s="21">
        <f t="shared" si="48"/>
        <v>1</v>
      </c>
      <c r="N267" s="664"/>
      <c r="O267" s="21">
        <f t="shared" si="49"/>
        <v>1</v>
      </c>
      <c r="P267" s="664"/>
      <c r="Q267" s="21">
        <f t="shared" si="50"/>
        <v>1</v>
      </c>
      <c r="R267" s="660">
        <f t="shared" si="51"/>
        <v>0</v>
      </c>
      <c r="S267" s="313">
        <f t="shared" si="52"/>
        <v>0</v>
      </c>
    </row>
    <row r="268" spans="1:19">
      <c r="A268" s="147"/>
      <c r="B268" s="54"/>
      <c r="C268" s="21">
        <f t="shared" si="43"/>
        <v>1</v>
      </c>
      <c r="D268" s="664"/>
      <c r="E268" s="21">
        <f t="shared" si="44"/>
        <v>1</v>
      </c>
      <c r="F268" s="664"/>
      <c r="G268" s="21">
        <f t="shared" si="45"/>
        <v>1</v>
      </c>
      <c r="H268" s="664"/>
      <c r="I268" s="21">
        <f t="shared" si="46"/>
        <v>1</v>
      </c>
      <c r="J268" s="664"/>
      <c r="K268" s="21">
        <f t="shared" si="47"/>
        <v>1</v>
      </c>
      <c r="L268" s="664"/>
      <c r="M268" s="21">
        <f t="shared" si="48"/>
        <v>1</v>
      </c>
      <c r="N268" s="664"/>
      <c r="O268" s="21">
        <f t="shared" si="49"/>
        <v>1</v>
      </c>
      <c r="P268" s="664"/>
      <c r="Q268" s="21">
        <f t="shared" si="50"/>
        <v>1</v>
      </c>
      <c r="R268" s="660">
        <f t="shared" si="51"/>
        <v>0</v>
      </c>
      <c r="S268" s="313">
        <f t="shared" si="52"/>
        <v>0</v>
      </c>
    </row>
    <row r="269" spans="1:19">
      <c r="A269" s="147"/>
      <c r="B269" s="54"/>
      <c r="C269" s="21">
        <f t="shared" si="43"/>
        <v>1</v>
      </c>
      <c r="D269" s="664"/>
      <c r="E269" s="21">
        <f t="shared" si="44"/>
        <v>1</v>
      </c>
      <c r="F269" s="664"/>
      <c r="G269" s="21">
        <f t="shared" si="45"/>
        <v>1</v>
      </c>
      <c r="H269" s="664"/>
      <c r="I269" s="21">
        <f t="shared" si="46"/>
        <v>1</v>
      </c>
      <c r="J269" s="664"/>
      <c r="K269" s="21">
        <f t="shared" si="47"/>
        <v>1</v>
      </c>
      <c r="L269" s="664"/>
      <c r="M269" s="21">
        <f t="shared" si="48"/>
        <v>1</v>
      </c>
      <c r="N269" s="664"/>
      <c r="O269" s="21">
        <f t="shared" si="49"/>
        <v>1</v>
      </c>
      <c r="P269" s="664"/>
      <c r="Q269" s="21">
        <f t="shared" si="50"/>
        <v>1</v>
      </c>
      <c r="R269" s="660">
        <f t="shared" si="51"/>
        <v>0</v>
      </c>
      <c r="S269" s="313">
        <f t="shared" si="52"/>
        <v>0</v>
      </c>
    </row>
    <row r="270" spans="1:19">
      <c r="A270" s="147"/>
      <c r="B270" s="54"/>
      <c r="C270" s="21">
        <f t="shared" si="43"/>
        <v>1</v>
      </c>
      <c r="D270" s="664"/>
      <c r="E270" s="21">
        <f t="shared" si="44"/>
        <v>1</v>
      </c>
      <c r="F270" s="664"/>
      <c r="G270" s="21">
        <f t="shared" si="45"/>
        <v>1</v>
      </c>
      <c r="H270" s="664"/>
      <c r="I270" s="21">
        <f t="shared" si="46"/>
        <v>1</v>
      </c>
      <c r="J270" s="664"/>
      <c r="K270" s="21">
        <f t="shared" si="47"/>
        <v>1</v>
      </c>
      <c r="L270" s="664"/>
      <c r="M270" s="21">
        <f t="shared" si="48"/>
        <v>1</v>
      </c>
      <c r="N270" s="664"/>
      <c r="O270" s="21">
        <f t="shared" si="49"/>
        <v>1</v>
      </c>
      <c r="P270" s="664"/>
      <c r="Q270" s="21">
        <f t="shared" si="50"/>
        <v>1</v>
      </c>
      <c r="R270" s="660">
        <f t="shared" si="51"/>
        <v>0</v>
      </c>
      <c r="S270" s="313">
        <f t="shared" si="52"/>
        <v>0</v>
      </c>
    </row>
    <row r="271" spans="1:19">
      <c r="A271" s="147"/>
      <c r="B271" s="54"/>
      <c r="C271" s="21">
        <f t="shared" si="43"/>
        <v>1</v>
      </c>
      <c r="D271" s="664"/>
      <c r="E271" s="21">
        <f t="shared" si="44"/>
        <v>1</v>
      </c>
      <c r="F271" s="664"/>
      <c r="G271" s="21">
        <f t="shared" si="45"/>
        <v>1</v>
      </c>
      <c r="H271" s="664"/>
      <c r="I271" s="21">
        <f t="shared" si="46"/>
        <v>1</v>
      </c>
      <c r="J271" s="664"/>
      <c r="K271" s="21">
        <f t="shared" si="47"/>
        <v>1</v>
      </c>
      <c r="L271" s="664"/>
      <c r="M271" s="21">
        <f t="shared" si="48"/>
        <v>1</v>
      </c>
      <c r="N271" s="664"/>
      <c r="O271" s="21">
        <f t="shared" si="49"/>
        <v>1</v>
      </c>
      <c r="P271" s="664"/>
      <c r="Q271" s="21">
        <f t="shared" si="50"/>
        <v>1</v>
      </c>
      <c r="R271" s="660">
        <f t="shared" si="51"/>
        <v>0</v>
      </c>
      <c r="S271" s="313">
        <f t="shared" si="52"/>
        <v>0</v>
      </c>
    </row>
    <row r="272" spans="1:19">
      <c r="A272" s="147"/>
      <c r="B272" s="54"/>
      <c r="C272" s="21">
        <f t="shared" si="43"/>
        <v>1</v>
      </c>
      <c r="D272" s="664"/>
      <c r="E272" s="21">
        <f t="shared" si="44"/>
        <v>1</v>
      </c>
      <c r="F272" s="664"/>
      <c r="G272" s="21">
        <f t="shared" si="45"/>
        <v>1</v>
      </c>
      <c r="H272" s="664"/>
      <c r="I272" s="21">
        <f t="shared" si="46"/>
        <v>1</v>
      </c>
      <c r="J272" s="664"/>
      <c r="K272" s="21">
        <f t="shared" si="47"/>
        <v>1</v>
      </c>
      <c r="L272" s="664"/>
      <c r="M272" s="21">
        <f t="shared" si="48"/>
        <v>1</v>
      </c>
      <c r="N272" s="664"/>
      <c r="O272" s="21">
        <f t="shared" si="49"/>
        <v>1</v>
      </c>
      <c r="P272" s="664"/>
      <c r="Q272" s="21">
        <f t="shared" si="50"/>
        <v>1</v>
      </c>
      <c r="R272" s="660">
        <f t="shared" si="51"/>
        <v>0</v>
      </c>
      <c r="S272" s="313">
        <f t="shared" si="52"/>
        <v>0</v>
      </c>
    </row>
    <row r="273" spans="1:19">
      <c r="A273" s="147"/>
      <c r="B273" s="54"/>
      <c r="C273" s="21">
        <f t="shared" si="43"/>
        <v>1</v>
      </c>
      <c r="D273" s="664"/>
      <c r="E273" s="21">
        <f t="shared" si="44"/>
        <v>1</v>
      </c>
      <c r="F273" s="664"/>
      <c r="G273" s="21">
        <f t="shared" si="45"/>
        <v>1</v>
      </c>
      <c r="H273" s="664"/>
      <c r="I273" s="21">
        <f t="shared" si="46"/>
        <v>1</v>
      </c>
      <c r="J273" s="664"/>
      <c r="K273" s="21">
        <f t="shared" si="47"/>
        <v>1</v>
      </c>
      <c r="L273" s="664"/>
      <c r="M273" s="21">
        <f t="shared" si="48"/>
        <v>1</v>
      </c>
      <c r="N273" s="664"/>
      <c r="O273" s="21">
        <f t="shared" si="49"/>
        <v>1</v>
      </c>
      <c r="P273" s="664"/>
      <c r="Q273" s="21">
        <f t="shared" si="50"/>
        <v>1</v>
      </c>
      <c r="R273" s="660">
        <f t="shared" si="51"/>
        <v>0</v>
      </c>
      <c r="S273" s="313">
        <f t="shared" si="52"/>
        <v>0</v>
      </c>
    </row>
    <row r="274" spans="1:19">
      <c r="A274" s="147"/>
      <c r="B274" s="54"/>
      <c r="C274" s="21">
        <f t="shared" si="43"/>
        <v>1</v>
      </c>
      <c r="D274" s="664"/>
      <c r="E274" s="21">
        <f t="shared" si="44"/>
        <v>1</v>
      </c>
      <c r="F274" s="664"/>
      <c r="G274" s="21">
        <f t="shared" si="45"/>
        <v>1</v>
      </c>
      <c r="H274" s="664"/>
      <c r="I274" s="21">
        <f t="shared" si="46"/>
        <v>1</v>
      </c>
      <c r="J274" s="664"/>
      <c r="K274" s="21">
        <f t="shared" si="47"/>
        <v>1</v>
      </c>
      <c r="L274" s="664"/>
      <c r="M274" s="21">
        <f t="shared" si="48"/>
        <v>1</v>
      </c>
      <c r="N274" s="664"/>
      <c r="O274" s="21">
        <f t="shared" si="49"/>
        <v>1</v>
      </c>
      <c r="P274" s="664"/>
      <c r="Q274" s="21">
        <f t="shared" si="50"/>
        <v>1</v>
      </c>
      <c r="R274" s="660">
        <f t="shared" si="51"/>
        <v>0</v>
      </c>
      <c r="S274" s="313">
        <f t="shared" si="52"/>
        <v>0</v>
      </c>
    </row>
    <row r="275" spans="1:19">
      <c r="A275" s="147"/>
      <c r="B275" s="54"/>
      <c r="C275" s="21">
        <f t="shared" si="43"/>
        <v>1</v>
      </c>
      <c r="D275" s="664"/>
      <c r="E275" s="21">
        <f t="shared" si="44"/>
        <v>1</v>
      </c>
      <c r="F275" s="664"/>
      <c r="G275" s="21">
        <f t="shared" si="45"/>
        <v>1</v>
      </c>
      <c r="H275" s="664"/>
      <c r="I275" s="21">
        <f t="shared" si="46"/>
        <v>1</v>
      </c>
      <c r="J275" s="664"/>
      <c r="K275" s="21">
        <f t="shared" si="47"/>
        <v>1</v>
      </c>
      <c r="L275" s="664"/>
      <c r="M275" s="21">
        <f t="shared" si="48"/>
        <v>1</v>
      </c>
      <c r="N275" s="664"/>
      <c r="O275" s="21">
        <f t="shared" si="49"/>
        <v>1</v>
      </c>
      <c r="P275" s="664"/>
      <c r="Q275" s="21">
        <f t="shared" si="50"/>
        <v>1</v>
      </c>
      <c r="R275" s="660">
        <f t="shared" si="51"/>
        <v>0</v>
      </c>
      <c r="S275" s="313">
        <f t="shared" si="52"/>
        <v>0</v>
      </c>
    </row>
    <row r="276" spans="1:19">
      <c r="A276" s="147"/>
      <c r="B276" s="54"/>
      <c r="C276" s="21">
        <f t="shared" si="43"/>
        <v>1</v>
      </c>
      <c r="D276" s="664"/>
      <c r="E276" s="21">
        <f t="shared" si="44"/>
        <v>1</v>
      </c>
      <c r="F276" s="664"/>
      <c r="G276" s="21">
        <f t="shared" si="45"/>
        <v>1</v>
      </c>
      <c r="H276" s="664"/>
      <c r="I276" s="21">
        <f t="shared" si="46"/>
        <v>1</v>
      </c>
      <c r="J276" s="664"/>
      <c r="K276" s="21">
        <f t="shared" si="47"/>
        <v>1</v>
      </c>
      <c r="L276" s="664"/>
      <c r="M276" s="21">
        <f t="shared" si="48"/>
        <v>1</v>
      </c>
      <c r="N276" s="664"/>
      <c r="O276" s="21">
        <f t="shared" si="49"/>
        <v>1</v>
      </c>
      <c r="P276" s="664"/>
      <c r="Q276" s="21">
        <f t="shared" si="50"/>
        <v>1</v>
      </c>
      <c r="R276" s="660">
        <f t="shared" si="51"/>
        <v>0</v>
      </c>
      <c r="S276" s="313">
        <f t="shared" si="52"/>
        <v>0</v>
      </c>
    </row>
    <row r="277" spans="1:19">
      <c r="A277" s="147"/>
      <c r="B277" s="54"/>
      <c r="C277" s="21">
        <f t="shared" si="43"/>
        <v>1</v>
      </c>
      <c r="D277" s="664"/>
      <c r="E277" s="21">
        <f t="shared" si="44"/>
        <v>1</v>
      </c>
      <c r="F277" s="664"/>
      <c r="G277" s="21">
        <f t="shared" si="45"/>
        <v>1</v>
      </c>
      <c r="H277" s="664"/>
      <c r="I277" s="21">
        <f t="shared" si="46"/>
        <v>1</v>
      </c>
      <c r="J277" s="664"/>
      <c r="K277" s="21">
        <f t="shared" si="47"/>
        <v>1</v>
      </c>
      <c r="L277" s="664"/>
      <c r="M277" s="21">
        <f t="shared" si="48"/>
        <v>1</v>
      </c>
      <c r="N277" s="664"/>
      <c r="O277" s="21">
        <f t="shared" si="49"/>
        <v>1</v>
      </c>
      <c r="P277" s="664"/>
      <c r="Q277" s="21">
        <f t="shared" si="50"/>
        <v>1</v>
      </c>
      <c r="R277" s="660">
        <f t="shared" si="51"/>
        <v>0</v>
      </c>
      <c r="S277" s="313">
        <f t="shared" si="52"/>
        <v>0</v>
      </c>
    </row>
    <row r="278" spans="1:19">
      <c r="A278" s="147"/>
      <c r="B278" s="54"/>
      <c r="C278" s="21">
        <f t="shared" si="43"/>
        <v>1</v>
      </c>
      <c r="D278" s="664"/>
      <c r="E278" s="21">
        <f t="shared" si="44"/>
        <v>1</v>
      </c>
      <c r="F278" s="664"/>
      <c r="G278" s="21">
        <f t="shared" si="45"/>
        <v>1</v>
      </c>
      <c r="H278" s="664"/>
      <c r="I278" s="21">
        <f t="shared" si="46"/>
        <v>1</v>
      </c>
      <c r="J278" s="664"/>
      <c r="K278" s="21">
        <f t="shared" si="47"/>
        <v>1</v>
      </c>
      <c r="L278" s="664"/>
      <c r="M278" s="21">
        <f t="shared" si="48"/>
        <v>1</v>
      </c>
      <c r="N278" s="664"/>
      <c r="O278" s="21">
        <f t="shared" si="49"/>
        <v>1</v>
      </c>
      <c r="P278" s="664"/>
      <c r="Q278" s="21">
        <f t="shared" si="50"/>
        <v>1</v>
      </c>
      <c r="R278" s="660">
        <f t="shared" si="51"/>
        <v>0</v>
      </c>
      <c r="S278" s="313">
        <f t="shared" si="52"/>
        <v>0</v>
      </c>
    </row>
    <row r="279" spans="1:19">
      <c r="A279" s="147"/>
      <c r="B279" s="54"/>
      <c r="C279" s="21">
        <f t="shared" si="43"/>
        <v>1</v>
      </c>
      <c r="D279" s="664"/>
      <c r="E279" s="21">
        <f t="shared" si="44"/>
        <v>1</v>
      </c>
      <c r="F279" s="664"/>
      <c r="G279" s="21">
        <f t="shared" si="45"/>
        <v>1</v>
      </c>
      <c r="H279" s="664"/>
      <c r="I279" s="21">
        <f t="shared" si="46"/>
        <v>1</v>
      </c>
      <c r="J279" s="664"/>
      <c r="K279" s="21">
        <f t="shared" si="47"/>
        <v>1</v>
      </c>
      <c r="L279" s="664"/>
      <c r="M279" s="21">
        <f t="shared" si="48"/>
        <v>1</v>
      </c>
      <c r="N279" s="664"/>
      <c r="O279" s="21">
        <f t="shared" si="49"/>
        <v>1</v>
      </c>
      <c r="P279" s="664"/>
      <c r="Q279" s="21">
        <f t="shared" si="50"/>
        <v>1</v>
      </c>
      <c r="R279" s="660">
        <f t="shared" si="51"/>
        <v>0</v>
      </c>
      <c r="S279" s="313">
        <f t="shared" si="52"/>
        <v>0</v>
      </c>
    </row>
    <row r="280" spans="1:19">
      <c r="A280" s="147"/>
      <c r="B280" s="54"/>
      <c r="C280" s="21">
        <f t="shared" si="43"/>
        <v>1</v>
      </c>
      <c r="D280" s="664"/>
      <c r="E280" s="21">
        <f t="shared" si="44"/>
        <v>1</v>
      </c>
      <c r="F280" s="664"/>
      <c r="G280" s="21">
        <f t="shared" si="45"/>
        <v>1</v>
      </c>
      <c r="H280" s="664"/>
      <c r="I280" s="21">
        <f t="shared" si="46"/>
        <v>1</v>
      </c>
      <c r="J280" s="664"/>
      <c r="K280" s="21">
        <f t="shared" si="47"/>
        <v>1</v>
      </c>
      <c r="L280" s="664"/>
      <c r="M280" s="21">
        <f t="shared" si="48"/>
        <v>1</v>
      </c>
      <c r="N280" s="664"/>
      <c r="O280" s="21">
        <f t="shared" si="49"/>
        <v>1</v>
      </c>
      <c r="P280" s="664"/>
      <c r="Q280" s="21">
        <f t="shared" si="50"/>
        <v>1</v>
      </c>
      <c r="R280" s="660">
        <f t="shared" si="51"/>
        <v>0</v>
      </c>
      <c r="S280" s="313">
        <f t="shared" si="52"/>
        <v>0</v>
      </c>
    </row>
    <row r="281" spans="1:19">
      <c r="A281" s="147"/>
      <c r="B281" s="54"/>
      <c r="C281" s="21">
        <f t="shared" si="43"/>
        <v>1</v>
      </c>
      <c r="D281" s="664"/>
      <c r="E281" s="21">
        <f t="shared" si="44"/>
        <v>1</v>
      </c>
      <c r="F281" s="664"/>
      <c r="G281" s="21">
        <f t="shared" si="45"/>
        <v>1</v>
      </c>
      <c r="H281" s="664"/>
      <c r="I281" s="21">
        <f t="shared" si="46"/>
        <v>1</v>
      </c>
      <c r="J281" s="664"/>
      <c r="K281" s="21">
        <f t="shared" si="47"/>
        <v>1</v>
      </c>
      <c r="L281" s="664"/>
      <c r="M281" s="21">
        <f t="shared" si="48"/>
        <v>1</v>
      </c>
      <c r="N281" s="664"/>
      <c r="O281" s="21">
        <f t="shared" si="49"/>
        <v>1</v>
      </c>
      <c r="P281" s="664"/>
      <c r="Q281" s="21">
        <f t="shared" si="50"/>
        <v>1</v>
      </c>
      <c r="R281" s="660">
        <f t="shared" si="51"/>
        <v>0</v>
      </c>
      <c r="S281" s="313">
        <f t="shared" si="52"/>
        <v>0</v>
      </c>
    </row>
    <row r="282" spans="1:19">
      <c r="A282" s="147"/>
      <c r="B282" s="54"/>
      <c r="C282" s="21">
        <f t="shared" ref="C282:C345" si="53">IF(B282="",1,(LOOKUP(B282,$3:$3,$4:$4)-LOOKUP($B$24,$3:$3,$4:$4)+100)/100)</f>
        <v>1</v>
      </c>
      <c r="D282" s="664"/>
      <c r="E282" s="21">
        <f t="shared" ref="E282:E345" si="54">(SUMIF($5:$5,D282,$6:$6)-SUMIF($5:$5,$D$24,$6:$6)+100)/100</f>
        <v>1</v>
      </c>
      <c r="F282" s="664"/>
      <c r="G282" s="21">
        <f t="shared" ref="G282:G345" si="55">(SUMIF($7:$7,F282,$8:$8)-SUMIF($7:$7,$F$24,$8:$8)+100)/100</f>
        <v>1</v>
      </c>
      <c r="H282" s="664"/>
      <c r="I282" s="21">
        <f t="shared" ref="I282:I345" si="56">(SUMIF($9:$9,H282,$10:$10)-SUMIF($9:$9,$H$24,$10:$10)+100)/100</f>
        <v>1</v>
      </c>
      <c r="J282" s="664"/>
      <c r="K282" s="21">
        <f t="shared" ref="K282:K345" si="57">(SUMIF($11:$11,J282,$12:$12)-SUMIF($11:$11,$J$24,$12:$12)+100)/100</f>
        <v>1</v>
      </c>
      <c r="L282" s="664"/>
      <c r="M282" s="21">
        <f t="shared" ref="M282:M345" si="58">(SUMIF($13:$13,L282,$14:$14)-SUMIF($13:$13,$L$24,$14:$14)+100)/100</f>
        <v>1</v>
      </c>
      <c r="N282" s="664"/>
      <c r="O282" s="21">
        <f t="shared" ref="O282:O345" si="59">(SUMIF($15:$15,N282,$16:$16)-SUMIF($15:$15,$N$24,$16:$16)+100)/100</f>
        <v>1</v>
      </c>
      <c r="P282" s="664"/>
      <c r="Q282" s="21">
        <f t="shared" ref="Q282:Q345" si="60">(SUMIF($17:$17,P282,$18:$18)-SUMIF($17:$17,$P$24,$18:$18)+100)/100</f>
        <v>1</v>
      </c>
      <c r="R282" s="660">
        <f t="shared" ref="R282:R345" si="61">IF(B282="",0,ROUND($R$24*C282*E282*G282*I282*K282*M282*O282*Q282,0))</f>
        <v>0</v>
      </c>
      <c r="S282" s="313">
        <f t="shared" si="52"/>
        <v>0</v>
      </c>
    </row>
    <row r="283" spans="1:19">
      <c r="A283" s="147"/>
      <c r="B283" s="54"/>
      <c r="C283" s="21">
        <f t="shared" si="53"/>
        <v>1</v>
      </c>
      <c r="D283" s="664"/>
      <c r="E283" s="21">
        <f t="shared" si="54"/>
        <v>1</v>
      </c>
      <c r="F283" s="664"/>
      <c r="G283" s="21">
        <f t="shared" si="55"/>
        <v>1</v>
      </c>
      <c r="H283" s="664"/>
      <c r="I283" s="21">
        <f t="shared" si="56"/>
        <v>1</v>
      </c>
      <c r="J283" s="664"/>
      <c r="K283" s="21">
        <f t="shared" si="57"/>
        <v>1</v>
      </c>
      <c r="L283" s="664"/>
      <c r="M283" s="21">
        <f t="shared" si="58"/>
        <v>1</v>
      </c>
      <c r="N283" s="664"/>
      <c r="O283" s="21">
        <f t="shared" si="59"/>
        <v>1</v>
      </c>
      <c r="P283" s="664"/>
      <c r="Q283" s="21">
        <f t="shared" si="60"/>
        <v>1</v>
      </c>
      <c r="R283" s="660">
        <f t="shared" si="61"/>
        <v>0</v>
      </c>
      <c r="S283" s="313">
        <f t="shared" si="52"/>
        <v>0</v>
      </c>
    </row>
    <row r="284" spans="1:19">
      <c r="A284" s="147"/>
      <c r="B284" s="54"/>
      <c r="C284" s="21">
        <f t="shared" si="53"/>
        <v>1</v>
      </c>
      <c r="D284" s="664"/>
      <c r="E284" s="21">
        <f t="shared" si="54"/>
        <v>1</v>
      </c>
      <c r="F284" s="664"/>
      <c r="G284" s="21">
        <f t="shared" si="55"/>
        <v>1</v>
      </c>
      <c r="H284" s="664"/>
      <c r="I284" s="21">
        <f t="shared" si="56"/>
        <v>1</v>
      </c>
      <c r="J284" s="664"/>
      <c r="K284" s="21">
        <f t="shared" si="57"/>
        <v>1</v>
      </c>
      <c r="L284" s="664"/>
      <c r="M284" s="21">
        <f t="shared" si="58"/>
        <v>1</v>
      </c>
      <c r="N284" s="664"/>
      <c r="O284" s="21">
        <f t="shared" si="59"/>
        <v>1</v>
      </c>
      <c r="P284" s="664"/>
      <c r="Q284" s="21">
        <f t="shared" si="60"/>
        <v>1</v>
      </c>
      <c r="R284" s="660">
        <f t="shared" si="61"/>
        <v>0</v>
      </c>
      <c r="S284" s="313">
        <f t="shared" si="52"/>
        <v>0</v>
      </c>
    </row>
    <row r="285" spans="1:19">
      <c r="A285" s="147"/>
      <c r="B285" s="54"/>
      <c r="C285" s="21">
        <f t="shared" si="53"/>
        <v>1</v>
      </c>
      <c r="D285" s="664"/>
      <c r="E285" s="21">
        <f t="shared" si="54"/>
        <v>1</v>
      </c>
      <c r="F285" s="664"/>
      <c r="G285" s="21">
        <f t="shared" si="55"/>
        <v>1</v>
      </c>
      <c r="H285" s="664"/>
      <c r="I285" s="21">
        <f t="shared" si="56"/>
        <v>1</v>
      </c>
      <c r="J285" s="664"/>
      <c r="K285" s="21">
        <f t="shared" si="57"/>
        <v>1</v>
      </c>
      <c r="L285" s="664"/>
      <c r="M285" s="21">
        <f t="shared" si="58"/>
        <v>1</v>
      </c>
      <c r="N285" s="664"/>
      <c r="O285" s="21">
        <f t="shared" si="59"/>
        <v>1</v>
      </c>
      <c r="P285" s="664"/>
      <c r="Q285" s="21">
        <f t="shared" si="60"/>
        <v>1</v>
      </c>
      <c r="R285" s="660">
        <f t="shared" si="61"/>
        <v>0</v>
      </c>
      <c r="S285" s="313">
        <f t="shared" si="52"/>
        <v>0</v>
      </c>
    </row>
    <row r="286" spans="1:19">
      <c r="A286" s="147"/>
      <c r="B286" s="54"/>
      <c r="C286" s="21">
        <f t="shared" si="53"/>
        <v>1</v>
      </c>
      <c r="D286" s="664"/>
      <c r="E286" s="21">
        <f t="shared" si="54"/>
        <v>1</v>
      </c>
      <c r="F286" s="664"/>
      <c r="G286" s="21">
        <f t="shared" si="55"/>
        <v>1</v>
      </c>
      <c r="H286" s="664"/>
      <c r="I286" s="21">
        <f t="shared" si="56"/>
        <v>1</v>
      </c>
      <c r="J286" s="664"/>
      <c r="K286" s="21">
        <f t="shared" si="57"/>
        <v>1</v>
      </c>
      <c r="L286" s="664"/>
      <c r="M286" s="21">
        <f t="shared" si="58"/>
        <v>1</v>
      </c>
      <c r="N286" s="664"/>
      <c r="O286" s="21">
        <f t="shared" si="59"/>
        <v>1</v>
      </c>
      <c r="P286" s="664"/>
      <c r="Q286" s="21">
        <f t="shared" si="60"/>
        <v>1</v>
      </c>
      <c r="R286" s="660">
        <f t="shared" si="61"/>
        <v>0</v>
      </c>
      <c r="S286" s="313">
        <f t="shared" si="52"/>
        <v>0</v>
      </c>
    </row>
    <row r="287" spans="1:19">
      <c r="A287" s="147"/>
      <c r="B287" s="54"/>
      <c r="C287" s="21">
        <f t="shared" si="53"/>
        <v>1</v>
      </c>
      <c r="D287" s="664"/>
      <c r="E287" s="21">
        <f t="shared" si="54"/>
        <v>1</v>
      </c>
      <c r="F287" s="664"/>
      <c r="G287" s="21">
        <f t="shared" si="55"/>
        <v>1</v>
      </c>
      <c r="H287" s="664"/>
      <c r="I287" s="21">
        <f t="shared" si="56"/>
        <v>1</v>
      </c>
      <c r="J287" s="664"/>
      <c r="K287" s="21">
        <f t="shared" si="57"/>
        <v>1</v>
      </c>
      <c r="L287" s="664"/>
      <c r="M287" s="21">
        <f t="shared" si="58"/>
        <v>1</v>
      </c>
      <c r="N287" s="664"/>
      <c r="O287" s="21">
        <f t="shared" si="59"/>
        <v>1</v>
      </c>
      <c r="P287" s="664"/>
      <c r="Q287" s="21">
        <f t="shared" si="60"/>
        <v>1</v>
      </c>
      <c r="R287" s="660">
        <f t="shared" si="61"/>
        <v>0</v>
      </c>
      <c r="S287" s="313">
        <f t="shared" ref="S287:S320" si="62">ROUND(R287*B287/10000,0)</f>
        <v>0</v>
      </c>
    </row>
    <row r="288" spans="1:19">
      <c r="A288" s="147"/>
      <c r="B288" s="54"/>
      <c r="C288" s="21">
        <f t="shared" si="53"/>
        <v>1</v>
      </c>
      <c r="D288" s="664"/>
      <c r="E288" s="21">
        <f t="shared" si="54"/>
        <v>1</v>
      </c>
      <c r="F288" s="664"/>
      <c r="G288" s="21">
        <f t="shared" si="55"/>
        <v>1</v>
      </c>
      <c r="H288" s="664"/>
      <c r="I288" s="21">
        <f t="shared" si="56"/>
        <v>1</v>
      </c>
      <c r="J288" s="664"/>
      <c r="K288" s="21">
        <f t="shared" si="57"/>
        <v>1</v>
      </c>
      <c r="L288" s="664"/>
      <c r="M288" s="21">
        <f t="shared" si="58"/>
        <v>1</v>
      </c>
      <c r="N288" s="664"/>
      <c r="O288" s="21">
        <f t="shared" si="59"/>
        <v>1</v>
      </c>
      <c r="P288" s="664"/>
      <c r="Q288" s="21">
        <f t="shared" si="60"/>
        <v>1</v>
      </c>
      <c r="R288" s="660">
        <f t="shared" si="61"/>
        <v>0</v>
      </c>
      <c r="S288" s="313">
        <f t="shared" si="62"/>
        <v>0</v>
      </c>
    </row>
    <row r="289" spans="1:19">
      <c r="A289" s="147"/>
      <c r="B289" s="54"/>
      <c r="C289" s="21">
        <f t="shared" si="53"/>
        <v>1</v>
      </c>
      <c r="D289" s="664"/>
      <c r="E289" s="21">
        <f t="shared" si="54"/>
        <v>1</v>
      </c>
      <c r="F289" s="664"/>
      <c r="G289" s="21">
        <f t="shared" si="55"/>
        <v>1</v>
      </c>
      <c r="H289" s="664"/>
      <c r="I289" s="21">
        <f t="shared" si="56"/>
        <v>1</v>
      </c>
      <c r="J289" s="664"/>
      <c r="K289" s="21">
        <f t="shared" si="57"/>
        <v>1</v>
      </c>
      <c r="L289" s="664"/>
      <c r="M289" s="21">
        <f t="shared" si="58"/>
        <v>1</v>
      </c>
      <c r="N289" s="664"/>
      <c r="O289" s="21">
        <f t="shared" si="59"/>
        <v>1</v>
      </c>
      <c r="P289" s="664"/>
      <c r="Q289" s="21">
        <f t="shared" si="60"/>
        <v>1</v>
      </c>
      <c r="R289" s="660">
        <f t="shared" si="61"/>
        <v>0</v>
      </c>
      <c r="S289" s="313">
        <f t="shared" si="62"/>
        <v>0</v>
      </c>
    </row>
    <row r="290" spans="1:19">
      <c r="A290" s="147"/>
      <c r="B290" s="54"/>
      <c r="C290" s="21">
        <f t="shared" si="53"/>
        <v>1</v>
      </c>
      <c r="D290" s="664"/>
      <c r="E290" s="21">
        <f t="shared" si="54"/>
        <v>1</v>
      </c>
      <c r="F290" s="664"/>
      <c r="G290" s="21">
        <f t="shared" si="55"/>
        <v>1</v>
      </c>
      <c r="H290" s="664"/>
      <c r="I290" s="21">
        <f t="shared" si="56"/>
        <v>1</v>
      </c>
      <c r="J290" s="664"/>
      <c r="K290" s="21">
        <f t="shared" si="57"/>
        <v>1</v>
      </c>
      <c r="L290" s="664"/>
      <c r="M290" s="21">
        <f t="shared" si="58"/>
        <v>1</v>
      </c>
      <c r="N290" s="664"/>
      <c r="O290" s="21">
        <f t="shared" si="59"/>
        <v>1</v>
      </c>
      <c r="P290" s="664"/>
      <c r="Q290" s="21">
        <f t="shared" si="60"/>
        <v>1</v>
      </c>
      <c r="R290" s="660">
        <f t="shared" si="61"/>
        <v>0</v>
      </c>
      <c r="S290" s="313">
        <f t="shared" si="62"/>
        <v>0</v>
      </c>
    </row>
    <row r="291" spans="1:19">
      <c r="A291" s="147"/>
      <c r="B291" s="54"/>
      <c r="C291" s="21">
        <f t="shared" si="53"/>
        <v>1</v>
      </c>
      <c r="D291" s="664"/>
      <c r="E291" s="21">
        <f t="shared" si="54"/>
        <v>1</v>
      </c>
      <c r="F291" s="664"/>
      <c r="G291" s="21">
        <f t="shared" si="55"/>
        <v>1</v>
      </c>
      <c r="H291" s="664"/>
      <c r="I291" s="21">
        <f t="shared" si="56"/>
        <v>1</v>
      </c>
      <c r="J291" s="664"/>
      <c r="K291" s="21">
        <f t="shared" si="57"/>
        <v>1</v>
      </c>
      <c r="L291" s="664"/>
      <c r="M291" s="21">
        <f t="shared" si="58"/>
        <v>1</v>
      </c>
      <c r="N291" s="664"/>
      <c r="O291" s="21">
        <f t="shared" si="59"/>
        <v>1</v>
      </c>
      <c r="P291" s="664"/>
      <c r="Q291" s="21">
        <f t="shared" si="60"/>
        <v>1</v>
      </c>
      <c r="R291" s="660">
        <f t="shared" si="61"/>
        <v>0</v>
      </c>
      <c r="S291" s="313">
        <f t="shared" si="62"/>
        <v>0</v>
      </c>
    </row>
    <row r="292" spans="1:19">
      <c r="A292" s="147"/>
      <c r="B292" s="54"/>
      <c r="C292" s="21">
        <f t="shared" si="53"/>
        <v>1</v>
      </c>
      <c r="D292" s="664"/>
      <c r="E292" s="21">
        <f t="shared" si="54"/>
        <v>1</v>
      </c>
      <c r="F292" s="664"/>
      <c r="G292" s="21">
        <f t="shared" si="55"/>
        <v>1</v>
      </c>
      <c r="H292" s="664"/>
      <c r="I292" s="21">
        <f t="shared" si="56"/>
        <v>1</v>
      </c>
      <c r="J292" s="664"/>
      <c r="K292" s="21">
        <f t="shared" si="57"/>
        <v>1</v>
      </c>
      <c r="L292" s="664"/>
      <c r="M292" s="21">
        <f t="shared" si="58"/>
        <v>1</v>
      </c>
      <c r="N292" s="664"/>
      <c r="O292" s="21">
        <f t="shared" si="59"/>
        <v>1</v>
      </c>
      <c r="P292" s="664"/>
      <c r="Q292" s="21">
        <f t="shared" si="60"/>
        <v>1</v>
      </c>
      <c r="R292" s="660">
        <f t="shared" si="61"/>
        <v>0</v>
      </c>
      <c r="S292" s="313">
        <f t="shared" si="62"/>
        <v>0</v>
      </c>
    </row>
    <row r="293" spans="1:19">
      <c r="A293" s="147"/>
      <c r="B293" s="54"/>
      <c r="C293" s="21">
        <f t="shared" si="53"/>
        <v>1</v>
      </c>
      <c r="D293" s="664"/>
      <c r="E293" s="21">
        <f t="shared" si="54"/>
        <v>1</v>
      </c>
      <c r="F293" s="664"/>
      <c r="G293" s="21">
        <f t="shared" si="55"/>
        <v>1</v>
      </c>
      <c r="H293" s="664"/>
      <c r="I293" s="21">
        <f t="shared" si="56"/>
        <v>1</v>
      </c>
      <c r="J293" s="664"/>
      <c r="K293" s="21">
        <f t="shared" si="57"/>
        <v>1</v>
      </c>
      <c r="L293" s="664"/>
      <c r="M293" s="21">
        <f t="shared" si="58"/>
        <v>1</v>
      </c>
      <c r="N293" s="664"/>
      <c r="O293" s="21">
        <f t="shared" si="59"/>
        <v>1</v>
      </c>
      <c r="P293" s="664"/>
      <c r="Q293" s="21">
        <f t="shared" si="60"/>
        <v>1</v>
      </c>
      <c r="R293" s="660">
        <f t="shared" si="61"/>
        <v>0</v>
      </c>
      <c r="S293" s="313">
        <f t="shared" si="62"/>
        <v>0</v>
      </c>
    </row>
    <row r="294" spans="1:19">
      <c r="A294" s="147"/>
      <c r="B294" s="54"/>
      <c r="C294" s="21">
        <f t="shared" si="53"/>
        <v>1</v>
      </c>
      <c r="D294" s="664"/>
      <c r="E294" s="21">
        <f t="shared" si="54"/>
        <v>1</v>
      </c>
      <c r="F294" s="664"/>
      <c r="G294" s="21">
        <f t="shared" si="55"/>
        <v>1</v>
      </c>
      <c r="H294" s="664"/>
      <c r="I294" s="21">
        <f t="shared" si="56"/>
        <v>1</v>
      </c>
      <c r="J294" s="664"/>
      <c r="K294" s="21">
        <f t="shared" si="57"/>
        <v>1</v>
      </c>
      <c r="L294" s="664"/>
      <c r="M294" s="21">
        <f t="shared" si="58"/>
        <v>1</v>
      </c>
      <c r="N294" s="664"/>
      <c r="O294" s="21">
        <f t="shared" si="59"/>
        <v>1</v>
      </c>
      <c r="P294" s="664"/>
      <c r="Q294" s="21">
        <f t="shared" si="60"/>
        <v>1</v>
      </c>
      <c r="R294" s="660">
        <f t="shared" si="61"/>
        <v>0</v>
      </c>
      <c r="S294" s="313">
        <f t="shared" si="62"/>
        <v>0</v>
      </c>
    </row>
    <row r="295" spans="1:19">
      <c r="A295" s="147"/>
      <c r="B295" s="54"/>
      <c r="C295" s="21">
        <f t="shared" si="53"/>
        <v>1</v>
      </c>
      <c r="D295" s="664"/>
      <c r="E295" s="21">
        <f t="shared" si="54"/>
        <v>1</v>
      </c>
      <c r="F295" s="664"/>
      <c r="G295" s="21">
        <f t="shared" si="55"/>
        <v>1</v>
      </c>
      <c r="H295" s="664"/>
      <c r="I295" s="21">
        <f t="shared" si="56"/>
        <v>1</v>
      </c>
      <c r="J295" s="664"/>
      <c r="K295" s="21">
        <f t="shared" si="57"/>
        <v>1</v>
      </c>
      <c r="L295" s="664"/>
      <c r="M295" s="21">
        <f t="shared" si="58"/>
        <v>1</v>
      </c>
      <c r="N295" s="664"/>
      <c r="O295" s="21">
        <f t="shared" si="59"/>
        <v>1</v>
      </c>
      <c r="P295" s="664"/>
      <c r="Q295" s="21">
        <f t="shared" si="60"/>
        <v>1</v>
      </c>
      <c r="R295" s="660">
        <f t="shared" si="61"/>
        <v>0</v>
      </c>
      <c r="S295" s="313">
        <f t="shared" si="62"/>
        <v>0</v>
      </c>
    </row>
    <row r="296" spans="1:19">
      <c r="A296" s="147"/>
      <c r="B296" s="54"/>
      <c r="C296" s="21">
        <f t="shared" si="53"/>
        <v>1</v>
      </c>
      <c r="D296" s="664"/>
      <c r="E296" s="21">
        <f t="shared" si="54"/>
        <v>1</v>
      </c>
      <c r="F296" s="664"/>
      <c r="G296" s="21">
        <f t="shared" si="55"/>
        <v>1</v>
      </c>
      <c r="H296" s="664"/>
      <c r="I296" s="21">
        <f t="shared" si="56"/>
        <v>1</v>
      </c>
      <c r="J296" s="664"/>
      <c r="K296" s="21">
        <f t="shared" si="57"/>
        <v>1</v>
      </c>
      <c r="L296" s="664"/>
      <c r="M296" s="21">
        <f t="shared" si="58"/>
        <v>1</v>
      </c>
      <c r="N296" s="664"/>
      <c r="O296" s="21">
        <f t="shared" si="59"/>
        <v>1</v>
      </c>
      <c r="P296" s="664"/>
      <c r="Q296" s="21">
        <f t="shared" si="60"/>
        <v>1</v>
      </c>
      <c r="R296" s="660">
        <f t="shared" si="61"/>
        <v>0</v>
      </c>
      <c r="S296" s="313">
        <f t="shared" si="62"/>
        <v>0</v>
      </c>
    </row>
    <row r="297" spans="1:19">
      <c r="A297" s="147"/>
      <c r="B297" s="54"/>
      <c r="C297" s="21">
        <f t="shared" si="53"/>
        <v>1</v>
      </c>
      <c r="D297" s="664"/>
      <c r="E297" s="21">
        <f t="shared" si="54"/>
        <v>1</v>
      </c>
      <c r="F297" s="664"/>
      <c r="G297" s="21">
        <f t="shared" si="55"/>
        <v>1</v>
      </c>
      <c r="H297" s="664"/>
      <c r="I297" s="21">
        <f t="shared" si="56"/>
        <v>1</v>
      </c>
      <c r="J297" s="664"/>
      <c r="K297" s="21">
        <f t="shared" si="57"/>
        <v>1</v>
      </c>
      <c r="L297" s="664"/>
      <c r="M297" s="21">
        <f t="shared" si="58"/>
        <v>1</v>
      </c>
      <c r="N297" s="664"/>
      <c r="O297" s="21">
        <f t="shared" si="59"/>
        <v>1</v>
      </c>
      <c r="P297" s="664"/>
      <c r="Q297" s="21">
        <f t="shared" si="60"/>
        <v>1</v>
      </c>
      <c r="R297" s="660">
        <f t="shared" si="61"/>
        <v>0</v>
      </c>
      <c r="S297" s="313">
        <f t="shared" si="62"/>
        <v>0</v>
      </c>
    </row>
    <row r="298" spans="1:19">
      <c r="A298" s="147"/>
      <c r="B298" s="54"/>
      <c r="C298" s="21">
        <f t="shared" si="53"/>
        <v>1</v>
      </c>
      <c r="D298" s="664"/>
      <c r="E298" s="21">
        <f t="shared" si="54"/>
        <v>1</v>
      </c>
      <c r="F298" s="664"/>
      <c r="G298" s="21">
        <f t="shared" si="55"/>
        <v>1</v>
      </c>
      <c r="H298" s="664"/>
      <c r="I298" s="21">
        <f t="shared" si="56"/>
        <v>1</v>
      </c>
      <c r="J298" s="664"/>
      <c r="K298" s="21">
        <f t="shared" si="57"/>
        <v>1</v>
      </c>
      <c r="L298" s="664"/>
      <c r="M298" s="21">
        <f t="shared" si="58"/>
        <v>1</v>
      </c>
      <c r="N298" s="664"/>
      <c r="O298" s="21">
        <f t="shared" si="59"/>
        <v>1</v>
      </c>
      <c r="P298" s="664"/>
      <c r="Q298" s="21">
        <f t="shared" si="60"/>
        <v>1</v>
      </c>
      <c r="R298" s="660">
        <f t="shared" si="61"/>
        <v>0</v>
      </c>
      <c r="S298" s="313">
        <f t="shared" si="62"/>
        <v>0</v>
      </c>
    </row>
    <row r="299" spans="1:19">
      <c r="A299" s="147"/>
      <c r="B299" s="54"/>
      <c r="C299" s="21">
        <f t="shared" si="53"/>
        <v>1</v>
      </c>
      <c r="D299" s="664"/>
      <c r="E299" s="21">
        <f t="shared" si="54"/>
        <v>1</v>
      </c>
      <c r="F299" s="664"/>
      <c r="G299" s="21">
        <f t="shared" si="55"/>
        <v>1</v>
      </c>
      <c r="H299" s="664"/>
      <c r="I299" s="21">
        <f t="shared" si="56"/>
        <v>1</v>
      </c>
      <c r="J299" s="664"/>
      <c r="K299" s="21">
        <f t="shared" si="57"/>
        <v>1</v>
      </c>
      <c r="L299" s="664"/>
      <c r="M299" s="21">
        <f t="shared" si="58"/>
        <v>1</v>
      </c>
      <c r="N299" s="664"/>
      <c r="O299" s="21">
        <f t="shared" si="59"/>
        <v>1</v>
      </c>
      <c r="P299" s="664"/>
      <c r="Q299" s="21">
        <f t="shared" si="60"/>
        <v>1</v>
      </c>
      <c r="R299" s="660">
        <f t="shared" si="61"/>
        <v>0</v>
      </c>
      <c r="S299" s="313">
        <f t="shared" si="62"/>
        <v>0</v>
      </c>
    </row>
    <row r="300" spans="1:19">
      <c r="A300" s="147"/>
      <c r="B300" s="54"/>
      <c r="C300" s="21">
        <f t="shared" si="53"/>
        <v>1</v>
      </c>
      <c r="D300" s="664"/>
      <c r="E300" s="21">
        <f t="shared" si="54"/>
        <v>1</v>
      </c>
      <c r="F300" s="664"/>
      <c r="G300" s="21">
        <f t="shared" si="55"/>
        <v>1</v>
      </c>
      <c r="H300" s="664"/>
      <c r="I300" s="21">
        <f t="shared" si="56"/>
        <v>1</v>
      </c>
      <c r="J300" s="664"/>
      <c r="K300" s="21">
        <f t="shared" si="57"/>
        <v>1</v>
      </c>
      <c r="L300" s="664"/>
      <c r="M300" s="21">
        <f t="shared" si="58"/>
        <v>1</v>
      </c>
      <c r="N300" s="664"/>
      <c r="O300" s="21">
        <f t="shared" si="59"/>
        <v>1</v>
      </c>
      <c r="P300" s="664"/>
      <c r="Q300" s="21">
        <f t="shared" si="60"/>
        <v>1</v>
      </c>
      <c r="R300" s="660">
        <f t="shared" si="61"/>
        <v>0</v>
      </c>
      <c r="S300" s="313">
        <f t="shared" si="62"/>
        <v>0</v>
      </c>
    </row>
    <row r="301" spans="1:19">
      <c r="A301" s="147"/>
      <c r="B301" s="54"/>
      <c r="C301" s="21">
        <f t="shared" si="53"/>
        <v>1</v>
      </c>
      <c r="D301" s="664"/>
      <c r="E301" s="21">
        <f t="shared" si="54"/>
        <v>1</v>
      </c>
      <c r="F301" s="664"/>
      <c r="G301" s="21">
        <f t="shared" si="55"/>
        <v>1</v>
      </c>
      <c r="H301" s="664"/>
      <c r="I301" s="21">
        <f t="shared" si="56"/>
        <v>1</v>
      </c>
      <c r="J301" s="664"/>
      <c r="K301" s="21">
        <f t="shared" si="57"/>
        <v>1</v>
      </c>
      <c r="L301" s="664"/>
      <c r="M301" s="21">
        <f t="shared" si="58"/>
        <v>1</v>
      </c>
      <c r="N301" s="664"/>
      <c r="O301" s="21">
        <f t="shared" si="59"/>
        <v>1</v>
      </c>
      <c r="P301" s="664"/>
      <c r="Q301" s="21">
        <f t="shared" si="60"/>
        <v>1</v>
      </c>
      <c r="R301" s="660">
        <f t="shared" si="61"/>
        <v>0</v>
      </c>
      <c r="S301" s="313">
        <f t="shared" si="62"/>
        <v>0</v>
      </c>
    </row>
    <row r="302" spans="1:19">
      <c r="A302" s="147"/>
      <c r="B302" s="54"/>
      <c r="C302" s="21">
        <f t="shared" si="53"/>
        <v>1</v>
      </c>
      <c r="D302" s="664"/>
      <c r="E302" s="21">
        <f t="shared" si="54"/>
        <v>1</v>
      </c>
      <c r="F302" s="664"/>
      <c r="G302" s="21">
        <f t="shared" si="55"/>
        <v>1</v>
      </c>
      <c r="H302" s="664"/>
      <c r="I302" s="21">
        <f t="shared" si="56"/>
        <v>1</v>
      </c>
      <c r="J302" s="664"/>
      <c r="K302" s="21">
        <f t="shared" si="57"/>
        <v>1</v>
      </c>
      <c r="L302" s="664"/>
      <c r="M302" s="21">
        <f t="shared" si="58"/>
        <v>1</v>
      </c>
      <c r="N302" s="664"/>
      <c r="O302" s="21">
        <f t="shared" si="59"/>
        <v>1</v>
      </c>
      <c r="P302" s="664"/>
      <c r="Q302" s="21">
        <f t="shared" si="60"/>
        <v>1</v>
      </c>
      <c r="R302" s="660">
        <f t="shared" si="61"/>
        <v>0</v>
      </c>
      <c r="S302" s="313">
        <f t="shared" si="62"/>
        <v>0</v>
      </c>
    </row>
    <row r="303" spans="1:19">
      <c r="A303" s="147"/>
      <c r="B303" s="54"/>
      <c r="C303" s="21">
        <f t="shared" si="53"/>
        <v>1</v>
      </c>
      <c r="D303" s="664"/>
      <c r="E303" s="21">
        <f t="shared" si="54"/>
        <v>1</v>
      </c>
      <c r="F303" s="664"/>
      <c r="G303" s="21">
        <f t="shared" si="55"/>
        <v>1</v>
      </c>
      <c r="H303" s="664"/>
      <c r="I303" s="21">
        <f t="shared" si="56"/>
        <v>1</v>
      </c>
      <c r="J303" s="664"/>
      <c r="K303" s="21">
        <f t="shared" si="57"/>
        <v>1</v>
      </c>
      <c r="L303" s="664"/>
      <c r="M303" s="21">
        <f t="shared" si="58"/>
        <v>1</v>
      </c>
      <c r="N303" s="664"/>
      <c r="O303" s="21">
        <f t="shared" si="59"/>
        <v>1</v>
      </c>
      <c r="P303" s="664"/>
      <c r="Q303" s="21">
        <f t="shared" si="60"/>
        <v>1</v>
      </c>
      <c r="R303" s="660">
        <f t="shared" si="61"/>
        <v>0</v>
      </c>
      <c r="S303" s="313">
        <f t="shared" si="62"/>
        <v>0</v>
      </c>
    </row>
    <row r="304" spans="1:19">
      <c r="A304" s="147"/>
      <c r="B304" s="54"/>
      <c r="C304" s="21">
        <f t="shared" si="53"/>
        <v>1</v>
      </c>
      <c r="D304" s="664"/>
      <c r="E304" s="21">
        <f t="shared" si="54"/>
        <v>1</v>
      </c>
      <c r="F304" s="664"/>
      <c r="G304" s="21">
        <f t="shared" si="55"/>
        <v>1</v>
      </c>
      <c r="H304" s="664"/>
      <c r="I304" s="21">
        <f t="shared" si="56"/>
        <v>1</v>
      </c>
      <c r="J304" s="664"/>
      <c r="K304" s="21">
        <f t="shared" si="57"/>
        <v>1</v>
      </c>
      <c r="L304" s="664"/>
      <c r="M304" s="21">
        <f t="shared" si="58"/>
        <v>1</v>
      </c>
      <c r="N304" s="664"/>
      <c r="O304" s="21">
        <f t="shared" si="59"/>
        <v>1</v>
      </c>
      <c r="P304" s="664"/>
      <c r="Q304" s="21">
        <f t="shared" si="60"/>
        <v>1</v>
      </c>
      <c r="R304" s="660">
        <f t="shared" si="61"/>
        <v>0</v>
      </c>
      <c r="S304" s="313">
        <f t="shared" si="62"/>
        <v>0</v>
      </c>
    </row>
    <row r="305" spans="1:19">
      <c r="A305" s="147"/>
      <c r="B305" s="54"/>
      <c r="C305" s="21">
        <f t="shared" si="53"/>
        <v>1</v>
      </c>
      <c r="D305" s="664"/>
      <c r="E305" s="21">
        <f t="shared" si="54"/>
        <v>1</v>
      </c>
      <c r="F305" s="664"/>
      <c r="G305" s="21">
        <f t="shared" si="55"/>
        <v>1</v>
      </c>
      <c r="H305" s="664"/>
      <c r="I305" s="21">
        <f t="shared" si="56"/>
        <v>1</v>
      </c>
      <c r="J305" s="664"/>
      <c r="K305" s="21">
        <f t="shared" si="57"/>
        <v>1</v>
      </c>
      <c r="L305" s="664"/>
      <c r="M305" s="21">
        <f t="shared" si="58"/>
        <v>1</v>
      </c>
      <c r="N305" s="664"/>
      <c r="O305" s="21">
        <f t="shared" si="59"/>
        <v>1</v>
      </c>
      <c r="P305" s="664"/>
      <c r="Q305" s="21">
        <f t="shared" si="60"/>
        <v>1</v>
      </c>
      <c r="R305" s="660">
        <f t="shared" si="61"/>
        <v>0</v>
      </c>
      <c r="S305" s="313">
        <f t="shared" si="62"/>
        <v>0</v>
      </c>
    </row>
    <row r="306" spans="1:19">
      <c r="A306" s="147"/>
      <c r="B306" s="54"/>
      <c r="C306" s="21">
        <f t="shared" si="53"/>
        <v>1</v>
      </c>
      <c r="D306" s="664"/>
      <c r="E306" s="21">
        <f t="shared" si="54"/>
        <v>1</v>
      </c>
      <c r="F306" s="664"/>
      <c r="G306" s="21">
        <f t="shared" si="55"/>
        <v>1</v>
      </c>
      <c r="H306" s="664"/>
      <c r="I306" s="21">
        <f t="shared" si="56"/>
        <v>1</v>
      </c>
      <c r="J306" s="664"/>
      <c r="K306" s="21">
        <f t="shared" si="57"/>
        <v>1</v>
      </c>
      <c r="L306" s="664"/>
      <c r="M306" s="21">
        <f t="shared" si="58"/>
        <v>1</v>
      </c>
      <c r="N306" s="664"/>
      <c r="O306" s="21">
        <f t="shared" si="59"/>
        <v>1</v>
      </c>
      <c r="P306" s="664"/>
      <c r="Q306" s="21">
        <f t="shared" si="60"/>
        <v>1</v>
      </c>
      <c r="R306" s="660">
        <f t="shared" si="61"/>
        <v>0</v>
      </c>
      <c r="S306" s="313">
        <f t="shared" si="62"/>
        <v>0</v>
      </c>
    </row>
    <row r="307" spans="1:19">
      <c r="A307" s="147"/>
      <c r="B307" s="54"/>
      <c r="C307" s="21">
        <f t="shared" si="53"/>
        <v>1</v>
      </c>
      <c r="D307" s="664"/>
      <c r="E307" s="21">
        <f t="shared" si="54"/>
        <v>1</v>
      </c>
      <c r="F307" s="664"/>
      <c r="G307" s="21">
        <f t="shared" si="55"/>
        <v>1</v>
      </c>
      <c r="H307" s="664"/>
      <c r="I307" s="21">
        <f t="shared" si="56"/>
        <v>1</v>
      </c>
      <c r="J307" s="664"/>
      <c r="K307" s="21">
        <f t="shared" si="57"/>
        <v>1</v>
      </c>
      <c r="L307" s="664"/>
      <c r="M307" s="21">
        <f t="shared" si="58"/>
        <v>1</v>
      </c>
      <c r="N307" s="664"/>
      <c r="O307" s="21">
        <f t="shared" si="59"/>
        <v>1</v>
      </c>
      <c r="P307" s="664"/>
      <c r="Q307" s="21">
        <f t="shared" si="60"/>
        <v>1</v>
      </c>
      <c r="R307" s="660">
        <f t="shared" si="61"/>
        <v>0</v>
      </c>
      <c r="S307" s="313">
        <f t="shared" si="62"/>
        <v>0</v>
      </c>
    </row>
    <row r="308" spans="1:19">
      <c r="A308" s="147"/>
      <c r="B308" s="54"/>
      <c r="C308" s="21">
        <f t="shared" si="53"/>
        <v>1</v>
      </c>
      <c r="D308" s="664"/>
      <c r="E308" s="21">
        <f t="shared" si="54"/>
        <v>1</v>
      </c>
      <c r="F308" s="664"/>
      <c r="G308" s="21">
        <f t="shared" si="55"/>
        <v>1</v>
      </c>
      <c r="H308" s="664"/>
      <c r="I308" s="21">
        <f t="shared" si="56"/>
        <v>1</v>
      </c>
      <c r="J308" s="664"/>
      <c r="K308" s="21">
        <f t="shared" si="57"/>
        <v>1</v>
      </c>
      <c r="L308" s="664"/>
      <c r="M308" s="21">
        <f t="shared" si="58"/>
        <v>1</v>
      </c>
      <c r="N308" s="664"/>
      <c r="O308" s="21">
        <f t="shared" si="59"/>
        <v>1</v>
      </c>
      <c r="P308" s="664"/>
      <c r="Q308" s="21">
        <f t="shared" si="60"/>
        <v>1</v>
      </c>
      <c r="R308" s="660">
        <f t="shared" si="61"/>
        <v>0</v>
      </c>
      <c r="S308" s="313">
        <f t="shared" si="62"/>
        <v>0</v>
      </c>
    </row>
    <row r="309" spans="1:19">
      <c r="A309" s="147"/>
      <c r="B309" s="54"/>
      <c r="C309" s="21">
        <f t="shared" si="53"/>
        <v>1</v>
      </c>
      <c r="D309" s="664"/>
      <c r="E309" s="21">
        <f t="shared" si="54"/>
        <v>1</v>
      </c>
      <c r="F309" s="664"/>
      <c r="G309" s="21">
        <f t="shared" si="55"/>
        <v>1</v>
      </c>
      <c r="H309" s="664"/>
      <c r="I309" s="21">
        <f t="shared" si="56"/>
        <v>1</v>
      </c>
      <c r="J309" s="664"/>
      <c r="K309" s="21">
        <f t="shared" si="57"/>
        <v>1</v>
      </c>
      <c r="L309" s="664"/>
      <c r="M309" s="21">
        <f t="shared" si="58"/>
        <v>1</v>
      </c>
      <c r="N309" s="664"/>
      <c r="O309" s="21">
        <f t="shared" si="59"/>
        <v>1</v>
      </c>
      <c r="P309" s="664"/>
      <c r="Q309" s="21">
        <f t="shared" si="60"/>
        <v>1</v>
      </c>
      <c r="R309" s="660">
        <f t="shared" si="61"/>
        <v>0</v>
      </c>
      <c r="S309" s="313">
        <f t="shared" si="62"/>
        <v>0</v>
      </c>
    </row>
    <row r="310" spans="1:19">
      <c r="A310" s="147"/>
      <c r="B310" s="54"/>
      <c r="C310" s="21">
        <f t="shared" si="53"/>
        <v>1</v>
      </c>
      <c r="D310" s="664"/>
      <c r="E310" s="21">
        <f t="shared" si="54"/>
        <v>1</v>
      </c>
      <c r="F310" s="664"/>
      <c r="G310" s="21">
        <f t="shared" si="55"/>
        <v>1</v>
      </c>
      <c r="H310" s="664"/>
      <c r="I310" s="21">
        <f t="shared" si="56"/>
        <v>1</v>
      </c>
      <c r="J310" s="664"/>
      <c r="K310" s="21">
        <f t="shared" si="57"/>
        <v>1</v>
      </c>
      <c r="L310" s="664"/>
      <c r="M310" s="21">
        <f t="shared" si="58"/>
        <v>1</v>
      </c>
      <c r="N310" s="664"/>
      <c r="O310" s="21">
        <f t="shared" si="59"/>
        <v>1</v>
      </c>
      <c r="P310" s="664"/>
      <c r="Q310" s="21">
        <f t="shared" si="60"/>
        <v>1</v>
      </c>
      <c r="R310" s="660">
        <f t="shared" si="61"/>
        <v>0</v>
      </c>
      <c r="S310" s="313">
        <f t="shared" si="62"/>
        <v>0</v>
      </c>
    </row>
    <row r="311" spans="1:19">
      <c r="A311" s="147"/>
      <c r="B311" s="54"/>
      <c r="C311" s="21">
        <f t="shared" si="53"/>
        <v>1</v>
      </c>
      <c r="D311" s="664"/>
      <c r="E311" s="21">
        <f t="shared" si="54"/>
        <v>1</v>
      </c>
      <c r="F311" s="664"/>
      <c r="G311" s="21">
        <f t="shared" si="55"/>
        <v>1</v>
      </c>
      <c r="H311" s="664"/>
      <c r="I311" s="21">
        <f t="shared" si="56"/>
        <v>1</v>
      </c>
      <c r="J311" s="664"/>
      <c r="K311" s="21">
        <f t="shared" si="57"/>
        <v>1</v>
      </c>
      <c r="L311" s="664"/>
      <c r="M311" s="21">
        <f t="shared" si="58"/>
        <v>1</v>
      </c>
      <c r="N311" s="664"/>
      <c r="O311" s="21">
        <f t="shared" si="59"/>
        <v>1</v>
      </c>
      <c r="P311" s="664"/>
      <c r="Q311" s="21">
        <f t="shared" si="60"/>
        <v>1</v>
      </c>
      <c r="R311" s="660">
        <f t="shared" si="61"/>
        <v>0</v>
      </c>
      <c r="S311" s="313">
        <f t="shared" si="62"/>
        <v>0</v>
      </c>
    </row>
    <row r="312" spans="1:19">
      <c r="A312" s="147"/>
      <c r="B312" s="54"/>
      <c r="C312" s="21">
        <f t="shared" si="53"/>
        <v>1</v>
      </c>
      <c r="D312" s="664"/>
      <c r="E312" s="21">
        <f t="shared" si="54"/>
        <v>1</v>
      </c>
      <c r="F312" s="664"/>
      <c r="G312" s="21">
        <f t="shared" si="55"/>
        <v>1</v>
      </c>
      <c r="H312" s="664"/>
      <c r="I312" s="21">
        <f t="shared" si="56"/>
        <v>1</v>
      </c>
      <c r="J312" s="664"/>
      <c r="K312" s="21">
        <f t="shared" si="57"/>
        <v>1</v>
      </c>
      <c r="L312" s="664"/>
      <c r="M312" s="21">
        <f t="shared" si="58"/>
        <v>1</v>
      </c>
      <c r="N312" s="664"/>
      <c r="O312" s="21">
        <f t="shared" si="59"/>
        <v>1</v>
      </c>
      <c r="P312" s="664"/>
      <c r="Q312" s="21">
        <f t="shared" si="60"/>
        <v>1</v>
      </c>
      <c r="R312" s="660">
        <f t="shared" si="61"/>
        <v>0</v>
      </c>
      <c r="S312" s="313">
        <f t="shared" si="62"/>
        <v>0</v>
      </c>
    </row>
    <row r="313" spans="1:19">
      <c r="A313" s="147"/>
      <c r="B313" s="54"/>
      <c r="C313" s="21">
        <f t="shared" si="53"/>
        <v>1</v>
      </c>
      <c r="D313" s="664"/>
      <c r="E313" s="21">
        <f t="shared" si="54"/>
        <v>1</v>
      </c>
      <c r="F313" s="664"/>
      <c r="G313" s="21">
        <f t="shared" si="55"/>
        <v>1</v>
      </c>
      <c r="H313" s="664"/>
      <c r="I313" s="21">
        <f t="shared" si="56"/>
        <v>1</v>
      </c>
      <c r="J313" s="664"/>
      <c r="K313" s="21">
        <f t="shared" si="57"/>
        <v>1</v>
      </c>
      <c r="L313" s="664"/>
      <c r="M313" s="21">
        <f t="shared" si="58"/>
        <v>1</v>
      </c>
      <c r="N313" s="664"/>
      <c r="O313" s="21">
        <f t="shared" si="59"/>
        <v>1</v>
      </c>
      <c r="P313" s="664"/>
      <c r="Q313" s="21">
        <f t="shared" si="60"/>
        <v>1</v>
      </c>
      <c r="R313" s="660">
        <f t="shared" si="61"/>
        <v>0</v>
      </c>
      <c r="S313" s="313">
        <f t="shared" si="62"/>
        <v>0</v>
      </c>
    </row>
    <row r="314" spans="1:19">
      <c r="A314" s="147"/>
      <c r="B314" s="54"/>
      <c r="C314" s="21">
        <f t="shared" si="53"/>
        <v>1</v>
      </c>
      <c r="D314" s="664"/>
      <c r="E314" s="21">
        <f t="shared" si="54"/>
        <v>1</v>
      </c>
      <c r="F314" s="664"/>
      <c r="G314" s="21">
        <f t="shared" si="55"/>
        <v>1</v>
      </c>
      <c r="H314" s="664"/>
      <c r="I314" s="21">
        <f t="shared" si="56"/>
        <v>1</v>
      </c>
      <c r="J314" s="664"/>
      <c r="K314" s="21">
        <f t="shared" si="57"/>
        <v>1</v>
      </c>
      <c r="L314" s="664"/>
      <c r="M314" s="21">
        <f t="shared" si="58"/>
        <v>1</v>
      </c>
      <c r="N314" s="664"/>
      <c r="O314" s="21">
        <f t="shared" si="59"/>
        <v>1</v>
      </c>
      <c r="P314" s="664"/>
      <c r="Q314" s="21">
        <f t="shared" si="60"/>
        <v>1</v>
      </c>
      <c r="R314" s="660">
        <f t="shared" si="61"/>
        <v>0</v>
      </c>
      <c r="S314" s="313">
        <f t="shared" si="62"/>
        <v>0</v>
      </c>
    </row>
    <row r="315" spans="1:19">
      <c r="A315" s="147"/>
      <c r="B315" s="54"/>
      <c r="C315" s="21">
        <f t="shared" si="53"/>
        <v>1</v>
      </c>
      <c r="D315" s="664"/>
      <c r="E315" s="21">
        <f t="shared" si="54"/>
        <v>1</v>
      </c>
      <c r="F315" s="664"/>
      <c r="G315" s="21">
        <f t="shared" si="55"/>
        <v>1</v>
      </c>
      <c r="H315" s="664"/>
      <c r="I315" s="21">
        <f t="shared" si="56"/>
        <v>1</v>
      </c>
      <c r="J315" s="664"/>
      <c r="K315" s="21">
        <f t="shared" si="57"/>
        <v>1</v>
      </c>
      <c r="L315" s="664"/>
      <c r="M315" s="21">
        <f t="shared" si="58"/>
        <v>1</v>
      </c>
      <c r="N315" s="664"/>
      <c r="O315" s="21">
        <f t="shared" si="59"/>
        <v>1</v>
      </c>
      <c r="P315" s="664"/>
      <c r="Q315" s="21">
        <f t="shared" si="60"/>
        <v>1</v>
      </c>
      <c r="R315" s="660">
        <f t="shared" si="61"/>
        <v>0</v>
      </c>
      <c r="S315" s="313">
        <f t="shared" si="62"/>
        <v>0</v>
      </c>
    </row>
    <row r="316" spans="1:19">
      <c r="A316" s="147"/>
      <c r="B316" s="54"/>
      <c r="C316" s="21">
        <f t="shared" si="53"/>
        <v>1</v>
      </c>
      <c r="D316" s="664"/>
      <c r="E316" s="21">
        <f t="shared" si="54"/>
        <v>1</v>
      </c>
      <c r="F316" s="664"/>
      <c r="G316" s="21">
        <f t="shared" si="55"/>
        <v>1</v>
      </c>
      <c r="H316" s="664"/>
      <c r="I316" s="21">
        <f t="shared" si="56"/>
        <v>1</v>
      </c>
      <c r="J316" s="664"/>
      <c r="K316" s="21">
        <f t="shared" si="57"/>
        <v>1</v>
      </c>
      <c r="L316" s="664"/>
      <c r="M316" s="21">
        <f t="shared" si="58"/>
        <v>1</v>
      </c>
      <c r="N316" s="664"/>
      <c r="O316" s="21">
        <f t="shared" si="59"/>
        <v>1</v>
      </c>
      <c r="P316" s="664"/>
      <c r="Q316" s="21">
        <f t="shared" si="60"/>
        <v>1</v>
      </c>
      <c r="R316" s="660">
        <f t="shared" si="61"/>
        <v>0</v>
      </c>
      <c r="S316" s="313">
        <f t="shared" si="62"/>
        <v>0</v>
      </c>
    </row>
    <row r="317" spans="1:19">
      <c r="A317" s="147"/>
      <c r="B317" s="54"/>
      <c r="C317" s="21">
        <f t="shared" si="53"/>
        <v>1</v>
      </c>
      <c r="D317" s="664"/>
      <c r="E317" s="21">
        <f t="shared" si="54"/>
        <v>1</v>
      </c>
      <c r="F317" s="664"/>
      <c r="G317" s="21">
        <f t="shared" si="55"/>
        <v>1</v>
      </c>
      <c r="H317" s="664"/>
      <c r="I317" s="21">
        <f t="shared" si="56"/>
        <v>1</v>
      </c>
      <c r="J317" s="664"/>
      <c r="K317" s="21">
        <f t="shared" si="57"/>
        <v>1</v>
      </c>
      <c r="L317" s="664"/>
      <c r="M317" s="21">
        <f t="shared" si="58"/>
        <v>1</v>
      </c>
      <c r="N317" s="664"/>
      <c r="O317" s="21">
        <f t="shared" si="59"/>
        <v>1</v>
      </c>
      <c r="P317" s="664"/>
      <c r="Q317" s="21">
        <f t="shared" si="60"/>
        <v>1</v>
      </c>
      <c r="R317" s="660">
        <f t="shared" si="61"/>
        <v>0</v>
      </c>
      <c r="S317" s="313">
        <f t="shared" si="62"/>
        <v>0</v>
      </c>
    </row>
    <row r="318" spans="1:19">
      <c r="A318" s="147"/>
      <c r="B318" s="54"/>
      <c r="C318" s="21">
        <f t="shared" si="53"/>
        <v>1</v>
      </c>
      <c r="D318" s="664"/>
      <c r="E318" s="21">
        <f t="shared" si="54"/>
        <v>1</v>
      </c>
      <c r="F318" s="664"/>
      <c r="G318" s="21">
        <f t="shared" si="55"/>
        <v>1</v>
      </c>
      <c r="H318" s="664"/>
      <c r="I318" s="21">
        <f t="shared" si="56"/>
        <v>1</v>
      </c>
      <c r="J318" s="664"/>
      <c r="K318" s="21">
        <f t="shared" si="57"/>
        <v>1</v>
      </c>
      <c r="L318" s="664"/>
      <c r="M318" s="21">
        <f t="shared" si="58"/>
        <v>1</v>
      </c>
      <c r="N318" s="664"/>
      <c r="O318" s="21">
        <f t="shared" si="59"/>
        <v>1</v>
      </c>
      <c r="P318" s="664"/>
      <c r="Q318" s="21">
        <f t="shared" si="60"/>
        <v>1</v>
      </c>
      <c r="R318" s="660">
        <f t="shared" si="61"/>
        <v>0</v>
      </c>
      <c r="S318" s="313">
        <f t="shared" si="62"/>
        <v>0</v>
      </c>
    </row>
    <row r="319" spans="1:19">
      <c r="A319" s="147"/>
      <c r="B319" s="54"/>
      <c r="C319" s="21">
        <f t="shared" si="53"/>
        <v>1</v>
      </c>
      <c r="D319" s="664"/>
      <c r="E319" s="21">
        <f t="shared" si="54"/>
        <v>1</v>
      </c>
      <c r="F319" s="664"/>
      <c r="G319" s="21">
        <f t="shared" si="55"/>
        <v>1</v>
      </c>
      <c r="H319" s="664"/>
      <c r="I319" s="21">
        <f t="shared" si="56"/>
        <v>1</v>
      </c>
      <c r="J319" s="664"/>
      <c r="K319" s="21">
        <f t="shared" si="57"/>
        <v>1</v>
      </c>
      <c r="L319" s="664"/>
      <c r="M319" s="21">
        <f t="shared" si="58"/>
        <v>1</v>
      </c>
      <c r="N319" s="664"/>
      <c r="O319" s="21">
        <f t="shared" si="59"/>
        <v>1</v>
      </c>
      <c r="P319" s="664"/>
      <c r="Q319" s="21">
        <f t="shared" si="60"/>
        <v>1</v>
      </c>
      <c r="R319" s="660">
        <f t="shared" si="61"/>
        <v>0</v>
      </c>
      <c r="S319" s="313">
        <f t="shared" si="62"/>
        <v>0</v>
      </c>
    </row>
    <row r="320" spans="1:19">
      <c r="A320" s="147"/>
      <c r="B320" s="54"/>
      <c r="C320" s="21">
        <f t="shared" si="53"/>
        <v>1</v>
      </c>
      <c r="D320" s="664"/>
      <c r="E320" s="21">
        <f t="shared" si="54"/>
        <v>1</v>
      </c>
      <c r="F320" s="664"/>
      <c r="G320" s="21">
        <f t="shared" si="55"/>
        <v>1</v>
      </c>
      <c r="H320" s="664"/>
      <c r="I320" s="21">
        <f t="shared" si="56"/>
        <v>1</v>
      </c>
      <c r="J320" s="664"/>
      <c r="K320" s="21">
        <f t="shared" si="57"/>
        <v>1</v>
      </c>
      <c r="L320" s="664"/>
      <c r="M320" s="21">
        <f t="shared" si="58"/>
        <v>1</v>
      </c>
      <c r="N320" s="664"/>
      <c r="O320" s="21">
        <f t="shared" si="59"/>
        <v>1</v>
      </c>
      <c r="P320" s="664"/>
      <c r="Q320" s="21">
        <f t="shared" si="60"/>
        <v>1</v>
      </c>
      <c r="R320" s="660">
        <f t="shared" si="61"/>
        <v>0</v>
      </c>
      <c r="S320" s="313">
        <f t="shared" si="62"/>
        <v>0</v>
      </c>
    </row>
    <row r="321" spans="1:19">
      <c r="A321" s="147"/>
      <c r="B321" s="54"/>
      <c r="C321" s="21">
        <f t="shared" si="53"/>
        <v>1</v>
      </c>
      <c r="D321" s="664"/>
      <c r="E321" s="21">
        <f t="shared" si="54"/>
        <v>1</v>
      </c>
      <c r="F321" s="664"/>
      <c r="G321" s="21">
        <f t="shared" si="55"/>
        <v>1</v>
      </c>
      <c r="H321" s="664"/>
      <c r="I321" s="21">
        <f t="shared" si="56"/>
        <v>1</v>
      </c>
      <c r="J321" s="664"/>
      <c r="K321" s="21">
        <f t="shared" si="57"/>
        <v>1</v>
      </c>
      <c r="L321" s="664"/>
      <c r="M321" s="21">
        <f t="shared" si="58"/>
        <v>1</v>
      </c>
      <c r="N321" s="664"/>
      <c r="O321" s="21">
        <f t="shared" si="59"/>
        <v>1</v>
      </c>
      <c r="P321" s="664"/>
      <c r="Q321" s="21">
        <f t="shared" si="60"/>
        <v>1</v>
      </c>
      <c r="R321" s="660">
        <f t="shared" si="61"/>
        <v>0</v>
      </c>
      <c r="S321" s="313">
        <f t="shared" ref="S321:S384" si="63">ROUND(R321*B321/10000,0)</f>
        <v>0</v>
      </c>
    </row>
    <row r="322" spans="1:19">
      <c r="A322" s="147"/>
      <c r="B322" s="54"/>
      <c r="C322" s="21">
        <f t="shared" si="53"/>
        <v>1</v>
      </c>
      <c r="D322" s="664"/>
      <c r="E322" s="21">
        <f t="shared" si="54"/>
        <v>1</v>
      </c>
      <c r="F322" s="664"/>
      <c r="G322" s="21">
        <f t="shared" si="55"/>
        <v>1</v>
      </c>
      <c r="H322" s="664"/>
      <c r="I322" s="21">
        <f t="shared" si="56"/>
        <v>1</v>
      </c>
      <c r="J322" s="664"/>
      <c r="K322" s="21">
        <f t="shared" si="57"/>
        <v>1</v>
      </c>
      <c r="L322" s="664"/>
      <c r="M322" s="21">
        <f t="shared" si="58"/>
        <v>1</v>
      </c>
      <c r="N322" s="664"/>
      <c r="O322" s="21">
        <f t="shared" si="59"/>
        <v>1</v>
      </c>
      <c r="P322" s="664"/>
      <c r="Q322" s="21">
        <f t="shared" si="60"/>
        <v>1</v>
      </c>
      <c r="R322" s="660">
        <f t="shared" si="61"/>
        <v>0</v>
      </c>
      <c r="S322" s="313">
        <f t="shared" si="63"/>
        <v>0</v>
      </c>
    </row>
    <row r="323" spans="1:19">
      <c r="A323" s="147"/>
      <c r="B323" s="54"/>
      <c r="C323" s="21">
        <f t="shared" si="53"/>
        <v>1</v>
      </c>
      <c r="D323" s="664"/>
      <c r="E323" s="21">
        <f t="shared" si="54"/>
        <v>1</v>
      </c>
      <c r="F323" s="664"/>
      <c r="G323" s="21">
        <f t="shared" si="55"/>
        <v>1</v>
      </c>
      <c r="H323" s="664"/>
      <c r="I323" s="21">
        <f t="shared" si="56"/>
        <v>1</v>
      </c>
      <c r="J323" s="664"/>
      <c r="K323" s="21">
        <f t="shared" si="57"/>
        <v>1</v>
      </c>
      <c r="L323" s="664"/>
      <c r="M323" s="21">
        <f t="shared" si="58"/>
        <v>1</v>
      </c>
      <c r="N323" s="664"/>
      <c r="O323" s="21">
        <f t="shared" si="59"/>
        <v>1</v>
      </c>
      <c r="P323" s="664"/>
      <c r="Q323" s="21">
        <f t="shared" si="60"/>
        <v>1</v>
      </c>
      <c r="R323" s="660">
        <f t="shared" si="61"/>
        <v>0</v>
      </c>
      <c r="S323" s="313">
        <f t="shared" si="63"/>
        <v>0</v>
      </c>
    </row>
    <row r="324" spans="1:19">
      <c r="A324" s="147"/>
      <c r="B324" s="54"/>
      <c r="C324" s="21">
        <f t="shared" si="53"/>
        <v>1</v>
      </c>
      <c r="D324" s="664"/>
      <c r="E324" s="21">
        <f t="shared" si="54"/>
        <v>1</v>
      </c>
      <c r="F324" s="664"/>
      <c r="G324" s="21">
        <f t="shared" si="55"/>
        <v>1</v>
      </c>
      <c r="H324" s="664"/>
      <c r="I324" s="21">
        <f t="shared" si="56"/>
        <v>1</v>
      </c>
      <c r="J324" s="664"/>
      <c r="K324" s="21">
        <f t="shared" si="57"/>
        <v>1</v>
      </c>
      <c r="L324" s="664"/>
      <c r="M324" s="21">
        <f t="shared" si="58"/>
        <v>1</v>
      </c>
      <c r="N324" s="664"/>
      <c r="O324" s="21">
        <f t="shared" si="59"/>
        <v>1</v>
      </c>
      <c r="P324" s="664"/>
      <c r="Q324" s="21">
        <f t="shared" si="60"/>
        <v>1</v>
      </c>
      <c r="R324" s="660">
        <f t="shared" si="61"/>
        <v>0</v>
      </c>
      <c r="S324" s="313">
        <f t="shared" si="63"/>
        <v>0</v>
      </c>
    </row>
    <row r="325" spans="1:19">
      <c r="A325" s="147"/>
      <c r="B325" s="54"/>
      <c r="C325" s="21">
        <f t="shared" si="53"/>
        <v>1</v>
      </c>
      <c r="D325" s="664"/>
      <c r="E325" s="21">
        <f t="shared" si="54"/>
        <v>1</v>
      </c>
      <c r="F325" s="664"/>
      <c r="G325" s="21">
        <f t="shared" si="55"/>
        <v>1</v>
      </c>
      <c r="H325" s="664"/>
      <c r="I325" s="21">
        <f t="shared" si="56"/>
        <v>1</v>
      </c>
      <c r="J325" s="664"/>
      <c r="K325" s="21">
        <f t="shared" si="57"/>
        <v>1</v>
      </c>
      <c r="L325" s="664"/>
      <c r="M325" s="21">
        <f t="shared" si="58"/>
        <v>1</v>
      </c>
      <c r="N325" s="664"/>
      <c r="O325" s="21">
        <f t="shared" si="59"/>
        <v>1</v>
      </c>
      <c r="P325" s="664"/>
      <c r="Q325" s="21">
        <f t="shared" si="60"/>
        <v>1</v>
      </c>
      <c r="R325" s="660">
        <f t="shared" si="61"/>
        <v>0</v>
      </c>
      <c r="S325" s="313">
        <f t="shared" si="63"/>
        <v>0</v>
      </c>
    </row>
    <row r="326" spans="1:19">
      <c r="A326" s="147"/>
      <c r="B326" s="54"/>
      <c r="C326" s="21">
        <f t="shared" si="53"/>
        <v>1</v>
      </c>
      <c r="D326" s="664"/>
      <c r="E326" s="21">
        <f t="shared" si="54"/>
        <v>1</v>
      </c>
      <c r="F326" s="664"/>
      <c r="G326" s="21">
        <f t="shared" si="55"/>
        <v>1</v>
      </c>
      <c r="H326" s="664"/>
      <c r="I326" s="21">
        <f t="shared" si="56"/>
        <v>1</v>
      </c>
      <c r="J326" s="664"/>
      <c r="K326" s="21">
        <f t="shared" si="57"/>
        <v>1</v>
      </c>
      <c r="L326" s="664"/>
      <c r="M326" s="21">
        <f t="shared" si="58"/>
        <v>1</v>
      </c>
      <c r="N326" s="664"/>
      <c r="O326" s="21">
        <f t="shared" si="59"/>
        <v>1</v>
      </c>
      <c r="P326" s="664"/>
      <c r="Q326" s="21">
        <f t="shared" si="60"/>
        <v>1</v>
      </c>
      <c r="R326" s="660">
        <f t="shared" si="61"/>
        <v>0</v>
      </c>
      <c r="S326" s="313">
        <f t="shared" si="63"/>
        <v>0</v>
      </c>
    </row>
    <row r="327" spans="1:19">
      <c r="A327" s="147"/>
      <c r="B327" s="54"/>
      <c r="C327" s="21">
        <f t="shared" si="53"/>
        <v>1</v>
      </c>
      <c r="D327" s="664"/>
      <c r="E327" s="21">
        <f t="shared" si="54"/>
        <v>1</v>
      </c>
      <c r="F327" s="664"/>
      <c r="G327" s="21">
        <f t="shared" si="55"/>
        <v>1</v>
      </c>
      <c r="H327" s="664"/>
      <c r="I327" s="21">
        <f t="shared" si="56"/>
        <v>1</v>
      </c>
      <c r="J327" s="664"/>
      <c r="K327" s="21">
        <f t="shared" si="57"/>
        <v>1</v>
      </c>
      <c r="L327" s="664"/>
      <c r="M327" s="21">
        <f t="shared" si="58"/>
        <v>1</v>
      </c>
      <c r="N327" s="664"/>
      <c r="O327" s="21">
        <f t="shared" si="59"/>
        <v>1</v>
      </c>
      <c r="P327" s="664"/>
      <c r="Q327" s="21">
        <f t="shared" si="60"/>
        <v>1</v>
      </c>
      <c r="R327" s="660">
        <f t="shared" si="61"/>
        <v>0</v>
      </c>
      <c r="S327" s="313">
        <f t="shared" si="63"/>
        <v>0</v>
      </c>
    </row>
    <row r="328" spans="1:19">
      <c r="A328" s="147"/>
      <c r="B328" s="54"/>
      <c r="C328" s="21">
        <f t="shared" si="53"/>
        <v>1</v>
      </c>
      <c r="D328" s="664"/>
      <c r="E328" s="21">
        <f t="shared" si="54"/>
        <v>1</v>
      </c>
      <c r="F328" s="664"/>
      <c r="G328" s="21">
        <f t="shared" si="55"/>
        <v>1</v>
      </c>
      <c r="H328" s="664"/>
      <c r="I328" s="21">
        <f t="shared" si="56"/>
        <v>1</v>
      </c>
      <c r="J328" s="664"/>
      <c r="K328" s="21">
        <f t="shared" si="57"/>
        <v>1</v>
      </c>
      <c r="L328" s="664"/>
      <c r="M328" s="21">
        <f t="shared" si="58"/>
        <v>1</v>
      </c>
      <c r="N328" s="664"/>
      <c r="O328" s="21">
        <f t="shared" si="59"/>
        <v>1</v>
      </c>
      <c r="P328" s="664"/>
      <c r="Q328" s="21">
        <f t="shared" si="60"/>
        <v>1</v>
      </c>
      <c r="R328" s="660">
        <f t="shared" si="61"/>
        <v>0</v>
      </c>
      <c r="S328" s="313">
        <f t="shared" si="63"/>
        <v>0</v>
      </c>
    </row>
    <row r="329" spans="1:19">
      <c r="A329" s="147"/>
      <c r="B329" s="54"/>
      <c r="C329" s="21">
        <f t="shared" si="53"/>
        <v>1</v>
      </c>
      <c r="D329" s="664"/>
      <c r="E329" s="21">
        <f t="shared" si="54"/>
        <v>1</v>
      </c>
      <c r="F329" s="664"/>
      <c r="G329" s="21">
        <f t="shared" si="55"/>
        <v>1</v>
      </c>
      <c r="H329" s="664"/>
      <c r="I329" s="21">
        <f t="shared" si="56"/>
        <v>1</v>
      </c>
      <c r="J329" s="664"/>
      <c r="K329" s="21">
        <f t="shared" si="57"/>
        <v>1</v>
      </c>
      <c r="L329" s="664"/>
      <c r="M329" s="21">
        <f t="shared" si="58"/>
        <v>1</v>
      </c>
      <c r="N329" s="664"/>
      <c r="O329" s="21">
        <f t="shared" si="59"/>
        <v>1</v>
      </c>
      <c r="P329" s="664"/>
      <c r="Q329" s="21">
        <f t="shared" si="60"/>
        <v>1</v>
      </c>
      <c r="R329" s="660">
        <f t="shared" si="61"/>
        <v>0</v>
      </c>
      <c r="S329" s="313">
        <f t="shared" si="63"/>
        <v>0</v>
      </c>
    </row>
    <row r="330" spans="1:19">
      <c r="A330" s="147"/>
      <c r="B330" s="54"/>
      <c r="C330" s="21">
        <f t="shared" si="53"/>
        <v>1</v>
      </c>
      <c r="D330" s="664"/>
      <c r="E330" s="21">
        <f t="shared" si="54"/>
        <v>1</v>
      </c>
      <c r="F330" s="664"/>
      <c r="G330" s="21">
        <f t="shared" si="55"/>
        <v>1</v>
      </c>
      <c r="H330" s="664"/>
      <c r="I330" s="21">
        <f t="shared" si="56"/>
        <v>1</v>
      </c>
      <c r="J330" s="664"/>
      <c r="K330" s="21">
        <f t="shared" si="57"/>
        <v>1</v>
      </c>
      <c r="L330" s="664"/>
      <c r="M330" s="21">
        <f t="shared" si="58"/>
        <v>1</v>
      </c>
      <c r="N330" s="664"/>
      <c r="O330" s="21">
        <f t="shared" si="59"/>
        <v>1</v>
      </c>
      <c r="P330" s="664"/>
      <c r="Q330" s="21">
        <f t="shared" si="60"/>
        <v>1</v>
      </c>
      <c r="R330" s="660">
        <f t="shared" si="61"/>
        <v>0</v>
      </c>
      <c r="S330" s="313">
        <f t="shared" si="63"/>
        <v>0</v>
      </c>
    </row>
    <row r="331" spans="1:19">
      <c r="A331" s="147"/>
      <c r="B331" s="54"/>
      <c r="C331" s="21">
        <f t="shared" si="53"/>
        <v>1</v>
      </c>
      <c r="D331" s="664"/>
      <c r="E331" s="21">
        <f t="shared" si="54"/>
        <v>1</v>
      </c>
      <c r="F331" s="664"/>
      <c r="G331" s="21">
        <f t="shared" si="55"/>
        <v>1</v>
      </c>
      <c r="H331" s="664"/>
      <c r="I331" s="21">
        <f t="shared" si="56"/>
        <v>1</v>
      </c>
      <c r="J331" s="664"/>
      <c r="K331" s="21">
        <f t="shared" si="57"/>
        <v>1</v>
      </c>
      <c r="L331" s="664"/>
      <c r="M331" s="21">
        <f t="shared" si="58"/>
        <v>1</v>
      </c>
      <c r="N331" s="664"/>
      <c r="O331" s="21">
        <f t="shared" si="59"/>
        <v>1</v>
      </c>
      <c r="P331" s="664"/>
      <c r="Q331" s="21">
        <f t="shared" si="60"/>
        <v>1</v>
      </c>
      <c r="R331" s="660">
        <f t="shared" si="61"/>
        <v>0</v>
      </c>
      <c r="S331" s="313">
        <f t="shared" si="63"/>
        <v>0</v>
      </c>
    </row>
    <row r="332" spans="1:19">
      <c r="A332" s="147"/>
      <c r="B332" s="54"/>
      <c r="C332" s="21">
        <f t="shared" si="53"/>
        <v>1</v>
      </c>
      <c r="D332" s="664"/>
      <c r="E332" s="21">
        <f t="shared" si="54"/>
        <v>1</v>
      </c>
      <c r="F332" s="664"/>
      <c r="G332" s="21">
        <f t="shared" si="55"/>
        <v>1</v>
      </c>
      <c r="H332" s="664"/>
      <c r="I332" s="21">
        <f t="shared" si="56"/>
        <v>1</v>
      </c>
      <c r="J332" s="664"/>
      <c r="K332" s="21">
        <f t="shared" si="57"/>
        <v>1</v>
      </c>
      <c r="L332" s="664"/>
      <c r="M332" s="21">
        <f t="shared" si="58"/>
        <v>1</v>
      </c>
      <c r="N332" s="664"/>
      <c r="O332" s="21">
        <f t="shared" si="59"/>
        <v>1</v>
      </c>
      <c r="P332" s="664"/>
      <c r="Q332" s="21">
        <f t="shared" si="60"/>
        <v>1</v>
      </c>
      <c r="R332" s="660">
        <f t="shared" si="61"/>
        <v>0</v>
      </c>
      <c r="S332" s="313">
        <f t="shared" si="63"/>
        <v>0</v>
      </c>
    </row>
    <row r="333" spans="1:19">
      <c r="A333" s="147"/>
      <c r="B333" s="54"/>
      <c r="C333" s="21">
        <f t="shared" si="53"/>
        <v>1</v>
      </c>
      <c r="D333" s="664"/>
      <c r="E333" s="21">
        <f t="shared" si="54"/>
        <v>1</v>
      </c>
      <c r="F333" s="664"/>
      <c r="G333" s="21">
        <f t="shared" si="55"/>
        <v>1</v>
      </c>
      <c r="H333" s="664"/>
      <c r="I333" s="21">
        <f t="shared" si="56"/>
        <v>1</v>
      </c>
      <c r="J333" s="664"/>
      <c r="K333" s="21">
        <f t="shared" si="57"/>
        <v>1</v>
      </c>
      <c r="L333" s="664"/>
      <c r="M333" s="21">
        <f t="shared" si="58"/>
        <v>1</v>
      </c>
      <c r="N333" s="664"/>
      <c r="O333" s="21">
        <f t="shared" si="59"/>
        <v>1</v>
      </c>
      <c r="P333" s="664"/>
      <c r="Q333" s="21">
        <f t="shared" si="60"/>
        <v>1</v>
      </c>
      <c r="R333" s="660">
        <f t="shared" si="61"/>
        <v>0</v>
      </c>
      <c r="S333" s="313">
        <f t="shared" si="63"/>
        <v>0</v>
      </c>
    </row>
    <row r="334" spans="1:19">
      <c r="A334" s="147"/>
      <c r="B334" s="54"/>
      <c r="C334" s="21">
        <f t="shared" si="53"/>
        <v>1</v>
      </c>
      <c r="D334" s="664"/>
      <c r="E334" s="21">
        <f t="shared" si="54"/>
        <v>1</v>
      </c>
      <c r="F334" s="664"/>
      <c r="G334" s="21">
        <f t="shared" si="55"/>
        <v>1</v>
      </c>
      <c r="H334" s="664"/>
      <c r="I334" s="21">
        <f t="shared" si="56"/>
        <v>1</v>
      </c>
      <c r="J334" s="664"/>
      <c r="K334" s="21">
        <f t="shared" si="57"/>
        <v>1</v>
      </c>
      <c r="L334" s="664"/>
      <c r="M334" s="21">
        <f t="shared" si="58"/>
        <v>1</v>
      </c>
      <c r="N334" s="664"/>
      <c r="O334" s="21">
        <f t="shared" si="59"/>
        <v>1</v>
      </c>
      <c r="P334" s="664"/>
      <c r="Q334" s="21">
        <f t="shared" si="60"/>
        <v>1</v>
      </c>
      <c r="R334" s="660">
        <f t="shared" si="61"/>
        <v>0</v>
      </c>
      <c r="S334" s="313">
        <f t="shared" si="63"/>
        <v>0</v>
      </c>
    </row>
    <row r="335" spans="1:19">
      <c r="A335" s="147"/>
      <c r="B335" s="54"/>
      <c r="C335" s="21">
        <f t="shared" si="53"/>
        <v>1</v>
      </c>
      <c r="D335" s="664"/>
      <c r="E335" s="21">
        <f t="shared" si="54"/>
        <v>1</v>
      </c>
      <c r="F335" s="664"/>
      <c r="G335" s="21">
        <f t="shared" si="55"/>
        <v>1</v>
      </c>
      <c r="H335" s="664"/>
      <c r="I335" s="21">
        <f t="shared" si="56"/>
        <v>1</v>
      </c>
      <c r="J335" s="664"/>
      <c r="K335" s="21">
        <f t="shared" si="57"/>
        <v>1</v>
      </c>
      <c r="L335" s="664"/>
      <c r="M335" s="21">
        <f t="shared" si="58"/>
        <v>1</v>
      </c>
      <c r="N335" s="664"/>
      <c r="O335" s="21">
        <f t="shared" si="59"/>
        <v>1</v>
      </c>
      <c r="P335" s="664"/>
      <c r="Q335" s="21">
        <f t="shared" si="60"/>
        <v>1</v>
      </c>
      <c r="R335" s="660">
        <f t="shared" si="61"/>
        <v>0</v>
      </c>
      <c r="S335" s="313">
        <f t="shared" si="63"/>
        <v>0</v>
      </c>
    </row>
    <row r="336" spans="1:19">
      <c r="A336" s="147"/>
      <c r="B336" s="54"/>
      <c r="C336" s="21">
        <f t="shared" si="53"/>
        <v>1</v>
      </c>
      <c r="D336" s="664"/>
      <c r="E336" s="21">
        <f t="shared" si="54"/>
        <v>1</v>
      </c>
      <c r="F336" s="664"/>
      <c r="G336" s="21">
        <f t="shared" si="55"/>
        <v>1</v>
      </c>
      <c r="H336" s="664"/>
      <c r="I336" s="21">
        <f t="shared" si="56"/>
        <v>1</v>
      </c>
      <c r="J336" s="664"/>
      <c r="K336" s="21">
        <f t="shared" si="57"/>
        <v>1</v>
      </c>
      <c r="L336" s="664"/>
      <c r="M336" s="21">
        <f t="shared" si="58"/>
        <v>1</v>
      </c>
      <c r="N336" s="664"/>
      <c r="O336" s="21">
        <f t="shared" si="59"/>
        <v>1</v>
      </c>
      <c r="P336" s="664"/>
      <c r="Q336" s="21">
        <f t="shared" si="60"/>
        <v>1</v>
      </c>
      <c r="R336" s="660">
        <f t="shared" si="61"/>
        <v>0</v>
      </c>
      <c r="S336" s="313">
        <f t="shared" si="63"/>
        <v>0</v>
      </c>
    </row>
    <row r="337" spans="1:19">
      <c r="A337" s="147"/>
      <c r="B337" s="54"/>
      <c r="C337" s="21">
        <f t="shared" si="53"/>
        <v>1</v>
      </c>
      <c r="D337" s="664"/>
      <c r="E337" s="21">
        <f t="shared" si="54"/>
        <v>1</v>
      </c>
      <c r="F337" s="664"/>
      <c r="G337" s="21">
        <f t="shared" si="55"/>
        <v>1</v>
      </c>
      <c r="H337" s="664"/>
      <c r="I337" s="21">
        <f t="shared" si="56"/>
        <v>1</v>
      </c>
      <c r="J337" s="664"/>
      <c r="K337" s="21">
        <f t="shared" si="57"/>
        <v>1</v>
      </c>
      <c r="L337" s="664"/>
      <c r="M337" s="21">
        <f t="shared" si="58"/>
        <v>1</v>
      </c>
      <c r="N337" s="664"/>
      <c r="O337" s="21">
        <f t="shared" si="59"/>
        <v>1</v>
      </c>
      <c r="P337" s="664"/>
      <c r="Q337" s="21">
        <f t="shared" si="60"/>
        <v>1</v>
      </c>
      <c r="R337" s="660">
        <f t="shared" si="61"/>
        <v>0</v>
      </c>
      <c r="S337" s="313">
        <f t="shared" si="63"/>
        <v>0</v>
      </c>
    </row>
    <row r="338" spans="1:19">
      <c r="A338" s="147"/>
      <c r="B338" s="54"/>
      <c r="C338" s="21">
        <f t="shared" si="53"/>
        <v>1</v>
      </c>
      <c r="D338" s="664"/>
      <c r="E338" s="21">
        <f t="shared" si="54"/>
        <v>1</v>
      </c>
      <c r="F338" s="664"/>
      <c r="G338" s="21">
        <f t="shared" si="55"/>
        <v>1</v>
      </c>
      <c r="H338" s="664"/>
      <c r="I338" s="21">
        <f t="shared" si="56"/>
        <v>1</v>
      </c>
      <c r="J338" s="664"/>
      <c r="K338" s="21">
        <f t="shared" si="57"/>
        <v>1</v>
      </c>
      <c r="L338" s="664"/>
      <c r="M338" s="21">
        <f t="shared" si="58"/>
        <v>1</v>
      </c>
      <c r="N338" s="664"/>
      <c r="O338" s="21">
        <f t="shared" si="59"/>
        <v>1</v>
      </c>
      <c r="P338" s="664"/>
      <c r="Q338" s="21">
        <f t="shared" si="60"/>
        <v>1</v>
      </c>
      <c r="R338" s="660">
        <f t="shared" si="61"/>
        <v>0</v>
      </c>
      <c r="S338" s="313">
        <f t="shared" si="63"/>
        <v>0</v>
      </c>
    </row>
    <row r="339" spans="1:19">
      <c r="A339" s="147"/>
      <c r="B339" s="54"/>
      <c r="C339" s="21">
        <f t="shared" si="53"/>
        <v>1</v>
      </c>
      <c r="D339" s="664"/>
      <c r="E339" s="21">
        <f t="shared" si="54"/>
        <v>1</v>
      </c>
      <c r="F339" s="664"/>
      <c r="G339" s="21">
        <f t="shared" si="55"/>
        <v>1</v>
      </c>
      <c r="H339" s="664"/>
      <c r="I339" s="21">
        <f t="shared" si="56"/>
        <v>1</v>
      </c>
      <c r="J339" s="664"/>
      <c r="K339" s="21">
        <f t="shared" si="57"/>
        <v>1</v>
      </c>
      <c r="L339" s="664"/>
      <c r="M339" s="21">
        <f t="shared" si="58"/>
        <v>1</v>
      </c>
      <c r="N339" s="664"/>
      <c r="O339" s="21">
        <f t="shared" si="59"/>
        <v>1</v>
      </c>
      <c r="P339" s="664"/>
      <c r="Q339" s="21">
        <f t="shared" si="60"/>
        <v>1</v>
      </c>
      <c r="R339" s="660">
        <f t="shared" si="61"/>
        <v>0</v>
      </c>
      <c r="S339" s="313">
        <f t="shared" si="63"/>
        <v>0</v>
      </c>
    </row>
    <row r="340" spans="1:19">
      <c r="A340" s="147"/>
      <c r="B340" s="54"/>
      <c r="C340" s="21">
        <f t="shared" si="53"/>
        <v>1</v>
      </c>
      <c r="D340" s="664"/>
      <c r="E340" s="21">
        <f t="shared" si="54"/>
        <v>1</v>
      </c>
      <c r="F340" s="664"/>
      <c r="G340" s="21">
        <f t="shared" si="55"/>
        <v>1</v>
      </c>
      <c r="H340" s="664"/>
      <c r="I340" s="21">
        <f t="shared" si="56"/>
        <v>1</v>
      </c>
      <c r="J340" s="664"/>
      <c r="K340" s="21">
        <f t="shared" si="57"/>
        <v>1</v>
      </c>
      <c r="L340" s="664"/>
      <c r="M340" s="21">
        <f t="shared" si="58"/>
        <v>1</v>
      </c>
      <c r="N340" s="664"/>
      <c r="O340" s="21">
        <f t="shared" si="59"/>
        <v>1</v>
      </c>
      <c r="P340" s="664"/>
      <c r="Q340" s="21">
        <f t="shared" si="60"/>
        <v>1</v>
      </c>
      <c r="R340" s="660">
        <f t="shared" si="61"/>
        <v>0</v>
      </c>
      <c r="S340" s="313">
        <f t="shared" si="63"/>
        <v>0</v>
      </c>
    </row>
    <row r="341" spans="1:19">
      <c r="A341" s="147"/>
      <c r="B341" s="54"/>
      <c r="C341" s="21">
        <f t="shared" si="53"/>
        <v>1</v>
      </c>
      <c r="D341" s="664"/>
      <c r="E341" s="21">
        <f t="shared" si="54"/>
        <v>1</v>
      </c>
      <c r="F341" s="664"/>
      <c r="G341" s="21">
        <f t="shared" si="55"/>
        <v>1</v>
      </c>
      <c r="H341" s="664"/>
      <c r="I341" s="21">
        <f t="shared" si="56"/>
        <v>1</v>
      </c>
      <c r="J341" s="664"/>
      <c r="K341" s="21">
        <f t="shared" si="57"/>
        <v>1</v>
      </c>
      <c r="L341" s="664"/>
      <c r="M341" s="21">
        <f t="shared" si="58"/>
        <v>1</v>
      </c>
      <c r="N341" s="664"/>
      <c r="O341" s="21">
        <f t="shared" si="59"/>
        <v>1</v>
      </c>
      <c r="P341" s="664"/>
      <c r="Q341" s="21">
        <f t="shared" si="60"/>
        <v>1</v>
      </c>
      <c r="R341" s="660">
        <f t="shared" si="61"/>
        <v>0</v>
      </c>
      <c r="S341" s="313">
        <f t="shared" si="63"/>
        <v>0</v>
      </c>
    </row>
    <row r="342" spans="1:19">
      <c r="A342" s="147"/>
      <c r="B342" s="54"/>
      <c r="C342" s="21">
        <f t="shared" si="53"/>
        <v>1</v>
      </c>
      <c r="D342" s="664"/>
      <c r="E342" s="21">
        <f t="shared" si="54"/>
        <v>1</v>
      </c>
      <c r="F342" s="664"/>
      <c r="G342" s="21">
        <f t="shared" si="55"/>
        <v>1</v>
      </c>
      <c r="H342" s="664"/>
      <c r="I342" s="21">
        <f t="shared" si="56"/>
        <v>1</v>
      </c>
      <c r="J342" s="664"/>
      <c r="K342" s="21">
        <f t="shared" si="57"/>
        <v>1</v>
      </c>
      <c r="L342" s="664"/>
      <c r="M342" s="21">
        <f t="shared" si="58"/>
        <v>1</v>
      </c>
      <c r="N342" s="664"/>
      <c r="O342" s="21">
        <f t="shared" si="59"/>
        <v>1</v>
      </c>
      <c r="P342" s="664"/>
      <c r="Q342" s="21">
        <f t="shared" si="60"/>
        <v>1</v>
      </c>
      <c r="R342" s="660">
        <f t="shared" si="61"/>
        <v>0</v>
      </c>
      <c r="S342" s="313">
        <f t="shared" si="63"/>
        <v>0</v>
      </c>
    </row>
    <row r="343" spans="1:19">
      <c r="A343" s="147"/>
      <c r="B343" s="54"/>
      <c r="C343" s="21">
        <f t="shared" si="53"/>
        <v>1</v>
      </c>
      <c r="D343" s="664"/>
      <c r="E343" s="21">
        <f t="shared" si="54"/>
        <v>1</v>
      </c>
      <c r="F343" s="664"/>
      <c r="G343" s="21">
        <f t="shared" si="55"/>
        <v>1</v>
      </c>
      <c r="H343" s="664"/>
      <c r="I343" s="21">
        <f t="shared" si="56"/>
        <v>1</v>
      </c>
      <c r="J343" s="664"/>
      <c r="K343" s="21">
        <f t="shared" si="57"/>
        <v>1</v>
      </c>
      <c r="L343" s="664"/>
      <c r="M343" s="21">
        <f t="shared" si="58"/>
        <v>1</v>
      </c>
      <c r="N343" s="664"/>
      <c r="O343" s="21">
        <f t="shared" si="59"/>
        <v>1</v>
      </c>
      <c r="P343" s="664"/>
      <c r="Q343" s="21">
        <f t="shared" si="60"/>
        <v>1</v>
      </c>
      <c r="R343" s="660">
        <f t="shared" si="61"/>
        <v>0</v>
      </c>
      <c r="S343" s="313">
        <f t="shared" si="63"/>
        <v>0</v>
      </c>
    </row>
    <row r="344" spans="1:19">
      <c r="A344" s="147"/>
      <c r="B344" s="54"/>
      <c r="C344" s="21">
        <f t="shared" si="53"/>
        <v>1</v>
      </c>
      <c r="D344" s="664"/>
      <c r="E344" s="21">
        <f t="shared" si="54"/>
        <v>1</v>
      </c>
      <c r="F344" s="664"/>
      <c r="G344" s="21">
        <f t="shared" si="55"/>
        <v>1</v>
      </c>
      <c r="H344" s="664"/>
      <c r="I344" s="21">
        <f t="shared" si="56"/>
        <v>1</v>
      </c>
      <c r="J344" s="664"/>
      <c r="K344" s="21">
        <f t="shared" si="57"/>
        <v>1</v>
      </c>
      <c r="L344" s="664"/>
      <c r="M344" s="21">
        <f t="shared" si="58"/>
        <v>1</v>
      </c>
      <c r="N344" s="664"/>
      <c r="O344" s="21">
        <f t="shared" si="59"/>
        <v>1</v>
      </c>
      <c r="P344" s="664"/>
      <c r="Q344" s="21">
        <f t="shared" si="60"/>
        <v>1</v>
      </c>
      <c r="R344" s="660">
        <f t="shared" si="61"/>
        <v>0</v>
      </c>
      <c r="S344" s="313">
        <f t="shared" si="63"/>
        <v>0</v>
      </c>
    </row>
    <row r="345" spans="1:19">
      <c r="A345" s="147"/>
      <c r="B345" s="54"/>
      <c r="C345" s="21">
        <f t="shared" si="53"/>
        <v>1</v>
      </c>
      <c r="D345" s="664"/>
      <c r="E345" s="21">
        <f t="shared" si="54"/>
        <v>1</v>
      </c>
      <c r="F345" s="664"/>
      <c r="G345" s="21">
        <f t="shared" si="55"/>
        <v>1</v>
      </c>
      <c r="H345" s="664"/>
      <c r="I345" s="21">
        <f t="shared" si="56"/>
        <v>1</v>
      </c>
      <c r="J345" s="664"/>
      <c r="K345" s="21">
        <f t="shared" si="57"/>
        <v>1</v>
      </c>
      <c r="L345" s="664"/>
      <c r="M345" s="21">
        <f t="shared" si="58"/>
        <v>1</v>
      </c>
      <c r="N345" s="664"/>
      <c r="O345" s="21">
        <f t="shared" si="59"/>
        <v>1</v>
      </c>
      <c r="P345" s="664"/>
      <c r="Q345" s="21">
        <f t="shared" si="60"/>
        <v>1</v>
      </c>
      <c r="R345" s="660">
        <f t="shared" si="61"/>
        <v>0</v>
      </c>
      <c r="S345" s="313">
        <f t="shared" si="63"/>
        <v>0</v>
      </c>
    </row>
    <row r="346" spans="1:19">
      <c r="A346" s="147"/>
      <c r="B346" s="54"/>
      <c r="C346" s="21">
        <f t="shared" ref="C346:C409" si="64">IF(B346="",1,(LOOKUP(B346,$3:$3,$4:$4)-LOOKUP($B$24,$3:$3,$4:$4)+100)/100)</f>
        <v>1</v>
      </c>
      <c r="D346" s="664"/>
      <c r="E346" s="21">
        <f t="shared" ref="E346:E409" si="65">(SUMIF($5:$5,D346,$6:$6)-SUMIF($5:$5,$D$24,$6:$6)+100)/100</f>
        <v>1</v>
      </c>
      <c r="F346" s="664"/>
      <c r="G346" s="21">
        <f t="shared" ref="G346:G409" si="66">(SUMIF($7:$7,F346,$8:$8)-SUMIF($7:$7,$F$24,$8:$8)+100)/100</f>
        <v>1</v>
      </c>
      <c r="H346" s="664"/>
      <c r="I346" s="21">
        <f t="shared" ref="I346:I409" si="67">(SUMIF($9:$9,H346,$10:$10)-SUMIF($9:$9,$H$24,$10:$10)+100)/100</f>
        <v>1</v>
      </c>
      <c r="J346" s="664"/>
      <c r="K346" s="21">
        <f t="shared" ref="K346:K409" si="68">(SUMIF($11:$11,J346,$12:$12)-SUMIF($11:$11,$J$24,$12:$12)+100)/100</f>
        <v>1</v>
      </c>
      <c r="L346" s="664"/>
      <c r="M346" s="21">
        <f t="shared" ref="M346:M409" si="69">(SUMIF($13:$13,L346,$14:$14)-SUMIF($13:$13,$L$24,$14:$14)+100)/100</f>
        <v>1</v>
      </c>
      <c r="N346" s="664"/>
      <c r="O346" s="21">
        <f t="shared" ref="O346:O409" si="70">(SUMIF($15:$15,N346,$16:$16)-SUMIF($15:$15,$N$24,$16:$16)+100)/100</f>
        <v>1</v>
      </c>
      <c r="P346" s="664"/>
      <c r="Q346" s="21">
        <f t="shared" ref="Q346:Q409" si="71">(SUMIF($17:$17,P346,$18:$18)-SUMIF($17:$17,$P$24,$18:$18)+100)/100</f>
        <v>1</v>
      </c>
      <c r="R346" s="660">
        <f t="shared" ref="R346:R409" si="72">IF(B346="",0,ROUND($R$24*C346*E346*G346*I346*K346*M346*O346*Q346,0))</f>
        <v>0</v>
      </c>
      <c r="S346" s="313">
        <f t="shared" si="63"/>
        <v>0</v>
      </c>
    </row>
    <row r="347" spans="1:19">
      <c r="A347" s="147"/>
      <c r="B347" s="54"/>
      <c r="C347" s="21">
        <f t="shared" si="64"/>
        <v>1</v>
      </c>
      <c r="D347" s="664"/>
      <c r="E347" s="21">
        <f t="shared" si="65"/>
        <v>1</v>
      </c>
      <c r="F347" s="664"/>
      <c r="G347" s="21">
        <f t="shared" si="66"/>
        <v>1</v>
      </c>
      <c r="H347" s="664"/>
      <c r="I347" s="21">
        <f t="shared" si="67"/>
        <v>1</v>
      </c>
      <c r="J347" s="664"/>
      <c r="K347" s="21">
        <f t="shared" si="68"/>
        <v>1</v>
      </c>
      <c r="L347" s="664"/>
      <c r="M347" s="21">
        <f t="shared" si="69"/>
        <v>1</v>
      </c>
      <c r="N347" s="664"/>
      <c r="O347" s="21">
        <f t="shared" si="70"/>
        <v>1</v>
      </c>
      <c r="P347" s="664"/>
      <c r="Q347" s="21">
        <f t="shared" si="71"/>
        <v>1</v>
      </c>
      <c r="R347" s="660">
        <f t="shared" si="72"/>
        <v>0</v>
      </c>
      <c r="S347" s="313">
        <f t="shared" si="63"/>
        <v>0</v>
      </c>
    </row>
    <row r="348" spans="1:19">
      <c r="A348" s="147"/>
      <c r="B348" s="54"/>
      <c r="C348" s="21">
        <f t="shared" si="64"/>
        <v>1</v>
      </c>
      <c r="D348" s="664"/>
      <c r="E348" s="21">
        <f t="shared" si="65"/>
        <v>1</v>
      </c>
      <c r="F348" s="664"/>
      <c r="G348" s="21">
        <f t="shared" si="66"/>
        <v>1</v>
      </c>
      <c r="H348" s="664"/>
      <c r="I348" s="21">
        <f t="shared" si="67"/>
        <v>1</v>
      </c>
      <c r="J348" s="664"/>
      <c r="K348" s="21">
        <f t="shared" si="68"/>
        <v>1</v>
      </c>
      <c r="L348" s="664"/>
      <c r="M348" s="21">
        <f t="shared" si="69"/>
        <v>1</v>
      </c>
      <c r="N348" s="664"/>
      <c r="O348" s="21">
        <f t="shared" si="70"/>
        <v>1</v>
      </c>
      <c r="P348" s="664"/>
      <c r="Q348" s="21">
        <f t="shared" si="71"/>
        <v>1</v>
      </c>
      <c r="R348" s="660">
        <f t="shared" si="72"/>
        <v>0</v>
      </c>
      <c r="S348" s="313">
        <f t="shared" si="63"/>
        <v>0</v>
      </c>
    </row>
    <row r="349" spans="1:19">
      <c r="A349" s="147"/>
      <c r="B349" s="54"/>
      <c r="C349" s="21">
        <f t="shared" si="64"/>
        <v>1</v>
      </c>
      <c r="D349" s="664"/>
      <c r="E349" s="21">
        <f t="shared" si="65"/>
        <v>1</v>
      </c>
      <c r="F349" s="664"/>
      <c r="G349" s="21">
        <f t="shared" si="66"/>
        <v>1</v>
      </c>
      <c r="H349" s="664"/>
      <c r="I349" s="21">
        <f t="shared" si="67"/>
        <v>1</v>
      </c>
      <c r="J349" s="664"/>
      <c r="K349" s="21">
        <f t="shared" si="68"/>
        <v>1</v>
      </c>
      <c r="L349" s="664"/>
      <c r="M349" s="21">
        <f t="shared" si="69"/>
        <v>1</v>
      </c>
      <c r="N349" s="664"/>
      <c r="O349" s="21">
        <f t="shared" si="70"/>
        <v>1</v>
      </c>
      <c r="P349" s="664"/>
      <c r="Q349" s="21">
        <f t="shared" si="71"/>
        <v>1</v>
      </c>
      <c r="R349" s="660">
        <f t="shared" si="72"/>
        <v>0</v>
      </c>
      <c r="S349" s="313">
        <f t="shared" si="63"/>
        <v>0</v>
      </c>
    </row>
    <row r="350" spans="1:19">
      <c r="A350" s="147"/>
      <c r="B350" s="54"/>
      <c r="C350" s="21">
        <f t="shared" si="64"/>
        <v>1</v>
      </c>
      <c r="D350" s="664"/>
      <c r="E350" s="21">
        <f t="shared" si="65"/>
        <v>1</v>
      </c>
      <c r="F350" s="664"/>
      <c r="G350" s="21">
        <f t="shared" si="66"/>
        <v>1</v>
      </c>
      <c r="H350" s="664"/>
      <c r="I350" s="21">
        <f t="shared" si="67"/>
        <v>1</v>
      </c>
      <c r="J350" s="664"/>
      <c r="K350" s="21">
        <f t="shared" si="68"/>
        <v>1</v>
      </c>
      <c r="L350" s="664"/>
      <c r="M350" s="21">
        <f t="shared" si="69"/>
        <v>1</v>
      </c>
      <c r="N350" s="664"/>
      <c r="O350" s="21">
        <f t="shared" si="70"/>
        <v>1</v>
      </c>
      <c r="P350" s="664"/>
      <c r="Q350" s="21">
        <f t="shared" si="71"/>
        <v>1</v>
      </c>
      <c r="R350" s="660">
        <f t="shared" si="72"/>
        <v>0</v>
      </c>
      <c r="S350" s="313">
        <f t="shared" si="63"/>
        <v>0</v>
      </c>
    </row>
    <row r="351" spans="1:19">
      <c r="A351" s="147"/>
      <c r="B351" s="54"/>
      <c r="C351" s="21">
        <f t="shared" si="64"/>
        <v>1</v>
      </c>
      <c r="D351" s="664"/>
      <c r="E351" s="21">
        <f t="shared" si="65"/>
        <v>1</v>
      </c>
      <c r="F351" s="664"/>
      <c r="G351" s="21">
        <f t="shared" si="66"/>
        <v>1</v>
      </c>
      <c r="H351" s="664"/>
      <c r="I351" s="21">
        <f t="shared" si="67"/>
        <v>1</v>
      </c>
      <c r="J351" s="664"/>
      <c r="K351" s="21">
        <f t="shared" si="68"/>
        <v>1</v>
      </c>
      <c r="L351" s="664"/>
      <c r="M351" s="21">
        <f t="shared" si="69"/>
        <v>1</v>
      </c>
      <c r="N351" s="664"/>
      <c r="O351" s="21">
        <f t="shared" si="70"/>
        <v>1</v>
      </c>
      <c r="P351" s="664"/>
      <c r="Q351" s="21">
        <f t="shared" si="71"/>
        <v>1</v>
      </c>
      <c r="R351" s="660">
        <f t="shared" si="72"/>
        <v>0</v>
      </c>
      <c r="S351" s="313">
        <f t="shared" si="63"/>
        <v>0</v>
      </c>
    </row>
    <row r="352" spans="1:19">
      <c r="A352" s="147"/>
      <c r="B352" s="54"/>
      <c r="C352" s="21">
        <f t="shared" si="64"/>
        <v>1</v>
      </c>
      <c r="D352" s="664"/>
      <c r="E352" s="21">
        <f t="shared" si="65"/>
        <v>1</v>
      </c>
      <c r="F352" s="664"/>
      <c r="G352" s="21">
        <f t="shared" si="66"/>
        <v>1</v>
      </c>
      <c r="H352" s="664"/>
      <c r="I352" s="21">
        <f t="shared" si="67"/>
        <v>1</v>
      </c>
      <c r="J352" s="664"/>
      <c r="K352" s="21">
        <f t="shared" si="68"/>
        <v>1</v>
      </c>
      <c r="L352" s="664"/>
      <c r="M352" s="21">
        <f t="shared" si="69"/>
        <v>1</v>
      </c>
      <c r="N352" s="664"/>
      <c r="O352" s="21">
        <f t="shared" si="70"/>
        <v>1</v>
      </c>
      <c r="P352" s="664"/>
      <c r="Q352" s="21">
        <f t="shared" si="71"/>
        <v>1</v>
      </c>
      <c r="R352" s="660">
        <f t="shared" si="72"/>
        <v>0</v>
      </c>
      <c r="S352" s="313">
        <f t="shared" si="63"/>
        <v>0</v>
      </c>
    </row>
    <row r="353" spans="1:19">
      <c r="A353" s="147"/>
      <c r="B353" s="54"/>
      <c r="C353" s="21">
        <f t="shared" si="64"/>
        <v>1</v>
      </c>
      <c r="D353" s="664"/>
      <c r="E353" s="21">
        <f t="shared" si="65"/>
        <v>1</v>
      </c>
      <c r="F353" s="664"/>
      <c r="G353" s="21">
        <f t="shared" si="66"/>
        <v>1</v>
      </c>
      <c r="H353" s="664"/>
      <c r="I353" s="21">
        <f t="shared" si="67"/>
        <v>1</v>
      </c>
      <c r="J353" s="664"/>
      <c r="K353" s="21">
        <f t="shared" si="68"/>
        <v>1</v>
      </c>
      <c r="L353" s="664"/>
      <c r="M353" s="21">
        <f t="shared" si="69"/>
        <v>1</v>
      </c>
      <c r="N353" s="664"/>
      <c r="O353" s="21">
        <f t="shared" si="70"/>
        <v>1</v>
      </c>
      <c r="P353" s="664"/>
      <c r="Q353" s="21">
        <f t="shared" si="71"/>
        <v>1</v>
      </c>
      <c r="R353" s="660">
        <f t="shared" si="72"/>
        <v>0</v>
      </c>
      <c r="S353" s="313">
        <f t="shared" si="63"/>
        <v>0</v>
      </c>
    </row>
    <row r="354" spans="1:19">
      <c r="A354" s="147"/>
      <c r="B354" s="54"/>
      <c r="C354" s="21">
        <f t="shared" si="64"/>
        <v>1</v>
      </c>
      <c r="D354" s="664"/>
      <c r="E354" s="21">
        <f t="shared" si="65"/>
        <v>1</v>
      </c>
      <c r="F354" s="664"/>
      <c r="G354" s="21">
        <f t="shared" si="66"/>
        <v>1</v>
      </c>
      <c r="H354" s="664"/>
      <c r="I354" s="21">
        <f t="shared" si="67"/>
        <v>1</v>
      </c>
      <c r="J354" s="664"/>
      <c r="K354" s="21">
        <f t="shared" si="68"/>
        <v>1</v>
      </c>
      <c r="L354" s="664"/>
      <c r="M354" s="21">
        <f t="shared" si="69"/>
        <v>1</v>
      </c>
      <c r="N354" s="664"/>
      <c r="O354" s="21">
        <f t="shared" si="70"/>
        <v>1</v>
      </c>
      <c r="P354" s="664"/>
      <c r="Q354" s="21">
        <f t="shared" si="71"/>
        <v>1</v>
      </c>
      <c r="R354" s="660">
        <f t="shared" si="72"/>
        <v>0</v>
      </c>
      <c r="S354" s="313">
        <f t="shared" si="63"/>
        <v>0</v>
      </c>
    </row>
    <row r="355" spans="1:19">
      <c r="A355" s="147"/>
      <c r="B355" s="54"/>
      <c r="C355" s="21">
        <f t="shared" si="64"/>
        <v>1</v>
      </c>
      <c r="D355" s="664"/>
      <c r="E355" s="21">
        <f t="shared" si="65"/>
        <v>1</v>
      </c>
      <c r="F355" s="664"/>
      <c r="G355" s="21">
        <f t="shared" si="66"/>
        <v>1</v>
      </c>
      <c r="H355" s="664"/>
      <c r="I355" s="21">
        <f t="shared" si="67"/>
        <v>1</v>
      </c>
      <c r="J355" s="664"/>
      <c r="K355" s="21">
        <f t="shared" si="68"/>
        <v>1</v>
      </c>
      <c r="L355" s="664"/>
      <c r="M355" s="21">
        <f t="shared" si="69"/>
        <v>1</v>
      </c>
      <c r="N355" s="664"/>
      <c r="O355" s="21">
        <f t="shared" si="70"/>
        <v>1</v>
      </c>
      <c r="P355" s="664"/>
      <c r="Q355" s="21">
        <f t="shared" si="71"/>
        <v>1</v>
      </c>
      <c r="R355" s="660">
        <f t="shared" si="72"/>
        <v>0</v>
      </c>
      <c r="S355" s="313">
        <f t="shared" si="63"/>
        <v>0</v>
      </c>
    </row>
    <row r="356" spans="1:19">
      <c r="A356" s="147"/>
      <c r="B356" s="54"/>
      <c r="C356" s="21">
        <f t="shared" si="64"/>
        <v>1</v>
      </c>
      <c r="D356" s="664"/>
      <c r="E356" s="21">
        <f t="shared" si="65"/>
        <v>1</v>
      </c>
      <c r="F356" s="664"/>
      <c r="G356" s="21">
        <f t="shared" si="66"/>
        <v>1</v>
      </c>
      <c r="H356" s="664"/>
      <c r="I356" s="21">
        <f t="shared" si="67"/>
        <v>1</v>
      </c>
      <c r="J356" s="664"/>
      <c r="K356" s="21">
        <f t="shared" si="68"/>
        <v>1</v>
      </c>
      <c r="L356" s="664"/>
      <c r="M356" s="21">
        <f t="shared" si="69"/>
        <v>1</v>
      </c>
      <c r="N356" s="664"/>
      <c r="O356" s="21">
        <f t="shared" si="70"/>
        <v>1</v>
      </c>
      <c r="P356" s="664"/>
      <c r="Q356" s="21">
        <f t="shared" si="71"/>
        <v>1</v>
      </c>
      <c r="R356" s="660">
        <f t="shared" si="72"/>
        <v>0</v>
      </c>
      <c r="S356" s="313">
        <f t="shared" si="63"/>
        <v>0</v>
      </c>
    </row>
    <row r="357" spans="1:19">
      <c r="A357" s="147"/>
      <c r="B357" s="54"/>
      <c r="C357" s="21">
        <f t="shared" si="64"/>
        <v>1</v>
      </c>
      <c r="D357" s="664"/>
      <c r="E357" s="21">
        <f t="shared" si="65"/>
        <v>1</v>
      </c>
      <c r="F357" s="664"/>
      <c r="G357" s="21">
        <f t="shared" si="66"/>
        <v>1</v>
      </c>
      <c r="H357" s="664"/>
      <c r="I357" s="21">
        <f t="shared" si="67"/>
        <v>1</v>
      </c>
      <c r="J357" s="664"/>
      <c r="K357" s="21">
        <f t="shared" si="68"/>
        <v>1</v>
      </c>
      <c r="L357" s="664"/>
      <c r="M357" s="21">
        <f t="shared" si="69"/>
        <v>1</v>
      </c>
      <c r="N357" s="664"/>
      <c r="O357" s="21">
        <f t="shared" si="70"/>
        <v>1</v>
      </c>
      <c r="P357" s="664"/>
      <c r="Q357" s="21">
        <f t="shared" si="71"/>
        <v>1</v>
      </c>
      <c r="R357" s="660">
        <f t="shared" si="72"/>
        <v>0</v>
      </c>
      <c r="S357" s="313">
        <f t="shared" si="63"/>
        <v>0</v>
      </c>
    </row>
    <row r="358" spans="1:19">
      <c r="A358" s="147"/>
      <c r="B358" s="54"/>
      <c r="C358" s="21">
        <f t="shared" si="64"/>
        <v>1</v>
      </c>
      <c r="D358" s="664"/>
      <c r="E358" s="21">
        <f t="shared" si="65"/>
        <v>1</v>
      </c>
      <c r="F358" s="664"/>
      <c r="G358" s="21">
        <f t="shared" si="66"/>
        <v>1</v>
      </c>
      <c r="H358" s="664"/>
      <c r="I358" s="21">
        <f t="shared" si="67"/>
        <v>1</v>
      </c>
      <c r="J358" s="664"/>
      <c r="K358" s="21">
        <f t="shared" si="68"/>
        <v>1</v>
      </c>
      <c r="L358" s="664"/>
      <c r="M358" s="21">
        <f t="shared" si="69"/>
        <v>1</v>
      </c>
      <c r="N358" s="664"/>
      <c r="O358" s="21">
        <f t="shared" si="70"/>
        <v>1</v>
      </c>
      <c r="P358" s="664"/>
      <c r="Q358" s="21">
        <f t="shared" si="71"/>
        <v>1</v>
      </c>
      <c r="R358" s="660">
        <f t="shared" si="72"/>
        <v>0</v>
      </c>
      <c r="S358" s="313">
        <f t="shared" si="63"/>
        <v>0</v>
      </c>
    </row>
    <row r="359" spans="1:19">
      <c r="A359" s="147"/>
      <c r="B359" s="54"/>
      <c r="C359" s="21">
        <f t="shared" si="64"/>
        <v>1</v>
      </c>
      <c r="D359" s="664"/>
      <c r="E359" s="21">
        <f t="shared" si="65"/>
        <v>1</v>
      </c>
      <c r="F359" s="664"/>
      <c r="G359" s="21">
        <f t="shared" si="66"/>
        <v>1</v>
      </c>
      <c r="H359" s="664"/>
      <c r="I359" s="21">
        <f t="shared" si="67"/>
        <v>1</v>
      </c>
      <c r="J359" s="664"/>
      <c r="K359" s="21">
        <f t="shared" si="68"/>
        <v>1</v>
      </c>
      <c r="L359" s="664"/>
      <c r="M359" s="21">
        <f t="shared" si="69"/>
        <v>1</v>
      </c>
      <c r="N359" s="664"/>
      <c r="O359" s="21">
        <f t="shared" si="70"/>
        <v>1</v>
      </c>
      <c r="P359" s="664"/>
      <c r="Q359" s="21">
        <f t="shared" si="71"/>
        <v>1</v>
      </c>
      <c r="R359" s="660">
        <f t="shared" si="72"/>
        <v>0</v>
      </c>
      <c r="S359" s="313">
        <f t="shared" si="63"/>
        <v>0</v>
      </c>
    </row>
    <row r="360" spans="1:19">
      <c r="A360" s="147"/>
      <c r="B360" s="54"/>
      <c r="C360" s="21">
        <f t="shared" si="64"/>
        <v>1</v>
      </c>
      <c r="D360" s="664"/>
      <c r="E360" s="21">
        <f t="shared" si="65"/>
        <v>1</v>
      </c>
      <c r="F360" s="664"/>
      <c r="G360" s="21">
        <f t="shared" si="66"/>
        <v>1</v>
      </c>
      <c r="H360" s="664"/>
      <c r="I360" s="21">
        <f t="shared" si="67"/>
        <v>1</v>
      </c>
      <c r="J360" s="664"/>
      <c r="K360" s="21">
        <f t="shared" si="68"/>
        <v>1</v>
      </c>
      <c r="L360" s="664"/>
      <c r="M360" s="21">
        <f t="shared" si="69"/>
        <v>1</v>
      </c>
      <c r="N360" s="664"/>
      <c r="O360" s="21">
        <f t="shared" si="70"/>
        <v>1</v>
      </c>
      <c r="P360" s="664"/>
      <c r="Q360" s="21">
        <f t="shared" si="71"/>
        <v>1</v>
      </c>
      <c r="R360" s="660">
        <f t="shared" si="72"/>
        <v>0</v>
      </c>
      <c r="S360" s="313">
        <f t="shared" si="63"/>
        <v>0</v>
      </c>
    </row>
    <row r="361" spans="1:19">
      <c r="A361" s="147"/>
      <c r="B361" s="54"/>
      <c r="C361" s="21">
        <f t="shared" si="64"/>
        <v>1</v>
      </c>
      <c r="D361" s="664"/>
      <c r="E361" s="21">
        <f t="shared" si="65"/>
        <v>1</v>
      </c>
      <c r="F361" s="664"/>
      <c r="G361" s="21">
        <f t="shared" si="66"/>
        <v>1</v>
      </c>
      <c r="H361" s="664"/>
      <c r="I361" s="21">
        <f t="shared" si="67"/>
        <v>1</v>
      </c>
      <c r="J361" s="664"/>
      <c r="K361" s="21">
        <f t="shared" si="68"/>
        <v>1</v>
      </c>
      <c r="L361" s="664"/>
      <c r="M361" s="21">
        <f t="shared" si="69"/>
        <v>1</v>
      </c>
      <c r="N361" s="664"/>
      <c r="O361" s="21">
        <f t="shared" si="70"/>
        <v>1</v>
      </c>
      <c r="P361" s="664"/>
      <c r="Q361" s="21">
        <f t="shared" si="71"/>
        <v>1</v>
      </c>
      <c r="R361" s="660">
        <f t="shared" si="72"/>
        <v>0</v>
      </c>
      <c r="S361" s="313">
        <f t="shared" si="63"/>
        <v>0</v>
      </c>
    </row>
    <row r="362" spans="1:19">
      <c r="A362" s="147"/>
      <c r="B362" s="54"/>
      <c r="C362" s="21">
        <f t="shared" si="64"/>
        <v>1</v>
      </c>
      <c r="D362" s="664"/>
      <c r="E362" s="21">
        <f t="shared" si="65"/>
        <v>1</v>
      </c>
      <c r="F362" s="664"/>
      <c r="G362" s="21">
        <f t="shared" si="66"/>
        <v>1</v>
      </c>
      <c r="H362" s="664"/>
      <c r="I362" s="21">
        <f t="shared" si="67"/>
        <v>1</v>
      </c>
      <c r="J362" s="664"/>
      <c r="K362" s="21">
        <f t="shared" si="68"/>
        <v>1</v>
      </c>
      <c r="L362" s="664"/>
      <c r="M362" s="21">
        <f t="shared" si="69"/>
        <v>1</v>
      </c>
      <c r="N362" s="664"/>
      <c r="O362" s="21">
        <f t="shared" si="70"/>
        <v>1</v>
      </c>
      <c r="P362" s="664"/>
      <c r="Q362" s="21">
        <f t="shared" si="71"/>
        <v>1</v>
      </c>
      <c r="R362" s="660">
        <f t="shared" si="72"/>
        <v>0</v>
      </c>
      <c r="S362" s="313">
        <f t="shared" si="63"/>
        <v>0</v>
      </c>
    </row>
    <row r="363" spans="1:19">
      <c r="A363" s="147"/>
      <c r="B363" s="54"/>
      <c r="C363" s="21">
        <f t="shared" si="64"/>
        <v>1</v>
      </c>
      <c r="D363" s="664"/>
      <c r="E363" s="21">
        <f t="shared" si="65"/>
        <v>1</v>
      </c>
      <c r="F363" s="664"/>
      <c r="G363" s="21">
        <f t="shared" si="66"/>
        <v>1</v>
      </c>
      <c r="H363" s="664"/>
      <c r="I363" s="21">
        <f t="shared" si="67"/>
        <v>1</v>
      </c>
      <c r="J363" s="664"/>
      <c r="K363" s="21">
        <f t="shared" si="68"/>
        <v>1</v>
      </c>
      <c r="L363" s="664"/>
      <c r="M363" s="21">
        <f t="shared" si="69"/>
        <v>1</v>
      </c>
      <c r="N363" s="664"/>
      <c r="O363" s="21">
        <f t="shared" si="70"/>
        <v>1</v>
      </c>
      <c r="P363" s="664"/>
      <c r="Q363" s="21">
        <f t="shared" si="71"/>
        <v>1</v>
      </c>
      <c r="R363" s="660">
        <f t="shared" si="72"/>
        <v>0</v>
      </c>
      <c r="S363" s="313">
        <f t="shared" si="63"/>
        <v>0</v>
      </c>
    </row>
    <row r="364" spans="1:19">
      <c r="A364" s="147"/>
      <c r="B364" s="54"/>
      <c r="C364" s="21">
        <f t="shared" si="64"/>
        <v>1</v>
      </c>
      <c r="D364" s="664"/>
      <c r="E364" s="21">
        <f t="shared" si="65"/>
        <v>1</v>
      </c>
      <c r="F364" s="664"/>
      <c r="G364" s="21">
        <f t="shared" si="66"/>
        <v>1</v>
      </c>
      <c r="H364" s="664"/>
      <c r="I364" s="21">
        <f t="shared" si="67"/>
        <v>1</v>
      </c>
      <c r="J364" s="664"/>
      <c r="K364" s="21">
        <f t="shared" si="68"/>
        <v>1</v>
      </c>
      <c r="L364" s="664"/>
      <c r="M364" s="21">
        <f t="shared" si="69"/>
        <v>1</v>
      </c>
      <c r="N364" s="664"/>
      <c r="O364" s="21">
        <f t="shared" si="70"/>
        <v>1</v>
      </c>
      <c r="P364" s="664"/>
      <c r="Q364" s="21">
        <f t="shared" si="71"/>
        <v>1</v>
      </c>
      <c r="R364" s="660">
        <f t="shared" si="72"/>
        <v>0</v>
      </c>
      <c r="S364" s="313">
        <f t="shared" si="63"/>
        <v>0</v>
      </c>
    </row>
    <row r="365" spans="1:19">
      <c r="A365" s="147"/>
      <c r="B365" s="54"/>
      <c r="C365" s="21">
        <f t="shared" si="64"/>
        <v>1</v>
      </c>
      <c r="D365" s="664"/>
      <c r="E365" s="21">
        <f t="shared" si="65"/>
        <v>1</v>
      </c>
      <c r="F365" s="664"/>
      <c r="G365" s="21">
        <f t="shared" si="66"/>
        <v>1</v>
      </c>
      <c r="H365" s="664"/>
      <c r="I365" s="21">
        <f t="shared" si="67"/>
        <v>1</v>
      </c>
      <c r="J365" s="664"/>
      <c r="K365" s="21">
        <f t="shared" si="68"/>
        <v>1</v>
      </c>
      <c r="L365" s="664"/>
      <c r="M365" s="21">
        <f t="shared" si="69"/>
        <v>1</v>
      </c>
      <c r="N365" s="664"/>
      <c r="O365" s="21">
        <f t="shared" si="70"/>
        <v>1</v>
      </c>
      <c r="P365" s="664"/>
      <c r="Q365" s="21">
        <f t="shared" si="71"/>
        <v>1</v>
      </c>
      <c r="R365" s="660">
        <f t="shared" si="72"/>
        <v>0</v>
      </c>
      <c r="S365" s="313">
        <f t="shared" si="63"/>
        <v>0</v>
      </c>
    </row>
    <row r="366" spans="1:19">
      <c r="A366" s="147"/>
      <c r="B366" s="54"/>
      <c r="C366" s="21">
        <f t="shared" si="64"/>
        <v>1</v>
      </c>
      <c r="D366" s="664"/>
      <c r="E366" s="21">
        <f t="shared" si="65"/>
        <v>1</v>
      </c>
      <c r="F366" s="664"/>
      <c r="G366" s="21">
        <f t="shared" si="66"/>
        <v>1</v>
      </c>
      <c r="H366" s="664"/>
      <c r="I366" s="21">
        <f t="shared" si="67"/>
        <v>1</v>
      </c>
      <c r="J366" s="664"/>
      <c r="K366" s="21">
        <f t="shared" si="68"/>
        <v>1</v>
      </c>
      <c r="L366" s="664"/>
      <c r="M366" s="21">
        <f t="shared" si="69"/>
        <v>1</v>
      </c>
      <c r="N366" s="664"/>
      <c r="O366" s="21">
        <f t="shared" si="70"/>
        <v>1</v>
      </c>
      <c r="P366" s="664"/>
      <c r="Q366" s="21">
        <f t="shared" si="71"/>
        <v>1</v>
      </c>
      <c r="R366" s="660">
        <f t="shared" si="72"/>
        <v>0</v>
      </c>
      <c r="S366" s="313">
        <f t="shared" si="63"/>
        <v>0</v>
      </c>
    </row>
    <row r="367" spans="1:19">
      <c r="A367" s="147"/>
      <c r="B367" s="54"/>
      <c r="C367" s="21">
        <f t="shared" si="64"/>
        <v>1</v>
      </c>
      <c r="D367" s="664"/>
      <c r="E367" s="21">
        <f t="shared" si="65"/>
        <v>1</v>
      </c>
      <c r="F367" s="664"/>
      <c r="G367" s="21">
        <f t="shared" si="66"/>
        <v>1</v>
      </c>
      <c r="H367" s="664"/>
      <c r="I367" s="21">
        <f t="shared" si="67"/>
        <v>1</v>
      </c>
      <c r="J367" s="664"/>
      <c r="K367" s="21">
        <f t="shared" si="68"/>
        <v>1</v>
      </c>
      <c r="L367" s="664"/>
      <c r="M367" s="21">
        <f t="shared" si="69"/>
        <v>1</v>
      </c>
      <c r="N367" s="664"/>
      <c r="O367" s="21">
        <f t="shared" si="70"/>
        <v>1</v>
      </c>
      <c r="P367" s="664"/>
      <c r="Q367" s="21">
        <f t="shared" si="71"/>
        <v>1</v>
      </c>
      <c r="R367" s="660">
        <f t="shared" si="72"/>
        <v>0</v>
      </c>
      <c r="S367" s="313">
        <f t="shared" si="63"/>
        <v>0</v>
      </c>
    </row>
    <row r="368" spans="1:19">
      <c r="A368" s="147"/>
      <c r="B368" s="54"/>
      <c r="C368" s="21">
        <f t="shared" si="64"/>
        <v>1</v>
      </c>
      <c r="D368" s="664"/>
      <c r="E368" s="21">
        <f t="shared" si="65"/>
        <v>1</v>
      </c>
      <c r="F368" s="664"/>
      <c r="G368" s="21">
        <f t="shared" si="66"/>
        <v>1</v>
      </c>
      <c r="H368" s="664"/>
      <c r="I368" s="21">
        <f t="shared" si="67"/>
        <v>1</v>
      </c>
      <c r="J368" s="664"/>
      <c r="K368" s="21">
        <f t="shared" si="68"/>
        <v>1</v>
      </c>
      <c r="L368" s="664"/>
      <c r="M368" s="21">
        <f t="shared" si="69"/>
        <v>1</v>
      </c>
      <c r="N368" s="664"/>
      <c r="O368" s="21">
        <f t="shared" si="70"/>
        <v>1</v>
      </c>
      <c r="P368" s="664"/>
      <c r="Q368" s="21">
        <f t="shared" si="71"/>
        <v>1</v>
      </c>
      <c r="R368" s="660">
        <f t="shared" si="72"/>
        <v>0</v>
      </c>
      <c r="S368" s="313">
        <f t="shared" si="63"/>
        <v>0</v>
      </c>
    </row>
    <row r="369" spans="1:19">
      <c r="A369" s="147"/>
      <c r="B369" s="54"/>
      <c r="C369" s="21">
        <f t="shared" si="64"/>
        <v>1</v>
      </c>
      <c r="D369" s="664"/>
      <c r="E369" s="21">
        <f t="shared" si="65"/>
        <v>1</v>
      </c>
      <c r="F369" s="664"/>
      <c r="G369" s="21">
        <f t="shared" si="66"/>
        <v>1</v>
      </c>
      <c r="H369" s="664"/>
      <c r="I369" s="21">
        <f t="shared" si="67"/>
        <v>1</v>
      </c>
      <c r="J369" s="664"/>
      <c r="K369" s="21">
        <f t="shared" si="68"/>
        <v>1</v>
      </c>
      <c r="L369" s="664"/>
      <c r="M369" s="21">
        <f t="shared" si="69"/>
        <v>1</v>
      </c>
      <c r="N369" s="664"/>
      <c r="O369" s="21">
        <f t="shared" si="70"/>
        <v>1</v>
      </c>
      <c r="P369" s="664"/>
      <c r="Q369" s="21">
        <f t="shared" si="71"/>
        <v>1</v>
      </c>
      <c r="R369" s="660">
        <f t="shared" si="72"/>
        <v>0</v>
      </c>
      <c r="S369" s="313">
        <f t="shared" si="63"/>
        <v>0</v>
      </c>
    </row>
    <row r="370" spans="1:19">
      <c r="A370" s="147"/>
      <c r="B370" s="54"/>
      <c r="C370" s="21">
        <f t="shared" si="64"/>
        <v>1</v>
      </c>
      <c r="D370" s="664"/>
      <c r="E370" s="21">
        <f t="shared" si="65"/>
        <v>1</v>
      </c>
      <c r="F370" s="664"/>
      <c r="G370" s="21">
        <f t="shared" si="66"/>
        <v>1</v>
      </c>
      <c r="H370" s="664"/>
      <c r="I370" s="21">
        <f t="shared" si="67"/>
        <v>1</v>
      </c>
      <c r="J370" s="664"/>
      <c r="K370" s="21">
        <f t="shared" si="68"/>
        <v>1</v>
      </c>
      <c r="L370" s="664"/>
      <c r="M370" s="21">
        <f t="shared" si="69"/>
        <v>1</v>
      </c>
      <c r="N370" s="664"/>
      <c r="O370" s="21">
        <f t="shared" si="70"/>
        <v>1</v>
      </c>
      <c r="P370" s="664"/>
      <c r="Q370" s="21">
        <f t="shared" si="71"/>
        <v>1</v>
      </c>
      <c r="R370" s="660">
        <f t="shared" si="72"/>
        <v>0</v>
      </c>
      <c r="S370" s="313">
        <f t="shared" si="63"/>
        <v>0</v>
      </c>
    </row>
    <row r="371" spans="1:19">
      <c r="A371" s="147"/>
      <c r="B371" s="54"/>
      <c r="C371" s="21">
        <f t="shared" si="64"/>
        <v>1</v>
      </c>
      <c r="D371" s="664"/>
      <c r="E371" s="21">
        <f t="shared" si="65"/>
        <v>1</v>
      </c>
      <c r="F371" s="664"/>
      <c r="G371" s="21">
        <f t="shared" si="66"/>
        <v>1</v>
      </c>
      <c r="H371" s="664"/>
      <c r="I371" s="21">
        <f t="shared" si="67"/>
        <v>1</v>
      </c>
      <c r="J371" s="664"/>
      <c r="K371" s="21">
        <f t="shared" si="68"/>
        <v>1</v>
      </c>
      <c r="L371" s="664"/>
      <c r="M371" s="21">
        <f t="shared" si="69"/>
        <v>1</v>
      </c>
      <c r="N371" s="664"/>
      <c r="O371" s="21">
        <f t="shared" si="70"/>
        <v>1</v>
      </c>
      <c r="P371" s="664"/>
      <c r="Q371" s="21">
        <f t="shared" si="71"/>
        <v>1</v>
      </c>
      <c r="R371" s="660">
        <f t="shared" si="72"/>
        <v>0</v>
      </c>
      <c r="S371" s="313">
        <f t="shared" si="63"/>
        <v>0</v>
      </c>
    </row>
    <row r="372" spans="1:19">
      <c r="A372" s="147"/>
      <c r="B372" s="54"/>
      <c r="C372" s="21">
        <f t="shared" si="64"/>
        <v>1</v>
      </c>
      <c r="D372" s="664"/>
      <c r="E372" s="21">
        <f t="shared" si="65"/>
        <v>1</v>
      </c>
      <c r="F372" s="664"/>
      <c r="G372" s="21">
        <f t="shared" si="66"/>
        <v>1</v>
      </c>
      <c r="H372" s="664"/>
      <c r="I372" s="21">
        <f t="shared" si="67"/>
        <v>1</v>
      </c>
      <c r="J372" s="664"/>
      <c r="K372" s="21">
        <f t="shared" si="68"/>
        <v>1</v>
      </c>
      <c r="L372" s="664"/>
      <c r="M372" s="21">
        <f t="shared" si="69"/>
        <v>1</v>
      </c>
      <c r="N372" s="664"/>
      <c r="O372" s="21">
        <f t="shared" si="70"/>
        <v>1</v>
      </c>
      <c r="P372" s="664"/>
      <c r="Q372" s="21">
        <f t="shared" si="71"/>
        <v>1</v>
      </c>
      <c r="R372" s="660">
        <f t="shared" si="72"/>
        <v>0</v>
      </c>
      <c r="S372" s="313">
        <f t="shared" si="63"/>
        <v>0</v>
      </c>
    </row>
    <row r="373" spans="1:19">
      <c r="A373" s="147"/>
      <c r="B373" s="54"/>
      <c r="C373" s="21">
        <f t="shared" si="64"/>
        <v>1</v>
      </c>
      <c r="D373" s="664"/>
      <c r="E373" s="21">
        <f t="shared" si="65"/>
        <v>1</v>
      </c>
      <c r="F373" s="664"/>
      <c r="G373" s="21">
        <f t="shared" si="66"/>
        <v>1</v>
      </c>
      <c r="H373" s="664"/>
      <c r="I373" s="21">
        <f t="shared" si="67"/>
        <v>1</v>
      </c>
      <c r="J373" s="664"/>
      <c r="K373" s="21">
        <f t="shared" si="68"/>
        <v>1</v>
      </c>
      <c r="L373" s="664"/>
      <c r="M373" s="21">
        <f t="shared" si="69"/>
        <v>1</v>
      </c>
      <c r="N373" s="664"/>
      <c r="O373" s="21">
        <f t="shared" si="70"/>
        <v>1</v>
      </c>
      <c r="P373" s="664"/>
      <c r="Q373" s="21">
        <f t="shared" si="71"/>
        <v>1</v>
      </c>
      <c r="R373" s="660">
        <f t="shared" si="72"/>
        <v>0</v>
      </c>
      <c r="S373" s="313">
        <f t="shared" si="63"/>
        <v>0</v>
      </c>
    </row>
    <row r="374" spans="1:19">
      <c r="A374" s="147"/>
      <c r="B374" s="54"/>
      <c r="C374" s="21">
        <f t="shared" si="64"/>
        <v>1</v>
      </c>
      <c r="D374" s="664"/>
      <c r="E374" s="21">
        <f t="shared" si="65"/>
        <v>1</v>
      </c>
      <c r="F374" s="664"/>
      <c r="G374" s="21">
        <f t="shared" si="66"/>
        <v>1</v>
      </c>
      <c r="H374" s="664"/>
      <c r="I374" s="21">
        <f t="shared" si="67"/>
        <v>1</v>
      </c>
      <c r="J374" s="664"/>
      <c r="K374" s="21">
        <f t="shared" si="68"/>
        <v>1</v>
      </c>
      <c r="L374" s="664"/>
      <c r="M374" s="21">
        <f t="shared" si="69"/>
        <v>1</v>
      </c>
      <c r="N374" s="664"/>
      <c r="O374" s="21">
        <f t="shared" si="70"/>
        <v>1</v>
      </c>
      <c r="P374" s="664"/>
      <c r="Q374" s="21">
        <f t="shared" si="71"/>
        <v>1</v>
      </c>
      <c r="R374" s="660">
        <f t="shared" si="72"/>
        <v>0</v>
      </c>
      <c r="S374" s="313">
        <f t="shared" si="63"/>
        <v>0</v>
      </c>
    </row>
    <row r="375" spans="1:19">
      <c r="A375" s="147"/>
      <c r="B375" s="54"/>
      <c r="C375" s="21">
        <f t="shared" si="64"/>
        <v>1</v>
      </c>
      <c r="D375" s="664"/>
      <c r="E375" s="21">
        <f t="shared" si="65"/>
        <v>1</v>
      </c>
      <c r="F375" s="664"/>
      <c r="G375" s="21">
        <f t="shared" si="66"/>
        <v>1</v>
      </c>
      <c r="H375" s="664"/>
      <c r="I375" s="21">
        <f t="shared" si="67"/>
        <v>1</v>
      </c>
      <c r="J375" s="664"/>
      <c r="K375" s="21">
        <f t="shared" si="68"/>
        <v>1</v>
      </c>
      <c r="L375" s="664"/>
      <c r="M375" s="21">
        <f t="shared" si="69"/>
        <v>1</v>
      </c>
      <c r="N375" s="664"/>
      <c r="O375" s="21">
        <f t="shared" si="70"/>
        <v>1</v>
      </c>
      <c r="P375" s="664"/>
      <c r="Q375" s="21">
        <f t="shared" si="71"/>
        <v>1</v>
      </c>
      <c r="R375" s="660">
        <f t="shared" si="72"/>
        <v>0</v>
      </c>
      <c r="S375" s="313">
        <f t="shared" si="63"/>
        <v>0</v>
      </c>
    </row>
    <row r="376" spans="1:19">
      <c r="A376" s="147"/>
      <c r="B376" s="54"/>
      <c r="C376" s="21">
        <f t="shared" si="64"/>
        <v>1</v>
      </c>
      <c r="D376" s="664"/>
      <c r="E376" s="21">
        <f t="shared" si="65"/>
        <v>1</v>
      </c>
      <c r="F376" s="664"/>
      <c r="G376" s="21">
        <f t="shared" si="66"/>
        <v>1</v>
      </c>
      <c r="H376" s="664"/>
      <c r="I376" s="21">
        <f t="shared" si="67"/>
        <v>1</v>
      </c>
      <c r="J376" s="664"/>
      <c r="K376" s="21">
        <f t="shared" si="68"/>
        <v>1</v>
      </c>
      <c r="L376" s="664"/>
      <c r="M376" s="21">
        <f t="shared" si="69"/>
        <v>1</v>
      </c>
      <c r="N376" s="664"/>
      <c r="O376" s="21">
        <f t="shared" si="70"/>
        <v>1</v>
      </c>
      <c r="P376" s="664"/>
      <c r="Q376" s="21">
        <f t="shared" si="71"/>
        <v>1</v>
      </c>
      <c r="R376" s="660">
        <f t="shared" si="72"/>
        <v>0</v>
      </c>
      <c r="S376" s="313">
        <f t="shared" si="63"/>
        <v>0</v>
      </c>
    </row>
    <row r="377" spans="1:19">
      <c r="A377" s="147"/>
      <c r="B377" s="54"/>
      <c r="C377" s="21">
        <f t="shared" si="64"/>
        <v>1</v>
      </c>
      <c r="D377" s="664"/>
      <c r="E377" s="21">
        <f t="shared" si="65"/>
        <v>1</v>
      </c>
      <c r="F377" s="664"/>
      <c r="G377" s="21">
        <f t="shared" si="66"/>
        <v>1</v>
      </c>
      <c r="H377" s="664"/>
      <c r="I377" s="21">
        <f t="shared" si="67"/>
        <v>1</v>
      </c>
      <c r="J377" s="664"/>
      <c r="K377" s="21">
        <f t="shared" si="68"/>
        <v>1</v>
      </c>
      <c r="L377" s="664"/>
      <c r="M377" s="21">
        <f t="shared" si="69"/>
        <v>1</v>
      </c>
      <c r="N377" s="664"/>
      <c r="O377" s="21">
        <f t="shared" si="70"/>
        <v>1</v>
      </c>
      <c r="P377" s="664"/>
      <c r="Q377" s="21">
        <f t="shared" si="71"/>
        <v>1</v>
      </c>
      <c r="R377" s="660">
        <f t="shared" si="72"/>
        <v>0</v>
      </c>
      <c r="S377" s="313">
        <f t="shared" si="63"/>
        <v>0</v>
      </c>
    </row>
    <row r="378" spans="1:19">
      <c r="A378" s="147"/>
      <c r="B378" s="54"/>
      <c r="C378" s="21">
        <f t="shared" si="64"/>
        <v>1</v>
      </c>
      <c r="D378" s="664"/>
      <c r="E378" s="21">
        <f t="shared" si="65"/>
        <v>1</v>
      </c>
      <c r="F378" s="664"/>
      <c r="G378" s="21">
        <f t="shared" si="66"/>
        <v>1</v>
      </c>
      <c r="H378" s="664"/>
      <c r="I378" s="21">
        <f t="shared" si="67"/>
        <v>1</v>
      </c>
      <c r="J378" s="664"/>
      <c r="K378" s="21">
        <f t="shared" si="68"/>
        <v>1</v>
      </c>
      <c r="L378" s="664"/>
      <c r="M378" s="21">
        <f t="shared" si="69"/>
        <v>1</v>
      </c>
      <c r="N378" s="664"/>
      <c r="O378" s="21">
        <f t="shared" si="70"/>
        <v>1</v>
      </c>
      <c r="P378" s="664"/>
      <c r="Q378" s="21">
        <f t="shared" si="71"/>
        <v>1</v>
      </c>
      <c r="R378" s="660">
        <f t="shared" si="72"/>
        <v>0</v>
      </c>
      <c r="S378" s="313">
        <f t="shared" si="63"/>
        <v>0</v>
      </c>
    </row>
    <row r="379" spans="1:19">
      <c r="A379" s="147"/>
      <c r="B379" s="54"/>
      <c r="C379" s="21">
        <f t="shared" si="64"/>
        <v>1</v>
      </c>
      <c r="D379" s="664"/>
      <c r="E379" s="21">
        <f t="shared" si="65"/>
        <v>1</v>
      </c>
      <c r="F379" s="664"/>
      <c r="G379" s="21">
        <f t="shared" si="66"/>
        <v>1</v>
      </c>
      <c r="H379" s="664"/>
      <c r="I379" s="21">
        <f t="shared" si="67"/>
        <v>1</v>
      </c>
      <c r="J379" s="664"/>
      <c r="K379" s="21">
        <f t="shared" si="68"/>
        <v>1</v>
      </c>
      <c r="L379" s="664"/>
      <c r="M379" s="21">
        <f t="shared" si="69"/>
        <v>1</v>
      </c>
      <c r="N379" s="664"/>
      <c r="O379" s="21">
        <f t="shared" si="70"/>
        <v>1</v>
      </c>
      <c r="P379" s="664"/>
      <c r="Q379" s="21">
        <f t="shared" si="71"/>
        <v>1</v>
      </c>
      <c r="R379" s="660">
        <f t="shared" si="72"/>
        <v>0</v>
      </c>
      <c r="S379" s="313">
        <f t="shared" si="63"/>
        <v>0</v>
      </c>
    </row>
    <row r="380" spans="1:19">
      <c r="A380" s="147"/>
      <c r="B380" s="54"/>
      <c r="C380" s="21">
        <f t="shared" si="64"/>
        <v>1</v>
      </c>
      <c r="D380" s="664"/>
      <c r="E380" s="21">
        <f t="shared" si="65"/>
        <v>1</v>
      </c>
      <c r="F380" s="664"/>
      <c r="G380" s="21">
        <f t="shared" si="66"/>
        <v>1</v>
      </c>
      <c r="H380" s="664"/>
      <c r="I380" s="21">
        <f t="shared" si="67"/>
        <v>1</v>
      </c>
      <c r="J380" s="664"/>
      <c r="K380" s="21">
        <f t="shared" si="68"/>
        <v>1</v>
      </c>
      <c r="L380" s="664"/>
      <c r="M380" s="21">
        <f t="shared" si="69"/>
        <v>1</v>
      </c>
      <c r="N380" s="664"/>
      <c r="O380" s="21">
        <f t="shared" si="70"/>
        <v>1</v>
      </c>
      <c r="P380" s="664"/>
      <c r="Q380" s="21">
        <f t="shared" si="71"/>
        <v>1</v>
      </c>
      <c r="R380" s="660">
        <f t="shared" si="72"/>
        <v>0</v>
      </c>
      <c r="S380" s="313">
        <f t="shared" si="63"/>
        <v>0</v>
      </c>
    </row>
    <row r="381" spans="1:19">
      <c r="A381" s="147"/>
      <c r="B381" s="54"/>
      <c r="C381" s="21">
        <f t="shared" si="64"/>
        <v>1</v>
      </c>
      <c r="D381" s="664"/>
      <c r="E381" s="21">
        <f t="shared" si="65"/>
        <v>1</v>
      </c>
      <c r="F381" s="664"/>
      <c r="G381" s="21">
        <f t="shared" si="66"/>
        <v>1</v>
      </c>
      <c r="H381" s="664"/>
      <c r="I381" s="21">
        <f t="shared" si="67"/>
        <v>1</v>
      </c>
      <c r="J381" s="664"/>
      <c r="K381" s="21">
        <f t="shared" si="68"/>
        <v>1</v>
      </c>
      <c r="L381" s="664"/>
      <c r="M381" s="21">
        <f t="shared" si="69"/>
        <v>1</v>
      </c>
      <c r="N381" s="664"/>
      <c r="O381" s="21">
        <f t="shared" si="70"/>
        <v>1</v>
      </c>
      <c r="P381" s="664"/>
      <c r="Q381" s="21">
        <f t="shared" si="71"/>
        <v>1</v>
      </c>
      <c r="R381" s="660">
        <f t="shared" si="72"/>
        <v>0</v>
      </c>
      <c r="S381" s="313">
        <f t="shared" si="63"/>
        <v>0</v>
      </c>
    </row>
    <row r="382" spans="1:19">
      <c r="A382" s="147"/>
      <c r="B382" s="54"/>
      <c r="C382" s="21">
        <f t="shared" si="64"/>
        <v>1</v>
      </c>
      <c r="D382" s="664"/>
      <c r="E382" s="21">
        <f t="shared" si="65"/>
        <v>1</v>
      </c>
      <c r="F382" s="664"/>
      <c r="G382" s="21">
        <f t="shared" si="66"/>
        <v>1</v>
      </c>
      <c r="H382" s="664"/>
      <c r="I382" s="21">
        <f t="shared" si="67"/>
        <v>1</v>
      </c>
      <c r="J382" s="664"/>
      <c r="K382" s="21">
        <f t="shared" si="68"/>
        <v>1</v>
      </c>
      <c r="L382" s="664"/>
      <c r="M382" s="21">
        <f t="shared" si="69"/>
        <v>1</v>
      </c>
      <c r="N382" s="664"/>
      <c r="O382" s="21">
        <f t="shared" si="70"/>
        <v>1</v>
      </c>
      <c r="P382" s="664"/>
      <c r="Q382" s="21">
        <f t="shared" si="71"/>
        <v>1</v>
      </c>
      <c r="R382" s="660">
        <f t="shared" si="72"/>
        <v>0</v>
      </c>
      <c r="S382" s="313">
        <f t="shared" si="63"/>
        <v>0</v>
      </c>
    </row>
    <row r="383" spans="1:19">
      <c r="A383" s="147"/>
      <c r="B383" s="54"/>
      <c r="C383" s="21">
        <f t="shared" si="64"/>
        <v>1</v>
      </c>
      <c r="D383" s="664"/>
      <c r="E383" s="21">
        <f t="shared" si="65"/>
        <v>1</v>
      </c>
      <c r="F383" s="664"/>
      <c r="G383" s="21">
        <f t="shared" si="66"/>
        <v>1</v>
      </c>
      <c r="H383" s="664"/>
      <c r="I383" s="21">
        <f t="shared" si="67"/>
        <v>1</v>
      </c>
      <c r="J383" s="664"/>
      <c r="K383" s="21">
        <f t="shared" si="68"/>
        <v>1</v>
      </c>
      <c r="L383" s="664"/>
      <c r="M383" s="21">
        <f t="shared" si="69"/>
        <v>1</v>
      </c>
      <c r="N383" s="664"/>
      <c r="O383" s="21">
        <f t="shared" si="70"/>
        <v>1</v>
      </c>
      <c r="P383" s="664"/>
      <c r="Q383" s="21">
        <f t="shared" si="71"/>
        <v>1</v>
      </c>
      <c r="R383" s="660">
        <f t="shared" si="72"/>
        <v>0</v>
      </c>
      <c r="S383" s="313">
        <f t="shared" si="63"/>
        <v>0</v>
      </c>
    </row>
    <row r="384" spans="1:19">
      <c r="A384" s="147"/>
      <c r="B384" s="54"/>
      <c r="C384" s="21">
        <f t="shared" si="64"/>
        <v>1</v>
      </c>
      <c r="D384" s="664"/>
      <c r="E384" s="21">
        <f t="shared" si="65"/>
        <v>1</v>
      </c>
      <c r="F384" s="664"/>
      <c r="G384" s="21">
        <f t="shared" si="66"/>
        <v>1</v>
      </c>
      <c r="H384" s="664"/>
      <c r="I384" s="21">
        <f t="shared" si="67"/>
        <v>1</v>
      </c>
      <c r="J384" s="664"/>
      <c r="K384" s="21">
        <f t="shared" si="68"/>
        <v>1</v>
      </c>
      <c r="L384" s="664"/>
      <c r="M384" s="21">
        <f t="shared" si="69"/>
        <v>1</v>
      </c>
      <c r="N384" s="664"/>
      <c r="O384" s="21">
        <f t="shared" si="70"/>
        <v>1</v>
      </c>
      <c r="P384" s="664"/>
      <c r="Q384" s="21">
        <f t="shared" si="71"/>
        <v>1</v>
      </c>
      <c r="R384" s="660">
        <f t="shared" si="72"/>
        <v>0</v>
      </c>
      <c r="S384" s="313">
        <f t="shared" si="63"/>
        <v>0</v>
      </c>
    </row>
    <row r="385" spans="1:19">
      <c r="A385" s="147"/>
      <c r="B385" s="54"/>
      <c r="C385" s="21">
        <f t="shared" si="64"/>
        <v>1</v>
      </c>
      <c r="D385" s="664"/>
      <c r="E385" s="21">
        <f t="shared" si="65"/>
        <v>1</v>
      </c>
      <c r="F385" s="664"/>
      <c r="G385" s="21">
        <f t="shared" si="66"/>
        <v>1</v>
      </c>
      <c r="H385" s="664"/>
      <c r="I385" s="21">
        <f t="shared" si="67"/>
        <v>1</v>
      </c>
      <c r="J385" s="664"/>
      <c r="K385" s="21">
        <f t="shared" si="68"/>
        <v>1</v>
      </c>
      <c r="L385" s="664"/>
      <c r="M385" s="21">
        <f t="shared" si="69"/>
        <v>1</v>
      </c>
      <c r="N385" s="664"/>
      <c r="O385" s="21">
        <f t="shared" si="70"/>
        <v>1</v>
      </c>
      <c r="P385" s="664"/>
      <c r="Q385" s="21">
        <f t="shared" si="71"/>
        <v>1</v>
      </c>
      <c r="R385" s="660">
        <f t="shared" si="72"/>
        <v>0</v>
      </c>
      <c r="S385" s="313">
        <f t="shared" ref="S385:S422" si="73">ROUND(R385*B385/10000,0)</f>
        <v>0</v>
      </c>
    </row>
    <row r="386" spans="1:19">
      <c r="A386" s="147"/>
      <c r="B386" s="54"/>
      <c r="C386" s="21">
        <f t="shared" si="64"/>
        <v>1</v>
      </c>
      <c r="D386" s="664"/>
      <c r="E386" s="21">
        <f t="shared" si="65"/>
        <v>1</v>
      </c>
      <c r="F386" s="664"/>
      <c r="G386" s="21">
        <f t="shared" si="66"/>
        <v>1</v>
      </c>
      <c r="H386" s="664"/>
      <c r="I386" s="21">
        <f t="shared" si="67"/>
        <v>1</v>
      </c>
      <c r="J386" s="664"/>
      <c r="K386" s="21">
        <f t="shared" si="68"/>
        <v>1</v>
      </c>
      <c r="L386" s="664"/>
      <c r="M386" s="21">
        <f t="shared" si="69"/>
        <v>1</v>
      </c>
      <c r="N386" s="664"/>
      <c r="O386" s="21">
        <f t="shared" si="70"/>
        <v>1</v>
      </c>
      <c r="P386" s="664"/>
      <c r="Q386" s="21">
        <f t="shared" si="71"/>
        <v>1</v>
      </c>
      <c r="R386" s="660">
        <f t="shared" si="72"/>
        <v>0</v>
      </c>
      <c r="S386" s="313">
        <f t="shared" si="73"/>
        <v>0</v>
      </c>
    </row>
    <row r="387" spans="1:19">
      <c r="A387" s="147"/>
      <c r="B387" s="54"/>
      <c r="C387" s="21">
        <f t="shared" si="64"/>
        <v>1</v>
      </c>
      <c r="D387" s="664"/>
      <c r="E387" s="21">
        <f t="shared" si="65"/>
        <v>1</v>
      </c>
      <c r="F387" s="664"/>
      <c r="G387" s="21">
        <f t="shared" si="66"/>
        <v>1</v>
      </c>
      <c r="H387" s="664"/>
      <c r="I387" s="21">
        <f t="shared" si="67"/>
        <v>1</v>
      </c>
      <c r="J387" s="664"/>
      <c r="K387" s="21">
        <f t="shared" si="68"/>
        <v>1</v>
      </c>
      <c r="L387" s="664"/>
      <c r="M387" s="21">
        <f t="shared" si="69"/>
        <v>1</v>
      </c>
      <c r="N387" s="664"/>
      <c r="O387" s="21">
        <f t="shared" si="70"/>
        <v>1</v>
      </c>
      <c r="P387" s="664"/>
      <c r="Q387" s="21">
        <f t="shared" si="71"/>
        <v>1</v>
      </c>
      <c r="R387" s="660">
        <f t="shared" si="72"/>
        <v>0</v>
      </c>
      <c r="S387" s="313">
        <f t="shared" si="73"/>
        <v>0</v>
      </c>
    </row>
    <row r="388" spans="1:19">
      <c r="A388" s="147"/>
      <c r="B388" s="54"/>
      <c r="C388" s="21">
        <f t="shared" si="64"/>
        <v>1</v>
      </c>
      <c r="D388" s="664"/>
      <c r="E388" s="21">
        <f t="shared" si="65"/>
        <v>1</v>
      </c>
      <c r="F388" s="664"/>
      <c r="G388" s="21">
        <f t="shared" si="66"/>
        <v>1</v>
      </c>
      <c r="H388" s="664"/>
      <c r="I388" s="21">
        <f t="shared" si="67"/>
        <v>1</v>
      </c>
      <c r="J388" s="664"/>
      <c r="K388" s="21">
        <f t="shared" si="68"/>
        <v>1</v>
      </c>
      <c r="L388" s="664"/>
      <c r="M388" s="21">
        <f t="shared" si="69"/>
        <v>1</v>
      </c>
      <c r="N388" s="664"/>
      <c r="O388" s="21">
        <f t="shared" si="70"/>
        <v>1</v>
      </c>
      <c r="P388" s="664"/>
      <c r="Q388" s="21">
        <f t="shared" si="71"/>
        <v>1</v>
      </c>
      <c r="R388" s="660">
        <f t="shared" si="72"/>
        <v>0</v>
      </c>
      <c r="S388" s="313">
        <f t="shared" si="73"/>
        <v>0</v>
      </c>
    </row>
    <row r="389" spans="1:19">
      <c r="A389" s="147"/>
      <c r="B389" s="54"/>
      <c r="C389" s="21">
        <f t="shared" si="64"/>
        <v>1</v>
      </c>
      <c r="D389" s="664"/>
      <c r="E389" s="21">
        <f t="shared" si="65"/>
        <v>1</v>
      </c>
      <c r="F389" s="664"/>
      <c r="G389" s="21">
        <f t="shared" si="66"/>
        <v>1</v>
      </c>
      <c r="H389" s="664"/>
      <c r="I389" s="21">
        <f t="shared" si="67"/>
        <v>1</v>
      </c>
      <c r="J389" s="664"/>
      <c r="K389" s="21">
        <f t="shared" si="68"/>
        <v>1</v>
      </c>
      <c r="L389" s="664"/>
      <c r="M389" s="21">
        <f t="shared" si="69"/>
        <v>1</v>
      </c>
      <c r="N389" s="664"/>
      <c r="O389" s="21">
        <f t="shared" si="70"/>
        <v>1</v>
      </c>
      <c r="P389" s="664"/>
      <c r="Q389" s="21">
        <f t="shared" si="71"/>
        <v>1</v>
      </c>
      <c r="R389" s="660">
        <f t="shared" si="72"/>
        <v>0</v>
      </c>
      <c r="S389" s="313">
        <f t="shared" si="73"/>
        <v>0</v>
      </c>
    </row>
    <row r="390" spans="1:19">
      <c r="A390" s="147"/>
      <c r="B390" s="54"/>
      <c r="C390" s="21">
        <f t="shared" si="64"/>
        <v>1</v>
      </c>
      <c r="D390" s="664"/>
      <c r="E390" s="21">
        <f t="shared" si="65"/>
        <v>1</v>
      </c>
      <c r="F390" s="664"/>
      <c r="G390" s="21">
        <f t="shared" si="66"/>
        <v>1</v>
      </c>
      <c r="H390" s="664"/>
      <c r="I390" s="21">
        <f t="shared" si="67"/>
        <v>1</v>
      </c>
      <c r="J390" s="664"/>
      <c r="K390" s="21">
        <f t="shared" si="68"/>
        <v>1</v>
      </c>
      <c r="L390" s="664"/>
      <c r="M390" s="21">
        <f t="shared" si="69"/>
        <v>1</v>
      </c>
      <c r="N390" s="664"/>
      <c r="O390" s="21">
        <f t="shared" si="70"/>
        <v>1</v>
      </c>
      <c r="P390" s="664"/>
      <c r="Q390" s="21">
        <f t="shared" si="71"/>
        <v>1</v>
      </c>
      <c r="R390" s="660">
        <f t="shared" si="72"/>
        <v>0</v>
      </c>
      <c r="S390" s="313">
        <f t="shared" si="73"/>
        <v>0</v>
      </c>
    </row>
    <row r="391" spans="1:19">
      <c r="A391" s="147"/>
      <c r="B391" s="54"/>
      <c r="C391" s="21">
        <f t="shared" si="64"/>
        <v>1</v>
      </c>
      <c r="D391" s="664"/>
      <c r="E391" s="21">
        <f t="shared" si="65"/>
        <v>1</v>
      </c>
      <c r="F391" s="664"/>
      <c r="G391" s="21">
        <f t="shared" si="66"/>
        <v>1</v>
      </c>
      <c r="H391" s="664"/>
      <c r="I391" s="21">
        <f t="shared" si="67"/>
        <v>1</v>
      </c>
      <c r="J391" s="664"/>
      <c r="K391" s="21">
        <f t="shared" si="68"/>
        <v>1</v>
      </c>
      <c r="L391" s="664"/>
      <c r="M391" s="21">
        <f t="shared" si="69"/>
        <v>1</v>
      </c>
      <c r="N391" s="664"/>
      <c r="O391" s="21">
        <f t="shared" si="70"/>
        <v>1</v>
      </c>
      <c r="P391" s="664"/>
      <c r="Q391" s="21">
        <f t="shared" si="71"/>
        <v>1</v>
      </c>
      <c r="R391" s="660">
        <f t="shared" si="72"/>
        <v>0</v>
      </c>
      <c r="S391" s="313">
        <f t="shared" si="73"/>
        <v>0</v>
      </c>
    </row>
    <row r="392" spans="1:19">
      <c r="A392" s="147"/>
      <c r="B392" s="54"/>
      <c r="C392" s="21">
        <f t="shared" si="64"/>
        <v>1</v>
      </c>
      <c r="D392" s="664"/>
      <c r="E392" s="21">
        <f t="shared" si="65"/>
        <v>1</v>
      </c>
      <c r="F392" s="664"/>
      <c r="G392" s="21">
        <f t="shared" si="66"/>
        <v>1</v>
      </c>
      <c r="H392" s="664"/>
      <c r="I392" s="21">
        <f t="shared" si="67"/>
        <v>1</v>
      </c>
      <c r="J392" s="664"/>
      <c r="K392" s="21">
        <f t="shared" si="68"/>
        <v>1</v>
      </c>
      <c r="L392" s="664"/>
      <c r="M392" s="21">
        <f t="shared" si="69"/>
        <v>1</v>
      </c>
      <c r="N392" s="664"/>
      <c r="O392" s="21">
        <f t="shared" si="70"/>
        <v>1</v>
      </c>
      <c r="P392" s="664"/>
      <c r="Q392" s="21">
        <f t="shared" si="71"/>
        <v>1</v>
      </c>
      <c r="R392" s="660">
        <f t="shared" si="72"/>
        <v>0</v>
      </c>
      <c r="S392" s="313">
        <f t="shared" si="73"/>
        <v>0</v>
      </c>
    </row>
    <row r="393" spans="1:19">
      <c r="A393" s="147"/>
      <c r="B393" s="54"/>
      <c r="C393" s="21">
        <f t="shared" si="64"/>
        <v>1</v>
      </c>
      <c r="D393" s="664"/>
      <c r="E393" s="21">
        <f t="shared" si="65"/>
        <v>1</v>
      </c>
      <c r="F393" s="664"/>
      <c r="G393" s="21">
        <f t="shared" si="66"/>
        <v>1</v>
      </c>
      <c r="H393" s="664"/>
      <c r="I393" s="21">
        <f t="shared" si="67"/>
        <v>1</v>
      </c>
      <c r="J393" s="664"/>
      <c r="K393" s="21">
        <f t="shared" si="68"/>
        <v>1</v>
      </c>
      <c r="L393" s="664"/>
      <c r="M393" s="21">
        <f t="shared" si="69"/>
        <v>1</v>
      </c>
      <c r="N393" s="664"/>
      <c r="O393" s="21">
        <f t="shared" si="70"/>
        <v>1</v>
      </c>
      <c r="P393" s="664"/>
      <c r="Q393" s="21">
        <f t="shared" si="71"/>
        <v>1</v>
      </c>
      <c r="R393" s="660">
        <f t="shared" si="72"/>
        <v>0</v>
      </c>
      <c r="S393" s="313">
        <f t="shared" si="73"/>
        <v>0</v>
      </c>
    </row>
    <row r="394" spans="1:19">
      <c r="A394" s="147"/>
      <c r="B394" s="54"/>
      <c r="C394" s="21">
        <f t="shared" si="64"/>
        <v>1</v>
      </c>
      <c r="D394" s="664"/>
      <c r="E394" s="21">
        <f t="shared" si="65"/>
        <v>1</v>
      </c>
      <c r="F394" s="664"/>
      <c r="G394" s="21">
        <f t="shared" si="66"/>
        <v>1</v>
      </c>
      <c r="H394" s="664"/>
      <c r="I394" s="21">
        <f t="shared" si="67"/>
        <v>1</v>
      </c>
      <c r="J394" s="664"/>
      <c r="K394" s="21">
        <f t="shared" si="68"/>
        <v>1</v>
      </c>
      <c r="L394" s="664"/>
      <c r="M394" s="21">
        <f t="shared" si="69"/>
        <v>1</v>
      </c>
      <c r="N394" s="664"/>
      <c r="O394" s="21">
        <f t="shared" si="70"/>
        <v>1</v>
      </c>
      <c r="P394" s="664"/>
      <c r="Q394" s="21">
        <f t="shared" si="71"/>
        <v>1</v>
      </c>
      <c r="R394" s="660">
        <f t="shared" si="72"/>
        <v>0</v>
      </c>
      <c r="S394" s="313">
        <f t="shared" si="73"/>
        <v>0</v>
      </c>
    </row>
    <row r="395" spans="1:19">
      <c r="A395" s="147"/>
      <c r="B395" s="54"/>
      <c r="C395" s="21">
        <f t="shared" si="64"/>
        <v>1</v>
      </c>
      <c r="D395" s="664"/>
      <c r="E395" s="21">
        <f t="shared" si="65"/>
        <v>1</v>
      </c>
      <c r="F395" s="664"/>
      <c r="G395" s="21">
        <f t="shared" si="66"/>
        <v>1</v>
      </c>
      <c r="H395" s="664"/>
      <c r="I395" s="21">
        <f t="shared" si="67"/>
        <v>1</v>
      </c>
      <c r="J395" s="664"/>
      <c r="K395" s="21">
        <f t="shared" si="68"/>
        <v>1</v>
      </c>
      <c r="L395" s="664"/>
      <c r="M395" s="21">
        <f t="shared" si="69"/>
        <v>1</v>
      </c>
      <c r="N395" s="664"/>
      <c r="O395" s="21">
        <f t="shared" si="70"/>
        <v>1</v>
      </c>
      <c r="P395" s="664"/>
      <c r="Q395" s="21">
        <f t="shared" si="71"/>
        <v>1</v>
      </c>
      <c r="R395" s="660">
        <f t="shared" si="72"/>
        <v>0</v>
      </c>
      <c r="S395" s="313">
        <f t="shared" si="73"/>
        <v>0</v>
      </c>
    </row>
    <row r="396" spans="1:19">
      <c r="A396" s="147"/>
      <c r="B396" s="54"/>
      <c r="C396" s="21">
        <f t="shared" si="64"/>
        <v>1</v>
      </c>
      <c r="D396" s="664"/>
      <c r="E396" s="21">
        <f t="shared" si="65"/>
        <v>1</v>
      </c>
      <c r="F396" s="664"/>
      <c r="G396" s="21">
        <f t="shared" si="66"/>
        <v>1</v>
      </c>
      <c r="H396" s="664"/>
      <c r="I396" s="21">
        <f t="shared" si="67"/>
        <v>1</v>
      </c>
      <c r="J396" s="664"/>
      <c r="K396" s="21">
        <f t="shared" si="68"/>
        <v>1</v>
      </c>
      <c r="L396" s="664"/>
      <c r="M396" s="21">
        <f t="shared" si="69"/>
        <v>1</v>
      </c>
      <c r="N396" s="664"/>
      <c r="O396" s="21">
        <f t="shared" si="70"/>
        <v>1</v>
      </c>
      <c r="P396" s="664"/>
      <c r="Q396" s="21">
        <f t="shared" si="71"/>
        <v>1</v>
      </c>
      <c r="R396" s="660">
        <f t="shared" si="72"/>
        <v>0</v>
      </c>
      <c r="S396" s="313">
        <f t="shared" si="73"/>
        <v>0</v>
      </c>
    </row>
    <row r="397" spans="1:19">
      <c r="A397" s="147"/>
      <c r="B397" s="54"/>
      <c r="C397" s="21">
        <f t="shared" si="64"/>
        <v>1</v>
      </c>
      <c r="D397" s="664"/>
      <c r="E397" s="21">
        <f t="shared" si="65"/>
        <v>1</v>
      </c>
      <c r="F397" s="664"/>
      <c r="G397" s="21">
        <f t="shared" si="66"/>
        <v>1</v>
      </c>
      <c r="H397" s="664"/>
      <c r="I397" s="21">
        <f t="shared" si="67"/>
        <v>1</v>
      </c>
      <c r="J397" s="664"/>
      <c r="K397" s="21">
        <f t="shared" si="68"/>
        <v>1</v>
      </c>
      <c r="L397" s="664"/>
      <c r="M397" s="21">
        <f t="shared" si="69"/>
        <v>1</v>
      </c>
      <c r="N397" s="664"/>
      <c r="O397" s="21">
        <f t="shared" si="70"/>
        <v>1</v>
      </c>
      <c r="P397" s="664"/>
      <c r="Q397" s="21">
        <f t="shared" si="71"/>
        <v>1</v>
      </c>
      <c r="R397" s="660">
        <f t="shared" si="72"/>
        <v>0</v>
      </c>
      <c r="S397" s="313">
        <f t="shared" si="73"/>
        <v>0</v>
      </c>
    </row>
    <row r="398" spans="1:19">
      <c r="A398" s="147"/>
      <c r="B398" s="54"/>
      <c r="C398" s="21">
        <f t="shared" si="64"/>
        <v>1</v>
      </c>
      <c r="D398" s="664"/>
      <c r="E398" s="21">
        <f t="shared" si="65"/>
        <v>1</v>
      </c>
      <c r="F398" s="664"/>
      <c r="G398" s="21">
        <f t="shared" si="66"/>
        <v>1</v>
      </c>
      <c r="H398" s="664"/>
      <c r="I398" s="21">
        <f t="shared" si="67"/>
        <v>1</v>
      </c>
      <c r="J398" s="664"/>
      <c r="K398" s="21">
        <f t="shared" si="68"/>
        <v>1</v>
      </c>
      <c r="L398" s="664"/>
      <c r="M398" s="21">
        <f t="shared" si="69"/>
        <v>1</v>
      </c>
      <c r="N398" s="664"/>
      <c r="O398" s="21">
        <f t="shared" si="70"/>
        <v>1</v>
      </c>
      <c r="P398" s="664"/>
      <c r="Q398" s="21">
        <f t="shared" si="71"/>
        <v>1</v>
      </c>
      <c r="R398" s="660">
        <f t="shared" si="72"/>
        <v>0</v>
      </c>
      <c r="S398" s="313">
        <f t="shared" si="73"/>
        <v>0</v>
      </c>
    </row>
    <row r="399" spans="1:19">
      <c r="A399" s="147"/>
      <c r="B399" s="54"/>
      <c r="C399" s="21">
        <f t="shared" si="64"/>
        <v>1</v>
      </c>
      <c r="D399" s="664"/>
      <c r="E399" s="21">
        <f t="shared" si="65"/>
        <v>1</v>
      </c>
      <c r="F399" s="664"/>
      <c r="G399" s="21">
        <f t="shared" si="66"/>
        <v>1</v>
      </c>
      <c r="H399" s="664"/>
      <c r="I399" s="21">
        <f t="shared" si="67"/>
        <v>1</v>
      </c>
      <c r="J399" s="664"/>
      <c r="K399" s="21">
        <f t="shared" si="68"/>
        <v>1</v>
      </c>
      <c r="L399" s="664"/>
      <c r="M399" s="21">
        <f t="shared" si="69"/>
        <v>1</v>
      </c>
      <c r="N399" s="664"/>
      <c r="O399" s="21">
        <f t="shared" si="70"/>
        <v>1</v>
      </c>
      <c r="P399" s="664"/>
      <c r="Q399" s="21">
        <f t="shared" si="71"/>
        <v>1</v>
      </c>
      <c r="R399" s="660">
        <f t="shared" si="72"/>
        <v>0</v>
      </c>
      <c r="S399" s="313">
        <f t="shared" si="73"/>
        <v>0</v>
      </c>
    </row>
    <row r="400" spans="1:19">
      <c r="A400" s="147"/>
      <c r="B400" s="54"/>
      <c r="C400" s="21">
        <f t="shared" si="64"/>
        <v>1</v>
      </c>
      <c r="D400" s="664"/>
      <c r="E400" s="21">
        <f t="shared" si="65"/>
        <v>1</v>
      </c>
      <c r="F400" s="664"/>
      <c r="G400" s="21">
        <f t="shared" si="66"/>
        <v>1</v>
      </c>
      <c r="H400" s="664"/>
      <c r="I400" s="21">
        <f t="shared" si="67"/>
        <v>1</v>
      </c>
      <c r="J400" s="664"/>
      <c r="K400" s="21">
        <f t="shared" si="68"/>
        <v>1</v>
      </c>
      <c r="L400" s="664"/>
      <c r="M400" s="21">
        <f t="shared" si="69"/>
        <v>1</v>
      </c>
      <c r="N400" s="664"/>
      <c r="O400" s="21">
        <f t="shared" si="70"/>
        <v>1</v>
      </c>
      <c r="P400" s="664"/>
      <c r="Q400" s="21">
        <f t="shared" si="71"/>
        <v>1</v>
      </c>
      <c r="R400" s="660">
        <f t="shared" si="72"/>
        <v>0</v>
      </c>
      <c r="S400" s="313">
        <f t="shared" si="73"/>
        <v>0</v>
      </c>
    </row>
    <row r="401" spans="1:19">
      <c r="A401" s="147"/>
      <c r="B401" s="54"/>
      <c r="C401" s="21">
        <f t="shared" si="64"/>
        <v>1</v>
      </c>
      <c r="D401" s="664"/>
      <c r="E401" s="21">
        <f t="shared" si="65"/>
        <v>1</v>
      </c>
      <c r="F401" s="664"/>
      <c r="G401" s="21">
        <f t="shared" si="66"/>
        <v>1</v>
      </c>
      <c r="H401" s="664"/>
      <c r="I401" s="21">
        <f t="shared" si="67"/>
        <v>1</v>
      </c>
      <c r="J401" s="664"/>
      <c r="K401" s="21">
        <f t="shared" si="68"/>
        <v>1</v>
      </c>
      <c r="L401" s="664"/>
      <c r="M401" s="21">
        <f t="shared" si="69"/>
        <v>1</v>
      </c>
      <c r="N401" s="664"/>
      <c r="O401" s="21">
        <f t="shared" si="70"/>
        <v>1</v>
      </c>
      <c r="P401" s="664"/>
      <c r="Q401" s="21">
        <f t="shared" si="71"/>
        <v>1</v>
      </c>
      <c r="R401" s="660">
        <f t="shared" si="72"/>
        <v>0</v>
      </c>
      <c r="S401" s="313">
        <f t="shared" si="73"/>
        <v>0</v>
      </c>
    </row>
    <row r="402" spans="1:19">
      <c r="A402" s="147"/>
      <c r="B402" s="54"/>
      <c r="C402" s="21">
        <f t="shared" si="64"/>
        <v>1</v>
      </c>
      <c r="D402" s="664"/>
      <c r="E402" s="21">
        <f t="shared" si="65"/>
        <v>1</v>
      </c>
      <c r="F402" s="664"/>
      <c r="G402" s="21">
        <f t="shared" si="66"/>
        <v>1</v>
      </c>
      <c r="H402" s="664"/>
      <c r="I402" s="21">
        <f t="shared" si="67"/>
        <v>1</v>
      </c>
      <c r="J402" s="664"/>
      <c r="K402" s="21">
        <f t="shared" si="68"/>
        <v>1</v>
      </c>
      <c r="L402" s="664"/>
      <c r="M402" s="21">
        <f t="shared" si="69"/>
        <v>1</v>
      </c>
      <c r="N402" s="664"/>
      <c r="O402" s="21">
        <f t="shared" si="70"/>
        <v>1</v>
      </c>
      <c r="P402" s="664"/>
      <c r="Q402" s="21">
        <f t="shared" si="71"/>
        <v>1</v>
      </c>
      <c r="R402" s="660">
        <f t="shared" si="72"/>
        <v>0</v>
      </c>
      <c r="S402" s="313">
        <f t="shared" si="73"/>
        <v>0</v>
      </c>
    </row>
    <row r="403" spans="1:19">
      <c r="A403" s="147"/>
      <c r="B403" s="54"/>
      <c r="C403" s="21">
        <f t="shared" si="64"/>
        <v>1</v>
      </c>
      <c r="D403" s="664"/>
      <c r="E403" s="21">
        <f t="shared" si="65"/>
        <v>1</v>
      </c>
      <c r="F403" s="664"/>
      <c r="G403" s="21">
        <f t="shared" si="66"/>
        <v>1</v>
      </c>
      <c r="H403" s="664"/>
      <c r="I403" s="21">
        <f t="shared" si="67"/>
        <v>1</v>
      </c>
      <c r="J403" s="664"/>
      <c r="K403" s="21">
        <f t="shared" si="68"/>
        <v>1</v>
      </c>
      <c r="L403" s="664"/>
      <c r="M403" s="21">
        <f t="shared" si="69"/>
        <v>1</v>
      </c>
      <c r="N403" s="664"/>
      <c r="O403" s="21">
        <f t="shared" si="70"/>
        <v>1</v>
      </c>
      <c r="P403" s="664"/>
      <c r="Q403" s="21">
        <f t="shared" si="71"/>
        <v>1</v>
      </c>
      <c r="R403" s="660">
        <f t="shared" si="72"/>
        <v>0</v>
      </c>
      <c r="S403" s="313">
        <f t="shared" si="73"/>
        <v>0</v>
      </c>
    </row>
    <row r="404" spans="1:19">
      <c r="A404" s="147"/>
      <c r="B404" s="54"/>
      <c r="C404" s="21">
        <f t="shared" si="64"/>
        <v>1</v>
      </c>
      <c r="D404" s="664"/>
      <c r="E404" s="21">
        <f t="shared" si="65"/>
        <v>1</v>
      </c>
      <c r="F404" s="664"/>
      <c r="G404" s="21">
        <f t="shared" si="66"/>
        <v>1</v>
      </c>
      <c r="H404" s="664"/>
      <c r="I404" s="21">
        <f t="shared" si="67"/>
        <v>1</v>
      </c>
      <c r="J404" s="664"/>
      <c r="K404" s="21">
        <f t="shared" si="68"/>
        <v>1</v>
      </c>
      <c r="L404" s="664"/>
      <c r="M404" s="21">
        <f t="shared" si="69"/>
        <v>1</v>
      </c>
      <c r="N404" s="664"/>
      <c r="O404" s="21">
        <f t="shared" si="70"/>
        <v>1</v>
      </c>
      <c r="P404" s="664"/>
      <c r="Q404" s="21">
        <f t="shared" si="71"/>
        <v>1</v>
      </c>
      <c r="R404" s="660">
        <f t="shared" si="72"/>
        <v>0</v>
      </c>
      <c r="S404" s="313">
        <f t="shared" si="73"/>
        <v>0</v>
      </c>
    </row>
    <row r="405" spans="1:19">
      <c r="A405" s="147"/>
      <c r="B405" s="54"/>
      <c r="C405" s="21">
        <f t="shared" si="64"/>
        <v>1</v>
      </c>
      <c r="D405" s="664"/>
      <c r="E405" s="21">
        <f t="shared" si="65"/>
        <v>1</v>
      </c>
      <c r="F405" s="664"/>
      <c r="G405" s="21">
        <f t="shared" si="66"/>
        <v>1</v>
      </c>
      <c r="H405" s="664"/>
      <c r="I405" s="21">
        <f t="shared" si="67"/>
        <v>1</v>
      </c>
      <c r="J405" s="664"/>
      <c r="K405" s="21">
        <f t="shared" si="68"/>
        <v>1</v>
      </c>
      <c r="L405" s="664"/>
      <c r="M405" s="21">
        <f t="shared" si="69"/>
        <v>1</v>
      </c>
      <c r="N405" s="664"/>
      <c r="O405" s="21">
        <f t="shared" si="70"/>
        <v>1</v>
      </c>
      <c r="P405" s="664"/>
      <c r="Q405" s="21">
        <f t="shared" si="71"/>
        <v>1</v>
      </c>
      <c r="R405" s="660">
        <f t="shared" si="72"/>
        <v>0</v>
      </c>
      <c r="S405" s="313">
        <f t="shared" si="73"/>
        <v>0</v>
      </c>
    </row>
    <row r="406" spans="1:19">
      <c r="A406" s="147"/>
      <c r="B406" s="54"/>
      <c r="C406" s="21">
        <f t="shared" si="64"/>
        <v>1</v>
      </c>
      <c r="D406" s="664"/>
      <c r="E406" s="21">
        <f t="shared" si="65"/>
        <v>1</v>
      </c>
      <c r="F406" s="664"/>
      <c r="G406" s="21">
        <f t="shared" si="66"/>
        <v>1</v>
      </c>
      <c r="H406" s="664"/>
      <c r="I406" s="21">
        <f t="shared" si="67"/>
        <v>1</v>
      </c>
      <c r="J406" s="664"/>
      <c r="K406" s="21">
        <f t="shared" si="68"/>
        <v>1</v>
      </c>
      <c r="L406" s="664"/>
      <c r="M406" s="21">
        <f t="shared" si="69"/>
        <v>1</v>
      </c>
      <c r="N406" s="664"/>
      <c r="O406" s="21">
        <f t="shared" si="70"/>
        <v>1</v>
      </c>
      <c r="P406" s="664"/>
      <c r="Q406" s="21">
        <f t="shared" si="71"/>
        <v>1</v>
      </c>
      <c r="R406" s="660">
        <f t="shared" si="72"/>
        <v>0</v>
      </c>
      <c r="S406" s="313">
        <f t="shared" si="73"/>
        <v>0</v>
      </c>
    </row>
    <row r="407" spans="1:19">
      <c r="A407" s="147"/>
      <c r="B407" s="54"/>
      <c r="C407" s="21">
        <f t="shared" si="64"/>
        <v>1</v>
      </c>
      <c r="D407" s="664"/>
      <c r="E407" s="21">
        <f t="shared" si="65"/>
        <v>1</v>
      </c>
      <c r="F407" s="664"/>
      <c r="G407" s="21">
        <f t="shared" si="66"/>
        <v>1</v>
      </c>
      <c r="H407" s="664"/>
      <c r="I407" s="21">
        <f t="shared" si="67"/>
        <v>1</v>
      </c>
      <c r="J407" s="664"/>
      <c r="K407" s="21">
        <f t="shared" si="68"/>
        <v>1</v>
      </c>
      <c r="L407" s="664"/>
      <c r="M407" s="21">
        <f t="shared" si="69"/>
        <v>1</v>
      </c>
      <c r="N407" s="664"/>
      <c r="O407" s="21">
        <f t="shared" si="70"/>
        <v>1</v>
      </c>
      <c r="P407" s="664"/>
      <c r="Q407" s="21">
        <f t="shared" si="71"/>
        <v>1</v>
      </c>
      <c r="R407" s="660">
        <f t="shared" si="72"/>
        <v>0</v>
      </c>
      <c r="S407" s="313">
        <f t="shared" si="73"/>
        <v>0</v>
      </c>
    </row>
    <row r="408" spans="1:19">
      <c r="A408" s="147"/>
      <c r="B408" s="54"/>
      <c r="C408" s="21">
        <f t="shared" si="64"/>
        <v>1</v>
      </c>
      <c r="D408" s="664"/>
      <c r="E408" s="21">
        <f t="shared" si="65"/>
        <v>1</v>
      </c>
      <c r="F408" s="664"/>
      <c r="G408" s="21">
        <f t="shared" si="66"/>
        <v>1</v>
      </c>
      <c r="H408" s="664"/>
      <c r="I408" s="21">
        <f t="shared" si="67"/>
        <v>1</v>
      </c>
      <c r="J408" s="664"/>
      <c r="K408" s="21">
        <f t="shared" si="68"/>
        <v>1</v>
      </c>
      <c r="L408" s="664"/>
      <c r="M408" s="21">
        <f t="shared" si="69"/>
        <v>1</v>
      </c>
      <c r="N408" s="664"/>
      <c r="O408" s="21">
        <f t="shared" si="70"/>
        <v>1</v>
      </c>
      <c r="P408" s="664"/>
      <c r="Q408" s="21">
        <f t="shared" si="71"/>
        <v>1</v>
      </c>
      <c r="R408" s="660">
        <f t="shared" si="72"/>
        <v>0</v>
      </c>
      <c r="S408" s="313">
        <f t="shared" si="73"/>
        <v>0</v>
      </c>
    </row>
    <row r="409" spans="1:19">
      <c r="A409" s="147"/>
      <c r="B409" s="54"/>
      <c r="C409" s="21">
        <f t="shared" si="64"/>
        <v>1</v>
      </c>
      <c r="D409" s="664"/>
      <c r="E409" s="21">
        <f t="shared" si="65"/>
        <v>1</v>
      </c>
      <c r="F409" s="664"/>
      <c r="G409" s="21">
        <f t="shared" si="66"/>
        <v>1</v>
      </c>
      <c r="H409" s="664"/>
      <c r="I409" s="21">
        <f t="shared" si="67"/>
        <v>1</v>
      </c>
      <c r="J409" s="664"/>
      <c r="K409" s="21">
        <f t="shared" si="68"/>
        <v>1</v>
      </c>
      <c r="L409" s="664"/>
      <c r="M409" s="21">
        <f t="shared" si="69"/>
        <v>1</v>
      </c>
      <c r="N409" s="664"/>
      <c r="O409" s="21">
        <f t="shared" si="70"/>
        <v>1</v>
      </c>
      <c r="P409" s="664"/>
      <c r="Q409" s="21">
        <f t="shared" si="71"/>
        <v>1</v>
      </c>
      <c r="R409" s="660">
        <f t="shared" si="72"/>
        <v>0</v>
      </c>
      <c r="S409" s="313">
        <f t="shared" si="73"/>
        <v>0</v>
      </c>
    </row>
    <row r="410" spans="1:19">
      <c r="A410" s="147"/>
      <c r="B410" s="54"/>
      <c r="C410" s="21">
        <f t="shared" ref="C410:C473" si="74">IF(B410="",1,(LOOKUP(B410,$3:$3,$4:$4)-LOOKUP($B$24,$3:$3,$4:$4)+100)/100)</f>
        <v>1</v>
      </c>
      <c r="D410" s="664"/>
      <c r="E410" s="21">
        <f t="shared" ref="E410:E473" si="75">(SUMIF($5:$5,D410,$6:$6)-SUMIF($5:$5,$D$24,$6:$6)+100)/100</f>
        <v>1</v>
      </c>
      <c r="F410" s="664"/>
      <c r="G410" s="21">
        <f t="shared" ref="G410:G473" si="76">(SUMIF($7:$7,F410,$8:$8)-SUMIF($7:$7,$F$24,$8:$8)+100)/100</f>
        <v>1</v>
      </c>
      <c r="H410" s="664"/>
      <c r="I410" s="21">
        <f t="shared" ref="I410:I473" si="77">(SUMIF($9:$9,H410,$10:$10)-SUMIF($9:$9,$H$24,$10:$10)+100)/100</f>
        <v>1</v>
      </c>
      <c r="J410" s="664"/>
      <c r="K410" s="21">
        <f t="shared" ref="K410:K473" si="78">(SUMIF($11:$11,J410,$12:$12)-SUMIF($11:$11,$J$24,$12:$12)+100)/100</f>
        <v>1</v>
      </c>
      <c r="L410" s="664"/>
      <c r="M410" s="21">
        <f t="shared" ref="M410:M473" si="79">(SUMIF($13:$13,L410,$14:$14)-SUMIF($13:$13,$L$24,$14:$14)+100)/100</f>
        <v>1</v>
      </c>
      <c r="N410" s="664"/>
      <c r="O410" s="21">
        <f t="shared" ref="O410:O473" si="80">(SUMIF($15:$15,N410,$16:$16)-SUMIF($15:$15,$N$24,$16:$16)+100)/100</f>
        <v>1</v>
      </c>
      <c r="P410" s="664"/>
      <c r="Q410" s="21">
        <f t="shared" ref="Q410:Q473" si="81">(SUMIF($17:$17,P410,$18:$18)-SUMIF($17:$17,$P$24,$18:$18)+100)/100</f>
        <v>1</v>
      </c>
      <c r="R410" s="660">
        <f t="shared" ref="R410:R473" si="82">IF(B410="",0,ROUND($R$24*C410*E410*G410*I410*K410*M410*O410*Q410,0))</f>
        <v>0</v>
      </c>
      <c r="S410" s="313">
        <f t="shared" si="73"/>
        <v>0</v>
      </c>
    </row>
    <row r="411" spans="1:19">
      <c r="A411" s="147"/>
      <c r="B411" s="54"/>
      <c r="C411" s="21">
        <f t="shared" si="74"/>
        <v>1</v>
      </c>
      <c r="D411" s="664"/>
      <c r="E411" s="21">
        <f t="shared" si="75"/>
        <v>1</v>
      </c>
      <c r="F411" s="664"/>
      <c r="G411" s="21">
        <f t="shared" si="76"/>
        <v>1</v>
      </c>
      <c r="H411" s="664"/>
      <c r="I411" s="21">
        <f t="shared" si="77"/>
        <v>1</v>
      </c>
      <c r="J411" s="664"/>
      <c r="K411" s="21">
        <f t="shared" si="78"/>
        <v>1</v>
      </c>
      <c r="L411" s="664"/>
      <c r="M411" s="21">
        <f t="shared" si="79"/>
        <v>1</v>
      </c>
      <c r="N411" s="664"/>
      <c r="O411" s="21">
        <f t="shared" si="80"/>
        <v>1</v>
      </c>
      <c r="P411" s="664"/>
      <c r="Q411" s="21">
        <f t="shared" si="81"/>
        <v>1</v>
      </c>
      <c r="R411" s="660">
        <f t="shared" si="82"/>
        <v>0</v>
      </c>
      <c r="S411" s="313">
        <f t="shared" si="73"/>
        <v>0</v>
      </c>
    </row>
    <row r="412" spans="1:19">
      <c r="A412" s="147"/>
      <c r="B412" s="54"/>
      <c r="C412" s="21">
        <f t="shared" si="74"/>
        <v>1</v>
      </c>
      <c r="D412" s="664"/>
      <c r="E412" s="21">
        <f t="shared" si="75"/>
        <v>1</v>
      </c>
      <c r="F412" s="664"/>
      <c r="G412" s="21">
        <f t="shared" si="76"/>
        <v>1</v>
      </c>
      <c r="H412" s="664"/>
      <c r="I412" s="21">
        <f t="shared" si="77"/>
        <v>1</v>
      </c>
      <c r="J412" s="664"/>
      <c r="K412" s="21">
        <f t="shared" si="78"/>
        <v>1</v>
      </c>
      <c r="L412" s="664"/>
      <c r="M412" s="21">
        <f t="shared" si="79"/>
        <v>1</v>
      </c>
      <c r="N412" s="664"/>
      <c r="O412" s="21">
        <f t="shared" si="80"/>
        <v>1</v>
      </c>
      <c r="P412" s="664"/>
      <c r="Q412" s="21">
        <f t="shared" si="81"/>
        <v>1</v>
      </c>
      <c r="R412" s="660">
        <f t="shared" si="82"/>
        <v>0</v>
      </c>
      <c r="S412" s="313">
        <f t="shared" si="73"/>
        <v>0</v>
      </c>
    </row>
    <row r="413" spans="1:19">
      <c r="A413" s="147"/>
      <c r="B413" s="54"/>
      <c r="C413" s="21">
        <f t="shared" si="74"/>
        <v>1</v>
      </c>
      <c r="D413" s="664"/>
      <c r="E413" s="21">
        <f t="shared" si="75"/>
        <v>1</v>
      </c>
      <c r="F413" s="664"/>
      <c r="G413" s="21">
        <f t="shared" si="76"/>
        <v>1</v>
      </c>
      <c r="H413" s="664"/>
      <c r="I413" s="21">
        <f t="shared" si="77"/>
        <v>1</v>
      </c>
      <c r="J413" s="664"/>
      <c r="K413" s="21">
        <f t="shared" si="78"/>
        <v>1</v>
      </c>
      <c r="L413" s="664"/>
      <c r="M413" s="21">
        <f t="shared" si="79"/>
        <v>1</v>
      </c>
      <c r="N413" s="664"/>
      <c r="O413" s="21">
        <f t="shared" si="80"/>
        <v>1</v>
      </c>
      <c r="P413" s="664"/>
      <c r="Q413" s="21">
        <f t="shared" si="81"/>
        <v>1</v>
      </c>
      <c r="R413" s="660">
        <f t="shared" si="82"/>
        <v>0</v>
      </c>
      <c r="S413" s="313">
        <f t="shared" si="73"/>
        <v>0</v>
      </c>
    </row>
    <row r="414" spans="1:19">
      <c r="A414" s="147"/>
      <c r="B414" s="54"/>
      <c r="C414" s="21">
        <f t="shared" si="74"/>
        <v>1</v>
      </c>
      <c r="D414" s="664"/>
      <c r="E414" s="21">
        <f t="shared" si="75"/>
        <v>1</v>
      </c>
      <c r="F414" s="664"/>
      <c r="G414" s="21">
        <f t="shared" si="76"/>
        <v>1</v>
      </c>
      <c r="H414" s="664"/>
      <c r="I414" s="21">
        <f t="shared" si="77"/>
        <v>1</v>
      </c>
      <c r="J414" s="664"/>
      <c r="K414" s="21">
        <f t="shared" si="78"/>
        <v>1</v>
      </c>
      <c r="L414" s="664"/>
      <c r="M414" s="21">
        <f t="shared" si="79"/>
        <v>1</v>
      </c>
      <c r="N414" s="664"/>
      <c r="O414" s="21">
        <f t="shared" si="80"/>
        <v>1</v>
      </c>
      <c r="P414" s="664"/>
      <c r="Q414" s="21">
        <f t="shared" si="81"/>
        <v>1</v>
      </c>
      <c r="R414" s="660">
        <f t="shared" si="82"/>
        <v>0</v>
      </c>
      <c r="S414" s="313">
        <f t="shared" si="73"/>
        <v>0</v>
      </c>
    </row>
    <row r="415" spans="1:19">
      <c r="A415" s="147"/>
      <c r="B415" s="54"/>
      <c r="C415" s="21">
        <f t="shared" si="74"/>
        <v>1</v>
      </c>
      <c r="D415" s="664"/>
      <c r="E415" s="21">
        <f t="shared" si="75"/>
        <v>1</v>
      </c>
      <c r="F415" s="664"/>
      <c r="G415" s="21">
        <f t="shared" si="76"/>
        <v>1</v>
      </c>
      <c r="H415" s="664"/>
      <c r="I415" s="21">
        <f t="shared" si="77"/>
        <v>1</v>
      </c>
      <c r="J415" s="664"/>
      <c r="K415" s="21">
        <f t="shared" si="78"/>
        <v>1</v>
      </c>
      <c r="L415" s="664"/>
      <c r="M415" s="21">
        <f t="shared" si="79"/>
        <v>1</v>
      </c>
      <c r="N415" s="664"/>
      <c r="O415" s="21">
        <f t="shared" si="80"/>
        <v>1</v>
      </c>
      <c r="P415" s="664"/>
      <c r="Q415" s="21">
        <f t="shared" si="81"/>
        <v>1</v>
      </c>
      <c r="R415" s="660">
        <f t="shared" si="82"/>
        <v>0</v>
      </c>
      <c r="S415" s="313">
        <f t="shared" si="73"/>
        <v>0</v>
      </c>
    </row>
    <row r="416" spans="1:19">
      <c r="A416" s="147"/>
      <c r="B416" s="54"/>
      <c r="C416" s="21">
        <f t="shared" si="74"/>
        <v>1</v>
      </c>
      <c r="D416" s="664"/>
      <c r="E416" s="21">
        <f t="shared" si="75"/>
        <v>1</v>
      </c>
      <c r="F416" s="664"/>
      <c r="G416" s="21">
        <f t="shared" si="76"/>
        <v>1</v>
      </c>
      <c r="H416" s="664"/>
      <c r="I416" s="21">
        <f t="shared" si="77"/>
        <v>1</v>
      </c>
      <c r="J416" s="664"/>
      <c r="K416" s="21">
        <f t="shared" si="78"/>
        <v>1</v>
      </c>
      <c r="L416" s="664"/>
      <c r="M416" s="21">
        <f t="shared" si="79"/>
        <v>1</v>
      </c>
      <c r="N416" s="664"/>
      <c r="O416" s="21">
        <f t="shared" si="80"/>
        <v>1</v>
      </c>
      <c r="P416" s="664"/>
      <c r="Q416" s="21">
        <f t="shared" si="81"/>
        <v>1</v>
      </c>
      <c r="R416" s="660">
        <f t="shared" si="82"/>
        <v>0</v>
      </c>
      <c r="S416" s="313">
        <f t="shared" si="73"/>
        <v>0</v>
      </c>
    </row>
    <row r="417" spans="1:19">
      <c r="A417" s="147"/>
      <c r="B417" s="54"/>
      <c r="C417" s="21">
        <f t="shared" si="74"/>
        <v>1</v>
      </c>
      <c r="D417" s="664"/>
      <c r="E417" s="21">
        <f t="shared" si="75"/>
        <v>1</v>
      </c>
      <c r="F417" s="664"/>
      <c r="G417" s="21">
        <f t="shared" si="76"/>
        <v>1</v>
      </c>
      <c r="H417" s="664"/>
      <c r="I417" s="21">
        <f t="shared" si="77"/>
        <v>1</v>
      </c>
      <c r="J417" s="664"/>
      <c r="K417" s="21">
        <f t="shared" si="78"/>
        <v>1</v>
      </c>
      <c r="L417" s="664"/>
      <c r="M417" s="21">
        <f t="shared" si="79"/>
        <v>1</v>
      </c>
      <c r="N417" s="664"/>
      <c r="O417" s="21">
        <f t="shared" si="80"/>
        <v>1</v>
      </c>
      <c r="P417" s="664"/>
      <c r="Q417" s="21">
        <f t="shared" si="81"/>
        <v>1</v>
      </c>
      <c r="R417" s="660">
        <f t="shared" si="82"/>
        <v>0</v>
      </c>
      <c r="S417" s="313">
        <f t="shared" si="73"/>
        <v>0</v>
      </c>
    </row>
    <row r="418" spans="1:19">
      <c r="A418" s="147"/>
      <c r="B418" s="54"/>
      <c r="C418" s="21">
        <f t="shared" si="74"/>
        <v>1</v>
      </c>
      <c r="D418" s="664"/>
      <c r="E418" s="21">
        <f t="shared" si="75"/>
        <v>1</v>
      </c>
      <c r="F418" s="664"/>
      <c r="G418" s="21">
        <f t="shared" si="76"/>
        <v>1</v>
      </c>
      <c r="H418" s="664"/>
      <c r="I418" s="21">
        <f t="shared" si="77"/>
        <v>1</v>
      </c>
      <c r="J418" s="664"/>
      <c r="K418" s="21">
        <f t="shared" si="78"/>
        <v>1</v>
      </c>
      <c r="L418" s="664"/>
      <c r="M418" s="21">
        <f t="shared" si="79"/>
        <v>1</v>
      </c>
      <c r="N418" s="664"/>
      <c r="O418" s="21">
        <f t="shared" si="80"/>
        <v>1</v>
      </c>
      <c r="P418" s="664"/>
      <c r="Q418" s="21">
        <f t="shared" si="81"/>
        <v>1</v>
      </c>
      <c r="R418" s="660">
        <f t="shared" si="82"/>
        <v>0</v>
      </c>
      <c r="S418" s="313">
        <f t="shared" si="73"/>
        <v>0</v>
      </c>
    </row>
    <row r="419" spans="1:19">
      <c r="A419" s="147"/>
      <c r="B419" s="54"/>
      <c r="C419" s="21">
        <f t="shared" si="74"/>
        <v>1</v>
      </c>
      <c r="D419" s="664"/>
      <c r="E419" s="21">
        <f t="shared" si="75"/>
        <v>1</v>
      </c>
      <c r="F419" s="664"/>
      <c r="G419" s="21">
        <f t="shared" si="76"/>
        <v>1</v>
      </c>
      <c r="H419" s="664"/>
      <c r="I419" s="21">
        <f t="shared" si="77"/>
        <v>1</v>
      </c>
      <c r="J419" s="664"/>
      <c r="K419" s="21">
        <f t="shared" si="78"/>
        <v>1</v>
      </c>
      <c r="L419" s="664"/>
      <c r="M419" s="21">
        <f t="shared" si="79"/>
        <v>1</v>
      </c>
      <c r="N419" s="664"/>
      <c r="O419" s="21">
        <f t="shared" si="80"/>
        <v>1</v>
      </c>
      <c r="P419" s="664"/>
      <c r="Q419" s="21">
        <f t="shared" si="81"/>
        <v>1</v>
      </c>
      <c r="R419" s="660">
        <f t="shared" si="82"/>
        <v>0</v>
      </c>
      <c r="S419" s="313">
        <f t="shared" si="73"/>
        <v>0</v>
      </c>
    </row>
    <row r="420" spans="1:19">
      <c r="A420" s="147"/>
      <c r="B420" s="54"/>
      <c r="C420" s="21">
        <f t="shared" si="74"/>
        <v>1</v>
      </c>
      <c r="D420" s="664"/>
      <c r="E420" s="21">
        <f t="shared" si="75"/>
        <v>1</v>
      </c>
      <c r="F420" s="664"/>
      <c r="G420" s="21">
        <f t="shared" si="76"/>
        <v>1</v>
      </c>
      <c r="H420" s="664"/>
      <c r="I420" s="21">
        <f t="shared" si="77"/>
        <v>1</v>
      </c>
      <c r="J420" s="664"/>
      <c r="K420" s="21">
        <f t="shared" si="78"/>
        <v>1</v>
      </c>
      <c r="L420" s="664"/>
      <c r="M420" s="21">
        <f t="shared" si="79"/>
        <v>1</v>
      </c>
      <c r="N420" s="664"/>
      <c r="O420" s="21">
        <f t="shared" si="80"/>
        <v>1</v>
      </c>
      <c r="P420" s="664"/>
      <c r="Q420" s="21">
        <f t="shared" si="81"/>
        <v>1</v>
      </c>
      <c r="R420" s="660">
        <f t="shared" si="82"/>
        <v>0</v>
      </c>
      <c r="S420" s="313">
        <f t="shared" si="73"/>
        <v>0</v>
      </c>
    </row>
    <row r="421" spans="1:19">
      <c r="A421" s="147"/>
      <c r="B421" s="54"/>
      <c r="C421" s="21">
        <f t="shared" si="74"/>
        <v>1</v>
      </c>
      <c r="D421" s="664"/>
      <c r="E421" s="21">
        <f t="shared" si="75"/>
        <v>1</v>
      </c>
      <c r="F421" s="664"/>
      <c r="G421" s="21">
        <f t="shared" si="76"/>
        <v>1</v>
      </c>
      <c r="H421" s="664"/>
      <c r="I421" s="21">
        <f t="shared" si="77"/>
        <v>1</v>
      </c>
      <c r="J421" s="664"/>
      <c r="K421" s="21">
        <f t="shared" si="78"/>
        <v>1</v>
      </c>
      <c r="L421" s="664"/>
      <c r="M421" s="21">
        <f t="shared" si="79"/>
        <v>1</v>
      </c>
      <c r="N421" s="664"/>
      <c r="O421" s="21">
        <f t="shared" si="80"/>
        <v>1</v>
      </c>
      <c r="P421" s="664"/>
      <c r="Q421" s="21">
        <f t="shared" si="81"/>
        <v>1</v>
      </c>
      <c r="R421" s="660">
        <f t="shared" si="82"/>
        <v>0</v>
      </c>
      <c r="S421" s="313">
        <f t="shared" si="73"/>
        <v>0</v>
      </c>
    </row>
    <row r="422" spans="1:19">
      <c r="A422" s="147"/>
      <c r="B422" s="54"/>
      <c r="C422" s="21">
        <f t="shared" si="74"/>
        <v>1</v>
      </c>
      <c r="D422" s="664"/>
      <c r="E422" s="21">
        <f t="shared" si="75"/>
        <v>1</v>
      </c>
      <c r="F422" s="664"/>
      <c r="G422" s="21">
        <f t="shared" si="76"/>
        <v>1</v>
      </c>
      <c r="H422" s="664"/>
      <c r="I422" s="21">
        <f t="shared" si="77"/>
        <v>1</v>
      </c>
      <c r="J422" s="664"/>
      <c r="K422" s="21">
        <f t="shared" si="78"/>
        <v>1</v>
      </c>
      <c r="L422" s="664"/>
      <c r="M422" s="21">
        <f t="shared" si="79"/>
        <v>1</v>
      </c>
      <c r="N422" s="664"/>
      <c r="O422" s="21">
        <f t="shared" si="80"/>
        <v>1</v>
      </c>
      <c r="P422" s="664"/>
      <c r="Q422" s="21">
        <f t="shared" si="81"/>
        <v>1</v>
      </c>
      <c r="R422" s="660">
        <f t="shared" si="82"/>
        <v>0</v>
      </c>
      <c r="S422" s="313">
        <f t="shared" si="73"/>
        <v>0</v>
      </c>
    </row>
    <row r="423" spans="1:19">
      <c r="A423" s="147"/>
      <c r="B423" s="54"/>
      <c r="C423" s="21">
        <f t="shared" si="74"/>
        <v>1</v>
      </c>
      <c r="D423" s="664"/>
      <c r="E423" s="21">
        <f t="shared" si="75"/>
        <v>1</v>
      </c>
      <c r="F423" s="664"/>
      <c r="G423" s="21">
        <f t="shared" si="76"/>
        <v>1</v>
      </c>
      <c r="H423" s="664"/>
      <c r="I423" s="21">
        <f t="shared" si="77"/>
        <v>1</v>
      </c>
      <c r="J423" s="664"/>
      <c r="K423" s="21">
        <f t="shared" si="78"/>
        <v>1</v>
      </c>
      <c r="L423" s="664"/>
      <c r="M423" s="21">
        <f t="shared" si="79"/>
        <v>1</v>
      </c>
      <c r="N423" s="664"/>
      <c r="O423" s="21">
        <f t="shared" si="80"/>
        <v>1</v>
      </c>
      <c r="P423" s="664"/>
      <c r="Q423" s="21">
        <f t="shared" si="81"/>
        <v>1</v>
      </c>
      <c r="R423" s="660">
        <f t="shared" si="82"/>
        <v>0</v>
      </c>
      <c r="S423" s="313">
        <f t="shared" ref="S423:S467" si="83">ROUND(R423*B423/10000,0)</f>
        <v>0</v>
      </c>
    </row>
    <row r="424" spans="1:19">
      <c r="A424" s="147"/>
      <c r="B424" s="54"/>
      <c r="C424" s="21">
        <f t="shared" si="74"/>
        <v>1</v>
      </c>
      <c r="D424" s="664"/>
      <c r="E424" s="21">
        <f t="shared" si="75"/>
        <v>1</v>
      </c>
      <c r="F424" s="664"/>
      <c r="G424" s="21">
        <f t="shared" si="76"/>
        <v>1</v>
      </c>
      <c r="H424" s="664"/>
      <c r="I424" s="21">
        <f t="shared" si="77"/>
        <v>1</v>
      </c>
      <c r="J424" s="664"/>
      <c r="K424" s="21">
        <f t="shared" si="78"/>
        <v>1</v>
      </c>
      <c r="L424" s="664"/>
      <c r="M424" s="21">
        <f t="shared" si="79"/>
        <v>1</v>
      </c>
      <c r="N424" s="664"/>
      <c r="O424" s="21">
        <f t="shared" si="80"/>
        <v>1</v>
      </c>
      <c r="P424" s="664"/>
      <c r="Q424" s="21">
        <f t="shared" si="81"/>
        <v>1</v>
      </c>
      <c r="R424" s="660">
        <f t="shared" si="82"/>
        <v>0</v>
      </c>
      <c r="S424" s="313">
        <f t="shared" si="83"/>
        <v>0</v>
      </c>
    </row>
    <row r="425" spans="1:19">
      <c r="A425" s="147"/>
      <c r="B425" s="54"/>
      <c r="C425" s="21">
        <f t="shared" si="74"/>
        <v>1</v>
      </c>
      <c r="D425" s="664"/>
      <c r="E425" s="21">
        <f t="shared" si="75"/>
        <v>1</v>
      </c>
      <c r="F425" s="664"/>
      <c r="G425" s="21">
        <f t="shared" si="76"/>
        <v>1</v>
      </c>
      <c r="H425" s="664"/>
      <c r="I425" s="21">
        <f t="shared" si="77"/>
        <v>1</v>
      </c>
      <c r="J425" s="664"/>
      <c r="K425" s="21">
        <f t="shared" si="78"/>
        <v>1</v>
      </c>
      <c r="L425" s="664"/>
      <c r="M425" s="21">
        <f t="shared" si="79"/>
        <v>1</v>
      </c>
      <c r="N425" s="664"/>
      <c r="O425" s="21">
        <f t="shared" si="80"/>
        <v>1</v>
      </c>
      <c r="P425" s="664"/>
      <c r="Q425" s="21">
        <f t="shared" si="81"/>
        <v>1</v>
      </c>
      <c r="R425" s="660">
        <f t="shared" si="82"/>
        <v>0</v>
      </c>
      <c r="S425" s="313">
        <f t="shared" si="83"/>
        <v>0</v>
      </c>
    </row>
    <row r="426" spans="1:19">
      <c r="A426" s="147"/>
      <c r="B426" s="54"/>
      <c r="C426" s="21">
        <f t="shared" si="74"/>
        <v>1</v>
      </c>
      <c r="D426" s="664"/>
      <c r="E426" s="21">
        <f t="shared" si="75"/>
        <v>1</v>
      </c>
      <c r="F426" s="664"/>
      <c r="G426" s="21">
        <f t="shared" si="76"/>
        <v>1</v>
      </c>
      <c r="H426" s="664"/>
      <c r="I426" s="21">
        <f t="shared" si="77"/>
        <v>1</v>
      </c>
      <c r="J426" s="664"/>
      <c r="K426" s="21">
        <f t="shared" si="78"/>
        <v>1</v>
      </c>
      <c r="L426" s="664"/>
      <c r="M426" s="21">
        <f t="shared" si="79"/>
        <v>1</v>
      </c>
      <c r="N426" s="664"/>
      <c r="O426" s="21">
        <f t="shared" si="80"/>
        <v>1</v>
      </c>
      <c r="P426" s="664"/>
      <c r="Q426" s="21">
        <f t="shared" si="81"/>
        <v>1</v>
      </c>
      <c r="R426" s="660">
        <f t="shared" si="82"/>
        <v>0</v>
      </c>
      <c r="S426" s="313">
        <f t="shared" si="83"/>
        <v>0</v>
      </c>
    </row>
    <row r="427" spans="1:19">
      <c r="A427" s="147"/>
      <c r="B427" s="54"/>
      <c r="C427" s="21">
        <f t="shared" si="74"/>
        <v>1</v>
      </c>
      <c r="D427" s="664"/>
      <c r="E427" s="21">
        <f t="shared" si="75"/>
        <v>1</v>
      </c>
      <c r="F427" s="664"/>
      <c r="G427" s="21">
        <f t="shared" si="76"/>
        <v>1</v>
      </c>
      <c r="H427" s="664"/>
      <c r="I427" s="21">
        <f t="shared" si="77"/>
        <v>1</v>
      </c>
      <c r="J427" s="664"/>
      <c r="K427" s="21">
        <f t="shared" si="78"/>
        <v>1</v>
      </c>
      <c r="L427" s="664"/>
      <c r="M427" s="21">
        <f t="shared" si="79"/>
        <v>1</v>
      </c>
      <c r="N427" s="664"/>
      <c r="O427" s="21">
        <f t="shared" si="80"/>
        <v>1</v>
      </c>
      <c r="P427" s="664"/>
      <c r="Q427" s="21">
        <f t="shared" si="81"/>
        <v>1</v>
      </c>
      <c r="R427" s="660">
        <f t="shared" si="82"/>
        <v>0</v>
      </c>
      <c r="S427" s="313">
        <f t="shared" si="83"/>
        <v>0</v>
      </c>
    </row>
    <row r="428" spans="1:19">
      <c r="A428" s="147"/>
      <c r="B428" s="54"/>
      <c r="C428" s="21">
        <f t="shared" si="74"/>
        <v>1</v>
      </c>
      <c r="D428" s="664"/>
      <c r="E428" s="21">
        <f t="shared" si="75"/>
        <v>1</v>
      </c>
      <c r="F428" s="664"/>
      <c r="G428" s="21">
        <f t="shared" si="76"/>
        <v>1</v>
      </c>
      <c r="H428" s="664"/>
      <c r="I428" s="21">
        <f t="shared" si="77"/>
        <v>1</v>
      </c>
      <c r="J428" s="664"/>
      <c r="K428" s="21">
        <f t="shared" si="78"/>
        <v>1</v>
      </c>
      <c r="L428" s="664"/>
      <c r="M428" s="21">
        <f t="shared" si="79"/>
        <v>1</v>
      </c>
      <c r="N428" s="664"/>
      <c r="O428" s="21">
        <f t="shared" si="80"/>
        <v>1</v>
      </c>
      <c r="P428" s="664"/>
      <c r="Q428" s="21">
        <f t="shared" si="81"/>
        <v>1</v>
      </c>
      <c r="R428" s="660">
        <f t="shared" si="82"/>
        <v>0</v>
      </c>
      <c r="S428" s="313">
        <f t="shared" si="83"/>
        <v>0</v>
      </c>
    </row>
    <row r="429" spans="1:19">
      <c r="A429" s="147"/>
      <c r="B429" s="54"/>
      <c r="C429" s="21">
        <f t="shared" si="74"/>
        <v>1</v>
      </c>
      <c r="D429" s="664"/>
      <c r="E429" s="21">
        <f t="shared" si="75"/>
        <v>1</v>
      </c>
      <c r="F429" s="664"/>
      <c r="G429" s="21">
        <f t="shared" si="76"/>
        <v>1</v>
      </c>
      <c r="H429" s="664"/>
      <c r="I429" s="21">
        <f t="shared" si="77"/>
        <v>1</v>
      </c>
      <c r="J429" s="664"/>
      <c r="K429" s="21">
        <f t="shared" si="78"/>
        <v>1</v>
      </c>
      <c r="L429" s="664"/>
      <c r="M429" s="21">
        <f t="shared" si="79"/>
        <v>1</v>
      </c>
      <c r="N429" s="664"/>
      <c r="O429" s="21">
        <f t="shared" si="80"/>
        <v>1</v>
      </c>
      <c r="P429" s="664"/>
      <c r="Q429" s="21">
        <f t="shared" si="81"/>
        <v>1</v>
      </c>
      <c r="R429" s="660">
        <f t="shared" si="82"/>
        <v>0</v>
      </c>
      <c r="S429" s="313">
        <f t="shared" si="83"/>
        <v>0</v>
      </c>
    </row>
    <row r="430" spans="1:19">
      <c r="A430" s="147"/>
      <c r="B430" s="54"/>
      <c r="C430" s="21">
        <f t="shared" si="74"/>
        <v>1</v>
      </c>
      <c r="D430" s="664"/>
      <c r="E430" s="21">
        <f t="shared" si="75"/>
        <v>1</v>
      </c>
      <c r="F430" s="664"/>
      <c r="G430" s="21">
        <f t="shared" si="76"/>
        <v>1</v>
      </c>
      <c r="H430" s="664"/>
      <c r="I430" s="21">
        <f t="shared" si="77"/>
        <v>1</v>
      </c>
      <c r="J430" s="664"/>
      <c r="K430" s="21">
        <f t="shared" si="78"/>
        <v>1</v>
      </c>
      <c r="L430" s="664"/>
      <c r="M430" s="21">
        <f t="shared" si="79"/>
        <v>1</v>
      </c>
      <c r="N430" s="664"/>
      <c r="O430" s="21">
        <f t="shared" si="80"/>
        <v>1</v>
      </c>
      <c r="P430" s="664"/>
      <c r="Q430" s="21">
        <f t="shared" si="81"/>
        <v>1</v>
      </c>
      <c r="R430" s="660">
        <f t="shared" si="82"/>
        <v>0</v>
      </c>
      <c r="S430" s="313">
        <f t="shared" si="83"/>
        <v>0</v>
      </c>
    </row>
    <row r="431" spans="1:19">
      <c r="A431" s="147"/>
      <c r="B431" s="54"/>
      <c r="C431" s="21">
        <f t="shared" si="74"/>
        <v>1</v>
      </c>
      <c r="D431" s="664"/>
      <c r="E431" s="21">
        <f t="shared" si="75"/>
        <v>1</v>
      </c>
      <c r="F431" s="664"/>
      <c r="G431" s="21">
        <f t="shared" si="76"/>
        <v>1</v>
      </c>
      <c r="H431" s="664"/>
      <c r="I431" s="21">
        <f t="shared" si="77"/>
        <v>1</v>
      </c>
      <c r="J431" s="664"/>
      <c r="K431" s="21">
        <f t="shared" si="78"/>
        <v>1</v>
      </c>
      <c r="L431" s="664"/>
      <c r="M431" s="21">
        <f t="shared" si="79"/>
        <v>1</v>
      </c>
      <c r="N431" s="664"/>
      <c r="O431" s="21">
        <f t="shared" si="80"/>
        <v>1</v>
      </c>
      <c r="P431" s="664"/>
      <c r="Q431" s="21">
        <f t="shared" si="81"/>
        <v>1</v>
      </c>
      <c r="R431" s="660">
        <f t="shared" si="82"/>
        <v>0</v>
      </c>
      <c r="S431" s="313">
        <f t="shared" si="83"/>
        <v>0</v>
      </c>
    </row>
    <row r="432" spans="1:19">
      <c r="A432" s="147"/>
      <c r="B432" s="54"/>
      <c r="C432" s="21">
        <f t="shared" si="74"/>
        <v>1</v>
      </c>
      <c r="D432" s="664"/>
      <c r="E432" s="21">
        <f t="shared" si="75"/>
        <v>1</v>
      </c>
      <c r="F432" s="664"/>
      <c r="G432" s="21">
        <f t="shared" si="76"/>
        <v>1</v>
      </c>
      <c r="H432" s="664"/>
      <c r="I432" s="21">
        <f t="shared" si="77"/>
        <v>1</v>
      </c>
      <c r="J432" s="664"/>
      <c r="K432" s="21">
        <f t="shared" si="78"/>
        <v>1</v>
      </c>
      <c r="L432" s="664"/>
      <c r="M432" s="21">
        <f t="shared" si="79"/>
        <v>1</v>
      </c>
      <c r="N432" s="664"/>
      <c r="O432" s="21">
        <f t="shared" si="80"/>
        <v>1</v>
      </c>
      <c r="P432" s="664"/>
      <c r="Q432" s="21">
        <f t="shared" si="81"/>
        <v>1</v>
      </c>
      <c r="R432" s="660">
        <f t="shared" si="82"/>
        <v>0</v>
      </c>
      <c r="S432" s="313">
        <f t="shared" si="83"/>
        <v>0</v>
      </c>
    </row>
    <row r="433" spans="1:19">
      <c r="A433" s="147"/>
      <c r="B433" s="54"/>
      <c r="C433" s="21">
        <f t="shared" si="74"/>
        <v>1</v>
      </c>
      <c r="D433" s="664"/>
      <c r="E433" s="21">
        <f t="shared" si="75"/>
        <v>1</v>
      </c>
      <c r="F433" s="664"/>
      <c r="G433" s="21">
        <f t="shared" si="76"/>
        <v>1</v>
      </c>
      <c r="H433" s="664"/>
      <c r="I433" s="21">
        <f t="shared" si="77"/>
        <v>1</v>
      </c>
      <c r="J433" s="664"/>
      <c r="K433" s="21">
        <f t="shared" si="78"/>
        <v>1</v>
      </c>
      <c r="L433" s="664"/>
      <c r="M433" s="21">
        <f t="shared" si="79"/>
        <v>1</v>
      </c>
      <c r="N433" s="664"/>
      <c r="O433" s="21">
        <f t="shared" si="80"/>
        <v>1</v>
      </c>
      <c r="P433" s="664"/>
      <c r="Q433" s="21">
        <f t="shared" si="81"/>
        <v>1</v>
      </c>
      <c r="R433" s="660">
        <f t="shared" si="82"/>
        <v>0</v>
      </c>
      <c r="S433" s="313">
        <f t="shared" si="83"/>
        <v>0</v>
      </c>
    </row>
    <row r="434" spans="1:19">
      <c r="A434" s="147"/>
      <c r="B434" s="54"/>
      <c r="C434" s="21">
        <f t="shared" si="74"/>
        <v>1</v>
      </c>
      <c r="D434" s="664"/>
      <c r="E434" s="21">
        <f t="shared" si="75"/>
        <v>1</v>
      </c>
      <c r="F434" s="664"/>
      <c r="G434" s="21">
        <f t="shared" si="76"/>
        <v>1</v>
      </c>
      <c r="H434" s="664"/>
      <c r="I434" s="21">
        <f t="shared" si="77"/>
        <v>1</v>
      </c>
      <c r="J434" s="664"/>
      <c r="K434" s="21">
        <f t="shared" si="78"/>
        <v>1</v>
      </c>
      <c r="L434" s="664"/>
      <c r="M434" s="21">
        <f t="shared" si="79"/>
        <v>1</v>
      </c>
      <c r="N434" s="664"/>
      <c r="O434" s="21">
        <f t="shared" si="80"/>
        <v>1</v>
      </c>
      <c r="P434" s="664"/>
      <c r="Q434" s="21">
        <f t="shared" si="81"/>
        <v>1</v>
      </c>
      <c r="R434" s="660">
        <f t="shared" si="82"/>
        <v>0</v>
      </c>
      <c r="S434" s="313">
        <f t="shared" si="83"/>
        <v>0</v>
      </c>
    </row>
    <row r="435" spans="1:19">
      <c r="A435" s="147"/>
      <c r="B435" s="54"/>
      <c r="C435" s="21">
        <f t="shared" si="74"/>
        <v>1</v>
      </c>
      <c r="D435" s="664"/>
      <c r="E435" s="21">
        <f t="shared" si="75"/>
        <v>1</v>
      </c>
      <c r="F435" s="664"/>
      <c r="G435" s="21">
        <f t="shared" si="76"/>
        <v>1</v>
      </c>
      <c r="H435" s="664"/>
      <c r="I435" s="21">
        <f t="shared" si="77"/>
        <v>1</v>
      </c>
      <c r="J435" s="664"/>
      <c r="K435" s="21">
        <f t="shared" si="78"/>
        <v>1</v>
      </c>
      <c r="L435" s="664"/>
      <c r="M435" s="21">
        <f t="shared" si="79"/>
        <v>1</v>
      </c>
      <c r="N435" s="664"/>
      <c r="O435" s="21">
        <f t="shared" si="80"/>
        <v>1</v>
      </c>
      <c r="P435" s="664"/>
      <c r="Q435" s="21">
        <f t="shared" si="81"/>
        <v>1</v>
      </c>
      <c r="R435" s="660">
        <f t="shared" si="82"/>
        <v>0</v>
      </c>
      <c r="S435" s="313">
        <f t="shared" si="83"/>
        <v>0</v>
      </c>
    </row>
    <row r="436" spans="1:19">
      <c r="A436" s="147"/>
      <c r="B436" s="54"/>
      <c r="C436" s="21">
        <f t="shared" si="74"/>
        <v>1</v>
      </c>
      <c r="D436" s="664"/>
      <c r="E436" s="21">
        <f t="shared" si="75"/>
        <v>1</v>
      </c>
      <c r="F436" s="664"/>
      <c r="G436" s="21">
        <f t="shared" si="76"/>
        <v>1</v>
      </c>
      <c r="H436" s="664"/>
      <c r="I436" s="21">
        <f t="shared" si="77"/>
        <v>1</v>
      </c>
      <c r="J436" s="664"/>
      <c r="K436" s="21">
        <f t="shared" si="78"/>
        <v>1</v>
      </c>
      <c r="L436" s="664"/>
      <c r="M436" s="21">
        <f t="shared" si="79"/>
        <v>1</v>
      </c>
      <c r="N436" s="664"/>
      <c r="O436" s="21">
        <f t="shared" si="80"/>
        <v>1</v>
      </c>
      <c r="P436" s="664"/>
      <c r="Q436" s="21">
        <f t="shared" si="81"/>
        <v>1</v>
      </c>
      <c r="R436" s="660">
        <f t="shared" si="82"/>
        <v>0</v>
      </c>
      <c r="S436" s="313">
        <f t="shared" si="83"/>
        <v>0</v>
      </c>
    </row>
    <row r="437" spans="1:19">
      <c r="A437" s="147"/>
      <c r="B437" s="54"/>
      <c r="C437" s="21">
        <f t="shared" si="74"/>
        <v>1</v>
      </c>
      <c r="D437" s="664"/>
      <c r="E437" s="21">
        <f t="shared" si="75"/>
        <v>1</v>
      </c>
      <c r="F437" s="664"/>
      <c r="G437" s="21">
        <f t="shared" si="76"/>
        <v>1</v>
      </c>
      <c r="H437" s="664"/>
      <c r="I437" s="21">
        <f t="shared" si="77"/>
        <v>1</v>
      </c>
      <c r="J437" s="664"/>
      <c r="K437" s="21">
        <f t="shared" si="78"/>
        <v>1</v>
      </c>
      <c r="L437" s="664"/>
      <c r="M437" s="21">
        <f t="shared" si="79"/>
        <v>1</v>
      </c>
      <c r="N437" s="664"/>
      <c r="O437" s="21">
        <f t="shared" si="80"/>
        <v>1</v>
      </c>
      <c r="P437" s="664"/>
      <c r="Q437" s="21">
        <f t="shared" si="81"/>
        <v>1</v>
      </c>
      <c r="R437" s="660">
        <f t="shared" si="82"/>
        <v>0</v>
      </c>
      <c r="S437" s="313">
        <f t="shared" si="83"/>
        <v>0</v>
      </c>
    </row>
    <row r="438" spans="1:19">
      <c r="A438" s="147"/>
      <c r="B438" s="54"/>
      <c r="C438" s="21">
        <f t="shared" si="74"/>
        <v>1</v>
      </c>
      <c r="D438" s="664"/>
      <c r="E438" s="21">
        <f t="shared" si="75"/>
        <v>1</v>
      </c>
      <c r="F438" s="664"/>
      <c r="G438" s="21">
        <f t="shared" si="76"/>
        <v>1</v>
      </c>
      <c r="H438" s="664"/>
      <c r="I438" s="21">
        <f t="shared" si="77"/>
        <v>1</v>
      </c>
      <c r="J438" s="664"/>
      <c r="K438" s="21">
        <f t="shared" si="78"/>
        <v>1</v>
      </c>
      <c r="L438" s="664"/>
      <c r="M438" s="21">
        <f t="shared" si="79"/>
        <v>1</v>
      </c>
      <c r="N438" s="664"/>
      <c r="O438" s="21">
        <f t="shared" si="80"/>
        <v>1</v>
      </c>
      <c r="P438" s="664"/>
      <c r="Q438" s="21">
        <f t="shared" si="81"/>
        <v>1</v>
      </c>
      <c r="R438" s="660">
        <f t="shared" si="82"/>
        <v>0</v>
      </c>
      <c r="S438" s="313">
        <f t="shared" si="83"/>
        <v>0</v>
      </c>
    </row>
    <row r="439" spans="1:19">
      <c r="A439" s="147"/>
      <c r="B439" s="54"/>
      <c r="C439" s="21">
        <f t="shared" si="74"/>
        <v>1</v>
      </c>
      <c r="D439" s="664"/>
      <c r="E439" s="21">
        <f t="shared" si="75"/>
        <v>1</v>
      </c>
      <c r="F439" s="664"/>
      <c r="G439" s="21">
        <f t="shared" si="76"/>
        <v>1</v>
      </c>
      <c r="H439" s="664"/>
      <c r="I439" s="21">
        <f t="shared" si="77"/>
        <v>1</v>
      </c>
      <c r="J439" s="664"/>
      <c r="K439" s="21">
        <f t="shared" si="78"/>
        <v>1</v>
      </c>
      <c r="L439" s="664"/>
      <c r="M439" s="21">
        <f t="shared" si="79"/>
        <v>1</v>
      </c>
      <c r="N439" s="664"/>
      <c r="O439" s="21">
        <f t="shared" si="80"/>
        <v>1</v>
      </c>
      <c r="P439" s="664"/>
      <c r="Q439" s="21">
        <f t="shared" si="81"/>
        <v>1</v>
      </c>
      <c r="R439" s="660">
        <f t="shared" si="82"/>
        <v>0</v>
      </c>
      <c r="S439" s="313">
        <f t="shared" si="83"/>
        <v>0</v>
      </c>
    </row>
    <row r="440" spans="1:19">
      <c r="A440" s="147"/>
      <c r="B440" s="54"/>
      <c r="C440" s="21">
        <f t="shared" si="74"/>
        <v>1</v>
      </c>
      <c r="D440" s="664"/>
      <c r="E440" s="21">
        <f t="shared" si="75"/>
        <v>1</v>
      </c>
      <c r="F440" s="664"/>
      <c r="G440" s="21">
        <f t="shared" si="76"/>
        <v>1</v>
      </c>
      <c r="H440" s="664"/>
      <c r="I440" s="21">
        <f t="shared" si="77"/>
        <v>1</v>
      </c>
      <c r="J440" s="664"/>
      <c r="K440" s="21">
        <f t="shared" si="78"/>
        <v>1</v>
      </c>
      <c r="L440" s="664"/>
      <c r="M440" s="21">
        <f t="shared" si="79"/>
        <v>1</v>
      </c>
      <c r="N440" s="664"/>
      <c r="O440" s="21">
        <f t="shared" si="80"/>
        <v>1</v>
      </c>
      <c r="P440" s="664"/>
      <c r="Q440" s="21">
        <f t="shared" si="81"/>
        <v>1</v>
      </c>
      <c r="R440" s="660">
        <f t="shared" si="82"/>
        <v>0</v>
      </c>
      <c r="S440" s="313">
        <f t="shared" si="83"/>
        <v>0</v>
      </c>
    </row>
    <row r="441" spans="1:19">
      <c r="A441" s="147"/>
      <c r="B441" s="54"/>
      <c r="C441" s="21">
        <f t="shared" si="74"/>
        <v>1</v>
      </c>
      <c r="D441" s="664"/>
      <c r="E441" s="21">
        <f t="shared" si="75"/>
        <v>1</v>
      </c>
      <c r="F441" s="664"/>
      <c r="G441" s="21">
        <f t="shared" si="76"/>
        <v>1</v>
      </c>
      <c r="H441" s="664"/>
      <c r="I441" s="21">
        <f t="shared" si="77"/>
        <v>1</v>
      </c>
      <c r="J441" s="664"/>
      <c r="K441" s="21">
        <f t="shared" si="78"/>
        <v>1</v>
      </c>
      <c r="L441" s="664"/>
      <c r="M441" s="21">
        <f t="shared" si="79"/>
        <v>1</v>
      </c>
      <c r="N441" s="664"/>
      <c r="O441" s="21">
        <f t="shared" si="80"/>
        <v>1</v>
      </c>
      <c r="P441" s="664"/>
      <c r="Q441" s="21">
        <f t="shared" si="81"/>
        <v>1</v>
      </c>
      <c r="R441" s="660">
        <f t="shared" si="82"/>
        <v>0</v>
      </c>
      <c r="S441" s="313">
        <f t="shared" si="83"/>
        <v>0</v>
      </c>
    </row>
    <row r="442" spans="1:19">
      <c r="A442" s="147"/>
      <c r="B442" s="54"/>
      <c r="C442" s="21">
        <f t="shared" si="74"/>
        <v>1</v>
      </c>
      <c r="D442" s="664"/>
      <c r="E442" s="21">
        <f t="shared" si="75"/>
        <v>1</v>
      </c>
      <c r="F442" s="664"/>
      <c r="G442" s="21">
        <f t="shared" si="76"/>
        <v>1</v>
      </c>
      <c r="H442" s="664"/>
      <c r="I442" s="21">
        <f t="shared" si="77"/>
        <v>1</v>
      </c>
      <c r="J442" s="664"/>
      <c r="K442" s="21">
        <f t="shared" si="78"/>
        <v>1</v>
      </c>
      <c r="L442" s="664"/>
      <c r="M442" s="21">
        <f t="shared" si="79"/>
        <v>1</v>
      </c>
      <c r="N442" s="664"/>
      <c r="O442" s="21">
        <f t="shared" si="80"/>
        <v>1</v>
      </c>
      <c r="P442" s="664"/>
      <c r="Q442" s="21">
        <f t="shared" si="81"/>
        <v>1</v>
      </c>
      <c r="R442" s="660">
        <f t="shared" si="82"/>
        <v>0</v>
      </c>
      <c r="S442" s="313">
        <f t="shared" si="83"/>
        <v>0</v>
      </c>
    </row>
    <row r="443" spans="1:19">
      <c r="A443" s="147"/>
      <c r="B443" s="54"/>
      <c r="C443" s="21">
        <f t="shared" si="74"/>
        <v>1</v>
      </c>
      <c r="D443" s="664"/>
      <c r="E443" s="21">
        <f t="shared" si="75"/>
        <v>1</v>
      </c>
      <c r="F443" s="664"/>
      <c r="G443" s="21">
        <f t="shared" si="76"/>
        <v>1</v>
      </c>
      <c r="H443" s="664"/>
      <c r="I443" s="21">
        <f t="shared" si="77"/>
        <v>1</v>
      </c>
      <c r="J443" s="664"/>
      <c r="K443" s="21">
        <f t="shared" si="78"/>
        <v>1</v>
      </c>
      <c r="L443" s="664"/>
      <c r="M443" s="21">
        <f t="shared" si="79"/>
        <v>1</v>
      </c>
      <c r="N443" s="664"/>
      <c r="O443" s="21">
        <f t="shared" si="80"/>
        <v>1</v>
      </c>
      <c r="P443" s="664"/>
      <c r="Q443" s="21">
        <f t="shared" si="81"/>
        <v>1</v>
      </c>
      <c r="R443" s="660">
        <f t="shared" si="82"/>
        <v>0</v>
      </c>
      <c r="S443" s="313">
        <f t="shared" si="83"/>
        <v>0</v>
      </c>
    </row>
    <row r="444" spans="1:19">
      <c r="A444" s="147"/>
      <c r="B444" s="54"/>
      <c r="C444" s="21">
        <f t="shared" si="74"/>
        <v>1</v>
      </c>
      <c r="D444" s="664"/>
      <c r="E444" s="21">
        <f t="shared" si="75"/>
        <v>1</v>
      </c>
      <c r="F444" s="664"/>
      <c r="G444" s="21">
        <f t="shared" si="76"/>
        <v>1</v>
      </c>
      <c r="H444" s="664"/>
      <c r="I444" s="21">
        <f t="shared" si="77"/>
        <v>1</v>
      </c>
      <c r="J444" s="664"/>
      <c r="K444" s="21">
        <f t="shared" si="78"/>
        <v>1</v>
      </c>
      <c r="L444" s="664"/>
      <c r="M444" s="21">
        <f t="shared" si="79"/>
        <v>1</v>
      </c>
      <c r="N444" s="664"/>
      <c r="O444" s="21">
        <f t="shared" si="80"/>
        <v>1</v>
      </c>
      <c r="P444" s="664"/>
      <c r="Q444" s="21">
        <f t="shared" si="81"/>
        <v>1</v>
      </c>
      <c r="R444" s="660">
        <f t="shared" si="82"/>
        <v>0</v>
      </c>
      <c r="S444" s="313">
        <f t="shared" si="83"/>
        <v>0</v>
      </c>
    </row>
    <row r="445" spans="1:19">
      <c r="A445" s="147"/>
      <c r="B445" s="54"/>
      <c r="C445" s="21">
        <f t="shared" si="74"/>
        <v>1</v>
      </c>
      <c r="D445" s="664"/>
      <c r="E445" s="21">
        <f t="shared" si="75"/>
        <v>1</v>
      </c>
      <c r="F445" s="664"/>
      <c r="G445" s="21">
        <f t="shared" si="76"/>
        <v>1</v>
      </c>
      <c r="H445" s="664"/>
      <c r="I445" s="21">
        <f t="shared" si="77"/>
        <v>1</v>
      </c>
      <c r="J445" s="664"/>
      <c r="K445" s="21">
        <f t="shared" si="78"/>
        <v>1</v>
      </c>
      <c r="L445" s="664"/>
      <c r="M445" s="21">
        <f t="shared" si="79"/>
        <v>1</v>
      </c>
      <c r="N445" s="664"/>
      <c r="O445" s="21">
        <f t="shared" si="80"/>
        <v>1</v>
      </c>
      <c r="P445" s="664"/>
      <c r="Q445" s="21">
        <f t="shared" si="81"/>
        <v>1</v>
      </c>
      <c r="R445" s="660">
        <f t="shared" si="82"/>
        <v>0</v>
      </c>
      <c r="S445" s="313">
        <f t="shared" si="83"/>
        <v>0</v>
      </c>
    </row>
    <row r="446" spans="1:19">
      <c r="A446" s="147"/>
      <c r="B446" s="54"/>
      <c r="C446" s="21">
        <f t="shared" si="74"/>
        <v>1</v>
      </c>
      <c r="D446" s="664"/>
      <c r="E446" s="21">
        <f t="shared" si="75"/>
        <v>1</v>
      </c>
      <c r="F446" s="664"/>
      <c r="G446" s="21">
        <f t="shared" si="76"/>
        <v>1</v>
      </c>
      <c r="H446" s="664"/>
      <c r="I446" s="21">
        <f t="shared" si="77"/>
        <v>1</v>
      </c>
      <c r="J446" s="664"/>
      <c r="K446" s="21">
        <f t="shared" si="78"/>
        <v>1</v>
      </c>
      <c r="L446" s="664"/>
      <c r="M446" s="21">
        <f t="shared" si="79"/>
        <v>1</v>
      </c>
      <c r="N446" s="664"/>
      <c r="O446" s="21">
        <f t="shared" si="80"/>
        <v>1</v>
      </c>
      <c r="P446" s="664"/>
      <c r="Q446" s="21">
        <f t="shared" si="81"/>
        <v>1</v>
      </c>
      <c r="R446" s="660">
        <f t="shared" si="82"/>
        <v>0</v>
      </c>
      <c r="S446" s="313">
        <f t="shared" si="83"/>
        <v>0</v>
      </c>
    </row>
    <row r="447" spans="1:19">
      <c r="A447" s="147"/>
      <c r="B447" s="54"/>
      <c r="C447" s="21">
        <f t="shared" si="74"/>
        <v>1</v>
      </c>
      <c r="D447" s="664"/>
      <c r="E447" s="21">
        <f t="shared" si="75"/>
        <v>1</v>
      </c>
      <c r="F447" s="664"/>
      <c r="G447" s="21">
        <f t="shared" si="76"/>
        <v>1</v>
      </c>
      <c r="H447" s="664"/>
      <c r="I447" s="21">
        <f t="shared" si="77"/>
        <v>1</v>
      </c>
      <c r="J447" s="664"/>
      <c r="K447" s="21">
        <f t="shared" si="78"/>
        <v>1</v>
      </c>
      <c r="L447" s="664"/>
      <c r="M447" s="21">
        <f t="shared" si="79"/>
        <v>1</v>
      </c>
      <c r="N447" s="664"/>
      <c r="O447" s="21">
        <f t="shared" si="80"/>
        <v>1</v>
      </c>
      <c r="P447" s="664"/>
      <c r="Q447" s="21">
        <f t="shared" si="81"/>
        <v>1</v>
      </c>
      <c r="R447" s="660">
        <f t="shared" si="82"/>
        <v>0</v>
      </c>
      <c r="S447" s="313">
        <f t="shared" si="83"/>
        <v>0</v>
      </c>
    </row>
    <row r="448" spans="1:19">
      <c r="A448" s="147"/>
      <c r="B448" s="54"/>
      <c r="C448" s="21">
        <f t="shared" si="74"/>
        <v>1</v>
      </c>
      <c r="D448" s="664"/>
      <c r="E448" s="21">
        <f t="shared" si="75"/>
        <v>1</v>
      </c>
      <c r="F448" s="664"/>
      <c r="G448" s="21">
        <f t="shared" si="76"/>
        <v>1</v>
      </c>
      <c r="H448" s="664"/>
      <c r="I448" s="21">
        <f t="shared" si="77"/>
        <v>1</v>
      </c>
      <c r="J448" s="664"/>
      <c r="K448" s="21">
        <f t="shared" si="78"/>
        <v>1</v>
      </c>
      <c r="L448" s="664"/>
      <c r="M448" s="21">
        <f t="shared" si="79"/>
        <v>1</v>
      </c>
      <c r="N448" s="664"/>
      <c r="O448" s="21">
        <f t="shared" si="80"/>
        <v>1</v>
      </c>
      <c r="P448" s="664"/>
      <c r="Q448" s="21">
        <f t="shared" si="81"/>
        <v>1</v>
      </c>
      <c r="R448" s="660">
        <f t="shared" si="82"/>
        <v>0</v>
      </c>
      <c r="S448" s="313">
        <f t="shared" si="83"/>
        <v>0</v>
      </c>
    </row>
    <row r="449" spans="1:19">
      <c r="A449" s="147"/>
      <c r="B449" s="54"/>
      <c r="C449" s="21">
        <f t="shared" si="74"/>
        <v>1</v>
      </c>
      <c r="D449" s="664"/>
      <c r="E449" s="21">
        <f t="shared" si="75"/>
        <v>1</v>
      </c>
      <c r="F449" s="664"/>
      <c r="G449" s="21">
        <f t="shared" si="76"/>
        <v>1</v>
      </c>
      <c r="H449" s="664"/>
      <c r="I449" s="21">
        <f t="shared" si="77"/>
        <v>1</v>
      </c>
      <c r="J449" s="664"/>
      <c r="K449" s="21">
        <f t="shared" si="78"/>
        <v>1</v>
      </c>
      <c r="L449" s="664"/>
      <c r="M449" s="21">
        <f t="shared" si="79"/>
        <v>1</v>
      </c>
      <c r="N449" s="664"/>
      <c r="O449" s="21">
        <f t="shared" si="80"/>
        <v>1</v>
      </c>
      <c r="P449" s="664"/>
      <c r="Q449" s="21">
        <f t="shared" si="81"/>
        <v>1</v>
      </c>
      <c r="R449" s="660">
        <f t="shared" si="82"/>
        <v>0</v>
      </c>
      <c r="S449" s="313">
        <f t="shared" si="83"/>
        <v>0</v>
      </c>
    </row>
    <row r="450" spans="1:19">
      <c r="A450" s="147"/>
      <c r="B450" s="54"/>
      <c r="C450" s="21">
        <f t="shared" si="74"/>
        <v>1</v>
      </c>
      <c r="D450" s="664"/>
      <c r="E450" s="21">
        <f t="shared" si="75"/>
        <v>1</v>
      </c>
      <c r="F450" s="664"/>
      <c r="G450" s="21">
        <f t="shared" si="76"/>
        <v>1</v>
      </c>
      <c r="H450" s="664"/>
      <c r="I450" s="21">
        <f t="shared" si="77"/>
        <v>1</v>
      </c>
      <c r="J450" s="664"/>
      <c r="K450" s="21">
        <f t="shared" si="78"/>
        <v>1</v>
      </c>
      <c r="L450" s="664"/>
      <c r="M450" s="21">
        <f t="shared" si="79"/>
        <v>1</v>
      </c>
      <c r="N450" s="664"/>
      <c r="O450" s="21">
        <f t="shared" si="80"/>
        <v>1</v>
      </c>
      <c r="P450" s="664"/>
      <c r="Q450" s="21">
        <f t="shared" si="81"/>
        <v>1</v>
      </c>
      <c r="R450" s="660">
        <f t="shared" si="82"/>
        <v>0</v>
      </c>
      <c r="S450" s="313">
        <f t="shared" si="83"/>
        <v>0</v>
      </c>
    </row>
    <row r="451" spans="1:19">
      <c r="A451" s="147"/>
      <c r="B451" s="54"/>
      <c r="C451" s="21">
        <f t="shared" si="74"/>
        <v>1</v>
      </c>
      <c r="D451" s="664"/>
      <c r="E451" s="21">
        <f t="shared" si="75"/>
        <v>1</v>
      </c>
      <c r="F451" s="664"/>
      <c r="G451" s="21">
        <f t="shared" si="76"/>
        <v>1</v>
      </c>
      <c r="H451" s="664"/>
      <c r="I451" s="21">
        <f t="shared" si="77"/>
        <v>1</v>
      </c>
      <c r="J451" s="664"/>
      <c r="K451" s="21">
        <f t="shared" si="78"/>
        <v>1</v>
      </c>
      <c r="L451" s="664"/>
      <c r="M451" s="21">
        <f t="shared" si="79"/>
        <v>1</v>
      </c>
      <c r="N451" s="664"/>
      <c r="O451" s="21">
        <f t="shared" si="80"/>
        <v>1</v>
      </c>
      <c r="P451" s="664"/>
      <c r="Q451" s="21">
        <f t="shared" si="81"/>
        <v>1</v>
      </c>
      <c r="R451" s="660">
        <f t="shared" si="82"/>
        <v>0</v>
      </c>
      <c r="S451" s="313">
        <f t="shared" si="83"/>
        <v>0</v>
      </c>
    </row>
    <row r="452" spans="1:19">
      <c r="A452" s="147"/>
      <c r="B452" s="54"/>
      <c r="C452" s="21">
        <f t="shared" si="74"/>
        <v>1</v>
      </c>
      <c r="D452" s="664"/>
      <c r="E452" s="21">
        <f t="shared" si="75"/>
        <v>1</v>
      </c>
      <c r="F452" s="664"/>
      <c r="G452" s="21">
        <f t="shared" si="76"/>
        <v>1</v>
      </c>
      <c r="H452" s="664"/>
      <c r="I452" s="21">
        <f t="shared" si="77"/>
        <v>1</v>
      </c>
      <c r="J452" s="664"/>
      <c r="K452" s="21">
        <f t="shared" si="78"/>
        <v>1</v>
      </c>
      <c r="L452" s="664"/>
      <c r="M452" s="21">
        <f t="shared" si="79"/>
        <v>1</v>
      </c>
      <c r="N452" s="664"/>
      <c r="O452" s="21">
        <f t="shared" si="80"/>
        <v>1</v>
      </c>
      <c r="P452" s="664"/>
      <c r="Q452" s="21">
        <f t="shared" si="81"/>
        <v>1</v>
      </c>
      <c r="R452" s="660">
        <f t="shared" si="82"/>
        <v>0</v>
      </c>
      <c r="S452" s="313">
        <f t="shared" si="83"/>
        <v>0</v>
      </c>
    </row>
    <row r="453" spans="1:19">
      <c r="A453" s="147"/>
      <c r="B453" s="54"/>
      <c r="C453" s="21">
        <f t="shared" si="74"/>
        <v>1</v>
      </c>
      <c r="D453" s="664"/>
      <c r="E453" s="21">
        <f t="shared" si="75"/>
        <v>1</v>
      </c>
      <c r="F453" s="664"/>
      <c r="G453" s="21">
        <f t="shared" si="76"/>
        <v>1</v>
      </c>
      <c r="H453" s="664"/>
      <c r="I453" s="21">
        <f t="shared" si="77"/>
        <v>1</v>
      </c>
      <c r="J453" s="664"/>
      <c r="K453" s="21">
        <f t="shared" si="78"/>
        <v>1</v>
      </c>
      <c r="L453" s="664"/>
      <c r="M453" s="21">
        <f t="shared" si="79"/>
        <v>1</v>
      </c>
      <c r="N453" s="664"/>
      <c r="O453" s="21">
        <f t="shared" si="80"/>
        <v>1</v>
      </c>
      <c r="P453" s="664"/>
      <c r="Q453" s="21">
        <f t="shared" si="81"/>
        <v>1</v>
      </c>
      <c r="R453" s="660">
        <f t="shared" si="82"/>
        <v>0</v>
      </c>
      <c r="S453" s="313">
        <f t="shared" si="83"/>
        <v>0</v>
      </c>
    </row>
    <row r="454" spans="1:19">
      <c r="A454" s="147"/>
      <c r="B454" s="54"/>
      <c r="C454" s="21">
        <f t="shared" si="74"/>
        <v>1</v>
      </c>
      <c r="D454" s="664"/>
      <c r="E454" s="21">
        <f t="shared" si="75"/>
        <v>1</v>
      </c>
      <c r="F454" s="664"/>
      <c r="G454" s="21">
        <f t="shared" si="76"/>
        <v>1</v>
      </c>
      <c r="H454" s="664"/>
      <c r="I454" s="21">
        <f t="shared" si="77"/>
        <v>1</v>
      </c>
      <c r="J454" s="664"/>
      <c r="K454" s="21">
        <f t="shared" si="78"/>
        <v>1</v>
      </c>
      <c r="L454" s="664"/>
      <c r="M454" s="21">
        <f t="shared" si="79"/>
        <v>1</v>
      </c>
      <c r="N454" s="664"/>
      <c r="O454" s="21">
        <f t="shared" si="80"/>
        <v>1</v>
      </c>
      <c r="P454" s="664"/>
      <c r="Q454" s="21">
        <f t="shared" si="81"/>
        <v>1</v>
      </c>
      <c r="R454" s="660">
        <f t="shared" si="82"/>
        <v>0</v>
      </c>
      <c r="S454" s="313">
        <f t="shared" si="83"/>
        <v>0</v>
      </c>
    </row>
    <row r="455" spans="1:19">
      <c r="A455" s="147"/>
      <c r="B455" s="54"/>
      <c r="C455" s="21">
        <f t="shared" si="74"/>
        <v>1</v>
      </c>
      <c r="D455" s="664"/>
      <c r="E455" s="21">
        <f t="shared" si="75"/>
        <v>1</v>
      </c>
      <c r="F455" s="664"/>
      <c r="G455" s="21">
        <f t="shared" si="76"/>
        <v>1</v>
      </c>
      <c r="H455" s="664"/>
      <c r="I455" s="21">
        <f t="shared" si="77"/>
        <v>1</v>
      </c>
      <c r="J455" s="664"/>
      <c r="K455" s="21">
        <f t="shared" si="78"/>
        <v>1</v>
      </c>
      <c r="L455" s="664"/>
      <c r="M455" s="21">
        <f t="shared" si="79"/>
        <v>1</v>
      </c>
      <c r="N455" s="664"/>
      <c r="O455" s="21">
        <f t="shared" si="80"/>
        <v>1</v>
      </c>
      <c r="P455" s="664"/>
      <c r="Q455" s="21">
        <f t="shared" si="81"/>
        <v>1</v>
      </c>
      <c r="R455" s="660">
        <f t="shared" si="82"/>
        <v>0</v>
      </c>
      <c r="S455" s="313">
        <f t="shared" si="83"/>
        <v>0</v>
      </c>
    </row>
    <row r="456" spans="1:19">
      <c r="A456" s="147"/>
      <c r="B456" s="54"/>
      <c r="C456" s="21">
        <f t="shared" si="74"/>
        <v>1</v>
      </c>
      <c r="D456" s="664"/>
      <c r="E456" s="21">
        <f t="shared" si="75"/>
        <v>1</v>
      </c>
      <c r="F456" s="664"/>
      <c r="G456" s="21">
        <f t="shared" si="76"/>
        <v>1</v>
      </c>
      <c r="H456" s="664"/>
      <c r="I456" s="21">
        <f t="shared" si="77"/>
        <v>1</v>
      </c>
      <c r="J456" s="664"/>
      <c r="K456" s="21">
        <f t="shared" si="78"/>
        <v>1</v>
      </c>
      <c r="L456" s="664"/>
      <c r="M456" s="21">
        <f t="shared" si="79"/>
        <v>1</v>
      </c>
      <c r="N456" s="664"/>
      <c r="O456" s="21">
        <f t="shared" si="80"/>
        <v>1</v>
      </c>
      <c r="P456" s="664"/>
      <c r="Q456" s="21">
        <f t="shared" si="81"/>
        <v>1</v>
      </c>
      <c r="R456" s="660">
        <f t="shared" si="82"/>
        <v>0</v>
      </c>
      <c r="S456" s="313">
        <f t="shared" si="83"/>
        <v>0</v>
      </c>
    </row>
    <row r="457" spans="1:19">
      <c r="A457" s="147"/>
      <c r="B457" s="54"/>
      <c r="C457" s="21">
        <f t="shared" si="74"/>
        <v>1</v>
      </c>
      <c r="D457" s="664"/>
      <c r="E457" s="21">
        <f t="shared" si="75"/>
        <v>1</v>
      </c>
      <c r="F457" s="664"/>
      <c r="G457" s="21">
        <f t="shared" si="76"/>
        <v>1</v>
      </c>
      <c r="H457" s="664"/>
      <c r="I457" s="21">
        <f t="shared" si="77"/>
        <v>1</v>
      </c>
      <c r="J457" s="664"/>
      <c r="K457" s="21">
        <f t="shared" si="78"/>
        <v>1</v>
      </c>
      <c r="L457" s="664"/>
      <c r="M457" s="21">
        <f t="shared" si="79"/>
        <v>1</v>
      </c>
      <c r="N457" s="664"/>
      <c r="O457" s="21">
        <f t="shared" si="80"/>
        <v>1</v>
      </c>
      <c r="P457" s="664"/>
      <c r="Q457" s="21">
        <f t="shared" si="81"/>
        <v>1</v>
      </c>
      <c r="R457" s="660">
        <f t="shared" si="82"/>
        <v>0</v>
      </c>
      <c r="S457" s="313">
        <f t="shared" si="83"/>
        <v>0</v>
      </c>
    </row>
    <row r="458" spans="1:19">
      <c r="A458" s="147"/>
      <c r="B458" s="54"/>
      <c r="C458" s="21">
        <f t="shared" si="74"/>
        <v>1</v>
      </c>
      <c r="D458" s="664"/>
      <c r="E458" s="21">
        <f t="shared" si="75"/>
        <v>1</v>
      </c>
      <c r="F458" s="664"/>
      <c r="G458" s="21">
        <f t="shared" si="76"/>
        <v>1</v>
      </c>
      <c r="H458" s="664"/>
      <c r="I458" s="21">
        <f t="shared" si="77"/>
        <v>1</v>
      </c>
      <c r="J458" s="664"/>
      <c r="K458" s="21">
        <f t="shared" si="78"/>
        <v>1</v>
      </c>
      <c r="L458" s="664"/>
      <c r="M458" s="21">
        <f t="shared" si="79"/>
        <v>1</v>
      </c>
      <c r="N458" s="664"/>
      <c r="O458" s="21">
        <f t="shared" si="80"/>
        <v>1</v>
      </c>
      <c r="P458" s="664"/>
      <c r="Q458" s="21">
        <f t="shared" si="81"/>
        <v>1</v>
      </c>
      <c r="R458" s="660">
        <f t="shared" si="82"/>
        <v>0</v>
      </c>
      <c r="S458" s="313">
        <f t="shared" si="83"/>
        <v>0</v>
      </c>
    </row>
    <row r="459" spans="1:19">
      <c r="A459" s="147"/>
      <c r="B459" s="54"/>
      <c r="C459" s="21">
        <f t="shared" si="74"/>
        <v>1</v>
      </c>
      <c r="D459" s="664"/>
      <c r="E459" s="21">
        <f t="shared" si="75"/>
        <v>1</v>
      </c>
      <c r="F459" s="664"/>
      <c r="G459" s="21">
        <f t="shared" si="76"/>
        <v>1</v>
      </c>
      <c r="H459" s="664"/>
      <c r="I459" s="21">
        <f t="shared" si="77"/>
        <v>1</v>
      </c>
      <c r="J459" s="664"/>
      <c r="K459" s="21">
        <f t="shared" si="78"/>
        <v>1</v>
      </c>
      <c r="L459" s="664"/>
      <c r="M459" s="21">
        <f t="shared" si="79"/>
        <v>1</v>
      </c>
      <c r="N459" s="664"/>
      <c r="O459" s="21">
        <f t="shared" si="80"/>
        <v>1</v>
      </c>
      <c r="P459" s="664"/>
      <c r="Q459" s="21">
        <f t="shared" si="81"/>
        <v>1</v>
      </c>
      <c r="R459" s="660">
        <f t="shared" si="82"/>
        <v>0</v>
      </c>
      <c r="S459" s="313">
        <f t="shared" si="83"/>
        <v>0</v>
      </c>
    </row>
    <row r="460" spans="1:19">
      <c r="A460" s="147"/>
      <c r="B460" s="54"/>
      <c r="C460" s="21">
        <f t="shared" si="74"/>
        <v>1</v>
      </c>
      <c r="D460" s="664"/>
      <c r="E460" s="21">
        <f t="shared" si="75"/>
        <v>1</v>
      </c>
      <c r="F460" s="664"/>
      <c r="G460" s="21">
        <f t="shared" si="76"/>
        <v>1</v>
      </c>
      <c r="H460" s="664"/>
      <c r="I460" s="21">
        <f t="shared" si="77"/>
        <v>1</v>
      </c>
      <c r="J460" s="664"/>
      <c r="K460" s="21">
        <f t="shared" si="78"/>
        <v>1</v>
      </c>
      <c r="L460" s="664"/>
      <c r="M460" s="21">
        <f t="shared" si="79"/>
        <v>1</v>
      </c>
      <c r="N460" s="664"/>
      <c r="O460" s="21">
        <f t="shared" si="80"/>
        <v>1</v>
      </c>
      <c r="P460" s="664"/>
      <c r="Q460" s="21">
        <f t="shared" si="81"/>
        <v>1</v>
      </c>
      <c r="R460" s="660">
        <f t="shared" si="82"/>
        <v>0</v>
      </c>
      <c r="S460" s="313">
        <f t="shared" si="83"/>
        <v>0</v>
      </c>
    </row>
    <row r="461" spans="1:19">
      <c r="A461" s="147"/>
      <c r="B461" s="54"/>
      <c r="C461" s="21">
        <f t="shared" si="74"/>
        <v>1</v>
      </c>
      <c r="D461" s="664"/>
      <c r="E461" s="21">
        <f t="shared" si="75"/>
        <v>1</v>
      </c>
      <c r="F461" s="664"/>
      <c r="G461" s="21">
        <f t="shared" si="76"/>
        <v>1</v>
      </c>
      <c r="H461" s="664"/>
      <c r="I461" s="21">
        <f t="shared" si="77"/>
        <v>1</v>
      </c>
      <c r="J461" s="664"/>
      <c r="K461" s="21">
        <f t="shared" si="78"/>
        <v>1</v>
      </c>
      <c r="L461" s="664"/>
      <c r="M461" s="21">
        <f t="shared" si="79"/>
        <v>1</v>
      </c>
      <c r="N461" s="664"/>
      <c r="O461" s="21">
        <f t="shared" si="80"/>
        <v>1</v>
      </c>
      <c r="P461" s="664"/>
      <c r="Q461" s="21">
        <f t="shared" si="81"/>
        <v>1</v>
      </c>
      <c r="R461" s="660">
        <f t="shared" si="82"/>
        <v>0</v>
      </c>
      <c r="S461" s="313">
        <f t="shared" si="83"/>
        <v>0</v>
      </c>
    </row>
    <row r="462" spans="1:19">
      <c r="A462" s="147"/>
      <c r="B462" s="54"/>
      <c r="C462" s="21">
        <f t="shared" si="74"/>
        <v>1</v>
      </c>
      <c r="D462" s="664"/>
      <c r="E462" s="21">
        <f t="shared" si="75"/>
        <v>1</v>
      </c>
      <c r="F462" s="664"/>
      <c r="G462" s="21">
        <f t="shared" si="76"/>
        <v>1</v>
      </c>
      <c r="H462" s="664"/>
      <c r="I462" s="21">
        <f t="shared" si="77"/>
        <v>1</v>
      </c>
      <c r="J462" s="664"/>
      <c r="K462" s="21">
        <f t="shared" si="78"/>
        <v>1</v>
      </c>
      <c r="L462" s="664"/>
      <c r="M462" s="21">
        <f t="shared" si="79"/>
        <v>1</v>
      </c>
      <c r="N462" s="664"/>
      <c r="O462" s="21">
        <f t="shared" si="80"/>
        <v>1</v>
      </c>
      <c r="P462" s="664"/>
      <c r="Q462" s="21">
        <f t="shared" si="81"/>
        <v>1</v>
      </c>
      <c r="R462" s="660">
        <f t="shared" si="82"/>
        <v>0</v>
      </c>
      <c r="S462" s="313">
        <f t="shared" si="83"/>
        <v>0</v>
      </c>
    </row>
    <row r="463" spans="1:19">
      <c r="A463" s="147"/>
      <c r="B463" s="54"/>
      <c r="C463" s="21">
        <f t="shared" si="74"/>
        <v>1</v>
      </c>
      <c r="D463" s="664"/>
      <c r="E463" s="21">
        <f t="shared" si="75"/>
        <v>1</v>
      </c>
      <c r="F463" s="664"/>
      <c r="G463" s="21">
        <f t="shared" si="76"/>
        <v>1</v>
      </c>
      <c r="H463" s="664"/>
      <c r="I463" s="21">
        <f t="shared" si="77"/>
        <v>1</v>
      </c>
      <c r="J463" s="664"/>
      <c r="K463" s="21">
        <f t="shared" si="78"/>
        <v>1</v>
      </c>
      <c r="L463" s="664"/>
      <c r="M463" s="21">
        <f t="shared" si="79"/>
        <v>1</v>
      </c>
      <c r="N463" s="664"/>
      <c r="O463" s="21">
        <f t="shared" si="80"/>
        <v>1</v>
      </c>
      <c r="P463" s="664"/>
      <c r="Q463" s="21">
        <f t="shared" si="81"/>
        <v>1</v>
      </c>
      <c r="R463" s="660">
        <f t="shared" si="82"/>
        <v>0</v>
      </c>
      <c r="S463" s="313">
        <f t="shared" si="83"/>
        <v>0</v>
      </c>
    </row>
    <row r="464" spans="1:19">
      <c r="A464" s="147"/>
      <c r="B464" s="54"/>
      <c r="C464" s="21">
        <f t="shared" si="74"/>
        <v>1</v>
      </c>
      <c r="D464" s="664"/>
      <c r="E464" s="21">
        <f t="shared" si="75"/>
        <v>1</v>
      </c>
      <c r="F464" s="664"/>
      <c r="G464" s="21">
        <f t="shared" si="76"/>
        <v>1</v>
      </c>
      <c r="H464" s="664"/>
      <c r="I464" s="21">
        <f t="shared" si="77"/>
        <v>1</v>
      </c>
      <c r="J464" s="664"/>
      <c r="K464" s="21">
        <f t="shared" si="78"/>
        <v>1</v>
      </c>
      <c r="L464" s="664"/>
      <c r="M464" s="21">
        <f t="shared" si="79"/>
        <v>1</v>
      </c>
      <c r="N464" s="664"/>
      <c r="O464" s="21">
        <f t="shared" si="80"/>
        <v>1</v>
      </c>
      <c r="P464" s="664"/>
      <c r="Q464" s="21">
        <f t="shared" si="81"/>
        <v>1</v>
      </c>
      <c r="R464" s="660">
        <f t="shared" si="82"/>
        <v>0</v>
      </c>
      <c r="S464" s="313">
        <f t="shared" si="83"/>
        <v>0</v>
      </c>
    </row>
    <row r="465" spans="1:19">
      <c r="A465" s="147"/>
      <c r="B465" s="54"/>
      <c r="C465" s="21">
        <f t="shared" si="74"/>
        <v>1</v>
      </c>
      <c r="D465" s="664"/>
      <c r="E465" s="21">
        <f t="shared" si="75"/>
        <v>1</v>
      </c>
      <c r="F465" s="664"/>
      <c r="G465" s="21">
        <f t="shared" si="76"/>
        <v>1</v>
      </c>
      <c r="H465" s="664"/>
      <c r="I465" s="21">
        <f t="shared" si="77"/>
        <v>1</v>
      </c>
      <c r="J465" s="664"/>
      <c r="K465" s="21">
        <f t="shared" si="78"/>
        <v>1</v>
      </c>
      <c r="L465" s="664"/>
      <c r="M465" s="21">
        <f t="shared" si="79"/>
        <v>1</v>
      </c>
      <c r="N465" s="664"/>
      <c r="O465" s="21">
        <f t="shared" si="80"/>
        <v>1</v>
      </c>
      <c r="P465" s="664"/>
      <c r="Q465" s="21">
        <f t="shared" si="81"/>
        <v>1</v>
      </c>
      <c r="R465" s="660">
        <f t="shared" si="82"/>
        <v>0</v>
      </c>
      <c r="S465" s="313">
        <f t="shared" si="83"/>
        <v>0</v>
      </c>
    </row>
    <row r="466" spans="1:19">
      <c r="A466" s="147"/>
      <c r="B466" s="54"/>
      <c r="C466" s="21">
        <f t="shared" si="74"/>
        <v>1</v>
      </c>
      <c r="D466" s="664"/>
      <c r="E466" s="21">
        <f t="shared" si="75"/>
        <v>1</v>
      </c>
      <c r="F466" s="664"/>
      <c r="G466" s="21">
        <f t="shared" si="76"/>
        <v>1</v>
      </c>
      <c r="H466" s="664"/>
      <c r="I466" s="21">
        <f t="shared" si="77"/>
        <v>1</v>
      </c>
      <c r="J466" s="664"/>
      <c r="K466" s="21">
        <f t="shared" si="78"/>
        <v>1</v>
      </c>
      <c r="L466" s="664"/>
      <c r="M466" s="21">
        <f t="shared" si="79"/>
        <v>1</v>
      </c>
      <c r="N466" s="664"/>
      <c r="O466" s="21">
        <f t="shared" si="80"/>
        <v>1</v>
      </c>
      <c r="P466" s="664"/>
      <c r="Q466" s="21">
        <f t="shared" si="81"/>
        <v>1</v>
      </c>
      <c r="R466" s="660">
        <f t="shared" si="82"/>
        <v>0</v>
      </c>
      <c r="S466" s="313">
        <f t="shared" si="83"/>
        <v>0</v>
      </c>
    </row>
    <row r="467" spans="1:19">
      <c r="A467" s="147"/>
      <c r="B467" s="54"/>
      <c r="C467" s="21">
        <f t="shared" si="74"/>
        <v>1</v>
      </c>
      <c r="D467" s="664"/>
      <c r="E467" s="21">
        <f t="shared" si="75"/>
        <v>1</v>
      </c>
      <c r="F467" s="664"/>
      <c r="G467" s="21">
        <f t="shared" si="76"/>
        <v>1</v>
      </c>
      <c r="H467" s="664"/>
      <c r="I467" s="21">
        <f t="shared" si="77"/>
        <v>1</v>
      </c>
      <c r="J467" s="664"/>
      <c r="K467" s="21">
        <f t="shared" si="78"/>
        <v>1</v>
      </c>
      <c r="L467" s="664"/>
      <c r="M467" s="21">
        <f t="shared" si="79"/>
        <v>1</v>
      </c>
      <c r="N467" s="664"/>
      <c r="O467" s="21">
        <f t="shared" si="80"/>
        <v>1</v>
      </c>
      <c r="P467" s="664"/>
      <c r="Q467" s="21">
        <f t="shared" si="81"/>
        <v>1</v>
      </c>
      <c r="R467" s="660">
        <f t="shared" si="82"/>
        <v>0</v>
      </c>
      <c r="S467" s="313">
        <f t="shared" si="83"/>
        <v>0</v>
      </c>
    </row>
    <row r="468" spans="1:19">
      <c r="A468" s="147"/>
      <c r="B468" s="54"/>
      <c r="C468" s="21">
        <f t="shared" si="74"/>
        <v>1</v>
      </c>
      <c r="D468" s="664"/>
      <c r="E468" s="21">
        <f t="shared" si="75"/>
        <v>1</v>
      </c>
      <c r="F468" s="664"/>
      <c r="G468" s="21">
        <f t="shared" si="76"/>
        <v>1</v>
      </c>
      <c r="H468" s="664"/>
      <c r="I468" s="21">
        <f t="shared" si="77"/>
        <v>1</v>
      </c>
      <c r="J468" s="664"/>
      <c r="K468" s="21">
        <f t="shared" si="78"/>
        <v>1</v>
      </c>
      <c r="L468" s="664"/>
      <c r="M468" s="21">
        <f t="shared" si="79"/>
        <v>1</v>
      </c>
      <c r="N468" s="664"/>
      <c r="O468" s="21">
        <f t="shared" si="80"/>
        <v>1</v>
      </c>
      <c r="P468" s="664"/>
      <c r="Q468" s="21">
        <f t="shared" si="81"/>
        <v>1</v>
      </c>
      <c r="R468" s="660">
        <f t="shared" si="82"/>
        <v>0</v>
      </c>
      <c r="S468" s="313">
        <f t="shared" ref="S468:S497" si="84">ROUND(R468*B468/10000,0)</f>
        <v>0</v>
      </c>
    </row>
    <row r="469" spans="1:19">
      <c r="A469" s="147"/>
      <c r="B469" s="54"/>
      <c r="C469" s="21">
        <f t="shared" si="74"/>
        <v>1</v>
      </c>
      <c r="D469" s="664"/>
      <c r="E469" s="21">
        <f t="shared" si="75"/>
        <v>1</v>
      </c>
      <c r="F469" s="664"/>
      <c r="G469" s="21">
        <f t="shared" si="76"/>
        <v>1</v>
      </c>
      <c r="H469" s="664"/>
      <c r="I469" s="21">
        <f t="shared" si="77"/>
        <v>1</v>
      </c>
      <c r="J469" s="664"/>
      <c r="K469" s="21">
        <f t="shared" si="78"/>
        <v>1</v>
      </c>
      <c r="L469" s="664"/>
      <c r="M469" s="21">
        <f t="shared" si="79"/>
        <v>1</v>
      </c>
      <c r="N469" s="664"/>
      <c r="O469" s="21">
        <f t="shared" si="80"/>
        <v>1</v>
      </c>
      <c r="P469" s="664"/>
      <c r="Q469" s="21">
        <f t="shared" si="81"/>
        <v>1</v>
      </c>
      <c r="R469" s="660">
        <f t="shared" si="82"/>
        <v>0</v>
      </c>
      <c r="S469" s="313">
        <f t="shared" si="84"/>
        <v>0</v>
      </c>
    </row>
    <row r="470" spans="1:19">
      <c r="A470" s="147"/>
      <c r="B470" s="54"/>
      <c r="C470" s="21">
        <f t="shared" si="74"/>
        <v>1</v>
      </c>
      <c r="D470" s="664"/>
      <c r="E470" s="21">
        <f t="shared" si="75"/>
        <v>1</v>
      </c>
      <c r="F470" s="664"/>
      <c r="G470" s="21">
        <f t="shared" si="76"/>
        <v>1</v>
      </c>
      <c r="H470" s="664"/>
      <c r="I470" s="21">
        <f t="shared" si="77"/>
        <v>1</v>
      </c>
      <c r="J470" s="664"/>
      <c r="K470" s="21">
        <f t="shared" si="78"/>
        <v>1</v>
      </c>
      <c r="L470" s="664"/>
      <c r="M470" s="21">
        <f t="shared" si="79"/>
        <v>1</v>
      </c>
      <c r="N470" s="664"/>
      <c r="O470" s="21">
        <f t="shared" si="80"/>
        <v>1</v>
      </c>
      <c r="P470" s="664"/>
      <c r="Q470" s="21">
        <f t="shared" si="81"/>
        <v>1</v>
      </c>
      <c r="R470" s="660">
        <f t="shared" si="82"/>
        <v>0</v>
      </c>
      <c r="S470" s="313">
        <f t="shared" si="84"/>
        <v>0</v>
      </c>
    </row>
    <row r="471" spans="1:19">
      <c r="A471" s="147"/>
      <c r="B471" s="54"/>
      <c r="C471" s="21">
        <f t="shared" si="74"/>
        <v>1</v>
      </c>
      <c r="D471" s="664"/>
      <c r="E471" s="21">
        <f t="shared" si="75"/>
        <v>1</v>
      </c>
      <c r="F471" s="664"/>
      <c r="G471" s="21">
        <f t="shared" si="76"/>
        <v>1</v>
      </c>
      <c r="H471" s="664"/>
      <c r="I471" s="21">
        <f t="shared" si="77"/>
        <v>1</v>
      </c>
      <c r="J471" s="664"/>
      <c r="K471" s="21">
        <f t="shared" si="78"/>
        <v>1</v>
      </c>
      <c r="L471" s="664"/>
      <c r="M471" s="21">
        <f t="shared" si="79"/>
        <v>1</v>
      </c>
      <c r="N471" s="664"/>
      <c r="O471" s="21">
        <f t="shared" si="80"/>
        <v>1</v>
      </c>
      <c r="P471" s="664"/>
      <c r="Q471" s="21">
        <f t="shared" si="81"/>
        <v>1</v>
      </c>
      <c r="R471" s="660">
        <f t="shared" si="82"/>
        <v>0</v>
      </c>
      <c r="S471" s="313">
        <f t="shared" si="84"/>
        <v>0</v>
      </c>
    </row>
    <row r="472" spans="1:19">
      <c r="A472" s="147"/>
      <c r="B472" s="54"/>
      <c r="C472" s="21">
        <f t="shared" si="74"/>
        <v>1</v>
      </c>
      <c r="D472" s="664"/>
      <c r="E472" s="21">
        <f t="shared" si="75"/>
        <v>1</v>
      </c>
      <c r="F472" s="664"/>
      <c r="G472" s="21">
        <f t="shared" si="76"/>
        <v>1</v>
      </c>
      <c r="H472" s="664"/>
      <c r="I472" s="21">
        <f t="shared" si="77"/>
        <v>1</v>
      </c>
      <c r="J472" s="664"/>
      <c r="K472" s="21">
        <f t="shared" si="78"/>
        <v>1</v>
      </c>
      <c r="L472" s="664"/>
      <c r="M472" s="21">
        <f t="shared" si="79"/>
        <v>1</v>
      </c>
      <c r="N472" s="664"/>
      <c r="O472" s="21">
        <f t="shared" si="80"/>
        <v>1</v>
      </c>
      <c r="P472" s="664"/>
      <c r="Q472" s="21">
        <f t="shared" si="81"/>
        <v>1</v>
      </c>
      <c r="R472" s="660">
        <f t="shared" si="82"/>
        <v>0</v>
      </c>
      <c r="S472" s="313">
        <f t="shared" si="84"/>
        <v>0</v>
      </c>
    </row>
    <row r="473" spans="1:19">
      <c r="A473" s="147"/>
      <c r="B473" s="54"/>
      <c r="C473" s="21">
        <f t="shared" si="74"/>
        <v>1</v>
      </c>
      <c r="D473" s="664"/>
      <c r="E473" s="21">
        <f t="shared" si="75"/>
        <v>1</v>
      </c>
      <c r="F473" s="664"/>
      <c r="G473" s="21">
        <f t="shared" si="76"/>
        <v>1</v>
      </c>
      <c r="H473" s="664"/>
      <c r="I473" s="21">
        <f t="shared" si="77"/>
        <v>1</v>
      </c>
      <c r="J473" s="664"/>
      <c r="K473" s="21">
        <f t="shared" si="78"/>
        <v>1</v>
      </c>
      <c r="L473" s="664"/>
      <c r="M473" s="21">
        <f t="shared" si="79"/>
        <v>1</v>
      </c>
      <c r="N473" s="664"/>
      <c r="O473" s="21">
        <f t="shared" si="80"/>
        <v>1</v>
      </c>
      <c r="P473" s="664"/>
      <c r="Q473" s="21">
        <f t="shared" si="81"/>
        <v>1</v>
      </c>
      <c r="R473" s="660">
        <f t="shared" si="82"/>
        <v>0</v>
      </c>
      <c r="S473" s="313">
        <f t="shared" si="84"/>
        <v>0</v>
      </c>
    </row>
    <row r="474" spans="1:19">
      <c r="A474" s="147"/>
      <c r="B474" s="54"/>
      <c r="C474" s="21">
        <f t="shared" ref="C474:C524" si="85">IF(B474="",1,(LOOKUP(B474,$3:$3,$4:$4)-LOOKUP($B$24,$3:$3,$4:$4)+100)/100)</f>
        <v>1</v>
      </c>
      <c r="D474" s="664"/>
      <c r="E474" s="21">
        <f t="shared" ref="E474:E524" si="86">(SUMIF($5:$5,D474,$6:$6)-SUMIF($5:$5,$D$24,$6:$6)+100)/100</f>
        <v>1</v>
      </c>
      <c r="F474" s="664"/>
      <c r="G474" s="21">
        <f t="shared" ref="G474:G524" si="87">(SUMIF($7:$7,F474,$8:$8)-SUMIF($7:$7,$F$24,$8:$8)+100)/100</f>
        <v>1</v>
      </c>
      <c r="H474" s="664"/>
      <c r="I474" s="21">
        <f t="shared" ref="I474:I524" si="88">(SUMIF($9:$9,H474,$10:$10)-SUMIF($9:$9,$H$24,$10:$10)+100)/100</f>
        <v>1</v>
      </c>
      <c r="J474" s="664"/>
      <c r="K474" s="21">
        <f t="shared" ref="K474:K524" si="89">(SUMIF($11:$11,J474,$12:$12)-SUMIF($11:$11,$J$24,$12:$12)+100)/100</f>
        <v>1</v>
      </c>
      <c r="L474" s="664"/>
      <c r="M474" s="21">
        <f t="shared" ref="M474:M524" si="90">(SUMIF($13:$13,L474,$14:$14)-SUMIF($13:$13,$L$24,$14:$14)+100)/100</f>
        <v>1</v>
      </c>
      <c r="N474" s="664"/>
      <c r="O474" s="21">
        <f t="shared" ref="O474:O524" si="91">(SUMIF($15:$15,N474,$16:$16)-SUMIF($15:$15,$N$24,$16:$16)+100)/100</f>
        <v>1</v>
      </c>
      <c r="P474" s="664"/>
      <c r="Q474" s="21">
        <f t="shared" ref="Q474:Q524" si="92">(SUMIF($17:$17,P474,$18:$18)-SUMIF($17:$17,$P$24,$18:$18)+100)/100</f>
        <v>1</v>
      </c>
      <c r="R474" s="660">
        <f t="shared" ref="R474:R524" si="93">IF(B474="",0,ROUND($R$24*C474*E474*G474*I474*K474*M474*O474*Q474,0))</f>
        <v>0</v>
      </c>
      <c r="S474" s="313">
        <f t="shared" si="84"/>
        <v>0</v>
      </c>
    </row>
    <row r="475" spans="1:19">
      <c r="A475" s="147"/>
      <c r="B475" s="54"/>
      <c r="C475" s="21">
        <f t="shared" si="85"/>
        <v>1</v>
      </c>
      <c r="D475" s="664"/>
      <c r="E475" s="21">
        <f t="shared" si="86"/>
        <v>1</v>
      </c>
      <c r="F475" s="664"/>
      <c r="G475" s="21">
        <f t="shared" si="87"/>
        <v>1</v>
      </c>
      <c r="H475" s="664"/>
      <c r="I475" s="21">
        <f t="shared" si="88"/>
        <v>1</v>
      </c>
      <c r="J475" s="664"/>
      <c r="K475" s="21">
        <f t="shared" si="89"/>
        <v>1</v>
      </c>
      <c r="L475" s="664"/>
      <c r="M475" s="21">
        <f t="shared" si="90"/>
        <v>1</v>
      </c>
      <c r="N475" s="664"/>
      <c r="O475" s="21">
        <f t="shared" si="91"/>
        <v>1</v>
      </c>
      <c r="P475" s="664"/>
      <c r="Q475" s="21">
        <f t="shared" si="92"/>
        <v>1</v>
      </c>
      <c r="R475" s="660">
        <f t="shared" si="93"/>
        <v>0</v>
      </c>
      <c r="S475" s="313">
        <f t="shared" si="84"/>
        <v>0</v>
      </c>
    </row>
    <row r="476" spans="1:19">
      <c r="A476" s="147"/>
      <c r="B476" s="54"/>
      <c r="C476" s="21">
        <f t="shared" si="85"/>
        <v>1</v>
      </c>
      <c r="D476" s="664"/>
      <c r="E476" s="21">
        <f t="shared" si="86"/>
        <v>1</v>
      </c>
      <c r="F476" s="664"/>
      <c r="G476" s="21">
        <f t="shared" si="87"/>
        <v>1</v>
      </c>
      <c r="H476" s="664"/>
      <c r="I476" s="21">
        <f t="shared" si="88"/>
        <v>1</v>
      </c>
      <c r="J476" s="664"/>
      <c r="K476" s="21">
        <f t="shared" si="89"/>
        <v>1</v>
      </c>
      <c r="L476" s="664"/>
      <c r="M476" s="21">
        <f t="shared" si="90"/>
        <v>1</v>
      </c>
      <c r="N476" s="664"/>
      <c r="O476" s="21">
        <f t="shared" si="91"/>
        <v>1</v>
      </c>
      <c r="P476" s="664"/>
      <c r="Q476" s="21">
        <f t="shared" si="92"/>
        <v>1</v>
      </c>
      <c r="R476" s="660">
        <f t="shared" si="93"/>
        <v>0</v>
      </c>
      <c r="S476" s="313">
        <f t="shared" si="84"/>
        <v>0</v>
      </c>
    </row>
    <row r="477" spans="1:19">
      <c r="A477" s="147"/>
      <c r="B477" s="54"/>
      <c r="C477" s="21">
        <f t="shared" si="85"/>
        <v>1</v>
      </c>
      <c r="D477" s="664"/>
      <c r="E477" s="21">
        <f t="shared" si="86"/>
        <v>1</v>
      </c>
      <c r="F477" s="664"/>
      <c r="G477" s="21">
        <f t="shared" si="87"/>
        <v>1</v>
      </c>
      <c r="H477" s="664"/>
      <c r="I477" s="21">
        <f t="shared" si="88"/>
        <v>1</v>
      </c>
      <c r="J477" s="664"/>
      <c r="K477" s="21">
        <f t="shared" si="89"/>
        <v>1</v>
      </c>
      <c r="L477" s="664"/>
      <c r="M477" s="21">
        <f t="shared" si="90"/>
        <v>1</v>
      </c>
      <c r="N477" s="664"/>
      <c r="O477" s="21">
        <f t="shared" si="91"/>
        <v>1</v>
      </c>
      <c r="P477" s="664"/>
      <c r="Q477" s="21">
        <f t="shared" si="92"/>
        <v>1</v>
      </c>
      <c r="R477" s="660">
        <f t="shared" si="93"/>
        <v>0</v>
      </c>
      <c r="S477" s="313">
        <f t="shared" si="84"/>
        <v>0</v>
      </c>
    </row>
    <row r="478" spans="1:19">
      <c r="A478" s="147"/>
      <c r="B478" s="54"/>
      <c r="C478" s="21">
        <f t="shared" si="85"/>
        <v>1</v>
      </c>
      <c r="D478" s="664"/>
      <c r="E478" s="21">
        <f t="shared" si="86"/>
        <v>1</v>
      </c>
      <c r="F478" s="664"/>
      <c r="G478" s="21">
        <f t="shared" si="87"/>
        <v>1</v>
      </c>
      <c r="H478" s="664"/>
      <c r="I478" s="21">
        <f t="shared" si="88"/>
        <v>1</v>
      </c>
      <c r="J478" s="664"/>
      <c r="K478" s="21">
        <f t="shared" si="89"/>
        <v>1</v>
      </c>
      <c r="L478" s="664"/>
      <c r="M478" s="21">
        <f t="shared" si="90"/>
        <v>1</v>
      </c>
      <c r="N478" s="664"/>
      <c r="O478" s="21">
        <f t="shared" si="91"/>
        <v>1</v>
      </c>
      <c r="P478" s="664"/>
      <c r="Q478" s="21">
        <f t="shared" si="92"/>
        <v>1</v>
      </c>
      <c r="R478" s="660">
        <f t="shared" si="93"/>
        <v>0</v>
      </c>
      <c r="S478" s="313">
        <f t="shared" si="84"/>
        <v>0</v>
      </c>
    </row>
    <row r="479" spans="1:19">
      <c r="A479" s="147"/>
      <c r="B479" s="54"/>
      <c r="C479" s="21">
        <f t="shared" si="85"/>
        <v>1</v>
      </c>
      <c r="D479" s="664"/>
      <c r="E479" s="21">
        <f t="shared" si="86"/>
        <v>1</v>
      </c>
      <c r="F479" s="664"/>
      <c r="G479" s="21">
        <f t="shared" si="87"/>
        <v>1</v>
      </c>
      <c r="H479" s="664"/>
      <c r="I479" s="21">
        <f t="shared" si="88"/>
        <v>1</v>
      </c>
      <c r="J479" s="664"/>
      <c r="K479" s="21">
        <f t="shared" si="89"/>
        <v>1</v>
      </c>
      <c r="L479" s="664"/>
      <c r="M479" s="21">
        <f t="shared" si="90"/>
        <v>1</v>
      </c>
      <c r="N479" s="664"/>
      <c r="O479" s="21">
        <f t="shared" si="91"/>
        <v>1</v>
      </c>
      <c r="P479" s="664"/>
      <c r="Q479" s="21">
        <f t="shared" si="92"/>
        <v>1</v>
      </c>
      <c r="R479" s="660">
        <f t="shared" si="93"/>
        <v>0</v>
      </c>
      <c r="S479" s="313">
        <f t="shared" si="84"/>
        <v>0</v>
      </c>
    </row>
    <row r="480" spans="1:19">
      <c r="A480" s="147"/>
      <c r="B480" s="54"/>
      <c r="C480" s="21">
        <f t="shared" si="85"/>
        <v>1</v>
      </c>
      <c r="D480" s="664"/>
      <c r="E480" s="21">
        <f t="shared" si="86"/>
        <v>1</v>
      </c>
      <c r="F480" s="664"/>
      <c r="G480" s="21">
        <f t="shared" si="87"/>
        <v>1</v>
      </c>
      <c r="H480" s="664"/>
      <c r="I480" s="21">
        <f t="shared" si="88"/>
        <v>1</v>
      </c>
      <c r="J480" s="664"/>
      <c r="K480" s="21">
        <f t="shared" si="89"/>
        <v>1</v>
      </c>
      <c r="L480" s="664"/>
      <c r="M480" s="21">
        <f t="shared" si="90"/>
        <v>1</v>
      </c>
      <c r="N480" s="664"/>
      <c r="O480" s="21">
        <f t="shared" si="91"/>
        <v>1</v>
      </c>
      <c r="P480" s="664"/>
      <c r="Q480" s="21">
        <f t="shared" si="92"/>
        <v>1</v>
      </c>
      <c r="R480" s="660">
        <f t="shared" si="93"/>
        <v>0</v>
      </c>
      <c r="S480" s="313">
        <f t="shared" si="84"/>
        <v>0</v>
      </c>
    </row>
    <row r="481" spans="1:19">
      <c r="A481" s="147"/>
      <c r="B481" s="54"/>
      <c r="C481" s="21">
        <f t="shared" si="85"/>
        <v>1</v>
      </c>
      <c r="D481" s="664"/>
      <c r="E481" s="21">
        <f t="shared" si="86"/>
        <v>1</v>
      </c>
      <c r="F481" s="664"/>
      <c r="G481" s="21">
        <f t="shared" si="87"/>
        <v>1</v>
      </c>
      <c r="H481" s="664"/>
      <c r="I481" s="21">
        <f t="shared" si="88"/>
        <v>1</v>
      </c>
      <c r="J481" s="664"/>
      <c r="K481" s="21">
        <f t="shared" si="89"/>
        <v>1</v>
      </c>
      <c r="L481" s="664"/>
      <c r="M481" s="21">
        <f t="shared" si="90"/>
        <v>1</v>
      </c>
      <c r="N481" s="664"/>
      <c r="O481" s="21">
        <f t="shared" si="91"/>
        <v>1</v>
      </c>
      <c r="P481" s="664"/>
      <c r="Q481" s="21">
        <f t="shared" si="92"/>
        <v>1</v>
      </c>
      <c r="R481" s="660">
        <f t="shared" si="93"/>
        <v>0</v>
      </c>
      <c r="S481" s="313">
        <f t="shared" si="84"/>
        <v>0</v>
      </c>
    </row>
    <row r="482" spans="1:19">
      <c r="A482" s="147"/>
      <c r="B482" s="54"/>
      <c r="C482" s="21">
        <f t="shared" si="85"/>
        <v>1</v>
      </c>
      <c r="D482" s="664"/>
      <c r="E482" s="21">
        <f t="shared" si="86"/>
        <v>1</v>
      </c>
      <c r="F482" s="664"/>
      <c r="G482" s="21">
        <f t="shared" si="87"/>
        <v>1</v>
      </c>
      <c r="H482" s="664"/>
      <c r="I482" s="21">
        <f t="shared" si="88"/>
        <v>1</v>
      </c>
      <c r="J482" s="664"/>
      <c r="K482" s="21">
        <f t="shared" si="89"/>
        <v>1</v>
      </c>
      <c r="L482" s="664"/>
      <c r="M482" s="21">
        <f t="shared" si="90"/>
        <v>1</v>
      </c>
      <c r="N482" s="664"/>
      <c r="O482" s="21">
        <f t="shared" si="91"/>
        <v>1</v>
      </c>
      <c r="P482" s="664"/>
      <c r="Q482" s="21">
        <f t="shared" si="92"/>
        <v>1</v>
      </c>
      <c r="R482" s="660">
        <f t="shared" si="93"/>
        <v>0</v>
      </c>
      <c r="S482" s="313">
        <f t="shared" si="84"/>
        <v>0</v>
      </c>
    </row>
    <row r="483" spans="1:19">
      <c r="A483" s="147"/>
      <c r="B483" s="54"/>
      <c r="C483" s="21">
        <f t="shared" si="85"/>
        <v>1</v>
      </c>
      <c r="D483" s="664"/>
      <c r="E483" s="21">
        <f t="shared" si="86"/>
        <v>1</v>
      </c>
      <c r="F483" s="664"/>
      <c r="G483" s="21">
        <f t="shared" si="87"/>
        <v>1</v>
      </c>
      <c r="H483" s="664"/>
      <c r="I483" s="21">
        <f t="shared" si="88"/>
        <v>1</v>
      </c>
      <c r="J483" s="664"/>
      <c r="K483" s="21">
        <f t="shared" si="89"/>
        <v>1</v>
      </c>
      <c r="L483" s="664"/>
      <c r="M483" s="21">
        <f t="shared" si="90"/>
        <v>1</v>
      </c>
      <c r="N483" s="664"/>
      <c r="O483" s="21">
        <f t="shared" si="91"/>
        <v>1</v>
      </c>
      <c r="P483" s="664"/>
      <c r="Q483" s="21">
        <f t="shared" si="92"/>
        <v>1</v>
      </c>
      <c r="R483" s="660">
        <f t="shared" si="93"/>
        <v>0</v>
      </c>
      <c r="S483" s="313">
        <f t="shared" si="84"/>
        <v>0</v>
      </c>
    </row>
    <row r="484" spans="1:19">
      <c r="A484" s="147"/>
      <c r="B484" s="54"/>
      <c r="C484" s="21">
        <f t="shared" si="85"/>
        <v>1</v>
      </c>
      <c r="D484" s="664"/>
      <c r="E484" s="21">
        <f t="shared" si="86"/>
        <v>1</v>
      </c>
      <c r="F484" s="664"/>
      <c r="G484" s="21">
        <f t="shared" si="87"/>
        <v>1</v>
      </c>
      <c r="H484" s="664"/>
      <c r="I484" s="21">
        <f t="shared" si="88"/>
        <v>1</v>
      </c>
      <c r="J484" s="664"/>
      <c r="K484" s="21">
        <f t="shared" si="89"/>
        <v>1</v>
      </c>
      <c r="L484" s="664"/>
      <c r="M484" s="21">
        <f t="shared" si="90"/>
        <v>1</v>
      </c>
      <c r="N484" s="664"/>
      <c r="O484" s="21">
        <f t="shared" si="91"/>
        <v>1</v>
      </c>
      <c r="P484" s="664"/>
      <c r="Q484" s="21">
        <f t="shared" si="92"/>
        <v>1</v>
      </c>
      <c r="R484" s="660">
        <f t="shared" si="93"/>
        <v>0</v>
      </c>
      <c r="S484" s="313">
        <f t="shared" si="84"/>
        <v>0</v>
      </c>
    </row>
    <row r="485" spans="1:19">
      <c r="A485" s="147"/>
      <c r="B485" s="54"/>
      <c r="C485" s="21">
        <f t="shared" si="85"/>
        <v>1</v>
      </c>
      <c r="D485" s="664"/>
      <c r="E485" s="21">
        <f t="shared" si="86"/>
        <v>1</v>
      </c>
      <c r="F485" s="664"/>
      <c r="G485" s="21">
        <f t="shared" si="87"/>
        <v>1</v>
      </c>
      <c r="H485" s="664"/>
      <c r="I485" s="21">
        <f t="shared" si="88"/>
        <v>1</v>
      </c>
      <c r="J485" s="664"/>
      <c r="K485" s="21">
        <f t="shared" si="89"/>
        <v>1</v>
      </c>
      <c r="L485" s="664"/>
      <c r="M485" s="21">
        <f t="shared" si="90"/>
        <v>1</v>
      </c>
      <c r="N485" s="664"/>
      <c r="O485" s="21">
        <f t="shared" si="91"/>
        <v>1</v>
      </c>
      <c r="P485" s="664"/>
      <c r="Q485" s="21">
        <f t="shared" si="92"/>
        <v>1</v>
      </c>
      <c r="R485" s="660">
        <f t="shared" si="93"/>
        <v>0</v>
      </c>
      <c r="S485" s="313">
        <f t="shared" si="84"/>
        <v>0</v>
      </c>
    </row>
    <row r="486" spans="1:19">
      <c r="A486" s="147"/>
      <c r="B486" s="54"/>
      <c r="C486" s="21">
        <f t="shared" si="85"/>
        <v>1</v>
      </c>
      <c r="D486" s="664"/>
      <c r="E486" s="21">
        <f t="shared" si="86"/>
        <v>1</v>
      </c>
      <c r="F486" s="664"/>
      <c r="G486" s="21">
        <f t="shared" si="87"/>
        <v>1</v>
      </c>
      <c r="H486" s="664"/>
      <c r="I486" s="21">
        <f t="shared" si="88"/>
        <v>1</v>
      </c>
      <c r="J486" s="664"/>
      <c r="K486" s="21">
        <f t="shared" si="89"/>
        <v>1</v>
      </c>
      <c r="L486" s="664"/>
      <c r="M486" s="21">
        <f t="shared" si="90"/>
        <v>1</v>
      </c>
      <c r="N486" s="664"/>
      <c r="O486" s="21">
        <f t="shared" si="91"/>
        <v>1</v>
      </c>
      <c r="P486" s="664"/>
      <c r="Q486" s="21">
        <f t="shared" si="92"/>
        <v>1</v>
      </c>
      <c r="R486" s="660">
        <f t="shared" si="93"/>
        <v>0</v>
      </c>
      <c r="S486" s="313">
        <f t="shared" si="84"/>
        <v>0</v>
      </c>
    </row>
    <row r="487" spans="1:19">
      <c r="A487" s="147"/>
      <c r="B487" s="54"/>
      <c r="C487" s="21">
        <f t="shared" si="85"/>
        <v>1</v>
      </c>
      <c r="D487" s="664"/>
      <c r="E487" s="21">
        <f t="shared" si="86"/>
        <v>1</v>
      </c>
      <c r="F487" s="664"/>
      <c r="G487" s="21">
        <f t="shared" si="87"/>
        <v>1</v>
      </c>
      <c r="H487" s="664"/>
      <c r="I487" s="21">
        <f t="shared" si="88"/>
        <v>1</v>
      </c>
      <c r="J487" s="664"/>
      <c r="K487" s="21">
        <f t="shared" si="89"/>
        <v>1</v>
      </c>
      <c r="L487" s="664"/>
      <c r="M487" s="21">
        <f t="shared" si="90"/>
        <v>1</v>
      </c>
      <c r="N487" s="664"/>
      <c r="O487" s="21">
        <f t="shared" si="91"/>
        <v>1</v>
      </c>
      <c r="P487" s="664"/>
      <c r="Q487" s="21">
        <f t="shared" si="92"/>
        <v>1</v>
      </c>
      <c r="R487" s="660">
        <f t="shared" si="93"/>
        <v>0</v>
      </c>
      <c r="S487" s="313">
        <f t="shared" si="84"/>
        <v>0</v>
      </c>
    </row>
    <row r="488" spans="1:19">
      <c r="A488" s="147"/>
      <c r="B488" s="54"/>
      <c r="C488" s="21">
        <f t="shared" si="85"/>
        <v>1</v>
      </c>
      <c r="D488" s="664"/>
      <c r="E488" s="21">
        <f t="shared" si="86"/>
        <v>1</v>
      </c>
      <c r="F488" s="664"/>
      <c r="G488" s="21">
        <f t="shared" si="87"/>
        <v>1</v>
      </c>
      <c r="H488" s="664"/>
      <c r="I488" s="21">
        <f t="shared" si="88"/>
        <v>1</v>
      </c>
      <c r="J488" s="664"/>
      <c r="K488" s="21">
        <f t="shared" si="89"/>
        <v>1</v>
      </c>
      <c r="L488" s="664"/>
      <c r="M488" s="21">
        <f t="shared" si="90"/>
        <v>1</v>
      </c>
      <c r="N488" s="664"/>
      <c r="O488" s="21">
        <f t="shared" si="91"/>
        <v>1</v>
      </c>
      <c r="P488" s="664"/>
      <c r="Q488" s="21">
        <f t="shared" si="92"/>
        <v>1</v>
      </c>
      <c r="R488" s="660">
        <f t="shared" si="93"/>
        <v>0</v>
      </c>
      <c r="S488" s="313">
        <f t="shared" si="84"/>
        <v>0</v>
      </c>
    </row>
    <row r="489" spans="1:19">
      <c r="A489" s="147"/>
      <c r="B489" s="54"/>
      <c r="C489" s="21">
        <f t="shared" si="85"/>
        <v>1</v>
      </c>
      <c r="D489" s="664"/>
      <c r="E489" s="21">
        <f t="shared" si="86"/>
        <v>1</v>
      </c>
      <c r="F489" s="664"/>
      <c r="G489" s="21">
        <f t="shared" si="87"/>
        <v>1</v>
      </c>
      <c r="H489" s="664"/>
      <c r="I489" s="21">
        <f t="shared" si="88"/>
        <v>1</v>
      </c>
      <c r="J489" s="664"/>
      <c r="K489" s="21">
        <f t="shared" si="89"/>
        <v>1</v>
      </c>
      <c r="L489" s="664"/>
      <c r="M489" s="21">
        <f t="shared" si="90"/>
        <v>1</v>
      </c>
      <c r="N489" s="664"/>
      <c r="O489" s="21">
        <f t="shared" si="91"/>
        <v>1</v>
      </c>
      <c r="P489" s="664"/>
      <c r="Q489" s="21">
        <f t="shared" si="92"/>
        <v>1</v>
      </c>
      <c r="R489" s="660">
        <f t="shared" si="93"/>
        <v>0</v>
      </c>
      <c r="S489" s="313">
        <f t="shared" si="84"/>
        <v>0</v>
      </c>
    </row>
    <row r="490" spans="1:19">
      <c r="A490" s="147"/>
      <c r="B490" s="54"/>
      <c r="C490" s="21">
        <f t="shared" si="85"/>
        <v>1</v>
      </c>
      <c r="D490" s="664"/>
      <c r="E490" s="21">
        <f t="shared" si="86"/>
        <v>1</v>
      </c>
      <c r="F490" s="664"/>
      <c r="G490" s="21">
        <f t="shared" si="87"/>
        <v>1</v>
      </c>
      <c r="H490" s="664"/>
      <c r="I490" s="21">
        <f t="shared" si="88"/>
        <v>1</v>
      </c>
      <c r="J490" s="664"/>
      <c r="K490" s="21">
        <f t="shared" si="89"/>
        <v>1</v>
      </c>
      <c r="L490" s="664"/>
      <c r="M490" s="21">
        <f t="shared" si="90"/>
        <v>1</v>
      </c>
      <c r="N490" s="664"/>
      <c r="O490" s="21">
        <f t="shared" si="91"/>
        <v>1</v>
      </c>
      <c r="P490" s="664"/>
      <c r="Q490" s="21">
        <f t="shared" si="92"/>
        <v>1</v>
      </c>
      <c r="R490" s="660">
        <f t="shared" si="93"/>
        <v>0</v>
      </c>
      <c r="S490" s="313">
        <f t="shared" si="84"/>
        <v>0</v>
      </c>
    </row>
    <row r="491" spans="1:19">
      <c r="A491" s="147"/>
      <c r="B491" s="54"/>
      <c r="C491" s="21">
        <f t="shared" si="85"/>
        <v>1</v>
      </c>
      <c r="D491" s="664"/>
      <c r="E491" s="21">
        <f t="shared" si="86"/>
        <v>1</v>
      </c>
      <c r="F491" s="664"/>
      <c r="G491" s="21">
        <f t="shared" si="87"/>
        <v>1</v>
      </c>
      <c r="H491" s="664"/>
      <c r="I491" s="21">
        <f t="shared" si="88"/>
        <v>1</v>
      </c>
      <c r="J491" s="664"/>
      <c r="K491" s="21">
        <f t="shared" si="89"/>
        <v>1</v>
      </c>
      <c r="L491" s="664"/>
      <c r="M491" s="21">
        <f t="shared" si="90"/>
        <v>1</v>
      </c>
      <c r="N491" s="664"/>
      <c r="O491" s="21">
        <f t="shared" si="91"/>
        <v>1</v>
      </c>
      <c r="P491" s="664"/>
      <c r="Q491" s="21">
        <f t="shared" si="92"/>
        <v>1</v>
      </c>
      <c r="R491" s="660">
        <f t="shared" si="93"/>
        <v>0</v>
      </c>
      <c r="S491" s="313">
        <f t="shared" si="84"/>
        <v>0</v>
      </c>
    </row>
    <row r="492" spans="1:19">
      <c r="A492" s="147"/>
      <c r="B492" s="54"/>
      <c r="C492" s="21">
        <f t="shared" si="85"/>
        <v>1</v>
      </c>
      <c r="D492" s="664"/>
      <c r="E492" s="21">
        <f t="shared" si="86"/>
        <v>1</v>
      </c>
      <c r="F492" s="664"/>
      <c r="G492" s="21">
        <f t="shared" si="87"/>
        <v>1</v>
      </c>
      <c r="H492" s="664"/>
      <c r="I492" s="21">
        <f t="shared" si="88"/>
        <v>1</v>
      </c>
      <c r="J492" s="664"/>
      <c r="K492" s="21">
        <f t="shared" si="89"/>
        <v>1</v>
      </c>
      <c r="L492" s="664"/>
      <c r="M492" s="21">
        <f t="shared" si="90"/>
        <v>1</v>
      </c>
      <c r="N492" s="664"/>
      <c r="O492" s="21">
        <f t="shared" si="91"/>
        <v>1</v>
      </c>
      <c r="P492" s="664"/>
      <c r="Q492" s="21">
        <f t="shared" si="92"/>
        <v>1</v>
      </c>
      <c r="R492" s="660">
        <f t="shared" si="93"/>
        <v>0</v>
      </c>
      <c r="S492" s="313">
        <f t="shared" si="84"/>
        <v>0</v>
      </c>
    </row>
    <row r="493" spans="1:19">
      <c r="A493" s="147"/>
      <c r="B493" s="54"/>
      <c r="C493" s="21">
        <f t="shared" si="85"/>
        <v>1</v>
      </c>
      <c r="D493" s="664"/>
      <c r="E493" s="21">
        <f t="shared" si="86"/>
        <v>1</v>
      </c>
      <c r="F493" s="664"/>
      <c r="G493" s="21">
        <f t="shared" si="87"/>
        <v>1</v>
      </c>
      <c r="H493" s="664"/>
      <c r="I493" s="21">
        <f t="shared" si="88"/>
        <v>1</v>
      </c>
      <c r="J493" s="664"/>
      <c r="K493" s="21">
        <f t="shared" si="89"/>
        <v>1</v>
      </c>
      <c r="L493" s="664"/>
      <c r="M493" s="21">
        <f t="shared" si="90"/>
        <v>1</v>
      </c>
      <c r="N493" s="664"/>
      <c r="O493" s="21">
        <f t="shared" si="91"/>
        <v>1</v>
      </c>
      <c r="P493" s="664"/>
      <c r="Q493" s="21">
        <f t="shared" si="92"/>
        <v>1</v>
      </c>
      <c r="R493" s="660">
        <f t="shared" si="93"/>
        <v>0</v>
      </c>
      <c r="S493" s="313">
        <f t="shared" si="84"/>
        <v>0</v>
      </c>
    </row>
    <row r="494" spans="1:19">
      <c r="A494" s="147"/>
      <c r="B494" s="54"/>
      <c r="C494" s="21">
        <f t="shared" si="85"/>
        <v>1</v>
      </c>
      <c r="D494" s="664"/>
      <c r="E494" s="21">
        <f t="shared" si="86"/>
        <v>1</v>
      </c>
      <c r="F494" s="664"/>
      <c r="G494" s="21">
        <f t="shared" si="87"/>
        <v>1</v>
      </c>
      <c r="H494" s="664"/>
      <c r="I494" s="21">
        <f t="shared" si="88"/>
        <v>1</v>
      </c>
      <c r="J494" s="664"/>
      <c r="K494" s="21">
        <f t="shared" si="89"/>
        <v>1</v>
      </c>
      <c r="L494" s="664"/>
      <c r="M494" s="21">
        <f t="shared" si="90"/>
        <v>1</v>
      </c>
      <c r="N494" s="664"/>
      <c r="O494" s="21">
        <f t="shared" si="91"/>
        <v>1</v>
      </c>
      <c r="P494" s="664"/>
      <c r="Q494" s="21">
        <f t="shared" si="92"/>
        <v>1</v>
      </c>
      <c r="R494" s="660">
        <f t="shared" si="93"/>
        <v>0</v>
      </c>
      <c r="S494" s="313">
        <f t="shared" si="84"/>
        <v>0</v>
      </c>
    </row>
    <row r="495" spans="1:19">
      <c r="A495" s="147"/>
      <c r="B495" s="54"/>
      <c r="C495" s="21">
        <f t="shared" si="85"/>
        <v>1</v>
      </c>
      <c r="D495" s="664"/>
      <c r="E495" s="21">
        <f t="shared" si="86"/>
        <v>1</v>
      </c>
      <c r="F495" s="664"/>
      <c r="G495" s="21">
        <f t="shared" si="87"/>
        <v>1</v>
      </c>
      <c r="H495" s="664"/>
      <c r="I495" s="21">
        <f t="shared" si="88"/>
        <v>1</v>
      </c>
      <c r="J495" s="664"/>
      <c r="K495" s="21">
        <f t="shared" si="89"/>
        <v>1</v>
      </c>
      <c r="L495" s="664"/>
      <c r="M495" s="21">
        <f t="shared" si="90"/>
        <v>1</v>
      </c>
      <c r="N495" s="664"/>
      <c r="O495" s="21">
        <f t="shared" si="91"/>
        <v>1</v>
      </c>
      <c r="P495" s="664"/>
      <c r="Q495" s="21">
        <f t="shared" si="92"/>
        <v>1</v>
      </c>
      <c r="R495" s="660">
        <f t="shared" si="93"/>
        <v>0</v>
      </c>
      <c r="S495" s="313">
        <f t="shared" si="84"/>
        <v>0</v>
      </c>
    </row>
    <row r="496" spans="1:19">
      <c r="A496" s="147"/>
      <c r="B496" s="54"/>
      <c r="C496" s="21">
        <f t="shared" si="85"/>
        <v>1</v>
      </c>
      <c r="D496" s="664"/>
      <c r="E496" s="21">
        <f t="shared" si="86"/>
        <v>1</v>
      </c>
      <c r="F496" s="664"/>
      <c r="G496" s="21">
        <f t="shared" si="87"/>
        <v>1</v>
      </c>
      <c r="H496" s="664"/>
      <c r="I496" s="21">
        <f t="shared" si="88"/>
        <v>1</v>
      </c>
      <c r="J496" s="664"/>
      <c r="K496" s="21">
        <f t="shared" si="89"/>
        <v>1</v>
      </c>
      <c r="L496" s="664"/>
      <c r="M496" s="21">
        <f t="shared" si="90"/>
        <v>1</v>
      </c>
      <c r="N496" s="664"/>
      <c r="O496" s="21">
        <f t="shared" si="91"/>
        <v>1</v>
      </c>
      <c r="P496" s="664"/>
      <c r="Q496" s="21">
        <f t="shared" si="92"/>
        <v>1</v>
      </c>
      <c r="R496" s="660">
        <f t="shared" si="93"/>
        <v>0</v>
      </c>
      <c r="S496" s="313">
        <f t="shared" si="84"/>
        <v>0</v>
      </c>
    </row>
    <row r="497" spans="1:19">
      <c r="A497" s="147"/>
      <c r="B497" s="54"/>
      <c r="C497" s="21">
        <f t="shared" si="85"/>
        <v>1</v>
      </c>
      <c r="D497" s="664"/>
      <c r="E497" s="21">
        <f t="shared" si="86"/>
        <v>1</v>
      </c>
      <c r="F497" s="664"/>
      <c r="G497" s="21">
        <f t="shared" si="87"/>
        <v>1</v>
      </c>
      <c r="H497" s="664"/>
      <c r="I497" s="21">
        <f t="shared" si="88"/>
        <v>1</v>
      </c>
      <c r="J497" s="664"/>
      <c r="K497" s="21">
        <f t="shared" si="89"/>
        <v>1</v>
      </c>
      <c r="L497" s="664"/>
      <c r="M497" s="21">
        <f t="shared" si="90"/>
        <v>1</v>
      </c>
      <c r="N497" s="664"/>
      <c r="O497" s="21">
        <f t="shared" si="91"/>
        <v>1</v>
      </c>
      <c r="P497" s="664"/>
      <c r="Q497" s="21">
        <f t="shared" si="92"/>
        <v>1</v>
      </c>
      <c r="R497" s="660">
        <f t="shared" si="93"/>
        <v>0</v>
      </c>
      <c r="S497" s="313">
        <f t="shared" si="84"/>
        <v>0</v>
      </c>
    </row>
    <row r="498" spans="1:19">
      <c r="A498" s="147"/>
      <c r="B498" s="54"/>
      <c r="C498" s="21">
        <f t="shared" si="85"/>
        <v>1</v>
      </c>
      <c r="D498" s="664"/>
      <c r="E498" s="21">
        <f t="shared" si="86"/>
        <v>1</v>
      </c>
      <c r="F498" s="664"/>
      <c r="G498" s="21">
        <f t="shared" si="87"/>
        <v>1</v>
      </c>
      <c r="H498" s="664"/>
      <c r="I498" s="21">
        <f t="shared" si="88"/>
        <v>1</v>
      </c>
      <c r="J498" s="664"/>
      <c r="K498" s="21">
        <f t="shared" si="89"/>
        <v>1</v>
      </c>
      <c r="L498" s="664"/>
      <c r="M498" s="21">
        <f t="shared" si="90"/>
        <v>1</v>
      </c>
      <c r="N498" s="664"/>
      <c r="O498" s="21">
        <f t="shared" si="91"/>
        <v>1</v>
      </c>
      <c r="P498" s="664"/>
      <c r="Q498" s="21">
        <f t="shared" si="92"/>
        <v>1</v>
      </c>
      <c r="R498" s="660">
        <f t="shared" si="93"/>
        <v>0</v>
      </c>
      <c r="S498" s="313">
        <f t="shared" ref="S498:S524" si="94">ROUND(R498*B498/10000,0)</f>
        <v>0</v>
      </c>
    </row>
    <row r="499" spans="1:19">
      <c r="A499" s="147"/>
      <c r="B499" s="54"/>
      <c r="C499" s="21">
        <f t="shared" si="85"/>
        <v>1</v>
      </c>
      <c r="D499" s="664"/>
      <c r="E499" s="21">
        <f t="shared" si="86"/>
        <v>1</v>
      </c>
      <c r="F499" s="664"/>
      <c r="G499" s="21">
        <f t="shared" si="87"/>
        <v>1</v>
      </c>
      <c r="H499" s="664"/>
      <c r="I499" s="21">
        <f t="shared" si="88"/>
        <v>1</v>
      </c>
      <c r="J499" s="664"/>
      <c r="K499" s="21">
        <f t="shared" si="89"/>
        <v>1</v>
      </c>
      <c r="L499" s="664"/>
      <c r="M499" s="21">
        <f t="shared" si="90"/>
        <v>1</v>
      </c>
      <c r="N499" s="664"/>
      <c r="O499" s="21">
        <f t="shared" si="91"/>
        <v>1</v>
      </c>
      <c r="P499" s="664"/>
      <c r="Q499" s="21">
        <f t="shared" si="92"/>
        <v>1</v>
      </c>
      <c r="R499" s="660">
        <f t="shared" si="93"/>
        <v>0</v>
      </c>
      <c r="S499" s="313">
        <f t="shared" si="94"/>
        <v>0</v>
      </c>
    </row>
    <row r="500" spans="1:19">
      <c r="A500" s="147"/>
      <c r="B500" s="54"/>
      <c r="C500" s="21">
        <f t="shared" si="85"/>
        <v>1</v>
      </c>
      <c r="D500" s="664"/>
      <c r="E500" s="21">
        <f t="shared" si="86"/>
        <v>1</v>
      </c>
      <c r="F500" s="664"/>
      <c r="G500" s="21">
        <f t="shared" si="87"/>
        <v>1</v>
      </c>
      <c r="H500" s="664"/>
      <c r="I500" s="21">
        <f t="shared" si="88"/>
        <v>1</v>
      </c>
      <c r="J500" s="664"/>
      <c r="K500" s="21">
        <f t="shared" si="89"/>
        <v>1</v>
      </c>
      <c r="L500" s="664"/>
      <c r="M500" s="21">
        <f t="shared" si="90"/>
        <v>1</v>
      </c>
      <c r="N500" s="664"/>
      <c r="O500" s="21">
        <f t="shared" si="91"/>
        <v>1</v>
      </c>
      <c r="P500" s="664"/>
      <c r="Q500" s="21">
        <f t="shared" si="92"/>
        <v>1</v>
      </c>
      <c r="R500" s="660">
        <f t="shared" si="93"/>
        <v>0</v>
      </c>
      <c r="S500" s="313">
        <f t="shared" si="94"/>
        <v>0</v>
      </c>
    </row>
    <row r="501" spans="1:19">
      <c r="A501" s="147"/>
      <c r="B501" s="54"/>
      <c r="C501" s="21">
        <f t="shared" si="85"/>
        <v>1</v>
      </c>
      <c r="D501" s="664"/>
      <c r="E501" s="21">
        <f t="shared" si="86"/>
        <v>1</v>
      </c>
      <c r="F501" s="664"/>
      <c r="G501" s="21">
        <f t="shared" si="87"/>
        <v>1</v>
      </c>
      <c r="H501" s="664"/>
      <c r="I501" s="21">
        <f t="shared" si="88"/>
        <v>1</v>
      </c>
      <c r="J501" s="664"/>
      <c r="K501" s="21">
        <f t="shared" si="89"/>
        <v>1</v>
      </c>
      <c r="L501" s="664"/>
      <c r="M501" s="21">
        <f t="shared" si="90"/>
        <v>1</v>
      </c>
      <c r="N501" s="664"/>
      <c r="O501" s="21">
        <f t="shared" si="91"/>
        <v>1</v>
      </c>
      <c r="P501" s="664"/>
      <c r="Q501" s="21">
        <f t="shared" si="92"/>
        <v>1</v>
      </c>
      <c r="R501" s="660">
        <f t="shared" si="93"/>
        <v>0</v>
      </c>
      <c r="S501" s="313">
        <f t="shared" si="94"/>
        <v>0</v>
      </c>
    </row>
    <row r="502" spans="1:19">
      <c r="A502" s="147"/>
      <c r="B502" s="54"/>
      <c r="C502" s="21">
        <f t="shared" si="85"/>
        <v>1</v>
      </c>
      <c r="D502" s="664"/>
      <c r="E502" s="21">
        <f t="shared" si="86"/>
        <v>1</v>
      </c>
      <c r="F502" s="664"/>
      <c r="G502" s="21">
        <f t="shared" si="87"/>
        <v>1</v>
      </c>
      <c r="H502" s="664"/>
      <c r="I502" s="21">
        <f t="shared" si="88"/>
        <v>1</v>
      </c>
      <c r="J502" s="664"/>
      <c r="K502" s="21">
        <f t="shared" si="89"/>
        <v>1</v>
      </c>
      <c r="L502" s="664"/>
      <c r="M502" s="21">
        <f t="shared" si="90"/>
        <v>1</v>
      </c>
      <c r="N502" s="664"/>
      <c r="O502" s="21">
        <f t="shared" si="91"/>
        <v>1</v>
      </c>
      <c r="P502" s="664"/>
      <c r="Q502" s="21">
        <f t="shared" si="92"/>
        <v>1</v>
      </c>
      <c r="R502" s="660">
        <f t="shared" si="93"/>
        <v>0</v>
      </c>
      <c r="S502" s="313">
        <f t="shared" si="94"/>
        <v>0</v>
      </c>
    </row>
    <row r="503" spans="1:19">
      <c r="A503" s="147"/>
      <c r="B503" s="54"/>
      <c r="C503" s="21">
        <f t="shared" si="85"/>
        <v>1</v>
      </c>
      <c r="D503" s="664"/>
      <c r="E503" s="21">
        <f t="shared" si="86"/>
        <v>1</v>
      </c>
      <c r="F503" s="664"/>
      <c r="G503" s="21">
        <f t="shared" si="87"/>
        <v>1</v>
      </c>
      <c r="H503" s="664"/>
      <c r="I503" s="21">
        <f t="shared" si="88"/>
        <v>1</v>
      </c>
      <c r="J503" s="664"/>
      <c r="K503" s="21">
        <f t="shared" si="89"/>
        <v>1</v>
      </c>
      <c r="L503" s="664"/>
      <c r="M503" s="21">
        <f t="shared" si="90"/>
        <v>1</v>
      </c>
      <c r="N503" s="664"/>
      <c r="O503" s="21">
        <f t="shared" si="91"/>
        <v>1</v>
      </c>
      <c r="P503" s="664"/>
      <c r="Q503" s="21">
        <f t="shared" si="92"/>
        <v>1</v>
      </c>
      <c r="R503" s="660">
        <f t="shared" si="93"/>
        <v>0</v>
      </c>
      <c r="S503" s="313">
        <f t="shared" si="94"/>
        <v>0</v>
      </c>
    </row>
    <row r="504" spans="1:19">
      <c r="A504" s="147"/>
      <c r="B504" s="54"/>
      <c r="C504" s="21">
        <f t="shared" si="85"/>
        <v>1</v>
      </c>
      <c r="D504" s="664"/>
      <c r="E504" s="21">
        <f t="shared" si="86"/>
        <v>1</v>
      </c>
      <c r="F504" s="664"/>
      <c r="G504" s="21">
        <f t="shared" si="87"/>
        <v>1</v>
      </c>
      <c r="H504" s="664"/>
      <c r="I504" s="21">
        <f t="shared" si="88"/>
        <v>1</v>
      </c>
      <c r="J504" s="664"/>
      <c r="K504" s="21">
        <f t="shared" si="89"/>
        <v>1</v>
      </c>
      <c r="L504" s="664"/>
      <c r="M504" s="21">
        <f t="shared" si="90"/>
        <v>1</v>
      </c>
      <c r="N504" s="664"/>
      <c r="O504" s="21">
        <f t="shared" si="91"/>
        <v>1</v>
      </c>
      <c r="P504" s="664"/>
      <c r="Q504" s="21">
        <f t="shared" si="92"/>
        <v>1</v>
      </c>
      <c r="R504" s="660">
        <f t="shared" si="93"/>
        <v>0</v>
      </c>
      <c r="S504" s="313">
        <f t="shared" si="94"/>
        <v>0</v>
      </c>
    </row>
    <row r="505" spans="1:19">
      <c r="A505" s="147"/>
      <c r="B505" s="54"/>
      <c r="C505" s="21">
        <f t="shared" si="85"/>
        <v>1</v>
      </c>
      <c r="D505" s="664"/>
      <c r="E505" s="21">
        <f t="shared" si="86"/>
        <v>1</v>
      </c>
      <c r="F505" s="664"/>
      <c r="G505" s="21">
        <f t="shared" si="87"/>
        <v>1</v>
      </c>
      <c r="H505" s="664"/>
      <c r="I505" s="21">
        <f t="shared" si="88"/>
        <v>1</v>
      </c>
      <c r="J505" s="664"/>
      <c r="K505" s="21">
        <f t="shared" si="89"/>
        <v>1</v>
      </c>
      <c r="L505" s="664"/>
      <c r="M505" s="21">
        <f t="shared" si="90"/>
        <v>1</v>
      </c>
      <c r="N505" s="664"/>
      <c r="O505" s="21">
        <f t="shared" si="91"/>
        <v>1</v>
      </c>
      <c r="P505" s="664"/>
      <c r="Q505" s="21">
        <f t="shared" si="92"/>
        <v>1</v>
      </c>
      <c r="R505" s="660">
        <f t="shared" si="93"/>
        <v>0</v>
      </c>
      <c r="S505" s="313">
        <f t="shared" si="94"/>
        <v>0</v>
      </c>
    </row>
    <row r="506" spans="1:19">
      <c r="A506" s="147"/>
      <c r="B506" s="54"/>
      <c r="C506" s="21">
        <f t="shared" si="85"/>
        <v>1</v>
      </c>
      <c r="D506" s="664"/>
      <c r="E506" s="21">
        <f t="shared" si="86"/>
        <v>1</v>
      </c>
      <c r="F506" s="664"/>
      <c r="G506" s="21">
        <f t="shared" si="87"/>
        <v>1</v>
      </c>
      <c r="H506" s="664"/>
      <c r="I506" s="21">
        <f t="shared" si="88"/>
        <v>1</v>
      </c>
      <c r="J506" s="664"/>
      <c r="K506" s="21">
        <f t="shared" si="89"/>
        <v>1</v>
      </c>
      <c r="L506" s="664"/>
      <c r="M506" s="21">
        <f t="shared" si="90"/>
        <v>1</v>
      </c>
      <c r="N506" s="664"/>
      <c r="O506" s="21">
        <f t="shared" si="91"/>
        <v>1</v>
      </c>
      <c r="P506" s="664"/>
      <c r="Q506" s="21">
        <f t="shared" si="92"/>
        <v>1</v>
      </c>
      <c r="R506" s="660">
        <f t="shared" si="93"/>
        <v>0</v>
      </c>
      <c r="S506" s="313">
        <f t="shared" si="94"/>
        <v>0</v>
      </c>
    </row>
    <row r="507" spans="1:19">
      <c r="A507" s="147"/>
      <c r="B507" s="54"/>
      <c r="C507" s="21">
        <f t="shared" si="85"/>
        <v>1</v>
      </c>
      <c r="D507" s="664"/>
      <c r="E507" s="21">
        <f t="shared" si="86"/>
        <v>1</v>
      </c>
      <c r="F507" s="664"/>
      <c r="G507" s="21">
        <f t="shared" si="87"/>
        <v>1</v>
      </c>
      <c r="H507" s="664"/>
      <c r="I507" s="21">
        <f t="shared" si="88"/>
        <v>1</v>
      </c>
      <c r="J507" s="664"/>
      <c r="K507" s="21">
        <f t="shared" si="89"/>
        <v>1</v>
      </c>
      <c r="L507" s="664"/>
      <c r="M507" s="21">
        <f t="shared" si="90"/>
        <v>1</v>
      </c>
      <c r="N507" s="664"/>
      <c r="O507" s="21">
        <f t="shared" si="91"/>
        <v>1</v>
      </c>
      <c r="P507" s="664"/>
      <c r="Q507" s="21">
        <f t="shared" si="92"/>
        <v>1</v>
      </c>
      <c r="R507" s="660">
        <f t="shared" si="93"/>
        <v>0</v>
      </c>
      <c r="S507" s="313">
        <f t="shared" si="94"/>
        <v>0</v>
      </c>
    </row>
    <row r="508" spans="1:19">
      <c r="A508" s="147"/>
      <c r="B508" s="54"/>
      <c r="C508" s="21">
        <f t="shared" si="85"/>
        <v>1</v>
      </c>
      <c r="D508" s="664"/>
      <c r="E508" s="21">
        <f t="shared" si="86"/>
        <v>1</v>
      </c>
      <c r="F508" s="664"/>
      <c r="G508" s="21">
        <f t="shared" si="87"/>
        <v>1</v>
      </c>
      <c r="H508" s="664"/>
      <c r="I508" s="21">
        <f t="shared" si="88"/>
        <v>1</v>
      </c>
      <c r="J508" s="664"/>
      <c r="K508" s="21">
        <f t="shared" si="89"/>
        <v>1</v>
      </c>
      <c r="L508" s="664"/>
      <c r="M508" s="21">
        <f t="shared" si="90"/>
        <v>1</v>
      </c>
      <c r="N508" s="664"/>
      <c r="O508" s="21">
        <f t="shared" si="91"/>
        <v>1</v>
      </c>
      <c r="P508" s="664"/>
      <c r="Q508" s="21">
        <f t="shared" si="92"/>
        <v>1</v>
      </c>
      <c r="R508" s="660">
        <f t="shared" si="93"/>
        <v>0</v>
      </c>
      <c r="S508" s="313">
        <f t="shared" si="94"/>
        <v>0</v>
      </c>
    </row>
    <row r="509" spans="1:19">
      <c r="A509" s="147"/>
      <c r="B509" s="54"/>
      <c r="C509" s="21">
        <f t="shared" si="85"/>
        <v>1</v>
      </c>
      <c r="D509" s="664"/>
      <c r="E509" s="21">
        <f t="shared" si="86"/>
        <v>1</v>
      </c>
      <c r="F509" s="664"/>
      <c r="G509" s="21">
        <f t="shared" si="87"/>
        <v>1</v>
      </c>
      <c r="H509" s="664"/>
      <c r="I509" s="21">
        <f t="shared" si="88"/>
        <v>1</v>
      </c>
      <c r="J509" s="664"/>
      <c r="K509" s="21">
        <f t="shared" si="89"/>
        <v>1</v>
      </c>
      <c r="L509" s="664"/>
      <c r="M509" s="21">
        <f t="shared" si="90"/>
        <v>1</v>
      </c>
      <c r="N509" s="664"/>
      <c r="O509" s="21">
        <f t="shared" si="91"/>
        <v>1</v>
      </c>
      <c r="P509" s="664"/>
      <c r="Q509" s="21">
        <f t="shared" si="92"/>
        <v>1</v>
      </c>
      <c r="R509" s="660">
        <f t="shared" si="93"/>
        <v>0</v>
      </c>
      <c r="S509" s="313">
        <f t="shared" si="94"/>
        <v>0</v>
      </c>
    </row>
    <row r="510" spans="1:19">
      <c r="A510" s="147"/>
      <c r="B510" s="54"/>
      <c r="C510" s="21">
        <f t="shared" si="85"/>
        <v>1</v>
      </c>
      <c r="D510" s="664"/>
      <c r="E510" s="21">
        <f t="shared" si="86"/>
        <v>1</v>
      </c>
      <c r="F510" s="664"/>
      <c r="G510" s="21">
        <f t="shared" si="87"/>
        <v>1</v>
      </c>
      <c r="H510" s="664"/>
      <c r="I510" s="21">
        <f t="shared" si="88"/>
        <v>1</v>
      </c>
      <c r="J510" s="664"/>
      <c r="K510" s="21">
        <f t="shared" si="89"/>
        <v>1</v>
      </c>
      <c r="L510" s="664"/>
      <c r="M510" s="21">
        <f t="shared" si="90"/>
        <v>1</v>
      </c>
      <c r="N510" s="664"/>
      <c r="O510" s="21">
        <f t="shared" si="91"/>
        <v>1</v>
      </c>
      <c r="P510" s="664"/>
      <c r="Q510" s="21">
        <f t="shared" si="92"/>
        <v>1</v>
      </c>
      <c r="R510" s="660">
        <f t="shared" si="93"/>
        <v>0</v>
      </c>
      <c r="S510" s="313">
        <f t="shared" si="94"/>
        <v>0</v>
      </c>
    </row>
    <row r="511" spans="1:19">
      <c r="A511" s="147"/>
      <c r="B511" s="54"/>
      <c r="C511" s="21">
        <f t="shared" si="85"/>
        <v>1</v>
      </c>
      <c r="D511" s="664"/>
      <c r="E511" s="21">
        <f t="shared" si="86"/>
        <v>1</v>
      </c>
      <c r="F511" s="664"/>
      <c r="G511" s="21">
        <f t="shared" si="87"/>
        <v>1</v>
      </c>
      <c r="H511" s="664"/>
      <c r="I511" s="21">
        <f t="shared" si="88"/>
        <v>1</v>
      </c>
      <c r="J511" s="664"/>
      <c r="K511" s="21">
        <f t="shared" si="89"/>
        <v>1</v>
      </c>
      <c r="L511" s="664"/>
      <c r="M511" s="21">
        <f t="shared" si="90"/>
        <v>1</v>
      </c>
      <c r="N511" s="664"/>
      <c r="O511" s="21">
        <f t="shared" si="91"/>
        <v>1</v>
      </c>
      <c r="P511" s="664"/>
      <c r="Q511" s="21">
        <f t="shared" si="92"/>
        <v>1</v>
      </c>
      <c r="R511" s="660">
        <f t="shared" si="93"/>
        <v>0</v>
      </c>
      <c r="S511" s="313">
        <f t="shared" si="94"/>
        <v>0</v>
      </c>
    </row>
    <row r="512" spans="1:19">
      <c r="A512" s="147"/>
      <c r="B512" s="54"/>
      <c r="C512" s="21">
        <f t="shared" si="85"/>
        <v>1</v>
      </c>
      <c r="D512" s="664"/>
      <c r="E512" s="21">
        <f t="shared" si="86"/>
        <v>1</v>
      </c>
      <c r="F512" s="664"/>
      <c r="G512" s="21">
        <f t="shared" si="87"/>
        <v>1</v>
      </c>
      <c r="H512" s="664"/>
      <c r="I512" s="21">
        <f t="shared" si="88"/>
        <v>1</v>
      </c>
      <c r="J512" s="664"/>
      <c r="K512" s="21">
        <f t="shared" si="89"/>
        <v>1</v>
      </c>
      <c r="L512" s="664"/>
      <c r="M512" s="21">
        <f t="shared" si="90"/>
        <v>1</v>
      </c>
      <c r="N512" s="664"/>
      <c r="O512" s="21">
        <f t="shared" si="91"/>
        <v>1</v>
      </c>
      <c r="P512" s="664"/>
      <c r="Q512" s="21">
        <f t="shared" si="92"/>
        <v>1</v>
      </c>
      <c r="R512" s="660">
        <f t="shared" si="93"/>
        <v>0</v>
      </c>
      <c r="S512" s="313">
        <f t="shared" si="94"/>
        <v>0</v>
      </c>
    </row>
    <row r="513" spans="1:19">
      <c r="A513" s="147"/>
      <c r="B513" s="54"/>
      <c r="C513" s="21">
        <f t="shared" si="85"/>
        <v>1</v>
      </c>
      <c r="D513" s="664"/>
      <c r="E513" s="21">
        <f t="shared" si="86"/>
        <v>1</v>
      </c>
      <c r="F513" s="664"/>
      <c r="G513" s="21">
        <f t="shared" si="87"/>
        <v>1</v>
      </c>
      <c r="H513" s="664"/>
      <c r="I513" s="21">
        <f t="shared" si="88"/>
        <v>1</v>
      </c>
      <c r="J513" s="664"/>
      <c r="K513" s="21">
        <f t="shared" si="89"/>
        <v>1</v>
      </c>
      <c r="L513" s="664"/>
      <c r="M513" s="21">
        <f t="shared" si="90"/>
        <v>1</v>
      </c>
      <c r="N513" s="664"/>
      <c r="O513" s="21">
        <f t="shared" si="91"/>
        <v>1</v>
      </c>
      <c r="P513" s="664"/>
      <c r="Q513" s="21">
        <f t="shared" si="92"/>
        <v>1</v>
      </c>
      <c r="R513" s="660">
        <f t="shared" si="93"/>
        <v>0</v>
      </c>
      <c r="S513" s="313">
        <f t="shared" si="94"/>
        <v>0</v>
      </c>
    </row>
    <row r="514" spans="1:19">
      <c r="A514" s="147"/>
      <c r="B514" s="54"/>
      <c r="C514" s="21">
        <f t="shared" si="85"/>
        <v>1</v>
      </c>
      <c r="D514" s="664"/>
      <c r="E514" s="21">
        <f t="shared" si="86"/>
        <v>1</v>
      </c>
      <c r="F514" s="664"/>
      <c r="G514" s="21">
        <f t="shared" si="87"/>
        <v>1</v>
      </c>
      <c r="H514" s="664"/>
      <c r="I514" s="21">
        <f t="shared" si="88"/>
        <v>1</v>
      </c>
      <c r="J514" s="664"/>
      <c r="K514" s="21">
        <f t="shared" si="89"/>
        <v>1</v>
      </c>
      <c r="L514" s="664"/>
      <c r="M514" s="21">
        <f t="shared" si="90"/>
        <v>1</v>
      </c>
      <c r="N514" s="664"/>
      <c r="O514" s="21">
        <f t="shared" si="91"/>
        <v>1</v>
      </c>
      <c r="P514" s="664"/>
      <c r="Q514" s="21">
        <f t="shared" si="92"/>
        <v>1</v>
      </c>
      <c r="R514" s="660">
        <f t="shared" si="93"/>
        <v>0</v>
      </c>
      <c r="S514" s="313">
        <f t="shared" si="94"/>
        <v>0</v>
      </c>
    </row>
    <row r="515" spans="1:19">
      <c r="A515" s="147"/>
      <c r="B515" s="54"/>
      <c r="C515" s="21">
        <f t="shared" si="85"/>
        <v>1</v>
      </c>
      <c r="D515" s="664"/>
      <c r="E515" s="21">
        <f t="shared" si="86"/>
        <v>1</v>
      </c>
      <c r="F515" s="664"/>
      <c r="G515" s="21">
        <f t="shared" si="87"/>
        <v>1</v>
      </c>
      <c r="H515" s="664"/>
      <c r="I515" s="21">
        <f t="shared" si="88"/>
        <v>1</v>
      </c>
      <c r="J515" s="664"/>
      <c r="K515" s="21">
        <f t="shared" si="89"/>
        <v>1</v>
      </c>
      <c r="L515" s="664"/>
      <c r="M515" s="21">
        <f t="shared" si="90"/>
        <v>1</v>
      </c>
      <c r="N515" s="664"/>
      <c r="O515" s="21">
        <f t="shared" si="91"/>
        <v>1</v>
      </c>
      <c r="P515" s="664"/>
      <c r="Q515" s="21">
        <f t="shared" si="92"/>
        <v>1</v>
      </c>
      <c r="R515" s="660">
        <f t="shared" si="93"/>
        <v>0</v>
      </c>
      <c r="S515" s="313">
        <f t="shared" si="94"/>
        <v>0</v>
      </c>
    </row>
    <row r="516" spans="1:19">
      <c r="A516" s="147"/>
      <c r="B516" s="54"/>
      <c r="C516" s="21">
        <f t="shared" si="85"/>
        <v>1</v>
      </c>
      <c r="D516" s="664"/>
      <c r="E516" s="21">
        <f t="shared" si="86"/>
        <v>1</v>
      </c>
      <c r="F516" s="664"/>
      <c r="G516" s="21">
        <f t="shared" si="87"/>
        <v>1</v>
      </c>
      <c r="H516" s="664"/>
      <c r="I516" s="21">
        <f t="shared" si="88"/>
        <v>1</v>
      </c>
      <c r="J516" s="664"/>
      <c r="K516" s="21">
        <f t="shared" si="89"/>
        <v>1</v>
      </c>
      <c r="L516" s="664"/>
      <c r="M516" s="21">
        <f t="shared" si="90"/>
        <v>1</v>
      </c>
      <c r="N516" s="664"/>
      <c r="O516" s="21">
        <f t="shared" si="91"/>
        <v>1</v>
      </c>
      <c r="P516" s="664"/>
      <c r="Q516" s="21">
        <f t="shared" si="92"/>
        <v>1</v>
      </c>
      <c r="R516" s="660">
        <f t="shared" si="93"/>
        <v>0</v>
      </c>
      <c r="S516" s="313">
        <f t="shared" si="94"/>
        <v>0</v>
      </c>
    </row>
    <row r="517" spans="1:19">
      <c r="A517" s="147"/>
      <c r="B517" s="54"/>
      <c r="C517" s="21">
        <f t="shared" si="85"/>
        <v>1</v>
      </c>
      <c r="D517" s="664"/>
      <c r="E517" s="21">
        <f t="shared" si="86"/>
        <v>1</v>
      </c>
      <c r="F517" s="664"/>
      <c r="G517" s="21">
        <f t="shared" si="87"/>
        <v>1</v>
      </c>
      <c r="H517" s="664"/>
      <c r="I517" s="21">
        <f t="shared" si="88"/>
        <v>1</v>
      </c>
      <c r="J517" s="664"/>
      <c r="K517" s="21">
        <f t="shared" si="89"/>
        <v>1</v>
      </c>
      <c r="L517" s="664"/>
      <c r="M517" s="21">
        <f t="shared" si="90"/>
        <v>1</v>
      </c>
      <c r="N517" s="664"/>
      <c r="O517" s="21">
        <f t="shared" si="91"/>
        <v>1</v>
      </c>
      <c r="P517" s="664"/>
      <c r="Q517" s="21">
        <f t="shared" si="92"/>
        <v>1</v>
      </c>
      <c r="R517" s="660">
        <f t="shared" si="93"/>
        <v>0</v>
      </c>
      <c r="S517" s="313">
        <f t="shared" si="94"/>
        <v>0</v>
      </c>
    </row>
    <row r="518" spans="1:19">
      <c r="A518" s="147"/>
      <c r="B518" s="54"/>
      <c r="C518" s="21">
        <f t="shared" si="85"/>
        <v>1</v>
      </c>
      <c r="D518" s="664"/>
      <c r="E518" s="21">
        <f t="shared" si="86"/>
        <v>1</v>
      </c>
      <c r="F518" s="664"/>
      <c r="G518" s="21">
        <f t="shared" si="87"/>
        <v>1</v>
      </c>
      <c r="H518" s="664"/>
      <c r="I518" s="21">
        <f t="shared" si="88"/>
        <v>1</v>
      </c>
      <c r="J518" s="664"/>
      <c r="K518" s="21">
        <f t="shared" si="89"/>
        <v>1</v>
      </c>
      <c r="L518" s="664"/>
      <c r="M518" s="21">
        <f t="shared" si="90"/>
        <v>1</v>
      </c>
      <c r="N518" s="664"/>
      <c r="O518" s="21">
        <f t="shared" si="91"/>
        <v>1</v>
      </c>
      <c r="P518" s="664"/>
      <c r="Q518" s="21">
        <f t="shared" si="92"/>
        <v>1</v>
      </c>
      <c r="R518" s="660">
        <f t="shared" si="93"/>
        <v>0</v>
      </c>
      <c r="S518" s="313">
        <f t="shared" si="94"/>
        <v>0</v>
      </c>
    </row>
    <row r="519" spans="1:19">
      <c r="A519" s="147"/>
      <c r="B519" s="54"/>
      <c r="C519" s="21">
        <f t="shared" si="85"/>
        <v>1</v>
      </c>
      <c r="D519" s="664"/>
      <c r="E519" s="21">
        <f t="shared" si="86"/>
        <v>1</v>
      </c>
      <c r="F519" s="664"/>
      <c r="G519" s="21">
        <f t="shared" si="87"/>
        <v>1</v>
      </c>
      <c r="H519" s="664"/>
      <c r="I519" s="21">
        <f t="shared" si="88"/>
        <v>1</v>
      </c>
      <c r="J519" s="664"/>
      <c r="K519" s="21">
        <f t="shared" si="89"/>
        <v>1</v>
      </c>
      <c r="L519" s="664"/>
      <c r="M519" s="21">
        <f t="shared" si="90"/>
        <v>1</v>
      </c>
      <c r="N519" s="664"/>
      <c r="O519" s="21">
        <f t="shared" si="91"/>
        <v>1</v>
      </c>
      <c r="P519" s="664"/>
      <c r="Q519" s="21">
        <f t="shared" si="92"/>
        <v>1</v>
      </c>
      <c r="R519" s="660">
        <f t="shared" si="93"/>
        <v>0</v>
      </c>
      <c r="S519" s="313">
        <f t="shared" si="94"/>
        <v>0</v>
      </c>
    </row>
    <row r="520" spans="1:19">
      <c r="A520" s="147"/>
      <c r="B520" s="54"/>
      <c r="C520" s="21">
        <f t="shared" si="85"/>
        <v>1</v>
      </c>
      <c r="D520" s="664"/>
      <c r="E520" s="21">
        <f t="shared" si="86"/>
        <v>1</v>
      </c>
      <c r="F520" s="664"/>
      <c r="G520" s="21">
        <f t="shared" si="87"/>
        <v>1</v>
      </c>
      <c r="H520" s="664"/>
      <c r="I520" s="21">
        <f t="shared" si="88"/>
        <v>1</v>
      </c>
      <c r="J520" s="664"/>
      <c r="K520" s="21">
        <f t="shared" si="89"/>
        <v>1</v>
      </c>
      <c r="L520" s="664"/>
      <c r="M520" s="21">
        <f t="shared" si="90"/>
        <v>1</v>
      </c>
      <c r="N520" s="664"/>
      <c r="O520" s="21">
        <f t="shared" si="91"/>
        <v>1</v>
      </c>
      <c r="P520" s="664"/>
      <c r="Q520" s="21">
        <f t="shared" si="92"/>
        <v>1</v>
      </c>
      <c r="R520" s="660">
        <f t="shared" si="93"/>
        <v>0</v>
      </c>
      <c r="S520" s="313">
        <f t="shared" si="94"/>
        <v>0</v>
      </c>
    </row>
    <row r="521" spans="1:19">
      <c r="A521" s="147"/>
      <c r="B521" s="54"/>
      <c r="C521" s="21">
        <f t="shared" si="85"/>
        <v>1</v>
      </c>
      <c r="D521" s="664"/>
      <c r="E521" s="21">
        <f t="shared" si="86"/>
        <v>1</v>
      </c>
      <c r="F521" s="664"/>
      <c r="G521" s="21">
        <f t="shared" si="87"/>
        <v>1</v>
      </c>
      <c r="H521" s="664"/>
      <c r="I521" s="21">
        <f t="shared" si="88"/>
        <v>1</v>
      </c>
      <c r="J521" s="664"/>
      <c r="K521" s="21">
        <f t="shared" si="89"/>
        <v>1</v>
      </c>
      <c r="L521" s="664"/>
      <c r="M521" s="21">
        <f t="shared" si="90"/>
        <v>1</v>
      </c>
      <c r="N521" s="664"/>
      <c r="O521" s="21">
        <f t="shared" si="91"/>
        <v>1</v>
      </c>
      <c r="P521" s="664"/>
      <c r="Q521" s="21">
        <f t="shared" si="92"/>
        <v>1</v>
      </c>
      <c r="R521" s="660">
        <f t="shared" si="93"/>
        <v>0</v>
      </c>
      <c r="S521" s="313">
        <f t="shared" si="94"/>
        <v>0</v>
      </c>
    </row>
    <row r="522" spans="1:19">
      <c r="A522" s="147"/>
      <c r="B522" s="54"/>
      <c r="C522" s="21">
        <f t="shared" si="85"/>
        <v>1</v>
      </c>
      <c r="D522" s="664"/>
      <c r="E522" s="21">
        <f t="shared" si="86"/>
        <v>1</v>
      </c>
      <c r="F522" s="664"/>
      <c r="G522" s="21">
        <f t="shared" si="87"/>
        <v>1</v>
      </c>
      <c r="H522" s="664"/>
      <c r="I522" s="21">
        <f t="shared" si="88"/>
        <v>1</v>
      </c>
      <c r="J522" s="664"/>
      <c r="K522" s="21">
        <f t="shared" si="89"/>
        <v>1</v>
      </c>
      <c r="L522" s="664"/>
      <c r="M522" s="21">
        <f t="shared" si="90"/>
        <v>1</v>
      </c>
      <c r="N522" s="664"/>
      <c r="O522" s="21">
        <f t="shared" si="91"/>
        <v>1</v>
      </c>
      <c r="P522" s="664"/>
      <c r="Q522" s="21">
        <f t="shared" si="92"/>
        <v>1</v>
      </c>
      <c r="R522" s="660">
        <f t="shared" si="93"/>
        <v>0</v>
      </c>
      <c r="S522" s="313">
        <f t="shared" si="94"/>
        <v>0</v>
      </c>
    </row>
    <row r="523" spans="1:19">
      <c r="A523" s="147"/>
      <c r="B523" s="54"/>
      <c r="C523" s="21">
        <f t="shared" si="85"/>
        <v>1</v>
      </c>
      <c r="D523" s="664"/>
      <c r="E523" s="21">
        <f t="shared" si="86"/>
        <v>1</v>
      </c>
      <c r="F523" s="664"/>
      <c r="G523" s="21">
        <f t="shared" si="87"/>
        <v>1</v>
      </c>
      <c r="H523" s="664"/>
      <c r="I523" s="21">
        <f t="shared" si="88"/>
        <v>1</v>
      </c>
      <c r="J523" s="664"/>
      <c r="K523" s="21">
        <f t="shared" si="89"/>
        <v>1</v>
      </c>
      <c r="L523" s="664"/>
      <c r="M523" s="21">
        <f t="shared" si="90"/>
        <v>1</v>
      </c>
      <c r="N523" s="664"/>
      <c r="O523" s="21">
        <f t="shared" si="91"/>
        <v>1</v>
      </c>
      <c r="P523" s="664"/>
      <c r="Q523" s="21">
        <f t="shared" si="92"/>
        <v>1</v>
      </c>
      <c r="R523" s="660">
        <f t="shared" si="93"/>
        <v>0</v>
      </c>
      <c r="S523" s="313">
        <f t="shared" si="94"/>
        <v>0</v>
      </c>
    </row>
    <row r="524" spans="1:19">
      <c r="A524" s="147"/>
      <c r="B524" s="54"/>
      <c r="C524" s="21">
        <f t="shared" si="85"/>
        <v>1</v>
      </c>
      <c r="D524" s="664"/>
      <c r="E524" s="21">
        <f t="shared" si="86"/>
        <v>1</v>
      </c>
      <c r="F524" s="664"/>
      <c r="G524" s="21">
        <f t="shared" si="87"/>
        <v>1</v>
      </c>
      <c r="H524" s="664"/>
      <c r="I524" s="21">
        <f t="shared" si="88"/>
        <v>1</v>
      </c>
      <c r="J524" s="664"/>
      <c r="K524" s="21">
        <f t="shared" si="89"/>
        <v>1</v>
      </c>
      <c r="L524" s="664"/>
      <c r="M524" s="21">
        <f t="shared" si="90"/>
        <v>1</v>
      </c>
      <c r="N524" s="664"/>
      <c r="O524" s="21">
        <f t="shared" si="91"/>
        <v>1</v>
      </c>
      <c r="P524" s="664"/>
      <c r="Q524" s="21">
        <f t="shared" si="92"/>
        <v>1</v>
      </c>
      <c r="R524" s="660">
        <f t="shared" si="93"/>
        <v>0</v>
      </c>
      <c r="S524" s="313">
        <f t="shared" si="94"/>
        <v>0</v>
      </c>
    </row>
  </sheetData>
  <sheetProtection password="CEE9" sheet="1" objects="1" scenarios="1" formatCells="0" formatColumns="0" formatRows="0"/>
  <mergeCells count="2">
    <mergeCell ref="C22:Q22"/>
    <mergeCell ref="C1:S1"/>
  </mergeCells>
  <phoneticPr fontId="24" type="noConversion"/>
  <conditionalFormatting sqref="C24:C524 E24:E524 G24:G524 I24:I524 K24:K524 M24:M524 O24:O524 Q24:Q524">
    <cfRule type="cellIs" dxfId="6"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SheetLayoutView="100" workbookViewId="0">
      <selection activeCell="H3" sqref="H3"/>
    </sheetView>
  </sheetViews>
  <sheetFormatPr defaultColWidth="9" defaultRowHeight="14.25"/>
  <cols>
    <col min="1" max="1" width="23.375" style="1473" customWidth="1"/>
    <col min="2" max="2" width="12.5" style="1473" customWidth="1"/>
    <col min="3" max="3" width="12.125" style="1473" customWidth="1"/>
    <col min="4" max="4" width="14.125" style="1473" customWidth="1"/>
    <col min="5" max="5" width="12.5" style="1473" customWidth="1"/>
    <col min="6" max="16384" width="9" style="1473"/>
  </cols>
  <sheetData>
    <row r="1" spans="1:16" ht="21">
      <c r="A1" s="1863" t="s">
        <v>2081</v>
      </c>
      <c r="B1" s="2140"/>
      <c r="C1" s="2140"/>
      <c r="D1" s="2140"/>
      <c r="E1" s="2140"/>
      <c r="F1" s="2785"/>
      <c r="G1" s="2785"/>
      <c r="H1" s="2785"/>
      <c r="I1" s="2785"/>
      <c r="J1" s="2785"/>
      <c r="K1" s="2785"/>
      <c r="L1" s="2785"/>
      <c r="M1" s="2785"/>
      <c r="N1" s="2785"/>
      <c r="O1" s="2785"/>
      <c r="P1" s="2785"/>
    </row>
    <row r="2" spans="1:16" ht="15.75">
      <c r="A2" s="2138" t="s">
        <v>2073</v>
      </c>
      <c r="B2" s="2594" t="e">
        <f ca="1">SUMIF(B6:B13,"&lt;&gt;#ref!",B6:B13)</f>
        <v>#DIV/0!</v>
      </c>
      <c r="C2" s="2138" t="s">
        <v>2074</v>
      </c>
      <c r="D2" s="2138" t="s">
        <v>2075</v>
      </c>
      <c r="E2" s="2604">
        <f ca="1">SUMIF(E6:E13,"&lt;&gt;#ref!",E6:E13)</f>
        <v>0</v>
      </c>
      <c r="F2" s="2785"/>
      <c r="G2" s="2785"/>
      <c r="H2" s="2785"/>
      <c r="I2" s="2785"/>
      <c r="J2" s="2785"/>
      <c r="K2" s="2785"/>
      <c r="L2" s="2785"/>
      <c r="M2" s="2785"/>
      <c r="N2" s="2785"/>
      <c r="O2" s="2785"/>
      <c r="P2" s="2785"/>
    </row>
    <row r="3" spans="1:16" ht="15.75">
      <c r="A3" s="2138" t="s">
        <v>2076</v>
      </c>
      <c r="B3" s="2594" t="e">
        <f ca="1">ROUND(B2*10000/E2,0)</f>
        <v>#DIV/0!</v>
      </c>
      <c r="C3" s="2138" t="s">
        <v>2082</v>
      </c>
      <c r="D3" s="2785"/>
      <c r="E3" s="2785"/>
      <c r="F3" s="2785"/>
      <c r="G3" s="2785"/>
      <c r="H3" s="2785"/>
      <c r="I3" s="2785"/>
      <c r="J3" s="2785"/>
      <c r="K3" s="2785"/>
      <c r="L3" s="2785"/>
      <c r="M3" s="2785"/>
      <c r="N3" s="2785"/>
      <c r="O3" s="2785"/>
      <c r="P3" s="2785"/>
    </row>
    <row r="4" spans="1:16" ht="15.75">
      <c r="A4" s="2786"/>
      <c r="B4" s="2785"/>
      <c r="C4" s="2785"/>
      <c r="D4" s="2785"/>
      <c r="E4" s="2785"/>
      <c r="F4" s="2785"/>
      <c r="G4" s="2785"/>
      <c r="H4" s="2785"/>
      <c r="I4" s="2785"/>
      <c r="J4" s="2785"/>
      <c r="K4" s="2785"/>
      <c r="L4" s="2785"/>
      <c r="M4" s="2785"/>
      <c r="N4" s="2785"/>
      <c r="O4" s="2785"/>
      <c r="P4" s="2785"/>
    </row>
    <row r="5" spans="1:16" ht="28.5">
      <c r="A5" s="2600" t="s">
        <v>2077</v>
      </c>
      <c r="B5" s="2602" t="s">
        <v>2078</v>
      </c>
      <c r="C5" s="2139"/>
      <c r="D5" s="2785"/>
      <c r="E5" s="2603" t="s">
        <v>2079</v>
      </c>
      <c r="F5" s="2785"/>
      <c r="G5" s="2785"/>
      <c r="H5" s="2785"/>
      <c r="I5" s="2785"/>
      <c r="J5" s="2785"/>
      <c r="K5" s="2785"/>
      <c r="L5" s="2785"/>
      <c r="M5" s="2785"/>
      <c r="N5" s="2785"/>
      <c r="O5" s="2785"/>
      <c r="P5" s="2785"/>
    </row>
    <row r="6" spans="1:16" ht="15.75">
      <c r="A6" s="2601" t="s">
        <v>2080</v>
      </c>
      <c r="B6" s="2594" t="e">
        <f ca="1">SUMIF(INDIRECT("'"&amp;A6&amp;"'"&amp;"!A:A"),"总价",INDIRECT("'"&amp;A6&amp;"'"&amp;"!B:B"))</f>
        <v>#DIV/0!</v>
      </c>
      <c r="C6" s="2138" t="s">
        <v>2074</v>
      </c>
      <c r="D6" s="2785"/>
      <c r="E6" s="2604">
        <f ca="1">SUMIF(INDIRECT("'"&amp;A6&amp;"'"&amp;"!C:C"),"建筑面积",INDIRECT("'"&amp;A6&amp;"'"&amp;"!D:D"))</f>
        <v>0</v>
      </c>
      <c r="F6" s="2785"/>
      <c r="G6" s="2785"/>
      <c r="H6" s="2785"/>
      <c r="I6" s="2785"/>
      <c r="J6" s="2785"/>
      <c r="K6" s="2785"/>
      <c r="L6" s="2785"/>
      <c r="M6" s="2785"/>
      <c r="N6" s="2785"/>
      <c r="O6" s="2785"/>
      <c r="P6" s="2785"/>
    </row>
    <row r="7" spans="1:16" ht="15.75">
      <c r="A7" s="2601"/>
      <c r="B7" s="2594" t="e">
        <f ca="1">SUMIF(INDIRECT("'"&amp;A7&amp;"'"&amp;"!A:A"),"总价",INDIRECT("'"&amp;A7&amp;"'"&amp;"!B:B"))</f>
        <v>#REF!</v>
      </c>
      <c r="C7" s="2138" t="s">
        <v>2074</v>
      </c>
      <c r="D7" s="2785"/>
      <c r="E7" s="2604" t="e">
        <f t="shared" ref="E7:E13" ca="1" si="0">SUMIF(INDIRECT("'"&amp;A7&amp;"'"&amp;"!C:C"),"建筑面积",INDIRECT("'"&amp;A7&amp;"'"&amp;"!D:D"))</f>
        <v>#REF!</v>
      </c>
      <c r="F7" s="2785"/>
      <c r="G7" s="2785"/>
      <c r="H7" s="2785"/>
      <c r="I7" s="2785"/>
      <c r="J7" s="2785"/>
      <c r="K7" s="2785"/>
      <c r="L7" s="2785"/>
      <c r="M7" s="2785"/>
      <c r="N7" s="2785"/>
      <c r="O7" s="2785"/>
      <c r="P7" s="2785"/>
    </row>
    <row r="8" spans="1:16" ht="15.75">
      <c r="A8" s="2601"/>
      <c r="B8" s="2594" t="e">
        <f t="shared" ref="B8:B13" ca="1" si="1">SUMIF(INDIRECT("'"&amp;A8&amp;"'"&amp;"!A:A"),"总价",INDIRECT("'"&amp;A8&amp;"'"&amp;"!B:B"))</f>
        <v>#REF!</v>
      </c>
      <c r="C8" s="2138" t="s">
        <v>2074</v>
      </c>
      <c r="D8" s="2785"/>
      <c r="E8" s="2604" t="e">
        <f t="shared" ca="1" si="0"/>
        <v>#REF!</v>
      </c>
      <c r="F8" s="2785"/>
      <c r="G8" s="2785"/>
      <c r="H8" s="2785"/>
      <c r="I8" s="2785"/>
      <c r="J8" s="2785"/>
      <c r="K8" s="2785"/>
      <c r="L8" s="2785"/>
      <c r="M8" s="2785"/>
      <c r="N8" s="2785"/>
      <c r="O8" s="2785"/>
      <c r="P8" s="2785"/>
    </row>
    <row r="9" spans="1:16" ht="15.75">
      <c r="A9" s="2601"/>
      <c r="B9" s="2594" t="e">
        <f t="shared" ca="1" si="1"/>
        <v>#REF!</v>
      </c>
      <c r="C9" s="2138" t="s">
        <v>2074</v>
      </c>
      <c r="D9" s="2785"/>
      <c r="E9" s="2604" t="e">
        <f t="shared" ca="1" si="0"/>
        <v>#REF!</v>
      </c>
      <c r="F9" s="2785"/>
      <c r="G9" s="2785"/>
      <c r="H9" s="2785"/>
      <c r="I9" s="2785"/>
      <c r="J9" s="2785"/>
      <c r="K9" s="2785"/>
      <c r="L9" s="2785"/>
      <c r="M9" s="2785"/>
      <c r="N9" s="2785"/>
      <c r="O9" s="2785"/>
      <c r="P9" s="2785"/>
    </row>
    <row r="10" spans="1:16" ht="15.75">
      <c r="A10" s="2601"/>
      <c r="B10" s="2594" t="e">
        <f t="shared" ca="1" si="1"/>
        <v>#REF!</v>
      </c>
      <c r="C10" s="2138" t="s">
        <v>2074</v>
      </c>
      <c r="D10" s="2785"/>
      <c r="E10" s="2604" t="e">
        <f t="shared" ca="1" si="0"/>
        <v>#REF!</v>
      </c>
      <c r="F10" s="2785"/>
      <c r="G10" s="2785"/>
      <c r="H10" s="2785"/>
      <c r="I10" s="2785"/>
      <c r="J10" s="2785"/>
      <c r="K10" s="2785"/>
      <c r="L10" s="2785"/>
      <c r="M10" s="2785"/>
      <c r="N10" s="2785"/>
      <c r="O10" s="2785"/>
      <c r="P10" s="2785"/>
    </row>
    <row r="11" spans="1:16" ht="15.75">
      <c r="A11" s="2601"/>
      <c r="B11" s="2594" t="e">
        <f t="shared" ca="1" si="1"/>
        <v>#REF!</v>
      </c>
      <c r="C11" s="2138" t="s">
        <v>2074</v>
      </c>
      <c r="D11" s="2785"/>
      <c r="E11" s="2604" t="e">
        <f t="shared" ca="1" si="0"/>
        <v>#REF!</v>
      </c>
      <c r="F11" s="2785"/>
      <c r="G11" s="2785"/>
      <c r="H11" s="2785"/>
      <c r="I11" s="2785"/>
      <c r="J11" s="2785"/>
      <c r="K11" s="2785"/>
      <c r="L11" s="2785"/>
      <c r="M11" s="2785"/>
      <c r="N11" s="2785"/>
      <c r="O11" s="2785"/>
      <c r="P11" s="2785"/>
    </row>
    <row r="12" spans="1:16" ht="15.75">
      <c r="A12" s="2601"/>
      <c r="B12" s="2594" t="e">
        <f t="shared" ca="1" si="1"/>
        <v>#REF!</v>
      </c>
      <c r="C12" s="2138" t="s">
        <v>2074</v>
      </c>
      <c r="D12" s="2785"/>
      <c r="E12" s="2604" t="e">
        <f t="shared" ca="1" si="0"/>
        <v>#REF!</v>
      </c>
      <c r="F12" s="2785"/>
      <c r="G12" s="2785"/>
      <c r="H12" s="2785"/>
      <c r="I12" s="2785"/>
      <c r="J12" s="2785"/>
      <c r="K12" s="2785"/>
      <c r="L12" s="2785"/>
      <c r="M12" s="2785"/>
      <c r="N12" s="2785"/>
      <c r="O12" s="2785"/>
      <c r="P12" s="2785"/>
    </row>
    <row r="13" spans="1:16" ht="15.75">
      <c r="A13" s="2601"/>
      <c r="B13" s="2594" t="e">
        <f t="shared" ca="1" si="1"/>
        <v>#REF!</v>
      </c>
      <c r="C13" s="2138" t="s">
        <v>2074</v>
      </c>
      <c r="D13" s="2785"/>
      <c r="E13" s="2604" t="e">
        <f t="shared" ca="1" si="0"/>
        <v>#REF!</v>
      </c>
      <c r="F13" s="2785"/>
      <c r="G13" s="2785"/>
      <c r="H13" s="2785"/>
      <c r="I13" s="2785"/>
      <c r="J13" s="2785"/>
      <c r="K13" s="2785"/>
      <c r="L13" s="2785"/>
      <c r="M13" s="2785"/>
      <c r="N13" s="2785"/>
      <c r="O13" s="2785"/>
      <c r="P13" s="2785"/>
    </row>
    <row r="14" spans="1:16">
      <c r="A14" s="2785"/>
      <c r="B14" s="2785"/>
      <c r="C14" s="2785"/>
      <c r="D14" s="2785"/>
      <c r="E14" s="2785"/>
      <c r="F14" s="2785"/>
      <c r="G14" s="2785"/>
      <c r="H14" s="2785"/>
      <c r="I14" s="2785"/>
      <c r="J14" s="2785"/>
      <c r="K14" s="2785"/>
      <c r="L14" s="2785"/>
      <c r="M14" s="2785"/>
      <c r="N14" s="2785"/>
      <c r="O14" s="2785"/>
      <c r="P14" s="2785"/>
    </row>
    <row r="15" spans="1:16">
      <c r="A15" s="2785"/>
      <c r="B15" s="2785"/>
      <c r="C15" s="2785"/>
      <c r="D15" s="2785"/>
      <c r="E15" s="2785"/>
      <c r="F15" s="2785"/>
      <c r="G15" s="2785"/>
      <c r="H15" s="2785"/>
      <c r="I15" s="2785"/>
      <c r="J15" s="2785"/>
      <c r="K15" s="2785"/>
      <c r="L15" s="2785"/>
      <c r="M15" s="2785"/>
      <c r="N15" s="2785"/>
      <c r="O15" s="2785"/>
      <c r="P15" s="2785"/>
    </row>
    <row r="16" spans="1:16">
      <c r="A16" s="2785"/>
      <c r="B16" s="2785"/>
      <c r="C16" s="2785"/>
      <c r="D16" s="2785"/>
      <c r="E16" s="2785"/>
      <c r="F16" s="2785"/>
      <c r="G16" s="2785"/>
      <c r="H16" s="2785"/>
      <c r="I16" s="2785"/>
      <c r="J16" s="2785"/>
      <c r="K16" s="2785"/>
      <c r="L16" s="2785"/>
      <c r="M16" s="2785"/>
      <c r="N16" s="2785"/>
      <c r="O16" s="2785"/>
      <c r="P16" s="2785"/>
    </row>
    <row r="17" spans="1:16">
      <c r="A17" s="2785"/>
      <c r="B17" s="2785"/>
      <c r="C17" s="2785"/>
      <c r="D17" s="2785"/>
      <c r="E17" s="2785"/>
      <c r="F17" s="2785"/>
      <c r="G17" s="2785"/>
      <c r="H17" s="2785"/>
      <c r="I17" s="2785"/>
      <c r="J17" s="2785"/>
      <c r="K17" s="2785"/>
      <c r="L17" s="2785"/>
      <c r="M17" s="2785"/>
      <c r="N17" s="2785"/>
      <c r="O17" s="2785"/>
      <c r="P17" s="2785"/>
    </row>
    <row r="18" spans="1:16">
      <c r="A18" s="2785"/>
      <c r="B18" s="2785"/>
      <c r="C18" s="2785"/>
      <c r="D18" s="2785"/>
      <c r="E18" s="2785"/>
      <c r="F18" s="2785"/>
      <c r="G18" s="2785"/>
      <c r="H18" s="2785"/>
      <c r="I18" s="2785"/>
      <c r="J18" s="2785"/>
      <c r="K18" s="2785"/>
      <c r="L18" s="2785"/>
      <c r="M18" s="2785"/>
      <c r="N18" s="2785"/>
      <c r="O18" s="2785"/>
      <c r="P18" s="2785"/>
    </row>
    <row r="19" spans="1:16">
      <c r="A19" s="2785"/>
      <c r="B19" s="2785"/>
      <c r="C19" s="2785"/>
      <c r="D19" s="2785"/>
      <c r="E19" s="2785"/>
      <c r="F19" s="2785"/>
      <c r="G19" s="2785"/>
      <c r="H19" s="2785"/>
      <c r="I19" s="2785"/>
      <c r="J19" s="2785"/>
      <c r="K19" s="2785"/>
      <c r="L19" s="2785"/>
      <c r="M19" s="2785"/>
      <c r="N19" s="2785"/>
      <c r="O19" s="2785"/>
      <c r="P19" s="2785"/>
    </row>
    <row r="20" spans="1:16">
      <c r="A20" s="2785"/>
      <c r="B20" s="2785"/>
      <c r="C20" s="2785"/>
      <c r="D20" s="2785"/>
      <c r="E20" s="2785"/>
      <c r="F20" s="2785"/>
      <c r="G20" s="2785"/>
      <c r="H20" s="2785"/>
      <c r="I20" s="2785"/>
      <c r="J20" s="2785"/>
      <c r="K20" s="2785"/>
      <c r="L20" s="2785"/>
      <c r="M20" s="2785"/>
      <c r="N20" s="2785"/>
      <c r="O20" s="2785"/>
      <c r="P20" s="2785"/>
    </row>
    <row r="21" spans="1:16">
      <c r="A21" s="2785"/>
      <c r="B21" s="2785"/>
      <c r="C21" s="2785"/>
      <c r="D21" s="2785"/>
      <c r="E21" s="2785"/>
      <c r="F21" s="2785"/>
      <c r="G21" s="2785"/>
      <c r="H21" s="2785"/>
      <c r="I21" s="2785"/>
      <c r="J21" s="2785"/>
      <c r="K21" s="2785"/>
      <c r="L21" s="2785"/>
      <c r="M21" s="2785"/>
      <c r="N21" s="2785"/>
      <c r="O21" s="2785"/>
      <c r="P21" s="2785"/>
    </row>
  </sheetData>
  <sheetProtection password="CEE9" sheet="1" objects="1" scenarios="1" formatCells="0" formatColumns="0" formatRows="0"/>
  <phoneticPr fontId="134"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22"/>
  <sheetViews>
    <sheetView view="pageBreakPreview" topLeftCell="A13" zoomScale="70" zoomScaleNormal="80" zoomScaleSheetLayoutView="70" workbookViewId="0">
      <selection activeCell="L37" sqref="L37"/>
    </sheetView>
  </sheetViews>
  <sheetFormatPr defaultColWidth="12" defaultRowHeight="12.75"/>
  <cols>
    <col min="1" max="1" width="9.875" style="2046" customWidth="1"/>
    <col min="2" max="2" width="22.5" style="2137" customWidth="1"/>
    <col min="3" max="3" width="12" style="1991"/>
    <col min="4" max="4" width="14.875" style="1991" customWidth="1"/>
    <col min="5" max="5" width="14.625" style="1991" customWidth="1"/>
    <col min="6" max="8" width="12" style="1991"/>
    <col min="9" max="9" width="12.125" style="1991" bestFit="1" customWidth="1"/>
    <col min="10" max="10" width="12" style="1991"/>
    <col min="11" max="11" width="8.125" style="2042" customWidth="1"/>
    <col min="12" max="12" width="19.5" style="1991" customWidth="1"/>
    <col min="13" max="13" width="8.5" style="1991" customWidth="1"/>
    <col min="14" max="14" width="9.875" style="1991" customWidth="1"/>
    <col min="15" max="25" width="12" style="1991"/>
    <col min="26" max="26" width="9.375" style="2046" customWidth="1"/>
    <col min="27" max="32" width="9.375" style="1117" customWidth="1"/>
    <col min="33" max="36" width="9.375" style="2046" customWidth="1"/>
    <col min="37" max="38" width="9.375" style="1991" customWidth="1"/>
    <col min="39" max="16384" width="12" style="1991"/>
  </cols>
  <sheetData>
    <row r="1" spans="1:36" ht="28.5">
      <c r="A1" s="193" t="s">
        <v>1926</v>
      </c>
      <c r="B1" s="194"/>
      <c r="C1" s="198" t="s">
        <v>1927</v>
      </c>
      <c r="D1" s="339">
        <f>SUM(D33:D34,D37:D42)</f>
        <v>0</v>
      </c>
      <c r="E1" s="1988"/>
      <c r="F1" s="1988"/>
      <c r="G1" s="1988"/>
      <c r="H1" s="1988"/>
      <c r="I1" s="1988"/>
      <c r="J1" s="1988"/>
      <c r="K1" s="1115"/>
      <c r="L1" s="1989" t="s">
        <v>1928</v>
      </c>
      <c r="M1" s="859">
        <f>SUMPRODUCT((区片价!B5:B9=I2)*(区片价!C3:G3=E2)*(区片价!C5:G9))</f>
        <v>0</v>
      </c>
      <c r="N1" s="862">
        <f>SUMPRODUCT((因素修正幅度!B5:B9=I2)*(因素修正幅度!C3:G3=E2)*(因素修正幅度!C5:G9))</f>
        <v>0</v>
      </c>
      <c r="O1" s="1990"/>
      <c r="P1" s="1990"/>
      <c r="Q1" s="1115"/>
      <c r="R1" s="1208" t="s">
        <v>1929</v>
      </c>
      <c r="S1" s="1208" t="s">
        <v>1930</v>
      </c>
      <c r="T1" s="1208" t="s">
        <v>1931</v>
      </c>
      <c r="U1" s="1208" t="s">
        <v>1932</v>
      </c>
      <c r="V1" s="1208" t="s">
        <v>1933</v>
      </c>
      <c r="W1" s="1212"/>
      <c r="X1" s="1212"/>
      <c r="Y1" s="1212"/>
      <c r="Z1" s="1212"/>
      <c r="AA1" s="1212"/>
      <c r="AB1" s="1212"/>
      <c r="AC1" s="1213"/>
      <c r="AD1" s="1214"/>
      <c r="AE1" s="1214"/>
      <c r="AF1" s="1214"/>
      <c r="AG1" s="1214"/>
      <c r="AH1" s="1214"/>
      <c r="AI1" s="1214"/>
      <c r="AJ1" s="1215"/>
    </row>
    <row r="2" spans="1:36" ht="15.75">
      <c r="A2" s="198" t="s">
        <v>1934</v>
      </c>
      <c r="B2" s="201" t="e">
        <f>C30</f>
        <v>#DIV/0!</v>
      </c>
      <c r="C2" s="1992" t="s">
        <v>1935</v>
      </c>
      <c r="D2" s="1993" t="s">
        <v>1936</v>
      </c>
      <c r="E2" s="3414"/>
      <c r="F2" s="1993" t="s">
        <v>1937</v>
      </c>
      <c r="G2" s="1994">
        <f>IF(E2="商业",项目基本情况!B37,IF(E2="办公",项目基本情况!C37,IF(E2="住宅",项目基本情况!D37,IF(E2="工业",项目基本情况!E37,项目基本情况!F37))))</f>
        <v>0</v>
      </c>
      <c r="H2" s="1993" t="s">
        <v>1938</v>
      </c>
      <c r="I2" s="1994">
        <f>IF(E2="商业",项目基本情况!B38,IF(E2="办公",项目基本情况!C38,IF(E2="住宅",项目基本情况!D38,IF(E2="工业",项目基本情况!E38,项目基本情况!F38))))</f>
        <v>0</v>
      </c>
      <c r="J2" s="1995"/>
      <c r="K2" s="1115"/>
      <c r="L2" s="1996" t="s">
        <v>1939</v>
      </c>
      <c r="M2" s="860">
        <f>SUMPRODUCT((区片价!B10:B29=I2)*(区片价!C3:G3=E2)*(区片价!C10:G29))</f>
        <v>0</v>
      </c>
      <c r="N2" s="862">
        <f>SUMPRODUCT((因素修正幅度!B10:B29=I2)*(因素修正幅度!C3:G3=E2)*(因素修正幅度!C10:G29))</f>
        <v>0</v>
      </c>
      <c r="O2" s="1115"/>
      <c r="P2" s="1115"/>
      <c r="Q2" s="1115"/>
      <c r="R2" s="1208">
        <v>1</v>
      </c>
      <c r="S2" s="3353">
        <f>ROUND(SUMPRODUCT((B106:B110=R2)*(C105:N105=G2)*(C106:N110)),4)</f>
        <v>0</v>
      </c>
      <c r="T2" s="3353" t="e">
        <f t="shared" ref="T2:T16" si="0">ROUND($C$5*$C$22*$C$23*$C$24*S2*$C$28,0)</f>
        <v>#DIV/0!</v>
      </c>
      <c r="U2" s="1209"/>
      <c r="V2" s="3353" t="e">
        <f>ROUND(T2*U2/10000,0)</f>
        <v>#DIV/0!</v>
      </c>
      <c r="W2" s="1212"/>
      <c r="X2" s="1212"/>
      <c r="Y2" s="1212"/>
      <c r="Z2" s="1212"/>
      <c r="AA2" s="1212"/>
      <c r="AB2" s="1212"/>
      <c r="AC2" s="1213"/>
      <c r="AD2" s="1214"/>
      <c r="AE2" s="1214"/>
      <c r="AF2" s="1214"/>
      <c r="AG2" s="1214"/>
      <c r="AH2" s="1214"/>
      <c r="AI2" s="1214"/>
      <c r="AJ2" s="1215"/>
    </row>
    <row r="3" spans="1:36" ht="15.75">
      <c r="A3" s="200" t="s">
        <v>1940</v>
      </c>
      <c r="B3" s="201" t="e">
        <f>ROUND(B2*10000/D1,0)</f>
        <v>#DIV/0!</v>
      </c>
      <c r="C3" s="1992" t="s">
        <v>1941</v>
      </c>
      <c r="D3" s="1993" t="s">
        <v>1942</v>
      </c>
      <c r="E3" s="3412"/>
      <c r="F3" s="1997"/>
      <c r="G3" s="748">
        <f>IF(F3="宗地容积率",'数据-汇总表'!I4,IF(F3="估价对象容积率",'数据-汇总表'!I6,'数据-汇总表'!I7))</f>
        <v>0</v>
      </c>
      <c r="H3" s="167" t="s">
        <v>1943</v>
      </c>
      <c r="I3" s="771"/>
      <c r="J3" s="1995" t="s">
        <v>1944</v>
      </c>
      <c r="K3" s="1115"/>
      <c r="L3" s="1996" t="s">
        <v>1945</v>
      </c>
      <c r="M3" s="860">
        <f>SUMPRODUCT((区片价!B30:B54=I2)*(区片价!C3:G3=E2)*(区片价!C30:G54))</f>
        <v>0</v>
      </c>
      <c r="N3" s="862">
        <f>SUMPRODUCT((因素修正幅度!B30:B54=I2)*(因素修正幅度!C3:G3=E2)*(因素修正幅度!C30:G54))</f>
        <v>0</v>
      </c>
      <c r="O3" s="1115"/>
      <c r="P3" s="1115"/>
      <c r="Q3" s="1115"/>
      <c r="R3" s="1208">
        <v>2</v>
      </c>
      <c r="S3" s="3353">
        <f>ROUND(SUMPRODUCT((B106:B110=R3)*(C105:N105=G2)*(C106:N110)),4)</f>
        <v>0</v>
      </c>
      <c r="T3" s="3353" t="e">
        <f t="shared" si="0"/>
        <v>#DIV/0!</v>
      </c>
      <c r="U3" s="1209"/>
      <c r="V3" s="3353" t="e">
        <f t="shared" ref="V3:V16" si="1">ROUND(T3*U3/10000,0)</f>
        <v>#DIV/0!</v>
      </c>
      <c r="W3" s="1212"/>
      <c r="X3" s="1212"/>
      <c r="Y3" s="1212"/>
      <c r="Z3" s="1212"/>
      <c r="AA3" s="1212"/>
      <c r="AB3" s="1212"/>
      <c r="AC3" s="1213"/>
      <c r="AD3" s="1214"/>
      <c r="AE3" s="1214"/>
      <c r="AF3" s="1214"/>
      <c r="AG3" s="1214"/>
      <c r="AH3" s="1214"/>
      <c r="AI3" s="1214"/>
      <c r="AJ3" s="1215"/>
    </row>
    <row r="4" spans="1:36" ht="15.75">
      <c r="A4" s="3857"/>
      <c r="B4" s="3858"/>
      <c r="C4" s="3858"/>
      <c r="D4" s="3859"/>
      <c r="E4" s="3859"/>
      <c r="F4" s="3859"/>
      <c r="G4" s="3859"/>
      <c r="H4" s="3859"/>
      <c r="I4" s="3859"/>
      <c r="J4" s="3860"/>
      <c r="K4" s="1115"/>
      <c r="L4" s="1996" t="s">
        <v>1946</v>
      </c>
      <c r="M4" s="860">
        <f>SUMPRODUCT((区片价!B55:B86=I2)*(区片价!C3:G3=E2)*(区片价!C55:G86))</f>
        <v>0</v>
      </c>
      <c r="N4" s="862">
        <f>SUMPRODUCT((因素修正幅度!B55:B86=I2)*(因素修正幅度!C3:G3=E2)*(因素修正幅度!C55:G86))</f>
        <v>0</v>
      </c>
      <c r="O4" s="1115"/>
      <c r="P4" s="1115"/>
      <c r="Q4" s="1115"/>
      <c r="R4" s="1208">
        <v>3</v>
      </c>
      <c r="S4" s="3353">
        <f>ROUND(SUMPRODUCT((B106:B110=R4)*(C105:N105=G2)*(C106:N110)),4)</f>
        <v>0</v>
      </c>
      <c r="T4" s="3353" t="e">
        <f t="shared" si="0"/>
        <v>#DIV/0!</v>
      </c>
      <c r="U4" s="1209"/>
      <c r="V4" s="3353" t="e">
        <f t="shared" si="1"/>
        <v>#DIV/0!</v>
      </c>
      <c r="W4" s="1212"/>
      <c r="X4" s="1212"/>
      <c r="Y4" s="1212"/>
      <c r="Z4" s="1212"/>
      <c r="AA4" s="1212"/>
      <c r="AB4" s="1212"/>
      <c r="AC4" s="1213"/>
      <c r="AD4" s="1214"/>
      <c r="AE4" s="1214"/>
      <c r="AF4" s="1214"/>
      <c r="AG4" s="1214"/>
      <c r="AH4" s="1214"/>
      <c r="AI4" s="1214"/>
      <c r="AJ4" s="1215"/>
    </row>
    <row r="5" spans="1:36" s="2007" customFormat="1" ht="15.75" thickBot="1">
      <c r="A5" s="1998" t="s">
        <v>362</v>
      </c>
      <c r="B5" s="1999" t="s">
        <v>1947</v>
      </c>
      <c r="C5" s="749" t="e">
        <f>ROUND(IF(E2="商业",C6*C7*C17+C20,(IF(E2="住宅",C6*C13*C17+C20,IF(E2="办公",C6*C12*C17+C20,C6+C20)))),0)</f>
        <v>#DIV/0!</v>
      </c>
      <c r="D5" s="1335" t="e">
        <f>ROUND(C6*C17+C20,0)</f>
        <v>#DIV/0!</v>
      </c>
      <c r="E5" s="1335"/>
      <c r="F5" s="2000"/>
      <c r="G5" s="2001"/>
      <c r="H5" s="2001"/>
      <c r="I5" s="2001"/>
      <c r="J5" s="2002"/>
      <c r="K5" s="2003"/>
      <c r="L5" s="1996" t="s">
        <v>1948</v>
      </c>
      <c r="M5" s="860">
        <f>SUMPRODUCT((区片价!B87:B126=I2)*(区片价!C3:G3=E2)*(区片价!C87:G126))</f>
        <v>0</v>
      </c>
      <c r="N5" s="862">
        <f>SUMPRODUCT((因素修正幅度!B87:B126=I2)*(因素修正幅度!C3:G3=E2)*(因素修正幅度!C87:G126))</f>
        <v>0</v>
      </c>
      <c r="O5" s="1115"/>
      <c r="P5" s="1115"/>
      <c r="Q5" s="1115"/>
      <c r="R5" s="1208">
        <v>4</v>
      </c>
      <c r="S5" s="3353">
        <f>ROUND(SUMPRODUCT((B106:B110=R5)*(C105:N105=G2)*(C106:N110)),4)</f>
        <v>0</v>
      </c>
      <c r="T5" s="3353" t="e">
        <f t="shared" si="0"/>
        <v>#DIV/0!</v>
      </c>
      <c r="U5" s="1209"/>
      <c r="V5" s="3353" t="e">
        <f t="shared" si="1"/>
        <v>#DIV/0!</v>
      </c>
      <c r="W5" s="1212"/>
      <c r="X5" s="1212"/>
      <c r="Y5" s="1212"/>
      <c r="Z5" s="1212"/>
      <c r="AA5" s="1212"/>
      <c r="AB5" s="1212"/>
      <c r="AC5" s="2004"/>
      <c r="AD5" s="2005"/>
      <c r="AE5" s="2005"/>
      <c r="AF5" s="2005"/>
      <c r="AG5" s="2005"/>
      <c r="AH5" s="2005"/>
      <c r="AI5" s="2005"/>
      <c r="AJ5" s="2006"/>
    </row>
    <row r="6" spans="1:36" ht="15.75" thickBot="1">
      <c r="A6" s="2008" t="s">
        <v>1949</v>
      </c>
      <c r="B6" s="2009" t="s">
        <v>1950</v>
      </c>
      <c r="C6" s="750">
        <f>SUMIF(L1:L12,G2,M1:M12)</f>
        <v>0</v>
      </c>
      <c r="D6" s="2010"/>
      <c r="E6" s="2011"/>
      <c r="F6" s="2011"/>
      <c r="G6" s="2012"/>
      <c r="H6" s="2012"/>
      <c r="I6" s="2012"/>
      <c r="J6" s="2013"/>
      <c r="K6" s="1380"/>
      <c r="L6" s="1996" t="s">
        <v>1951</v>
      </c>
      <c r="M6" s="860">
        <f>SUMPRODUCT((区片价!B127:B189=I2)*(区片价!C3:G3=E2)*(区片价!C127:G189))</f>
        <v>0</v>
      </c>
      <c r="N6" s="862">
        <f>SUMPRODUCT((因素修正幅度!B127:B189=I2)*(因素修正幅度!C3:G3=E2)*(因素修正幅度!C127:G189))</f>
        <v>0</v>
      </c>
      <c r="O6" s="1115"/>
      <c r="P6" s="1115"/>
      <c r="Q6" s="1115"/>
      <c r="R6" s="1208">
        <v>5</v>
      </c>
      <c r="S6" s="3353">
        <f>ROUND(SUMPRODUCT((B106:B110=R6)*(C105:N105=G2)*(C106:N110)),4)</f>
        <v>0</v>
      </c>
      <c r="T6" s="3353" t="e">
        <f t="shared" si="0"/>
        <v>#DIV/0!</v>
      </c>
      <c r="U6" s="1209"/>
      <c r="V6" s="3353" t="e">
        <f t="shared" si="1"/>
        <v>#DIV/0!</v>
      </c>
      <c r="W6" s="1212"/>
      <c r="X6" s="1212"/>
      <c r="Y6" s="1212"/>
      <c r="Z6" s="1212"/>
      <c r="AA6" s="1212"/>
      <c r="AB6" s="1212"/>
      <c r="AC6" s="2004"/>
      <c r="AD6" s="2005"/>
      <c r="AE6" s="2005"/>
      <c r="AF6" s="2005"/>
      <c r="AG6" s="2005"/>
      <c r="AH6" s="2005"/>
      <c r="AI6" s="2005"/>
      <c r="AJ6" s="2006"/>
    </row>
    <row r="7" spans="1:36" ht="24.75" thickBot="1">
      <c r="A7" s="3296" t="s">
        <v>3241</v>
      </c>
      <c r="B7" s="2014" t="s">
        <v>1952</v>
      </c>
      <c r="C7" s="751" t="e">
        <f>IF(C8="不临65条商业街",1,ROUND(1+(1.6*E8+1.2*E9+0.8*E10+0.4*E11)*C9,4))</f>
        <v>#DIV/0!</v>
      </c>
      <c r="D7" s="2015" t="s">
        <v>1953</v>
      </c>
      <c r="E7" s="772"/>
      <c r="F7" s="2016"/>
      <c r="G7" s="2017"/>
      <c r="H7" s="2017"/>
      <c r="I7" s="2017"/>
      <c r="J7" s="2018"/>
      <c r="K7" s="1380"/>
      <c r="L7" s="1996" t="s">
        <v>1954</v>
      </c>
      <c r="M7" s="860">
        <f>SUMPRODUCT((区片价!B190:B233=I2)*(区片价!C3:G3=E2)*(区片价!C190:G233))</f>
        <v>0</v>
      </c>
      <c r="N7" s="862">
        <f>SUMPRODUCT((因素修正幅度!B190:B233=I2)*(因素修正幅度!C3:G3=E2)*(因素修正幅度!C190:G233))</f>
        <v>0</v>
      </c>
      <c r="O7" s="1115"/>
      <c r="P7" s="1115"/>
      <c r="Q7" s="1115"/>
      <c r="R7" s="1208">
        <v>6</v>
      </c>
      <c r="S7" s="3411"/>
      <c r="T7" s="3353" t="e">
        <f t="shared" si="0"/>
        <v>#DIV/0!</v>
      </c>
      <c r="U7" s="1209"/>
      <c r="V7" s="3353" t="e">
        <f t="shared" si="1"/>
        <v>#DIV/0!</v>
      </c>
      <c r="W7" s="1354" t="s">
        <v>1955</v>
      </c>
      <c r="X7" s="1210">
        <f>G2</f>
        <v>0</v>
      </c>
      <c r="Y7" s="1210" t="s">
        <v>1956</v>
      </c>
      <c r="Z7" s="1211">
        <f>G3</f>
        <v>0</v>
      </c>
      <c r="AA7" s="1212"/>
      <c r="AB7" s="1212"/>
      <c r="AC7" s="1213"/>
      <c r="AD7" s="1214"/>
      <c r="AE7" s="1214"/>
      <c r="AF7" s="1214"/>
      <c r="AG7" s="1214"/>
      <c r="AH7" s="1214"/>
      <c r="AI7" s="1214"/>
      <c r="AJ7" s="1215"/>
    </row>
    <row r="8" spans="1:36" ht="15">
      <c r="A8" s="3291"/>
      <c r="B8" s="167" t="s">
        <v>1957</v>
      </c>
      <c r="C8" s="2019"/>
      <c r="D8" s="752" t="s">
        <v>112</v>
      </c>
      <c r="E8" s="753" t="e">
        <f>ROUND(C11/E7,4)</f>
        <v>#DIV/0!</v>
      </c>
      <c r="F8" s="2020" t="s">
        <v>1958</v>
      </c>
      <c r="G8" s="2021"/>
      <c r="H8" s="2021"/>
      <c r="I8" s="2021"/>
      <c r="J8" s="2022"/>
      <c r="K8" s="1115"/>
      <c r="L8" s="1996" t="s">
        <v>1959</v>
      </c>
      <c r="M8" s="860">
        <f>SUMPRODUCT((区片价!B234:B276=I2)*(区片价!C3:G3=E2)*(区片价!C234:G276))</f>
        <v>0</v>
      </c>
      <c r="N8" s="862">
        <f>SUMPRODUCT((因素修正幅度!B234:B276=I2)*(因素修正幅度!C3:G3=E2)*(因素修正幅度!C234:G276))</f>
        <v>0</v>
      </c>
      <c r="O8" s="1115"/>
      <c r="P8" s="1115"/>
      <c r="Q8" s="1115"/>
      <c r="R8" s="1208">
        <v>7</v>
      </c>
      <c r="S8" s="1209"/>
      <c r="T8" s="3353" t="e">
        <f t="shared" si="0"/>
        <v>#DIV/0!</v>
      </c>
      <c r="U8" s="1209"/>
      <c r="V8" s="3353" t="e">
        <f t="shared" si="1"/>
        <v>#DIV/0!</v>
      </c>
      <c r="W8" s="3854" t="s">
        <v>1960</v>
      </c>
      <c r="X8" s="3855"/>
      <c r="Y8" s="1216" t="s">
        <v>1961</v>
      </c>
      <c r="Z8" s="1216" t="s">
        <v>1962</v>
      </c>
      <c r="AA8" s="1216" t="s">
        <v>1963</v>
      </c>
      <c r="AB8" s="1216" t="s">
        <v>1964</v>
      </c>
      <c r="AC8" s="1216" t="s">
        <v>1965</v>
      </c>
      <c r="AD8" s="1216" t="s">
        <v>1966</v>
      </c>
      <c r="AE8" s="1216" t="s">
        <v>1967</v>
      </c>
      <c r="AF8" s="1216" t="s">
        <v>1968</v>
      </c>
      <c r="AG8" s="1216" t="s">
        <v>1969</v>
      </c>
      <c r="AH8" s="1216" t="s">
        <v>1970</v>
      </c>
      <c r="AI8" s="1216" t="s">
        <v>1971</v>
      </c>
      <c r="AJ8" s="1216" t="s">
        <v>1972</v>
      </c>
    </row>
    <row r="9" spans="1:36" ht="15">
      <c r="A9" s="3291"/>
      <c r="B9" s="167" t="s">
        <v>1973</v>
      </c>
      <c r="C9" s="754">
        <f>SUMIF(修正!C71:C138,C8,修正!E71:E138)</f>
        <v>0</v>
      </c>
      <c r="D9" s="168" t="s">
        <v>113</v>
      </c>
      <c r="E9" s="168" t="e">
        <f>ROUND(C11/E7,4)</f>
        <v>#DIV/0!</v>
      </c>
      <c r="F9" s="2020" t="s">
        <v>1974</v>
      </c>
      <c r="G9" s="2021"/>
      <c r="H9" s="2021"/>
      <c r="I9" s="2021"/>
      <c r="J9" s="2022"/>
      <c r="K9" s="1115"/>
      <c r="L9" s="1996" t="s">
        <v>1975</v>
      </c>
      <c r="M9" s="860">
        <f>SUMPRODUCT((区片价!B277:B326=I2)*(区片价!C3:G3=E2)*(区片价!C277:G326))</f>
        <v>0</v>
      </c>
      <c r="N9" s="862">
        <f>SUMPRODUCT((因素修正幅度!B277:B326=I2)*(因素修正幅度!C3:G3=E2)*(因素修正幅度!C277:G326))</f>
        <v>0</v>
      </c>
      <c r="O9" s="1115"/>
      <c r="P9" s="1115"/>
      <c r="Q9" s="1115"/>
      <c r="R9" s="1208">
        <v>8</v>
      </c>
      <c r="S9" s="1209"/>
      <c r="T9" s="3353" t="e">
        <f t="shared" si="0"/>
        <v>#DIV/0!</v>
      </c>
      <c r="U9" s="1209"/>
      <c r="V9" s="3353" t="e">
        <f t="shared" si="1"/>
        <v>#DIV/0!</v>
      </c>
      <c r="W9" s="3856"/>
      <c r="X9" s="3354" t="s">
        <v>3272</v>
      </c>
      <c r="Y9" s="3355">
        <v>6</v>
      </c>
      <c r="Z9" s="3356">
        <f>$Y$9</f>
        <v>6</v>
      </c>
      <c r="AA9" s="3356">
        <f t="shared" ref="AA9:AJ9" si="2">$Y$9</f>
        <v>6</v>
      </c>
      <c r="AB9" s="3356">
        <f t="shared" si="2"/>
        <v>6</v>
      </c>
      <c r="AC9" s="3356">
        <f t="shared" si="2"/>
        <v>6</v>
      </c>
      <c r="AD9" s="3356">
        <f t="shared" si="2"/>
        <v>6</v>
      </c>
      <c r="AE9" s="3356">
        <f t="shared" si="2"/>
        <v>6</v>
      </c>
      <c r="AF9" s="3356">
        <f t="shared" si="2"/>
        <v>6</v>
      </c>
      <c r="AG9" s="3356">
        <f t="shared" si="2"/>
        <v>6</v>
      </c>
      <c r="AH9" s="3356">
        <f t="shared" si="2"/>
        <v>6</v>
      </c>
      <c r="AI9" s="3356">
        <f t="shared" si="2"/>
        <v>6</v>
      </c>
      <c r="AJ9" s="3356">
        <f t="shared" si="2"/>
        <v>6</v>
      </c>
    </row>
    <row r="10" spans="1:36" ht="15">
      <c r="A10" s="3291"/>
      <c r="B10" s="167" t="s">
        <v>1976</v>
      </c>
      <c r="C10" s="168">
        <f>SUMIF(修正!C71:C138,C8,修正!F71:F138)</f>
        <v>0</v>
      </c>
      <c r="D10" s="168" t="s">
        <v>114</v>
      </c>
      <c r="E10" s="168" t="e">
        <f>ROUND(C11/E7,4)</f>
        <v>#DIV/0!</v>
      </c>
      <c r="F10" s="2020" t="s">
        <v>1977</v>
      </c>
      <c r="G10" s="2021"/>
      <c r="H10" s="2021"/>
      <c r="I10" s="2021"/>
      <c r="J10" s="2022"/>
      <c r="K10" s="1115"/>
      <c r="L10" s="1996" t="s">
        <v>1978</v>
      </c>
      <c r="M10" s="860">
        <f>SUMPRODUCT((区片价!B327:B357=I2)*(区片价!C3:G3=E2)*(区片价!C327:G357))</f>
        <v>0</v>
      </c>
      <c r="N10" s="862">
        <f>SUMPRODUCT((因素修正幅度!B327:B357=I2)*(因素修正幅度!C3:G3=E2)*(因素修正幅度!C327:G357))</f>
        <v>0</v>
      </c>
      <c r="O10" s="1115"/>
      <c r="P10" s="1115"/>
      <c r="Q10" s="1115"/>
      <c r="R10" s="1208">
        <v>9</v>
      </c>
      <c r="S10" s="1209"/>
      <c r="T10" s="3353" t="e">
        <f t="shared" si="0"/>
        <v>#DIV/0!</v>
      </c>
      <c r="U10" s="1209"/>
      <c r="V10" s="3353" t="e">
        <f t="shared" si="1"/>
        <v>#DIV/0!</v>
      </c>
      <c r="W10" s="3856"/>
      <c r="X10" s="3354">
        <v>6</v>
      </c>
      <c r="Y10" s="3357">
        <f>ROUND((-0.5556*(Y9^2)-0.2719*Y9+8944)*(10^(-4)),4)</f>
        <v>0.89219999999999999</v>
      </c>
      <c r="Z10" s="3357">
        <f>ROUND((-0.5556*(Z9^2)-0.2719*Z9+8944)*(10^(-4)),4)</f>
        <v>0.89219999999999999</v>
      </c>
      <c r="AA10" s="3357">
        <f>ROUND((-0.7912*(AA9^2)-11.3794*AA9+8482)*(10^(-4)),4)</f>
        <v>0.83850000000000002</v>
      </c>
      <c r="AB10" s="3357">
        <f>ROUND((-0.7912*(AB9^2)-11.3794*AB9+8482)*(10^(-4)),4)</f>
        <v>0.83850000000000002</v>
      </c>
      <c r="AC10" s="3357">
        <f>ROUND((-0.7912*(AC9^2)-11.3794*AC9+8482)*(10^(-4)),4)</f>
        <v>0.83850000000000002</v>
      </c>
      <c r="AD10" s="3357">
        <f>ROUND((-0.7912*(AD9^2)-11.3794*AD9+8482)*(10^(-4)),4)</f>
        <v>0.83850000000000002</v>
      </c>
      <c r="AE10" s="3357">
        <f>ROUND((-0.7912*(AE9^2)-11.3794*AE9+8482)*(10^(-4)),4)</f>
        <v>0.83850000000000002</v>
      </c>
      <c r="AF10" s="3357">
        <f>ROUND((-0.989*(AF9^2)-63.78*AF9+7771)*(10^(-4)),4)</f>
        <v>0.73529999999999995</v>
      </c>
      <c r="AG10" s="3357">
        <f>ROUND((-0.989*(AG9^2)-63.78*AG9+7771)*(10^(-4)),4)</f>
        <v>0.73529999999999995</v>
      </c>
      <c r="AH10" s="3357">
        <f>ROUND((-0.989*(AH9^2)-63.78*AH9+7771)*(10^(-4)),4)</f>
        <v>0.73529999999999995</v>
      </c>
      <c r="AI10" s="3357">
        <f>ROUND((-0.989*(AI9^2)-63.78*AI9+7771)*(10^(-4)),4)</f>
        <v>0.73529999999999995</v>
      </c>
      <c r="AJ10" s="3357">
        <f>ROUND((-0.989*(AJ9^2)-63.78*AJ9+7771)*(10^(-4)),4)</f>
        <v>0.73529999999999995</v>
      </c>
    </row>
    <row r="11" spans="1:36" ht="15.75" thickBot="1">
      <c r="A11" s="3295"/>
      <c r="B11" s="2023" t="s">
        <v>1979</v>
      </c>
      <c r="C11" s="755">
        <f>C10/4</f>
        <v>0</v>
      </c>
      <c r="D11" s="755" t="s">
        <v>115</v>
      </c>
      <c r="E11" s="755" t="e">
        <f>ROUND(C11/E7,4)</f>
        <v>#DIV/0!</v>
      </c>
      <c r="F11" s="2024" t="s">
        <v>1980</v>
      </c>
      <c r="G11" s="2025"/>
      <c r="H11" s="2025"/>
      <c r="I11" s="2025"/>
      <c r="J11" s="2026"/>
      <c r="K11" s="1115"/>
      <c r="L11" s="1996" t="s">
        <v>1981</v>
      </c>
      <c r="M11" s="860">
        <f>SUMPRODUCT((区片价!B358:B377=I2)*(区片价!C3:G3=E2)*(区片价!C358:G377))</f>
        <v>0</v>
      </c>
      <c r="N11" s="862">
        <f>SUMPRODUCT((因素修正幅度!B358:B377=I2)*(因素修正幅度!C3:G3=E2)*(因素修正幅度!C358:G377))</f>
        <v>0</v>
      </c>
      <c r="O11" s="1115"/>
      <c r="P11" s="1115"/>
      <c r="Q11" s="1115"/>
      <c r="R11" s="1208">
        <v>10</v>
      </c>
      <c r="S11" s="1209"/>
      <c r="T11" s="3353" t="e">
        <f t="shared" si="0"/>
        <v>#DIV/0!</v>
      </c>
      <c r="U11" s="1209"/>
      <c r="V11" s="3353" t="e">
        <f t="shared" si="1"/>
        <v>#DIV/0!</v>
      </c>
      <c r="W11" s="1212"/>
      <c r="X11" s="1212"/>
      <c r="Y11" s="1212"/>
      <c r="Z11" s="1212"/>
      <c r="AA11" s="1212"/>
      <c r="AB11" s="1212"/>
      <c r="AC11" s="1213"/>
      <c r="AD11" s="2781"/>
      <c r="AE11" s="2781"/>
      <c r="AF11" s="2781"/>
      <c r="AG11" s="2781"/>
      <c r="AH11" s="2781"/>
      <c r="AI11" s="2781"/>
      <c r="AJ11" s="2782"/>
    </row>
    <row r="12" spans="1:36" ht="25.5" thickBot="1">
      <c r="A12" s="3296" t="s">
        <v>3242</v>
      </c>
      <c r="B12" s="3297" t="s">
        <v>3243</v>
      </c>
      <c r="C12" s="3298"/>
      <c r="D12" s="3299" t="s">
        <v>3244</v>
      </c>
      <c r="E12" s="3300" t="s">
        <v>3245</v>
      </c>
      <c r="F12" s="3301"/>
      <c r="G12" s="3302"/>
      <c r="H12" s="3302"/>
      <c r="I12" s="3302"/>
      <c r="J12" s="3303"/>
      <c r="K12" s="1115"/>
      <c r="L12" s="2032" t="s">
        <v>1984</v>
      </c>
      <c r="M12" s="861">
        <f>SUMPRODUCT((区片价!B378:B384=I2)*(区片价!C3:G3=E2)*(区片价!C378:G384))</f>
        <v>0</v>
      </c>
      <c r="N12" s="862">
        <f>SUMPRODUCT((因素修正幅度!B378:B384=I2)*(因素修正幅度!C3:G3=E2)*(因素修正幅度!C378:G384))</f>
        <v>0</v>
      </c>
      <c r="O12" s="1115"/>
      <c r="P12" s="1115"/>
      <c r="Q12" s="1115"/>
      <c r="R12" s="1208">
        <v>11</v>
      </c>
      <c r="S12" s="1209"/>
      <c r="T12" s="3353" t="e">
        <f t="shared" si="0"/>
        <v>#DIV/0!</v>
      </c>
      <c r="U12" s="1209"/>
      <c r="V12" s="3353" t="e">
        <f t="shared" si="1"/>
        <v>#DIV/0!</v>
      </c>
      <c r="W12" s="1212"/>
      <c r="X12" s="1212"/>
      <c r="Y12" s="1212"/>
      <c r="Z12" s="1212"/>
      <c r="AA12" s="1212"/>
      <c r="AB12" s="1212"/>
      <c r="AC12" s="1213"/>
      <c r="AD12" s="2781"/>
      <c r="AE12" s="2781"/>
      <c r="AF12" s="2781"/>
      <c r="AG12" s="2781"/>
      <c r="AH12" s="2781"/>
      <c r="AI12" s="2781"/>
      <c r="AJ12" s="2782"/>
    </row>
    <row r="13" spans="1:36" ht="15.75" thickBot="1">
      <c r="A13" s="3296" t="s">
        <v>3246</v>
      </c>
      <c r="B13" s="2027" t="s">
        <v>1982</v>
      </c>
      <c r="C13" s="751">
        <f>ROUND(C16*D16*E16*F16*G16*H16*I16*J16,4)</f>
        <v>0</v>
      </c>
      <c r="D13" s="2028" t="s">
        <v>1983</v>
      </c>
      <c r="E13" s="2029"/>
      <c r="F13" s="2029"/>
      <c r="G13" s="2030"/>
      <c r="H13" s="2030"/>
      <c r="I13" s="2030"/>
      <c r="J13" s="2031"/>
      <c r="K13" s="1115"/>
      <c r="L13" s="3292"/>
      <c r="M13" s="3293"/>
      <c r="N13" s="3294"/>
      <c r="O13" s="1115"/>
      <c r="P13" s="1115"/>
      <c r="Q13" s="1115"/>
      <c r="R13" s="1208">
        <v>12</v>
      </c>
      <c r="S13" s="1209"/>
      <c r="T13" s="3353" t="e">
        <f t="shared" si="0"/>
        <v>#DIV/0!</v>
      </c>
      <c r="U13" s="1209"/>
      <c r="V13" s="3353" t="e">
        <f t="shared" si="1"/>
        <v>#DIV/0!</v>
      </c>
      <c r="W13" s="1212"/>
      <c r="X13" s="1212"/>
      <c r="Y13" s="1212"/>
      <c r="Z13" s="1212"/>
      <c r="AA13" s="1212"/>
      <c r="AB13" s="1212"/>
      <c r="AC13" s="1213"/>
      <c r="AD13" s="2781"/>
      <c r="AE13" s="2781"/>
      <c r="AF13" s="2781"/>
      <c r="AG13" s="2781"/>
      <c r="AH13" s="2781"/>
      <c r="AI13" s="2781"/>
      <c r="AJ13" s="2782"/>
    </row>
    <row r="14" spans="1:36" ht="15">
      <c r="A14" s="3290"/>
      <c r="B14" s="2033" t="s">
        <v>1985</v>
      </c>
      <c r="C14" s="2034" t="s">
        <v>1986</v>
      </c>
      <c r="D14" s="1346" t="s">
        <v>1987</v>
      </c>
      <c r="E14" s="27" t="s">
        <v>1988</v>
      </c>
      <c r="F14" s="3304" t="s">
        <v>3247</v>
      </c>
      <c r="G14" s="3304" t="s">
        <v>3247</v>
      </c>
      <c r="H14" s="3304" t="s">
        <v>3247</v>
      </c>
      <c r="I14" s="3304" t="s">
        <v>3247</v>
      </c>
      <c r="J14" s="3304" t="s">
        <v>3247</v>
      </c>
      <c r="K14" s="1115"/>
      <c r="L14" s="1115"/>
      <c r="M14" s="1115"/>
      <c r="N14" s="1115"/>
      <c r="O14" s="1115"/>
      <c r="P14" s="1115"/>
      <c r="Q14" s="1115"/>
      <c r="R14" s="1208">
        <v>13</v>
      </c>
      <c r="S14" s="1209"/>
      <c r="T14" s="3353" t="e">
        <f t="shared" si="0"/>
        <v>#DIV/0!</v>
      </c>
      <c r="U14" s="1209"/>
      <c r="V14" s="3353" t="e">
        <f t="shared" si="1"/>
        <v>#DIV/0!</v>
      </c>
      <c r="W14" s="1212"/>
      <c r="X14" s="1212"/>
      <c r="Y14" s="1212"/>
      <c r="Z14" s="1212"/>
      <c r="AA14" s="1212"/>
      <c r="AB14" s="1212"/>
      <c r="AC14" s="1213"/>
      <c r="AD14" s="2781"/>
      <c r="AE14" s="2781"/>
      <c r="AF14" s="2781"/>
      <c r="AG14" s="2781"/>
      <c r="AH14" s="2781"/>
      <c r="AI14" s="2781"/>
      <c r="AJ14" s="2782"/>
    </row>
    <row r="15" spans="1:36" ht="15">
      <c r="A15" s="3290"/>
      <c r="B15" s="2035"/>
      <c r="C15" s="2036"/>
      <c r="D15" s="2037"/>
      <c r="E15" s="2038"/>
      <c r="F15" s="3305" t="s">
        <v>3248</v>
      </c>
      <c r="G15" s="3306"/>
      <c r="H15" s="3307"/>
      <c r="I15" s="3308"/>
      <c r="J15" s="3309"/>
      <c r="K15" s="1115"/>
      <c r="L15" s="1115"/>
      <c r="M15" s="1115"/>
      <c r="N15" s="1115"/>
      <c r="O15" s="1115"/>
      <c r="P15" s="1115"/>
      <c r="Q15" s="1115"/>
      <c r="R15" s="1208">
        <v>14</v>
      </c>
      <c r="S15" s="1209"/>
      <c r="T15" s="3353" t="e">
        <f t="shared" si="0"/>
        <v>#DIV/0!</v>
      </c>
      <c r="U15" s="1209"/>
      <c r="V15" s="3353" t="e">
        <f t="shared" si="1"/>
        <v>#DIV/0!</v>
      </c>
      <c r="W15" s="1212"/>
      <c r="X15" s="1212"/>
      <c r="Y15" s="1212"/>
      <c r="Z15" s="1212"/>
      <c r="AA15" s="1212"/>
      <c r="AB15" s="1212"/>
      <c r="AC15" s="1213"/>
      <c r="AD15" s="2781"/>
      <c r="AE15" s="2781"/>
      <c r="AF15" s="2781"/>
      <c r="AG15" s="2781"/>
      <c r="AH15" s="2781"/>
      <c r="AI15" s="2781"/>
      <c r="AJ15" s="2782"/>
    </row>
    <row r="16" spans="1:36" ht="15.75" thickBot="1">
      <c r="A16" s="3290"/>
      <c r="B16" s="3312" t="s">
        <v>1989</v>
      </c>
      <c r="C16" s="3310"/>
      <c r="D16" s="3310"/>
      <c r="E16" s="3310"/>
      <c r="F16" s="3310">
        <v>1</v>
      </c>
      <c r="G16" s="3310">
        <v>1</v>
      </c>
      <c r="H16" s="3310">
        <v>1</v>
      </c>
      <c r="I16" s="3310">
        <v>1</v>
      </c>
      <c r="J16" s="3311">
        <v>1</v>
      </c>
      <c r="K16" s="1115"/>
      <c r="L16" s="1990"/>
      <c r="M16" s="1990"/>
      <c r="N16" s="1990"/>
      <c r="O16" s="1990"/>
      <c r="P16" s="1990"/>
      <c r="Q16" s="1115"/>
      <c r="R16" s="1208">
        <v>15</v>
      </c>
      <c r="S16" s="1209"/>
      <c r="T16" s="3353" t="e">
        <f t="shared" si="0"/>
        <v>#DIV/0!</v>
      </c>
      <c r="U16" s="1209"/>
      <c r="V16" s="3353" t="e">
        <f t="shared" si="1"/>
        <v>#DIV/0!</v>
      </c>
      <c r="W16" s="1212"/>
      <c r="X16" s="1212"/>
      <c r="Y16" s="1212"/>
      <c r="Z16" s="1212"/>
      <c r="AA16" s="1212"/>
      <c r="AB16" s="1212"/>
      <c r="AC16" s="1213"/>
      <c r="AD16" s="2781"/>
      <c r="AE16" s="2781"/>
      <c r="AF16" s="2781"/>
      <c r="AG16" s="2781"/>
      <c r="AH16" s="2781"/>
      <c r="AI16" s="2781"/>
      <c r="AJ16" s="2782"/>
    </row>
    <row r="17" spans="1:37">
      <c r="A17" s="3322" t="s">
        <v>3249</v>
      </c>
      <c r="B17" s="3313" t="s">
        <v>3250</v>
      </c>
      <c r="C17" s="3323">
        <f>ROUND(IF(OR(E2="工业",E2="公共服务"),1,IF(AND(E18=0,E19=0),1,IF(AND(E18=J24,E19=G19),0.8,IF(E19=0,1+E17*(-0.2),1+E17*G17*(-0.2))))),4)</f>
        <v>1</v>
      </c>
      <c r="D17" s="3314" t="s">
        <v>3251</v>
      </c>
      <c r="E17" s="3323" t="e">
        <f>ROUND(G18/I18,2)</f>
        <v>#DIV/0!</v>
      </c>
      <c r="F17" s="3314" t="s">
        <v>3254</v>
      </c>
      <c r="G17" s="3323" t="e">
        <f>ROUND(E19/G19,2)</f>
        <v>#DIV/0!</v>
      </c>
      <c r="H17" s="3323"/>
      <c r="I17" s="3323"/>
      <c r="J17" s="3324"/>
      <c r="K17" s="1115"/>
      <c r="L17" s="1990"/>
      <c r="M17" s="1990"/>
      <c r="N17" s="1990"/>
      <c r="O17" s="1990"/>
      <c r="P17" s="1990"/>
      <c r="Q17" s="1115"/>
      <c r="R17" s="1115"/>
      <c r="S17" s="1115"/>
      <c r="T17" s="1115"/>
      <c r="U17" s="1115"/>
      <c r="V17" s="1115"/>
      <c r="W17" s="1115"/>
      <c r="X17" s="1115"/>
      <c r="Y17" s="1115"/>
      <c r="Z17" s="1116"/>
      <c r="AA17" s="1116"/>
      <c r="AB17" s="1116"/>
      <c r="AC17" s="1116"/>
      <c r="AD17" s="1116"/>
      <c r="AE17" s="1115"/>
      <c r="AF17" s="1115"/>
      <c r="AG17" s="1990"/>
      <c r="AH17" s="1990"/>
      <c r="AI17" s="1990"/>
      <c r="AJ17" s="1990"/>
    </row>
    <row r="18" spans="1:37" s="2007" customFormat="1" ht="14.25">
      <c r="A18" s="3325"/>
      <c r="B18" s="3002"/>
      <c r="C18" s="3320"/>
      <c r="D18" s="3315" t="s">
        <v>3252</v>
      </c>
      <c r="E18" s="3321"/>
      <c r="F18" s="3316" t="s">
        <v>3255</v>
      </c>
      <c r="G18" s="3320">
        <f>ROUND(1-(1/(POWER(1+G24,E18))),4)</f>
        <v>0</v>
      </c>
      <c r="H18" s="3316" t="s">
        <v>3257</v>
      </c>
      <c r="I18" s="3320">
        <f>ROUND(1-(1/(POWER(1+G24,J24))),4)</f>
        <v>0</v>
      </c>
      <c r="J18" s="3326"/>
      <c r="K18" s="1115"/>
      <c r="L18" s="1990"/>
      <c r="M18" s="1990"/>
      <c r="N18" s="1990"/>
      <c r="O18" s="1990"/>
      <c r="P18" s="1990"/>
      <c r="Q18" s="1115"/>
      <c r="R18" s="1120"/>
      <c r="S18" s="1120"/>
      <c r="T18" s="1116"/>
      <c r="U18" s="1116"/>
      <c r="V18" s="1116"/>
      <c r="W18" s="1115"/>
      <c r="X18" s="1115"/>
      <c r="Y18" s="1115"/>
      <c r="Z18" s="1121"/>
      <c r="AA18" s="1121"/>
      <c r="AB18" s="1121"/>
      <c r="AC18" s="1121"/>
      <c r="AD18" s="1121"/>
      <c r="AE18" s="1116"/>
      <c r="AF18" s="1116"/>
      <c r="AG18" s="2134"/>
      <c r="AH18" s="2134"/>
      <c r="AI18" s="2134"/>
      <c r="AJ18" s="2780"/>
    </row>
    <row r="19" spans="1:37" s="2007" customFormat="1" ht="15" thickBot="1">
      <c r="A19" s="3327"/>
      <c r="B19" s="3328"/>
      <c r="C19" s="3329"/>
      <c r="D19" s="3329" t="s">
        <v>3253</v>
      </c>
      <c r="E19" s="3330"/>
      <c r="F19" s="3331" t="s">
        <v>3256</v>
      </c>
      <c r="G19" s="3330"/>
      <c r="H19" s="3329"/>
      <c r="I19" s="3329"/>
      <c r="J19" s="3332"/>
      <c r="K19" s="1115"/>
      <c r="L19" s="1990"/>
      <c r="M19" s="1990"/>
      <c r="N19" s="1990"/>
      <c r="O19" s="1990"/>
      <c r="P19" s="1990"/>
      <c r="Q19" s="1120"/>
      <c r="R19" s="1120"/>
      <c r="S19" s="1120"/>
      <c r="T19" s="1116"/>
      <c r="U19" s="1116"/>
      <c r="V19" s="1116"/>
      <c r="W19" s="1115"/>
      <c r="X19" s="1115"/>
      <c r="Y19" s="1115"/>
      <c r="Z19" s="1121"/>
      <c r="AA19" s="1121"/>
      <c r="AB19" s="1121"/>
      <c r="AC19" s="1121"/>
      <c r="AD19" s="1121"/>
      <c r="AE19" s="1121"/>
      <c r="AF19" s="1120"/>
      <c r="AG19" s="2783"/>
      <c r="AH19" s="2134"/>
      <c r="AI19" s="2784"/>
      <c r="AJ19" s="2784"/>
      <c r="AK19" s="2050"/>
    </row>
    <row r="20" spans="1:37" s="2007" customFormat="1" ht="14.25">
      <c r="A20" s="3861" t="s">
        <v>3258</v>
      </c>
      <c r="B20" s="164" t="s">
        <v>1994</v>
      </c>
      <c r="C20" s="3317" t="e">
        <f>ROUND(IF(F21="与级别开发程度一致",0,(G21-E21)/C21),0)</f>
        <v>#DIV/0!</v>
      </c>
      <c r="D20" s="3333" t="s">
        <v>1998</v>
      </c>
      <c r="E20" s="3334"/>
      <c r="F20" s="3867" t="s">
        <v>1995</v>
      </c>
      <c r="G20" s="3868"/>
      <c r="H20" s="3318"/>
      <c r="I20" s="3318"/>
      <c r="J20" s="3319"/>
      <c r="K20" s="2040"/>
      <c r="L20" s="2040"/>
      <c r="M20" s="2040"/>
      <c r="N20" s="2040"/>
      <c r="O20" s="2041"/>
      <c r="P20" s="1990"/>
      <c r="Q20" s="1120"/>
      <c r="R20" s="1120"/>
      <c r="S20" s="1120"/>
      <c r="T20" s="1116"/>
      <c r="U20" s="1116"/>
      <c r="V20" s="1116"/>
      <c r="W20" s="1115"/>
      <c r="X20" s="1115"/>
      <c r="Y20" s="1115"/>
      <c r="Z20" s="1121"/>
      <c r="AA20" s="1121"/>
      <c r="AB20" s="1121"/>
      <c r="AC20" s="1121"/>
      <c r="AD20" s="1121"/>
      <c r="AE20" s="1121"/>
      <c r="AF20" s="1121"/>
      <c r="AG20" s="2780"/>
      <c r="AH20" s="2780"/>
      <c r="AI20" s="2780"/>
      <c r="AJ20" s="2780"/>
    </row>
    <row r="21" spans="1:37" s="2007" customFormat="1" ht="15" thickBot="1">
      <c r="A21" s="3862"/>
      <c r="B21" s="2157" t="s">
        <v>1997</v>
      </c>
      <c r="C21" s="2158">
        <f>IF(E3="M4科研用地",SUMPRODUCT((修正!A2:A7=E3)*(修正!B1:M1=G2)*(修正!B2:M7)),SUMPRODUCT((修正!A2:A7=E2)*(修正!B1:M1=G2)*(修正!B2:M7)))</f>
        <v>0</v>
      </c>
      <c r="D21" s="184" t="str">
        <f>IF(OR(G2="八级",G2="九级",G2="十级",G2="十一级",G2="十二级"),"五通一平","七通一平")</f>
        <v>七通一平</v>
      </c>
      <c r="E21" s="2148">
        <f>SUMPRODUCT((修正!B1:M1=G2)*(修正!B17:M17))</f>
        <v>0</v>
      </c>
      <c r="F21" s="2149"/>
      <c r="G21" s="2150">
        <f>SUM(H21:O21)</f>
        <v>0</v>
      </c>
      <c r="H21" s="2158">
        <f>SUMPRODUCT((七通一平=H20)*(修正!B1:M1=G2)*(修正!B8:M16))</f>
        <v>0</v>
      </c>
      <c r="I21" s="2158">
        <f>SUMPRODUCT((七通一平=I20)*(修正!B1:M1=G2)*(修正!B8:M16))</f>
        <v>0</v>
      </c>
      <c r="J21" s="2159">
        <f>SUMPRODUCT((七通一平=J20)*(修正!B1:M1=G2)*(修正!B8:M16))</f>
        <v>0</v>
      </c>
      <c r="K21" s="2158">
        <f>SUMPRODUCT((七通一平=K20)*(修正!B1:M1=G2)*(修正!B8:M16))</f>
        <v>0</v>
      </c>
      <c r="L21" s="2158">
        <f>SUMPRODUCT((七通一平=L20)*(修正!B1:M1=G2)*(修正!B8:M16))</f>
        <v>0</v>
      </c>
      <c r="M21" s="2158">
        <f>SUMPRODUCT((七通一平=M20)*(修正!B1:M1=G2)*(修正!B8:M16))</f>
        <v>0</v>
      </c>
      <c r="N21" s="2158">
        <f>SUMPRODUCT((七通一平=N20)*(修正!B1:M1=G2)*(修正!B8:M16))</f>
        <v>0</v>
      </c>
      <c r="O21" s="2160">
        <f>SUMPRODUCT((七通一平=O20)*(修正!B1:M1=G2)*(修正!B8:M16))</f>
        <v>0</v>
      </c>
      <c r="P21" s="1990"/>
      <c r="Q21" s="2780"/>
      <c r="R21" s="1120"/>
      <c r="S21" s="1120"/>
      <c r="T21" s="1116"/>
      <c r="U21" s="1116"/>
      <c r="V21" s="1116"/>
      <c r="W21" s="1115"/>
      <c r="X21" s="1115"/>
      <c r="Y21" s="1115"/>
      <c r="Z21" s="1121"/>
      <c r="AA21" s="1121"/>
      <c r="AB21" s="1121"/>
      <c r="AC21" s="1121"/>
      <c r="AD21" s="1121"/>
      <c r="AE21" s="1121"/>
      <c r="AF21" s="1121"/>
      <c r="AG21" s="2780"/>
      <c r="AH21" s="2780"/>
      <c r="AI21" s="2780"/>
      <c r="AJ21" s="2780"/>
    </row>
    <row r="22" spans="1:37" s="2007" customFormat="1" ht="15.75" thickBot="1">
      <c r="A22" s="2151" t="s">
        <v>363</v>
      </c>
      <c r="B22" s="2152" t="s">
        <v>2000</v>
      </c>
      <c r="C22" s="2153">
        <f>SUMIF(修正!C20:C51,E3,修正!E20:E51)</f>
        <v>0</v>
      </c>
      <c r="D22" s="2154"/>
      <c r="E22" s="2155"/>
      <c r="F22" s="2155"/>
      <c r="G22" s="2155"/>
      <c r="H22" s="2155"/>
      <c r="I22" s="2155"/>
      <c r="J22" s="2156"/>
      <c r="K22" s="1121"/>
      <c r="L22" s="2780"/>
      <c r="M22" s="2780"/>
      <c r="N22" s="2780"/>
      <c r="O22" s="1119"/>
      <c r="P22" s="1119"/>
      <c r="Q22" s="2780"/>
      <c r="R22" s="1120"/>
      <c r="S22" s="1120"/>
      <c r="T22" s="1116"/>
      <c r="U22" s="1116"/>
      <c r="V22" s="1116"/>
      <c r="W22" s="1115"/>
      <c r="X22" s="1115"/>
      <c r="Y22" s="1115"/>
      <c r="Z22" s="1121"/>
      <c r="AA22" s="1121"/>
      <c r="AB22" s="1121"/>
      <c r="AC22" s="1121"/>
      <c r="AD22" s="1121"/>
      <c r="AE22" s="1121"/>
      <c r="AF22" s="1121"/>
      <c r="AG22" s="2780"/>
      <c r="AH22" s="2780"/>
      <c r="AI22" s="2780"/>
      <c r="AJ22" s="2780"/>
    </row>
    <row r="23" spans="1:37" ht="26.25" thickBot="1">
      <c r="A23" s="2043" t="s">
        <v>364</v>
      </c>
      <c r="B23" s="2044" t="s">
        <v>2001</v>
      </c>
      <c r="C23" s="756" t="e">
        <f>ROUND(IF(J23="中心城区",SUMPRODUCT(('地价-分区'!A5:A16=YEAR(G23)&amp;"-"&amp;ROUNDUP(MONTH(G23)/3,0))*('地价-分区'!S2:W2=E2)*('地价-分区'!S5:W16)),IF(J23="中心城区以外",SUMPRODUCT(('地价-分区'!A25:A36=YEAR(G23)&amp;"-"&amp;ROUNDUP(MONTH(G23)/3,0))*('地价-分区'!S22:W22=E2)*('地价-分区'!S25:W36)),IF(J23="不用分区数据",IF(H23="按公示增长率计算",SUMPRODUCT((地价!A3:A16=YEAR(G23)&amp;"-"&amp;ROUNDUP(MONTH(G23)/3,0))*(地价!Y2:AD2=E2)*(地价!Y3:AD16)),IF(H23="地价指数",M24/M23,(1+I23)^O23))))),4)</f>
        <v>#REF!</v>
      </c>
      <c r="D23" s="2047" t="s">
        <v>2002</v>
      </c>
      <c r="E23" s="757">
        <v>44197</v>
      </c>
      <c r="F23" s="2047" t="s">
        <v>2003</v>
      </c>
      <c r="G23" s="758">
        <f>'数据-取费表'!B2</f>
        <v>45114</v>
      </c>
      <c r="H23" s="3335" t="s">
        <v>3260</v>
      </c>
      <c r="I23" s="3336" t="str">
        <f>IF(H23="季度增幅（自定义）",SUMIF(N25:N28,E2,O25:O28),"")</f>
        <v/>
      </c>
      <c r="J23" s="3438" t="s">
        <v>3259</v>
      </c>
      <c r="K23" s="1121"/>
      <c r="L23" s="2048" t="s">
        <v>2004</v>
      </c>
      <c r="M23" s="1324">
        <f>ROUND(SUMIF(地价!B2:G2,E2,地价!B16:G16),0)</f>
        <v>0</v>
      </c>
      <c r="N23" s="2049" t="s">
        <v>2005</v>
      </c>
      <c r="O23" s="759">
        <f>ROUNDDOWN(DATEDIF(E23,G23,"M")/3,0)</f>
        <v>10</v>
      </c>
      <c r="P23" s="1118"/>
      <c r="Q23" s="2780"/>
      <c r="R23" s="1120"/>
      <c r="S23" s="1120"/>
      <c r="T23" s="1116"/>
      <c r="U23" s="1116"/>
      <c r="V23" s="1116"/>
      <c r="W23" s="1115"/>
      <c r="X23" s="1115"/>
      <c r="Y23" s="1115"/>
      <c r="Z23" s="1121"/>
      <c r="AA23" s="1121"/>
      <c r="AB23" s="1121"/>
      <c r="AC23" s="1121"/>
      <c r="AD23" s="1121"/>
      <c r="AE23" s="1116"/>
      <c r="AF23" s="1116"/>
      <c r="AG23" s="2134"/>
      <c r="AH23" s="2134"/>
      <c r="AI23" s="2134"/>
      <c r="AJ23" s="2134"/>
      <c r="AK23" s="2046"/>
    </row>
    <row r="24" spans="1:37" s="2007" customFormat="1" ht="24.75" thickBot="1">
      <c r="A24" s="2051" t="s">
        <v>365</v>
      </c>
      <c r="B24" s="2052" t="s">
        <v>2006</v>
      </c>
      <c r="C24" s="760" t="e">
        <f>ROUND(POWER(1+G24,J24-I24)*(POWER(1+G24,I24)-1)/(POWER(1+G24,J24)-1),4)</f>
        <v>#DIV/0!</v>
      </c>
      <c r="D24" s="2053" t="s">
        <v>2007</v>
      </c>
      <c r="E24" s="1331">
        <f>存贷款利率!E22/100</f>
        <v>4.3499999999999997E-2</v>
      </c>
      <c r="F24" s="2053" t="s">
        <v>1999</v>
      </c>
      <c r="G24" s="764">
        <f>SUMIF(M30:Q30,E2,M33:Q33)</f>
        <v>0</v>
      </c>
      <c r="H24" s="2053" t="s">
        <v>2008</v>
      </c>
      <c r="I24" s="765" t="e">
        <f>SUMIF('数据-取费表'!C6:C15,E2,'数据-取费表'!F6:F15)/COUNTIF('数据-取费表'!C6:C15,E2)</f>
        <v>#DIV/0!</v>
      </c>
      <c r="J24" s="766">
        <f>IF(E2="住宅",70,IF(E2="商业",40,50))</f>
        <v>50</v>
      </c>
      <c r="K24" s="1121"/>
      <c r="L24" s="2054" t="s">
        <v>2009</v>
      </c>
      <c r="M24" s="1325">
        <f>ROUND(SUMPRODUCT((地价!A4:A16=YEAR(G23)&amp;"-"&amp;ROUNDUP(MONTH(G23)/3,0))*(地价!B2:G2=E2)*(地价!B4:G16)),0)</f>
        <v>0</v>
      </c>
      <c r="N24" s="2055" t="s">
        <v>2010</v>
      </c>
      <c r="O24" s="2056" t="s">
        <v>2011</v>
      </c>
      <c r="P24" s="2057" t="s">
        <v>2012</v>
      </c>
      <c r="Q24" s="1990"/>
      <c r="R24" s="1120"/>
      <c r="S24" s="1120"/>
      <c r="T24" s="1116"/>
      <c r="U24" s="1116"/>
      <c r="V24" s="1116"/>
      <c r="W24" s="1115"/>
      <c r="X24" s="1115"/>
      <c r="Y24" s="1115"/>
      <c r="Z24" s="1121"/>
      <c r="AA24" s="1121"/>
      <c r="AB24" s="1121"/>
      <c r="AC24" s="1121"/>
      <c r="AD24" s="1121"/>
      <c r="AE24" s="1121"/>
      <c r="AF24" s="1121"/>
      <c r="AG24" s="2780"/>
      <c r="AH24" s="2780"/>
      <c r="AI24" s="2780"/>
      <c r="AJ24" s="2780"/>
    </row>
    <row r="25" spans="1:37" ht="15">
      <c r="A25" s="2058" t="s">
        <v>366</v>
      </c>
      <c r="B25" s="2059" t="s">
        <v>3339</v>
      </c>
      <c r="C25" s="767">
        <f>IF(B25="容积率修正",IF(G3&lt;10,D26,J26),C27)</f>
        <v>0</v>
      </c>
      <c r="D25" s="2060"/>
      <c r="E25" s="2060"/>
      <c r="F25" s="2060"/>
      <c r="G25" s="2060"/>
      <c r="H25" s="2060"/>
      <c r="I25" s="2060"/>
      <c r="J25" s="2061"/>
      <c r="K25" s="1121"/>
      <c r="L25" s="2780"/>
      <c r="M25" s="2780"/>
      <c r="N25" s="2062" t="s">
        <v>2013</v>
      </c>
      <c r="O25" s="1169"/>
      <c r="P25" s="1170">
        <f>SUMPRODUCT((地价!A3:A40=YEAR(G23)&amp;"-"&amp;ROUNDUP(MONTH(G23)/3,0))*(地价!AD2:AH2=N25)*(地价!AD3:AH40))</f>
        <v>0</v>
      </c>
      <c r="Q25" s="2780"/>
      <c r="R25" s="1120"/>
      <c r="S25" s="1120"/>
      <c r="T25" s="1116"/>
      <c r="U25" s="1116"/>
      <c r="V25" s="1116"/>
      <c r="W25" s="1115"/>
      <c r="X25" s="1115"/>
      <c r="Y25" s="1115"/>
      <c r="Z25" s="1121"/>
      <c r="AA25" s="1121"/>
      <c r="AB25" s="1121"/>
      <c r="AC25" s="1121"/>
      <c r="AD25" s="1121"/>
      <c r="AE25" s="1116"/>
      <c r="AF25" s="1116"/>
      <c r="AG25" s="2134"/>
      <c r="AH25" s="2134"/>
      <c r="AI25" s="2134"/>
      <c r="AJ25" s="2134"/>
    </row>
    <row r="26" spans="1:37" ht="14.25">
      <c r="A26" s="1948" t="s">
        <v>2014</v>
      </c>
      <c r="B26" s="2063" t="s">
        <v>2015</v>
      </c>
      <c r="C26" s="3337" t="s">
        <v>3261</v>
      </c>
      <c r="D26" s="1348">
        <f>IF(E26=G26,F26,IF(G3&lt;10,ROUND(F26+(H26-F26)*(G3-E26)/(G26-E26),4),"——"))</f>
        <v>0</v>
      </c>
      <c r="E26" s="748">
        <f>ROUNDDOWN(G3,1)</f>
        <v>0</v>
      </c>
      <c r="F26" s="1348">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748">
        <f>ROUNDUP(G3,1)</f>
        <v>0</v>
      </c>
      <c r="H26" s="1348">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3337" t="s">
        <v>3262</v>
      </c>
      <c r="J26" s="768" t="str">
        <f>IF(G3&gt;=10,D115,"——")</f>
        <v>——</v>
      </c>
      <c r="K26" s="1121"/>
      <c r="L26" s="2780"/>
      <c r="M26" s="2780"/>
      <c r="N26" s="2062" t="s">
        <v>2016</v>
      </c>
      <c r="O26" s="1169"/>
      <c r="P26" s="1170">
        <f>SUMPRODUCT((地价!A3:A40=YEAR(G23)&amp;"-"&amp;ROUNDUP(MONTH(G23)/3,0))*(地价!AD2:AH2=N26)*(地价!AD3:AH40))</f>
        <v>0</v>
      </c>
      <c r="Q26" s="1990"/>
      <c r="R26" s="1120"/>
      <c r="S26" s="1120"/>
      <c r="T26" s="1116"/>
      <c r="U26" s="1116"/>
      <c r="V26" s="1116"/>
      <c r="W26" s="1115"/>
      <c r="X26" s="1115"/>
      <c r="Y26" s="1115"/>
      <c r="Z26" s="1121"/>
      <c r="AA26" s="1121"/>
      <c r="AB26" s="1121"/>
      <c r="AC26" s="1121"/>
      <c r="AD26" s="1121"/>
      <c r="AE26" s="1116"/>
      <c r="AF26" s="1116"/>
      <c r="AG26" s="2134"/>
      <c r="AH26" s="2134"/>
      <c r="AI26" s="2134"/>
      <c r="AJ26" s="2134"/>
    </row>
    <row r="27" spans="1:37" ht="15.75" thickBot="1">
      <c r="A27" s="1948" t="s">
        <v>2017</v>
      </c>
      <c r="B27" s="2064" t="s">
        <v>2018</v>
      </c>
      <c r="C27" s="837">
        <f>ROUND(IF(I3&lt;6,SUMPRODUCT((B106:B110=I3)*(C105:N105=G2)*(C106:N110)),SUMIF(C105:N105,G2,C112:N112)),4)</f>
        <v>0</v>
      </c>
      <c r="D27" s="2039"/>
      <c r="E27" s="2039"/>
      <c r="F27" s="2065"/>
      <c r="G27" s="2066"/>
      <c r="H27" s="2067"/>
      <c r="I27" s="2068"/>
      <c r="J27" s="2069"/>
      <c r="K27" s="1115"/>
      <c r="L27" s="1990"/>
      <c r="M27" s="1990"/>
      <c r="N27" s="2062" t="s">
        <v>2019</v>
      </c>
      <c r="O27" s="1169"/>
      <c r="P27" s="1170">
        <f>SUMPRODUCT((地价!A3:A40=YEAR(G23)&amp;"-"&amp;ROUNDUP(MONTH(G23)/3,0))*(地价!AD2:AH2=N27)*(地价!AD3:AH40))</f>
        <v>0</v>
      </c>
      <c r="Q27" s="1990"/>
      <c r="R27" s="1120"/>
      <c r="S27" s="1120"/>
      <c r="T27" s="1116"/>
      <c r="U27" s="1116"/>
      <c r="V27" s="1116"/>
      <c r="W27" s="1115"/>
      <c r="X27" s="1115"/>
      <c r="Y27" s="1115"/>
      <c r="Z27" s="1121"/>
      <c r="AA27" s="1121"/>
      <c r="AB27" s="1121"/>
      <c r="AC27" s="1121"/>
      <c r="AD27" s="1121"/>
      <c r="AE27" s="1116"/>
      <c r="AF27" s="1116"/>
      <c r="AG27" s="2134"/>
      <c r="AH27" s="2134"/>
      <c r="AI27" s="2134"/>
      <c r="AJ27" s="2134"/>
    </row>
    <row r="28" spans="1:37" ht="15.75" thickBot="1">
      <c r="A28" s="2051" t="s">
        <v>367</v>
      </c>
      <c r="B28" s="2044" t="s">
        <v>2020</v>
      </c>
      <c r="C28" s="756">
        <f>SUMIF(A47:A101,E2,B47:B101)</f>
        <v>0</v>
      </c>
      <c r="D28" s="2045"/>
      <c r="E28" s="2070"/>
      <c r="F28" s="2070"/>
      <c r="G28" s="2070"/>
      <c r="H28" s="2070"/>
      <c r="I28" s="2070"/>
      <c r="J28" s="2071"/>
      <c r="K28" s="1121"/>
      <c r="L28" s="2780"/>
      <c r="M28" s="2780"/>
      <c r="N28" s="2072" t="s">
        <v>2021</v>
      </c>
      <c r="O28" s="1171"/>
      <c r="P28" s="1172">
        <f>SUMPRODUCT((地价!A3:A40=YEAR(G23)&amp;"-"&amp;ROUNDUP(MONTH(G23)/3,0))*(地价!AD2:AH2=N28)*(地价!AD3:AH40))</f>
        <v>0</v>
      </c>
      <c r="Q28" s="1120"/>
      <c r="R28" s="1120"/>
      <c r="S28" s="1120"/>
      <c r="T28" s="1116"/>
      <c r="U28" s="1116"/>
      <c r="V28" s="1116"/>
      <c r="W28" s="1115"/>
      <c r="X28" s="1115"/>
      <c r="Y28" s="1115"/>
      <c r="Z28" s="1121"/>
      <c r="AA28" s="1121"/>
      <c r="AB28" s="1121"/>
      <c r="AC28" s="1121"/>
      <c r="AD28" s="1121"/>
      <c r="AE28" s="1116"/>
      <c r="AF28" s="1116"/>
      <c r="AG28" s="2134"/>
      <c r="AH28" s="2134"/>
      <c r="AI28" s="2134"/>
      <c r="AJ28" s="2134"/>
    </row>
    <row r="29" spans="1:37" ht="15.75" thickBot="1">
      <c r="A29" s="2051" t="s">
        <v>368</v>
      </c>
      <c r="B29" s="2073" t="s">
        <v>2022</v>
      </c>
      <c r="C29" s="761"/>
      <c r="D29" s="2017"/>
      <c r="E29" s="2017"/>
      <c r="F29" s="2074"/>
      <c r="G29" s="2017"/>
      <c r="H29" s="2017"/>
      <c r="I29" s="2017"/>
      <c r="J29" s="2018"/>
      <c r="K29" s="1115"/>
      <c r="L29" s="1990"/>
      <c r="M29" s="1990"/>
      <c r="N29" s="2777" t="s">
        <v>2023</v>
      </c>
      <c r="O29" s="2778"/>
      <c r="P29" s="2779">
        <f>SUMPRODUCT((地价!A3:A40=YEAR(G23)&amp;"-"&amp;ROUNDUP(MONTH(G23)/3,0))*(地价!AD2:AH2=N29)*(地价!AD3:AH40))</f>
        <v>0</v>
      </c>
      <c r="Q29" s="1120"/>
      <c r="R29" s="1120"/>
      <c r="S29" s="1120"/>
      <c r="T29" s="1116"/>
      <c r="U29" s="1116"/>
      <c r="V29" s="1116"/>
      <c r="W29" s="1115"/>
      <c r="X29" s="1115"/>
      <c r="Y29" s="1115"/>
      <c r="Z29" s="1121"/>
      <c r="AA29" s="1121"/>
      <c r="AB29" s="1121"/>
      <c r="AC29" s="1121"/>
      <c r="AD29" s="1121"/>
      <c r="AE29" s="1115"/>
      <c r="AF29" s="1115"/>
      <c r="AG29" s="1990"/>
      <c r="AH29" s="1990"/>
      <c r="AI29" s="1990"/>
      <c r="AJ29" s="1990"/>
    </row>
    <row r="30" spans="1:37" ht="15">
      <c r="A30" s="2075"/>
      <c r="B30" s="2063" t="s">
        <v>2024</v>
      </c>
      <c r="C30" s="2314" t="e">
        <f>IF(B25="容积率修正",E33+SUM(E37:E42),SUM(V2:V16)+SUM(E37:E42))</f>
        <v>#DIV/0!</v>
      </c>
      <c r="D30" s="2076"/>
      <c r="E30" s="2039"/>
      <c r="F30" s="2077"/>
      <c r="G30" s="2039"/>
      <c r="H30" s="2039"/>
      <c r="I30" s="2039"/>
      <c r="J30" s="2078"/>
      <c r="K30" s="1115"/>
      <c r="L30" s="3343" t="s">
        <v>1936</v>
      </c>
      <c r="M30" s="3344" t="s">
        <v>1990</v>
      </c>
      <c r="N30" s="3344" t="s">
        <v>1991</v>
      </c>
      <c r="O30" s="3344" t="s">
        <v>1992</v>
      </c>
      <c r="P30" s="3344" t="s">
        <v>1993</v>
      </c>
      <c r="Q30" s="3347" t="s">
        <v>3266</v>
      </c>
      <c r="R30" s="1120"/>
      <c r="S30" s="1120"/>
      <c r="T30" s="1116"/>
      <c r="U30" s="1116"/>
      <c r="V30" s="1116"/>
      <c r="W30" s="1115"/>
      <c r="X30" s="1115"/>
      <c r="Y30" s="1115"/>
      <c r="Z30" s="1121"/>
      <c r="AA30" s="1121"/>
      <c r="AB30" s="1121"/>
      <c r="AC30" s="1121"/>
      <c r="AD30" s="1121"/>
      <c r="AE30" s="1115"/>
      <c r="AF30" s="1115"/>
      <c r="AG30" s="1990"/>
      <c r="AH30" s="1990"/>
      <c r="AI30" s="1990"/>
      <c r="AJ30" s="1990"/>
    </row>
    <row r="31" spans="1:37" ht="15.75" thickBot="1">
      <c r="A31" s="2075"/>
      <c r="B31" s="2079" t="s">
        <v>2025</v>
      </c>
      <c r="C31" s="762" t="e">
        <f>E34+SUM(I37:I42)</f>
        <v>#DIV/0!</v>
      </c>
      <c r="D31" s="2080"/>
      <c r="E31" s="2081"/>
      <c r="F31" s="2082"/>
      <c r="G31" s="2081"/>
      <c r="H31" s="2081"/>
      <c r="I31" s="2081"/>
      <c r="J31" s="2083"/>
      <c r="K31" s="1115"/>
      <c r="L31" s="3345" t="s">
        <v>1996</v>
      </c>
      <c r="M31" s="1993">
        <v>0.25</v>
      </c>
      <c r="N31" s="1993">
        <v>0.2</v>
      </c>
      <c r="O31" s="1993">
        <v>0.15</v>
      </c>
      <c r="P31" s="1993">
        <v>0.1</v>
      </c>
      <c r="Q31" s="3340">
        <v>0.15</v>
      </c>
      <c r="R31" s="1120"/>
      <c r="S31" s="1120"/>
      <c r="T31" s="1116"/>
      <c r="U31" s="1116"/>
      <c r="V31" s="1116"/>
      <c r="W31" s="1115"/>
      <c r="X31" s="1115"/>
      <c r="Y31" s="1115"/>
      <c r="Z31" s="1121"/>
      <c r="AA31" s="1121"/>
      <c r="AB31" s="1121"/>
      <c r="AC31" s="1121"/>
      <c r="AD31" s="1121"/>
      <c r="AE31" s="1115"/>
      <c r="AF31" s="1115"/>
      <c r="AG31" s="1990"/>
      <c r="AH31" s="1990"/>
      <c r="AI31" s="1990"/>
      <c r="AJ31" s="1990"/>
    </row>
    <row r="32" spans="1:37" ht="15.75" thickBot="1">
      <c r="A32" s="2084"/>
      <c r="B32" s="2085" t="s">
        <v>2026</v>
      </c>
      <c r="C32" s="2086" t="s">
        <v>2027</v>
      </c>
      <c r="D32" s="2086" t="s">
        <v>2028</v>
      </c>
      <c r="E32" s="2087" t="s">
        <v>2029</v>
      </c>
      <c r="F32" s="2088"/>
      <c r="G32" s="2030"/>
      <c r="H32" s="2030"/>
      <c r="I32" s="2030"/>
      <c r="J32" s="2031"/>
      <c r="K32" s="1115"/>
      <c r="L32" s="3346" t="s">
        <v>1999</v>
      </c>
      <c r="M32" s="2562">
        <f>ROUND($E$24*(1+M31),3)</f>
        <v>5.3999999999999999E-2</v>
      </c>
      <c r="N32" s="2562">
        <f>ROUND($E$24*(1+N31),3)</f>
        <v>5.1999999999999998E-2</v>
      </c>
      <c r="O32" s="2562">
        <f>ROUND($E$24*(1+O31),3)</f>
        <v>0.05</v>
      </c>
      <c r="P32" s="2562">
        <f>ROUND($E$24*(1+P31),3)</f>
        <v>4.8000000000000001E-2</v>
      </c>
      <c r="Q32" s="3348">
        <f>ROUND($E$24*(1+Q31),3)</f>
        <v>0.05</v>
      </c>
      <c r="R32" s="1120"/>
      <c r="S32" s="1120"/>
      <c r="T32" s="1116"/>
      <c r="U32" s="1116"/>
      <c r="V32" s="1116"/>
      <c r="W32" s="1115"/>
      <c r="X32" s="1115"/>
      <c r="Y32" s="1115"/>
      <c r="Z32" s="1121"/>
      <c r="AA32" s="1121"/>
      <c r="AB32" s="1121"/>
      <c r="AC32" s="1121"/>
      <c r="AD32" s="1121"/>
      <c r="AE32" s="1115"/>
      <c r="AF32" s="1115"/>
      <c r="AG32" s="1990"/>
      <c r="AH32" s="1990"/>
      <c r="AI32" s="1990"/>
      <c r="AJ32" s="1990"/>
    </row>
    <row r="33" spans="1:37" ht="14.25">
      <c r="A33" s="2089"/>
      <c r="B33" s="2090" t="s">
        <v>2030</v>
      </c>
      <c r="C33" s="172" t="e">
        <f>ROUND(C5*C22*C23*C24*C25*C28,0)</f>
        <v>#DIV/0!</v>
      </c>
      <c r="D33" s="2091"/>
      <c r="E33" s="769" t="e">
        <f>ROUND(C33*D33/10000,0)</f>
        <v>#DIV/0!</v>
      </c>
      <c r="F33" s="3338" t="s">
        <v>3264</v>
      </c>
      <c r="G33" s="2092"/>
      <c r="H33" s="2092"/>
      <c r="I33" s="2092"/>
      <c r="J33" s="2093"/>
      <c r="K33" s="1115"/>
      <c r="L33" s="3341" t="s">
        <v>3267</v>
      </c>
      <c r="M33" s="3342">
        <v>5.5E-2</v>
      </c>
      <c r="N33" s="3342">
        <v>5.5E-2</v>
      </c>
      <c r="O33" s="3342">
        <v>0.05</v>
      </c>
      <c r="P33" s="3342">
        <v>0.05</v>
      </c>
      <c r="Q33" s="3342">
        <v>0.05</v>
      </c>
      <c r="R33" s="1120"/>
      <c r="S33" s="1120"/>
      <c r="T33" s="1116"/>
      <c r="U33" s="1116"/>
      <c r="V33" s="1116"/>
      <c r="W33" s="1115"/>
      <c r="X33" s="1115"/>
      <c r="Y33" s="1115"/>
      <c r="Z33" s="1121"/>
      <c r="AA33" s="1121"/>
      <c r="AB33" s="1121"/>
      <c r="AC33" s="1121"/>
      <c r="AD33" s="1121"/>
      <c r="AE33" s="1116"/>
      <c r="AF33" s="1116"/>
      <c r="AG33" s="2134"/>
      <c r="AH33" s="2134"/>
      <c r="AI33" s="2134"/>
      <c r="AJ33" s="2134"/>
    </row>
    <row r="34" spans="1:37" ht="25.5" thickBot="1">
      <c r="A34" s="2094"/>
      <c r="B34" s="2095" t="s">
        <v>2031</v>
      </c>
      <c r="C34" s="184" t="e">
        <f>ROUND(IF(E2="工业",C33*M42,IF(B25="楼层修正",SUM(V2:V16)*M41*10000/D34,C33*M41)),0)</f>
        <v>#DIV/0!</v>
      </c>
      <c r="D34" s="2096"/>
      <c r="E34" s="769" t="e">
        <f>ROUND(IF(B25="楼层修正",SUM(V2:V16)*M40,C34*D34/10000),0)</f>
        <v>#DIV/0!</v>
      </c>
      <c r="F34" s="2097" t="s">
        <v>2032</v>
      </c>
      <c r="G34" s="2098"/>
      <c r="H34" s="2098"/>
      <c r="I34" s="2098"/>
      <c r="J34" s="2099"/>
      <c r="K34" s="1115"/>
      <c r="L34" s="3341" t="s">
        <v>3268</v>
      </c>
      <c r="M34" s="3342">
        <v>6.5000000000000002E-2</v>
      </c>
      <c r="N34" s="3342">
        <v>6.5000000000000002E-2</v>
      </c>
      <c r="O34" s="3342">
        <v>0.06</v>
      </c>
      <c r="P34" s="3342">
        <v>0.06</v>
      </c>
      <c r="Q34" s="3342">
        <v>0.06</v>
      </c>
      <c r="R34" s="1120"/>
      <c r="S34" s="1120"/>
      <c r="T34" s="1116"/>
      <c r="U34" s="1116"/>
      <c r="V34" s="1116"/>
      <c r="W34" s="1115"/>
      <c r="X34" s="1115"/>
      <c r="Y34" s="1115"/>
      <c r="Z34" s="1121"/>
      <c r="AA34" s="1121"/>
      <c r="AB34" s="1121"/>
      <c r="AC34" s="1121"/>
      <c r="AD34" s="1121"/>
      <c r="AE34" s="1116"/>
      <c r="AF34" s="1116"/>
      <c r="AG34" s="2134"/>
      <c r="AH34" s="2134"/>
      <c r="AI34" s="2134"/>
      <c r="AJ34" s="2134"/>
    </row>
    <row r="35" spans="1:37">
      <c r="A35" s="2100"/>
      <c r="B35" s="2101" t="s">
        <v>2033</v>
      </c>
      <c r="C35" s="3339" t="s">
        <v>3265</v>
      </c>
      <c r="D35" s="2030"/>
      <c r="E35" s="2102"/>
      <c r="F35" s="2102"/>
      <c r="G35" s="2028" t="s">
        <v>2034</v>
      </c>
      <c r="H35" s="2030"/>
      <c r="I35" s="2103"/>
      <c r="J35" s="2031"/>
      <c r="K35" s="1115"/>
      <c r="L35" s="1115"/>
      <c r="M35" s="1115"/>
      <c r="N35" s="1115"/>
      <c r="O35" s="1119"/>
      <c r="P35" s="1119"/>
      <c r="Q35" s="1120"/>
      <c r="R35" s="1115"/>
      <c r="S35" s="1115"/>
      <c r="T35" s="1115"/>
      <c r="U35" s="1115"/>
      <c r="V35" s="1115"/>
      <c r="W35" s="1115"/>
      <c r="X35" s="1115"/>
      <c r="Y35" s="1115"/>
      <c r="Z35" s="1116"/>
      <c r="AA35" s="1116"/>
      <c r="AB35" s="1116"/>
      <c r="AC35" s="1116"/>
      <c r="AD35" s="1116"/>
      <c r="AE35" s="1116"/>
      <c r="AF35" s="1116"/>
      <c r="AG35" s="2134"/>
      <c r="AH35" s="2134"/>
      <c r="AI35" s="2134"/>
      <c r="AJ35" s="2134"/>
    </row>
    <row r="36" spans="1:37" ht="24.75" thickBot="1">
      <c r="A36" s="2089"/>
      <c r="B36" s="2104"/>
      <c r="C36" s="447" t="s">
        <v>2027</v>
      </c>
      <c r="D36" s="444" t="s">
        <v>2028</v>
      </c>
      <c r="E36" s="444" t="s">
        <v>2029</v>
      </c>
      <c r="F36" s="339" t="s">
        <v>2035</v>
      </c>
      <c r="G36" s="2105" t="s">
        <v>2027</v>
      </c>
      <c r="H36" s="2105" t="s">
        <v>2028</v>
      </c>
      <c r="I36" s="2105" t="s">
        <v>2029</v>
      </c>
      <c r="J36" s="240"/>
      <c r="K36" s="3349" t="s">
        <v>3269</v>
      </c>
      <c r="L36" s="3439">
        <f ca="1">'数据-取费表'!B40</f>
        <v>4.7500000000000001E-2</v>
      </c>
      <c r="M36" s="3350">
        <f ca="1">ROUND($L$36*(1+M31),3)</f>
        <v>5.8999999999999997E-2</v>
      </c>
      <c r="N36" s="3350">
        <f ca="1">ROUND($L$36*(1+N31),3)</f>
        <v>5.7000000000000002E-2</v>
      </c>
      <c r="O36" s="3350">
        <f ca="1">ROUND($L$36*(1+O31),3)</f>
        <v>5.5E-2</v>
      </c>
      <c r="P36" s="3350">
        <f ca="1">ROUND($L$36*(1+P31),3)</f>
        <v>5.1999999999999998E-2</v>
      </c>
      <c r="Q36" s="3350">
        <f ca="1">ROUND($L$36*(1+Q31),3)</f>
        <v>5.5E-2</v>
      </c>
      <c r="R36" s="1115"/>
      <c r="S36" s="1115"/>
      <c r="T36" s="1115"/>
      <c r="U36" s="1115"/>
      <c r="V36" s="1115"/>
      <c r="W36" s="1115"/>
      <c r="X36" s="1115"/>
      <c r="Y36" s="1115"/>
      <c r="Z36" s="1116"/>
      <c r="AA36" s="1116"/>
      <c r="AB36" s="1116"/>
      <c r="AC36" s="1116"/>
      <c r="AD36" s="1116"/>
      <c r="AE36" s="1116"/>
      <c r="AF36" s="1116"/>
      <c r="AG36" s="2134"/>
      <c r="AH36" s="2134"/>
      <c r="AI36" s="2134"/>
      <c r="AJ36" s="2134"/>
    </row>
    <row r="37" spans="1:37" ht="24.75" thickBot="1">
      <c r="A37" s="3865"/>
      <c r="B37" s="2106" t="s">
        <v>2036</v>
      </c>
      <c r="C37" s="172" t="e">
        <f>ROUND(D5*C22*C23*C24*C28*F37,0)</f>
        <v>#DIV/0!</v>
      </c>
      <c r="D37" s="2091"/>
      <c r="E37" s="168" t="e">
        <f>ROUND(C37*D37/10000,0)</f>
        <v>#DIV/0!</v>
      </c>
      <c r="F37" s="168">
        <f>SUMIF(修正!A57:A68,G2,修正!B57:B68)</f>
        <v>0</v>
      </c>
      <c r="G37" s="168" t="e">
        <f>ROUND(IF(E2="工业",C37*$M$42,C37*$M$41),0)</f>
        <v>#DIV/0!</v>
      </c>
      <c r="H37" s="168">
        <f>D37</f>
        <v>0</v>
      </c>
      <c r="I37" s="168" t="e">
        <f>ROUND(G37*H37/10000,0)</f>
        <v>#DIV/0!</v>
      </c>
      <c r="J37" s="3004"/>
      <c r="K37" s="3351" t="s">
        <v>3270</v>
      </c>
      <c r="L37" s="3349">
        <f ca="1">L36+K38</f>
        <v>5.2499999999999998E-2</v>
      </c>
      <c r="M37" s="3350">
        <f ca="1">ROUND($L$37*(1+M31),3)</f>
        <v>6.6000000000000003E-2</v>
      </c>
      <c r="N37" s="3350">
        <f t="shared" ref="N37:Q37" ca="1" si="3">ROUND($L$37*(1+N31),3)</f>
        <v>6.3E-2</v>
      </c>
      <c r="O37" s="3350">
        <f t="shared" ca="1" si="3"/>
        <v>0.06</v>
      </c>
      <c r="P37" s="3350">
        <f t="shared" ca="1" si="3"/>
        <v>5.8000000000000003E-2</v>
      </c>
      <c r="Q37" s="3350">
        <f t="shared" ca="1" si="3"/>
        <v>0.06</v>
      </c>
      <c r="R37" s="1115"/>
      <c r="S37" s="1115"/>
      <c r="T37" s="1115"/>
      <c r="U37" s="1115"/>
      <c r="V37" s="1115"/>
      <c r="W37" s="1115"/>
      <c r="X37" s="1115"/>
      <c r="Y37" s="1115"/>
      <c r="Z37" s="1116"/>
      <c r="AA37" s="1116"/>
      <c r="AB37" s="1116"/>
      <c r="AC37" s="1116"/>
      <c r="AD37" s="1116"/>
      <c r="AE37" s="1116"/>
      <c r="AF37" s="1116"/>
      <c r="AG37" s="2134"/>
      <c r="AH37" s="2134"/>
      <c r="AI37" s="2134"/>
      <c r="AJ37" s="2134"/>
    </row>
    <row r="38" spans="1:37">
      <c r="A38" s="3866"/>
      <c r="B38" s="2034" t="s">
        <v>2037</v>
      </c>
      <c r="C38" s="172" t="e">
        <f>ROUND(D5*C22*C23*C24*C28*F38,0)</f>
        <v>#DIV/0!</v>
      </c>
      <c r="D38" s="2091"/>
      <c r="E38" s="168" t="e">
        <f t="shared" ref="E38:E42" si="4">ROUND(C38*D38/10000,0)</f>
        <v>#DIV/0!</v>
      </c>
      <c r="F38" s="168">
        <f>SUMIF(修正!A57:A68,G2,修正!C57:C68)</f>
        <v>0</v>
      </c>
      <c r="G38" s="168" t="e">
        <f>ROUND(IF(E2="工业",C38*$M$42,C38*$M$41),0)</f>
        <v>#DIV/0!</v>
      </c>
      <c r="H38" s="168">
        <f t="shared" ref="H38:H42" si="5">D38</f>
        <v>0</v>
      </c>
      <c r="I38" s="168" t="e">
        <f t="shared" ref="I38:I42" si="6">ROUND(G38*H38/10000,0)</f>
        <v>#DIV/0!</v>
      </c>
      <c r="J38" s="3003"/>
      <c r="K38" s="3349">
        <v>5.0000000000000001E-3</v>
      </c>
      <c r="L38" s="3349"/>
      <c r="M38" s="3349"/>
      <c r="N38" s="3349"/>
      <c r="O38" s="3349"/>
      <c r="P38" s="3349"/>
      <c r="Q38" s="3349"/>
      <c r="R38" s="1115"/>
      <c r="S38" s="1115"/>
      <c r="T38" s="1115"/>
      <c r="U38" s="1115"/>
      <c r="V38" s="1115"/>
      <c r="W38" s="1115"/>
      <c r="X38" s="1115"/>
      <c r="Y38" s="1115"/>
      <c r="Z38" s="1116"/>
      <c r="AA38" s="1116"/>
      <c r="AB38" s="1116"/>
      <c r="AC38" s="1116"/>
      <c r="AD38" s="1116"/>
    </row>
    <row r="39" spans="1:37" ht="13.5" thickBot="1">
      <c r="A39" s="3866"/>
      <c r="B39" s="2034" t="s">
        <v>3263</v>
      </c>
      <c r="C39" s="172" t="e">
        <f>ROUND(D5*C22*C23*C24*C28*F39,0)</f>
        <v>#DIV/0!</v>
      </c>
      <c r="D39" s="2091"/>
      <c r="E39" s="168" t="e">
        <f t="shared" si="4"/>
        <v>#DIV/0!</v>
      </c>
      <c r="F39" s="168">
        <f>SUMIF(修正!A57:A68,G2,修正!D57:D68)</f>
        <v>0</v>
      </c>
      <c r="G39" s="168" t="e">
        <f>ROUND(IF(E2="工业",C39*$M$42,C39*$M$41),0)</f>
        <v>#DIV/0!</v>
      </c>
      <c r="H39" s="168">
        <f t="shared" si="5"/>
        <v>0</v>
      </c>
      <c r="I39" s="168" t="e">
        <f t="shared" si="6"/>
        <v>#DIV/0!</v>
      </c>
      <c r="J39" s="3003"/>
      <c r="K39" s="1115"/>
      <c r="L39" s="1115"/>
      <c r="M39" s="1115"/>
      <c r="N39" s="1115"/>
      <c r="O39" s="1115"/>
      <c r="P39" s="1115"/>
      <c r="Q39" s="1115"/>
      <c r="R39" s="1115"/>
      <c r="S39" s="1115"/>
      <c r="T39" s="1115"/>
      <c r="U39" s="1115"/>
      <c r="V39" s="1115"/>
      <c r="W39" s="1115"/>
      <c r="X39" s="1115"/>
      <c r="Y39" s="1115"/>
      <c r="Z39" s="1116"/>
      <c r="AA39" s="1116"/>
      <c r="AB39" s="1116"/>
      <c r="AC39" s="1116"/>
      <c r="AD39" s="1116"/>
    </row>
    <row r="40" spans="1:37" s="1115" customFormat="1">
      <c r="A40" s="2108"/>
      <c r="B40" s="2034" t="s">
        <v>2038</v>
      </c>
      <c r="C40" s="168" t="e">
        <f>ROUND(D5*C22*C23*C24*C28*F40,0)</f>
        <v>#DIV/0!</v>
      </c>
      <c r="D40" s="2091"/>
      <c r="E40" s="168" t="e">
        <f t="shared" si="4"/>
        <v>#DIV/0!</v>
      </c>
      <c r="F40" s="172">
        <f>SUMIF(修正!A57:A68,G2,修正!E57:E68)</f>
        <v>0</v>
      </c>
      <c r="G40" s="168" t="e">
        <f>ROUND(IF(E2="工业",C40*$M$42,C40*$M$41),0)</f>
        <v>#DIV/0!</v>
      </c>
      <c r="H40" s="168">
        <f t="shared" si="5"/>
        <v>0</v>
      </c>
      <c r="I40" s="168" t="e">
        <f t="shared" si="6"/>
        <v>#DIV/0!</v>
      </c>
      <c r="J40" s="2107"/>
      <c r="L40" s="2109" t="s">
        <v>2039</v>
      </c>
      <c r="M40" s="2110"/>
      <c r="Z40" s="1116"/>
      <c r="AA40" s="1116"/>
      <c r="AB40" s="1116"/>
      <c r="AC40" s="1116"/>
      <c r="AD40" s="1116"/>
      <c r="AE40" s="1116"/>
      <c r="AF40" s="1116"/>
      <c r="AG40" s="1116"/>
      <c r="AH40" s="1116"/>
      <c r="AI40" s="1116"/>
      <c r="AJ40" s="1116"/>
    </row>
    <row r="41" spans="1:37" s="1115" customFormat="1">
      <c r="A41" s="2108"/>
      <c r="B41" s="2034" t="s">
        <v>2040</v>
      </c>
      <c r="C41" s="168" t="e">
        <f>ROUND(D5*C22*C23*C44*C28*F41,0)</f>
        <v>#DIV/0!</v>
      </c>
      <c r="D41" s="2091"/>
      <c r="E41" s="168" t="e">
        <f t="shared" si="4"/>
        <v>#DIV/0!</v>
      </c>
      <c r="F41" s="172">
        <f>SUMIF(修正!A57:A68,G2,修正!F57:F68)</f>
        <v>0</v>
      </c>
      <c r="G41" s="168" t="e">
        <f>ROUND(IF(E2="工业",C41*$M$42,C41*$M$41),0)</f>
        <v>#DIV/0!</v>
      </c>
      <c r="H41" s="168">
        <f t="shared" si="5"/>
        <v>0</v>
      </c>
      <c r="I41" s="168" t="e">
        <f t="shared" si="6"/>
        <v>#DIV/0!</v>
      </c>
      <c r="J41" s="2107"/>
      <c r="L41" s="3352" t="s">
        <v>3271</v>
      </c>
      <c r="M41" s="2111">
        <v>0.25</v>
      </c>
      <c r="Z41" s="1116"/>
      <c r="AA41" s="1116"/>
      <c r="AB41" s="1116"/>
      <c r="AC41" s="1116"/>
      <c r="AD41" s="1116"/>
      <c r="AE41" s="1116"/>
      <c r="AF41" s="1116"/>
      <c r="AG41" s="1116"/>
      <c r="AH41" s="1116"/>
      <c r="AI41" s="1116"/>
      <c r="AJ41" s="1116"/>
    </row>
    <row r="42" spans="1:37" s="1115" customFormat="1" ht="13.5" thickBot="1">
      <c r="A42" s="2094"/>
      <c r="B42" s="2112" t="s">
        <v>2041</v>
      </c>
      <c r="C42" s="184" t="e">
        <f>ROUND(D5*C22*C23*C44*C28*F42,0)</f>
        <v>#DIV/0!</v>
      </c>
      <c r="D42" s="2096"/>
      <c r="E42" s="184" t="e">
        <f t="shared" si="4"/>
        <v>#DIV/0!</v>
      </c>
      <c r="F42" s="763">
        <f>SUMIF(修正!A57:A68,G2,修正!G57:G68)</f>
        <v>0</v>
      </c>
      <c r="G42" s="184" t="e">
        <f>ROUND(IF(E2="工业",C42*$M$42,C42*$M$41),0)</f>
        <v>#DIV/0!</v>
      </c>
      <c r="H42" s="184">
        <f t="shared" si="5"/>
        <v>0</v>
      </c>
      <c r="I42" s="184" t="e">
        <f t="shared" si="6"/>
        <v>#DIV/0!</v>
      </c>
      <c r="J42" s="2113"/>
      <c r="L42" s="2114" t="s">
        <v>1993</v>
      </c>
      <c r="M42" s="2115">
        <v>0.15</v>
      </c>
      <c r="Z42" s="1116"/>
      <c r="AA42" s="1116"/>
      <c r="AB42" s="1116"/>
      <c r="AC42" s="1116"/>
      <c r="AD42" s="1116"/>
      <c r="AE42" s="1116"/>
      <c r="AF42" s="1116"/>
      <c r="AG42" s="1116"/>
      <c r="AH42" s="1116"/>
      <c r="AI42" s="1116"/>
      <c r="AJ42" s="1116"/>
    </row>
    <row r="43" spans="1:37" s="1115" customFormat="1">
      <c r="Z43" s="1116"/>
      <c r="AA43" s="1116"/>
      <c r="AB43" s="1116"/>
      <c r="AC43" s="1116"/>
      <c r="AD43" s="1116"/>
      <c r="AE43" s="1116"/>
      <c r="AF43" s="1116"/>
      <c r="AG43" s="1116"/>
      <c r="AH43" s="1116"/>
      <c r="AI43" s="1116"/>
      <c r="AJ43" s="1116"/>
    </row>
    <row r="44" spans="1:37" s="1115" customFormat="1">
      <c r="A44" s="1116"/>
      <c r="B44" s="2147" t="s">
        <v>2122</v>
      </c>
      <c r="C44" s="339" t="e">
        <f>ROUND(POWER(1+E44,H44-G44)*(POWER(1+E44,G44)-1)/(POWER(1+E44,H44)-1),4)</f>
        <v>#DIV/0!</v>
      </c>
      <c r="D44" s="168" t="s">
        <v>1999</v>
      </c>
      <c r="E44" s="2146">
        <f>G24</f>
        <v>0</v>
      </c>
      <c r="F44" s="168" t="s">
        <v>2008</v>
      </c>
      <c r="G44" s="180"/>
      <c r="H44" s="168">
        <v>50</v>
      </c>
      <c r="Z44" s="1116"/>
      <c r="AA44" s="1116"/>
      <c r="AB44" s="1116"/>
      <c r="AC44" s="1116"/>
      <c r="AD44" s="1116"/>
      <c r="AE44" s="1116"/>
      <c r="AF44" s="1116"/>
      <c r="AG44" s="1116"/>
      <c r="AH44" s="1116"/>
      <c r="AI44" s="1116"/>
      <c r="AJ44" s="1116"/>
    </row>
    <row r="45" spans="1:37" s="1115" customFormat="1">
      <c r="A45" s="1116"/>
      <c r="B45" s="2116"/>
      <c r="Z45" s="1116"/>
      <c r="AA45" s="1116"/>
      <c r="AB45" s="1116"/>
      <c r="AC45" s="1116"/>
      <c r="AD45" s="1116"/>
      <c r="AE45" s="1116"/>
      <c r="AF45" s="1116"/>
      <c r="AG45" s="1116"/>
      <c r="AH45" s="1116"/>
      <c r="AI45" s="1116"/>
      <c r="AJ45" s="1116"/>
    </row>
    <row r="46" spans="1:37" s="1115" customFormat="1">
      <c r="A46" s="1116"/>
      <c r="B46" s="2116"/>
      <c r="AA46" s="1116"/>
      <c r="AB46" s="1116"/>
      <c r="AC46" s="1116"/>
      <c r="AD46" s="1116"/>
      <c r="AE46" s="1116"/>
      <c r="AF46" s="1116"/>
      <c r="AG46" s="1116"/>
      <c r="AH46" s="1116"/>
      <c r="AI46" s="1116"/>
      <c r="AJ46" s="1116"/>
      <c r="AK46" s="1116"/>
    </row>
    <row r="47" spans="1:37" s="1115" customFormat="1" ht="15.75" thickBot="1">
      <c r="A47" s="2117" t="s">
        <v>2042</v>
      </c>
      <c r="B47" s="2118"/>
      <c r="C47" s="4"/>
      <c r="D47" s="4"/>
      <c r="E47" s="4"/>
      <c r="F47" s="3"/>
      <c r="G47" s="3"/>
      <c r="H47" s="3"/>
      <c r="I47" s="1817"/>
      <c r="J47" s="1817"/>
      <c r="K47" s="1817"/>
      <c r="L47" s="1817"/>
      <c r="M47" s="1817"/>
      <c r="AA47" s="1116"/>
      <c r="AB47" s="1116"/>
      <c r="AC47" s="1116"/>
      <c r="AD47" s="1116"/>
      <c r="AE47" s="1116"/>
      <c r="AF47" s="1116"/>
      <c r="AG47" s="1116"/>
      <c r="AH47" s="1116"/>
      <c r="AI47" s="1116"/>
      <c r="AJ47" s="1116"/>
      <c r="AK47" s="1116"/>
    </row>
    <row r="48" spans="1:37" s="1115" customFormat="1" ht="15">
      <c r="A48" s="2119" t="s">
        <v>2043</v>
      </c>
      <c r="B48" s="2120">
        <f>1+E50</f>
        <v>1</v>
      </c>
      <c r="C48" s="2121"/>
      <c r="D48" s="737"/>
      <c r="E48" s="738"/>
      <c r="F48" s="2122"/>
      <c r="G48" s="3"/>
      <c r="H48" s="4"/>
      <c r="I48" s="1817"/>
      <c r="J48" s="1817"/>
      <c r="K48" s="1817"/>
      <c r="L48" s="1817"/>
      <c r="M48" s="1817"/>
      <c r="AA48" s="1116"/>
      <c r="AB48" s="1116"/>
      <c r="AC48" s="1116"/>
      <c r="AD48" s="1116"/>
      <c r="AE48" s="1116"/>
      <c r="AF48" s="1116"/>
      <c r="AG48" s="1116"/>
      <c r="AH48" s="1116"/>
      <c r="AI48" s="1116"/>
      <c r="AJ48" s="1116"/>
      <c r="AK48" s="1116"/>
    </row>
    <row r="49" spans="1:37" s="1115" customFormat="1" ht="24.75">
      <c r="A49" s="2123" t="s">
        <v>2044</v>
      </c>
      <c r="B49" s="1347" t="s">
        <v>2045</v>
      </c>
      <c r="C49" s="1347" t="s">
        <v>2046</v>
      </c>
      <c r="D49" s="1347" t="s">
        <v>2047</v>
      </c>
      <c r="E49" s="739" t="s">
        <v>2048</v>
      </c>
      <c r="F49" s="2124" t="s">
        <v>2049</v>
      </c>
      <c r="G49" s="1347" t="s">
        <v>310</v>
      </c>
      <c r="H49" s="2125" t="s">
        <v>2050</v>
      </c>
      <c r="I49" s="1347" t="s">
        <v>2051</v>
      </c>
      <c r="J49" s="549" t="s">
        <v>1721</v>
      </c>
      <c r="K49" s="549" t="s">
        <v>1722</v>
      </c>
      <c r="L49" s="549" t="s">
        <v>1723</v>
      </c>
      <c r="M49" s="549" t="s">
        <v>1724</v>
      </c>
      <c r="N49" s="549" t="s">
        <v>1725</v>
      </c>
      <c r="AA49" s="1116"/>
      <c r="AB49" s="1116"/>
      <c r="AC49" s="1116"/>
      <c r="AD49" s="1116"/>
      <c r="AE49" s="1116"/>
      <c r="AF49" s="1116"/>
      <c r="AG49" s="1116"/>
      <c r="AH49" s="1116"/>
      <c r="AI49" s="1116"/>
      <c r="AJ49" s="1116"/>
      <c r="AK49" s="1116"/>
    </row>
    <row r="50" spans="1:37" s="1115" customFormat="1" ht="38.25">
      <c r="A50" s="2123" t="s">
        <v>2052</v>
      </c>
      <c r="B50" s="2126" t="str">
        <f>估价对象房地状况!C4</f>
        <v>估价对象位于XX商圈，周边商业氛围成熟，人流量大，商业繁华度好</v>
      </c>
      <c r="C50" s="2037"/>
      <c r="D50" s="1061">
        <f t="shared" ref="D50:D58" si="7">SUMIF($J$49:$N$49,C50,J50:N50)</f>
        <v>0</v>
      </c>
      <c r="E50" s="740">
        <f>ROUND(SUM(D50:D58),4)</f>
        <v>0</v>
      </c>
      <c r="F50" s="1810" t="str">
        <f>IF(E2="商业",SUMIF(L1:L12,G2,N1:N12),"——")</f>
        <v>——</v>
      </c>
      <c r="G50" s="1059"/>
      <c r="H50" s="1062" t="str">
        <f t="shared" ref="H50:H58" si="8">IFERROR(ROUNDDOWN($F$50*I50/2,4),"——")</f>
        <v>——</v>
      </c>
      <c r="I50" s="3359">
        <v>0.3</v>
      </c>
      <c r="J50" s="1060">
        <f t="shared" ref="J50:J58" si="9">K50+$G50</f>
        <v>0</v>
      </c>
      <c r="K50" s="1060">
        <f t="shared" ref="K50:K58" si="10">$L50+$G50</f>
        <v>0</v>
      </c>
      <c r="L50" s="1060">
        <v>0</v>
      </c>
      <c r="M50" s="1060">
        <f t="shared" ref="M50:N58" si="11">L50-$G50</f>
        <v>0</v>
      </c>
      <c r="N50" s="1060">
        <f t="shared" si="11"/>
        <v>0</v>
      </c>
      <c r="AA50" s="1116"/>
      <c r="AB50" s="1116"/>
      <c r="AC50" s="1116"/>
      <c r="AD50" s="1116"/>
      <c r="AE50" s="1116"/>
      <c r="AF50" s="1116"/>
      <c r="AG50" s="1116"/>
      <c r="AH50" s="1116"/>
      <c r="AI50" s="1116"/>
      <c r="AJ50" s="1116"/>
      <c r="AK50" s="1116"/>
    </row>
    <row r="51" spans="1:37" s="1115" customFormat="1" ht="76.5">
      <c r="A51" s="2123" t="s">
        <v>2053</v>
      </c>
      <c r="B51" s="2127" t="str">
        <f>估价对象房地状况!C18</f>
        <v>估价对象邻近城市高速路-京台高速，附近有兴16路、兴38路、专83路等公交线路，周边道路状况、公共交通通达情况、停车便捷程度，综合评价交通便捷度较好</v>
      </c>
      <c r="C51" s="2037"/>
      <c r="D51" s="1061">
        <f t="shared" si="7"/>
        <v>0</v>
      </c>
      <c r="E51" s="741"/>
      <c r="F51" s="1810"/>
      <c r="G51" s="1059"/>
      <c r="H51" s="1062" t="str">
        <f t="shared" si="8"/>
        <v>——</v>
      </c>
      <c r="I51" s="3359">
        <v>0.22</v>
      </c>
      <c r="J51" s="1060">
        <f t="shared" si="9"/>
        <v>0</v>
      </c>
      <c r="K51" s="1060">
        <f t="shared" si="10"/>
        <v>0</v>
      </c>
      <c r="L51" s="1060">
        <v>0</v>
      </c>
      <c r="M51" s="1060">
        <f t="shared" si="11"/>
        <v>0</v>
      </c>
      <c r="N51" s="1060">
        <f t="shared" si="11"/>
        <v>0</v>
      </c>
      <c r="AA51" s="1116"/>
      <c r="AB51" s="1116"/>
      <c r="AC51" s="1116"/>
      <c r="AD51" s="1116"/>
      <c r="AE51" s="1116"/>
      <c r="AF51" s="1116"/>
      <c r="AG51" s="1116"/>
      <c r="AH51" s="1116"/>
      <c r="AI51" s="1116"/>
      <c r="AJ51" s="1116"/>
      <c r="AK51" s="1116"/>
    </row>
    <row r="52" spans="1:37" s="1115" customFormat="1" ht="36">
      <c r="A52" s="3361" t="s">
        <v>3273</v>
      </c>
      <c r="B52" s="2127">
        <f>估价对象房地状况!C19</f>
        <v>0</v>
      </c>
      <c r="C52" s="2037"/>
      <c r="D52" s="1061">
        <f t="shared" si="7"/>
        <v>0</v>
      </c>
      <c r="E52" s="741"/>
      <c r="F52" s="1810"/>
      <c r="G52" s="1059"/>
      <c r="H52" s="1062" t="str">
        <f t="shared" si="8"/>
        <v>——</v>
      </c>
      <c r="I52" s="3359">
        <v>0.12</v>
      </c>
      <c r="J52" s="1060">
        <f t="shared" si="9"/>
        <v>0</v>
      </c>
      <c r="K52" s="1060">
        <f t="shared" si="10"/>
        <v>0</v>
      </c>
      <c r="L52" s="1060">
        <v>0</v>
      </c>
      <c r="M52" s="1060">
        <f t="shared" si="11"/>
        <v>0</v>
      </c>
      <c r="N52" s="1060">
        <f t="shared" si="11"/>
        <v>0</v>
      </c>
      <c r="AA52" s="1116"/>
      <c r="AB52" s="1116"/>
      <c r="AC52" s="1116"/>
      <c r="AD52" s="1116"/>
      <c r="AE52" s="1116"/>
      <c r="AF52" s="1116"/>
      <c r="AG52" s="1116"/>
      <c r="AH52" s="1116"/>
      <c r="AI52" s="1116"/>
      <c r="AJ52" s="1116"/>
      <c r="AK52" s="1116"/>
    </row>
    <row r="53" spans="1:37" s="1115" customFormat="1" ht="36.75">
      <c r="A53" s="2123" t="s">
        <v>2054</v>
      </c>
      <c r="B53" s="2128" t="s">
        <v>2055</v>
      </c>
      <c r="C53" s="2037"/>
      <c r="D53" s="1061">
        <f t="shared" si="7"/>
        <v>0</v>
      </c>
      <c r="E53" s="741"/>
      <c r="F53" s="1810"/>
      <c r="G53" s="1059"/>
      <c r="H53" s="1062" t="str">
        <f t="shared" si="8"/>
        <v>——</v>
      </c>
      <c r="I53" s="3359">
        <v>0.05</v>
      </c>
      <c r="J53" s="1060">
        <f t="shared" si="9"/>
        <v>0</v>
      </c>
      <c r="K53" s="1060">
        <f t="shared" si="10"/>
        <v>0</v>
      </c>
      <c r="L53" s="1060">
        <v>0</v>
      </c>
      <c r="M53" s="1060">
        <f t="shared" si="11"/>
        <v>0</v>
      </c>
      <c r="N53" s="1060">
        <f t="shared" si="11"/>
        <v>0</v>
      </c>
      <c r="AA53" s="1116"/>
      <c r="AB53" s="1116"/>
      <c r="AC53" s="1116"/>
      <c r="AD53" s="1116"/>
      <c r="AE53" s="1116"/>
      <c r="AF53" s="1116"/>
      <c r="AG53" s="1116"/>
      <c r="AH53" s="1116"/>
      <c r="AI53" s="1116"/>
      <c r="AJ53" s="1116"/>
      <c r="AK53" s="1116"/>
    </row>
    <row r="54" spans="1:37" s="1115" customFormat="1" ht="24">
      <c r="A54" s="2123" t="s">
        <v>2056</v>
      </c>
      <c r="B54" s="2127">
        <f>估价对象房地状况!C24</f>
        <v>0</v>
      </c>
      <c r="C54" s="2037"/>
      <c r="D54" s="1061">
        <f t="shared" si="7"/>
        <v>0</v>
      </c>
      <c r="E54" s="741"/>
      <c r="F54" s="1810"/>
      <c r="G54" s="1059"/>
      <c r="H54" s="1062" t="str">
        <f t="shared" si="8"/>
        <v>——</v>
      </c>
      <c r="I54" s="3359">
        <v>0.08</v>
      </c>
      <c r="J54" s="1060">
        <f t="shared" si="9"/>
        <v>0</v>
      </c>
      <c r="K54" s="1060">
        <f t="shared" si="10"/>
        <v>0</v>
      </c>
      <c r="L54" s="1060">
        <v>0</v>
      </c>
      <c r="M54" s="1060">
        <f t="shared" si="11"/>
        <v>0</v>
      </c>
      <c r="N54" s="1060">
        <f t="shared" si="11"/>
        <v>0</v>
      </c>
      <c r="AA54" s="1116"/>
      <c r="AB54" s="1116"/>
      <c r="AC54" s="1116"/>
      <c r="AD54" s="1116"/>
      <c r="AE54" s="1116"/>
      <c r="AF54" s="1116"/>
      <c r="AG54" s="1116"/>
      <c r="AH54" s="1116"/>
      <c r="AI54" s="1116"/>
      <c r="AJ54" s="1116"/>
      <c r="AK54" s="1116"/>
    </row>
    <row r="55" spans="1:37" s="1115" customFormat="1" ht="24">
      <c r="A55" s="2123" t="s">
        <v>2057</v>
      </c>
      <c r="B55" s="2129" t="s">
        <v>2058</v>
      </c>
      <c r="C55" s="2037"/>
      <c r="D55" s="1061">
        <f t="shared" si="7"/>
        <v>0</v>
      </c>
      <c r="E55" s="741"/>
      <c r="F55" s="1810"/>
      <c r="G55" s="1059"/>
      <c r="H55" s="1062" t="str">
        <f t="shared" si="8"/>
        <v>——</v>
      </c>
      <c r="I55" s="3359">
        <v>0.05</v>
      </c>
      <c r="J55" s="1060">
        <f t="shared" si="9"/>
        <v>0</v>
      </c>
      <c r="K55" s="1060">
        <f t="shared" si="10"/>
        <v>0</v>
      </c>
      <c r="L55" s="1060">
        <v>0</v>
      </c>
      <c r="M55" s="1060">
        <f t="shared" si="11"/>
        <v>0</v>
      </c>
      <c r="N55" s="1060">
        <f t="shared" si="11"/>
        <v>0</v>
      </c>
      <c r="AA55" s="1116"/>
      <c r="AB55" s="1116"/>
      <c r="AC55" s="1116"/>
      <c r="AD55" s="1116"/>
      <c r="AE55" s="1116"/>
      <c r="AF55" s="1116"/>
      <c r="AG55" s="1116"/>
      <c r="AH55" s="1116"/>
      <c r="AI55" s="1116"/>
      <c r="AJ55" s="1116"/>
      <c r="AK55" s="1116"/>
    </row>
    <row r="56" spans="1:37" s="1115" customFormat="1" ht="76.5">
      <c r="A56" s="2130" t="s">
        <v>2059</v>
      </c>
      <c r="B56" s="1322" t="str">
        <f>估价对象房地状况!C21</f>
        <v>估价对象周边有红星中学、瀛海镇第一中心小学、瀛海一幼幼儿园等教育机构，有肃宁正骨医院医疗设施，有北京农商银行等金融机构，公共配套设施状况一般</v>
      </c>
      <c r="C56" s="2037"/>
      <c r="D56" s="1061">
        <f t="shared" si="7"/>
        <v>0</v>
      </c>
      <c r="E56" s="741"/>
      <c r="F56" s="1810"/>
      <c r="G56" s="1059"/>
      <c r="H56" s="1062" t="str">
        <f t="shared" si="8"/>
        <v>——</v>
      </c>
      <c r="I56" s="3359">
        <v>0.05</v>
      </c>
      <c r="J56" s="1060">
        <f t="shared" si="9"/>
        <v>0</v>
      </c>
      <c r="K56" s="1060">
        <f t="shared" si="10"/>
        <v>0</v>
      </c>
      <c r="L56" s="1060">
        <v>0</v>
      </c>
      <c r="M56" s="1060">
        <f t="shared" si="11"/>
        <v>0</v>
      </c>
      <c r="N56" s="1060">
        <f t="shared" si="11"/>
        <v>0</v>
      </c>
      <c r="AA56" s="1116"/>
      <c r="AB56" s="1116"/>
      <c r="AC56" s="1116"/>
      <c r="AD56" s="1116"/>
      <c r="AE56" s="1116"/>
      <c r="AF56" s="1116"/>
      <c r="AG56" s="1116"/>
      <c r="AH56" s="1116"/>
      <c r="AI56" s="1116"/>
      <c r="AJ56" s="1116"/>
      <c r="AK56" s="1116"/>
    </row>
    <row r="57" spans="1:37" s="1115" customFormat="1" ht="25.5">
      <c r="A57" s="2130" t="s">
        <v>2060</v>
      </c>
      <c r="B57" s="2127" t="str">
        <f>估价对象房地状况!C22</f>
        <v>估价对象所在区域基础设施水平-六通</v>
      </c>
      <c r="C57" s="2037"/>
      <c r="D57" s="1061">
        <f t="shared" si="7"/>
        <v>0</v>
      </c>
      <c r="E57" s="741"/>
      <c r="F57" s="1810"/>
      <c r="G57" s="1059"/>
      <c r="H57" s="1062" t="str">
        <f t="shared" si="8"/>
        <v>——</v>
      </c>
      <c r="I57" s="3359">
        <v>0.08</v>
      </c>
      <c r="J57" s="1060">
        <f t="shared" si="9"/>
        <v>0</v>
      </c>
      <c r="K57" s="1060">
        <f t="shared" si="10"/>
        <v>0</v>
      </c>
      <c r="L57" s="1060">
        <v>0</v>
      </c>
      <c r="M57" s="1060">
        <f t="shared" si="11"/>
        <v>0</v>
      </c>
      <c r="N57" s="1060">
        <f t="shared" si="11"/>
        <v>0</v>
      </c>
      <c r="AA57" s="1116"/>
      <c r="AB57" s="1116"/>
      <c r="AC57" s="1116"/>
      <c r="AD57" s="1116"/>
      <c r="AE57" s="1116"/>
      <c r="AF57" s="1116"/>
      <c r="AG57" s="1116"/>
      <c r="AH57" s="1116"/>
      <c r="AI57" s="1116"/>
      <c r="AJ57" s="1116"/>
      <c r="AK57" s="1116"/>
    </row>
    <row r="58" spans="1:37" s="1115" customFormat="1" ht="51.75" thickBot="1">
      <c r="A58" s="2131" t="s">
        <v>2061</v>
      </c>
      <c r="B58" s="2132" t="str">
        <f>估价对象房地状况!C20</f>
        <v>周边1公里范围内有南海子公园、志远庄公园等自然景观，人文景观较少，综合评价环境状况一般</v>
      </c>
      <c r="C58" s="2037"/>
      <c r="D58" s="1061">
        <f t="shared" si="7"/>
        <v>0</v>
      </c>
      <c r="E58" s="742"/>
      <c r="F58" s="1810"/>
      <c r="G58" s="1059"/>
      <c r="H58" s="1062" t="str">
        <f t="shared" si="8"/>
        <v>——</v>
      </c>
      <c r="I58" s="3360">
        <v>0.05</v>
      </c>
      <c r="J58" s="1060">
        <f t="shared" si="9"/>
        <v>0</v>
      </c>
      <c r="K58" s="1060">
        <f t="shared" si="10"/>
        <v>0</v>
      </c>
      <c r="L58" s="1060">
        <v>0</v>
      </c>
      <c r="M58" s="1060">
        <f t="shared" si="11"/>
        <v>0</v>
      </c>
      <c r="N58" s="1060">
        <f t="shared" si="11"/>
        <v>0</v>
      </c>
      <c r="AA58" s="1116"/>
      <c r="AB58" s="1116"/>
      <c r="AC58" s="1116"/>
      <c r="AD58" s="1116"/>
      <c r="AE58" s="1116"/>
      <c r="AF58" s="1116"/>
      <c r="AG58" s="1116"/>
      <c r="AH58" s="1116"/>
      <c r="AI58" s="1116"/>
      <c r="AJ58" s="1116"/>
      <c r="AK58" s="1116"/>
    </row>
    <row r="59" spans="1:37" s="1115" customFormat="1" ht="15">
      <c r="A59" s="2119" t="s">
        <v>2062</v>
      </c>
      <c r="B59" s="2120">
        <f>1+E61</f>
        <v>1</v>
      </c>
      <c r="C59" s="737"/>
      <c r="D59" s="737"/>
      <c r="E59" s="738"/>
      <c r="F59" s="2122"/>
      <c r="G59" s="3"/>
      <c r="H59" s="3"/>
      <c r="I59" s="3"/>
      <c r="J59" s="4"/>
      <c r="K59" s="4"/>
      <c r="L59" s="4"/>
      <c r="M59" s="4"/>
      <c r="N59" s="4"/>
      <c r="AA59" s="1116"/>
      <c r="AB59" s="1116"/>
      <c r="AC59" s="1116"/>
      <c r="AD59" s="1116"/>
      <c r="AE59" s="1116"/>
      <c r="AF59" s="1116"/>
      <c r="AG59" s="1116"/>
      <c r="AH59" s="1116"/>
      <c r="AI59" s="1116"/>
      <c r="AJ59" s="1116"/>
      <c r="AK59" s="1116"/>
    </row>
    <row r="60" spans="1:37" s="1115" customFormat="1" ht="24.75">
      <c r="A60" s="2123" t="s">
        <v>2044</v>
      </c>
      <c r="B60" s="1347"/>
      <c r="C60" s="1347" t="s">
        <v>2046</v>
      </c>
      <c r="D60" s="1347" t="s">
        <v>2047</v>
      </c>
      <c r="E60" s="739" t="s">
        <v>2048</v>
      </c>
      <c r="F60" s="2124" t="s">
        <v>2063</v>
      </c>
      <c r="G60" s="1347" t="s">
        <v>310</v>
      </c>
      <c r="H60" s="2125" t="s">
        <v>2050</v>
      </c>
      <c r="I60" s="1347" t="s">
        <v>2051</v>
      </c>
      <c r="J60" s="549" t="s">
        <v>1721</v>
      </c>
      <c r="K60" s="549" t="s">
        <v>1722</v>
      </c>
      <c r="L60" s="549" t="s">
        <v>1723</v>
      </c>
      <c r="M60" s="549" t="s">
        <v>1724</v>
      </c>
      <c r="N60" s="549" t="s">
        <v>1725</v>
      </c>
      <c r="AA60" s="1116"/>
      <c r="AB60" s="1116"/>
      <c r="AC60" s="1116"/>
      <c r="AD60" s="1116"/>
      <c r="AE60" s="1116"/>
      <c r="AF60" s="1116"/>
      <c r="AG60" s="1116"/>
      <c r="AH60" s="1116"/>
      <c r="AI60" s="1116"/>
      <c r="AJ60" s="1116"/>
      <c r="AK60" s="1116"/>
    </row>
    <row r="61" spans="1:37" s="1115" customFormat="1" ht="38.25">
      <c r="A61" s="2123" t="s">
        <v>2064</v>
      </c>
      <c r="B61" s="2126" t="str">
        <f>估价对象房地状况!C17</f>
        <v>估价对象位于XX商圈，周边办公楼项目较多，入驻率高，办公集聚程度较好</v>
      </c>
      <c r="C61" s="2037"/>
      <c r="D61" s="1061">
        <f t="shared" ref="D61:D69" si="12">SUMIF($J$60:$N$60,C61,J61:N61)</f>
        <v>0</v>
      </c>
      <c r="E61" s="740">
        <f>ROUND(SUM(D61:D69),4)</f>
        <v>0</v>
      </c>
      <c r="F61" s="1810" t="str">
        <f>IF(E2="办公",SUMIF(L1:L12,G2,N1:N12),"——")</f>
        <v>——</v>
      </c>
      <c r="G61" s="1059"/>
      <c r="H61" s="1062" t="str">
        <f t="shared" ref="H61:H69" si="13">IFERROR(ROUNDDOWN($F$61*I61/2,4),"——")</f>
        <v>——</v>
      </c>
      <c r="I61" s="3359">
        <v>0.25</v>
      </c>
      <c r="J61" s="1060">
        <f t="shared" ref="J61:J69" si="14">K61+$G61</f>
        <v>0</v>
      </c>
      <c r="K61" s="1060">
        <f t="shared" ref="K61:K69" si="15">$L61+$G61</f>
        <v>0</v>
      </c>
      <c r="L61" s="1060">
        <v>0</v>
      </c>
      <c r="M61" s="1060">
        <f t="shared" ref="M61:N69" si="16">L61-$G61</f>
        <v>0</v>
      </c>
      <c r="N61" s="1060">
        <f t="shared" si="16"/>
        <v>0</v>
      </c>
      <c r="AA61" s="1116"/>
      <c r="AB61" s="1116"/>
      <c r="AC61" s="1116"/>
      <c r="AD61" s="1116"/>
      <c r="AE61" s="1116"/>
      <c r="AF61" s="1116"/>
      <c r="AG61" s="1116"/>
      <c r="AH61" s="1116"/>
      <c r="AI61" s="1116"/>
      <c r="AJ61" s="1116"/>
      <c r="AK61" s="1116"/>
    </row>
    <row r="62" spans="1:37" s="1115" customFormat="1" ht="76.5">
      <c r="A62" s="2123" t="s">
        <v>2053</v>
      </c>
      <c r="B62" s="2127" t="str">
        <f>估价对象房地状况!C18</f>
        <v>估价对象邻近城市高速路-京台高速，附近有兴16路、兴38路、专83路等公交线路，周边道路状况、公共交通通达情况、停车便捷程度，综合评价交通便捷度较好</v>
      </c>
      <c r="C62" s="2037"/>
      <c r="D62" s="1061">
        <f t="shared" si="12"/>
        <v>0</v>
      </c>
      <c r="E62" s="741"/>
      <c r="F62" s="1810"/>
      <c r="G62" s="1059"/>
      <c r="H62" s="1062" t="str">
        <f t="shared" si="13"/>
        <v>——</v>
      </c>
      <c r="I62" s="3359">
        <v>0.26</v>
      </c>
      <c r="J62" s="1060">
        <f t="shared" si="14"/>
        <v>0</v>
      </c>
      <c r="K62" s="1060">
        <f t="shared" si="15"/>
        <v>0</v>
      </c>
      <c r="L62" s="1060">
        <v>0</v>
      </c>
      <c r="M62" s="1060">
        <f t="shared" si="16"/>
        <v>0</v>
      </c>
      <c r="N62" s="1060">
        <f t="shared" si="16"/>
        <v>0</v>
      </c>
      <c r="AA62" s="1116"/>
      <c r="AB62" s="1116"/>
      <c r="AC62" s="1116"/>
      <c r="AD62" s="1116"/>
      <c r="AE62" s="1116"/>
      <c r="AF62" s="1116"/>
      <c r="AG62" s="1116"/>
      <c r="AH62" s="1116"/>
      <c r="AI62" s="1116"/>
      <c r="AJ62" s="1116"/>
      <c r="AK62" s="1116"/>
    </row>
    <row r="63" spans="1:37" s="1115" customFormat="1" ht="36">
      <c r="A63" s="3361" t="s">
        <v>3273</v>
      </c>
      <c r="B63" s="2127">
        <f>估价对象房地状况!C19</f>
        <v>0</v>
      </c>
      <c r="C63" s="2037"/>
      <c r="D63" s="1061">
        <f t="shared" si="12"/>
        <v>0</v>
      </c>
      <c r="E63" s="741"/>
      <c r="F63" s="1810"/>
      <c r="G63" s="1059"/>
      <c r="H63" s="1062" t="str">
        <f t="shared" si="13"/>
        <v>——</v>
      </c>
      <c r="I63" s="3359">
        <v>0.11</v>
      </c>
      <c r="J63" s="1060">
        <f t="shared" si="14"/>
        <v>0</v>
      </c>
      <c r="K63" s="1060">
        <f t="shared" si="15"/>
        <v>0</v>
      </c>
      <c r="L63" s="1060">
        <v>0</v>
      </c>
      <c r="M63" s="1060">
        <f t="shared" si="16"/>
        <v>0</v>
      </c>
      <c r="N63" s="1060">
        <f t="shared" si="16"/>
        <v>0</v>
      </c>
      <c r="AA63" s="1116"/>
      <c r="AB63" s="1116"/>
      <c r="AC63" s="1116"/>
      <c r="AD63" s="1116"/>
      <c r="AE63" s="1116"/>
      <c r="AF63" s="1116"/>
      <c r="AG63" s="1116"/>
      <c r="AH63" s="1116"/>
      <c r="AI63" s="1116"/>
      <c r="AJ63" s="1116"/>
      <c r="AK63" s="1116"/>
    </row>
    <row r="64" spans="1:37" s="1115" customFormat="1" ht="36.75">
      <c r="A64" s="2123" t="s">
        <v>2054</v>
      </c>
      <c r="B64" s="2128" t="s">
        <v>2055</v>
      </c>
      <c r="C64" s="2037"/>
      <c r="D64" s="1061">
        <f t="shared" si="12"/>
        <v>0</v>
      </c>
      <c r="E64" s="741"/>
      <c r="F64" s="1810"/>
      <c r="G64" s="1059"/>
      <c r="H64" s="1062" t="str">
        <f t="shared" si="13"/>
        <v>——</v>
      </c>
      <c r="I64" s="3359">
        <v>0.05</v>
      </c>
      <c r="J64" s="1060">
        <f t="shared" si="14"/>
        <v>0</v>
      </c>
      <c r="K64" s="1060">
        <f t="shared" si="15"/>
        <v>0</v>
      </c>
      <c r="L64" s="1060">
        <v>0</v>
      </c>
      <c r="M64" s="1060">
        <f t="shared" si="16"/>
        <v>0</v>
      </c>
      <c r="N64" s="1060">
        <f t="shared" si="16"/>
        <v>0</v>
      </c>
      <c r="AA64" s="1116"/>
      <c r="AB64" s="1116"/>
      <c r="AC64" s="1116"/>
      <c r="AD64" s="1116"/>
      <c r="AE64" s="1116"/>
      <c r="AF64" s="1116"/>
      <c r="AG64" s="1116"/>
      <c r="AH64" s="1116"/>
      <c r="AI64" s="1116"/>
      <c r="AJ64" s="1116"/>
      <c r="AK64" s="1116"/>
    </row>
    <row r="65" spans="1:37" s="1115" customFormat="1" ht="24">
      <c r="A65" s="2123" t="s">
        <v>2056</v>
      </c>
      <c r="B65" s="2127">
        <f>估价对象房地状况!C24</f>
        <v>0</v>
      </c>
      <c r="C65" s="2037"/>
      <c r="D65" s="1061">
        <f t="shared" si="12"/>
        <v>0</v>
      </c>
      <c r="E65" s="741"/>
      <c r="F65" s="1810"/>
      <c r="G65" s="1059"/>
      <c r="H65" s="1062" t="str">
        <f t="shared" si="13"/>
        <v>——</v>
      </c>
      <c r="I65" s="3359">
        <v>0.05</v>
      </c>
      <c r="J65" s="1060">
        <f t="shared" si="14"/>
        <v>0</v>
      </c>
      <c r="K65" s="1060">
        <f t="shared" si="15"/>
        <v>0</v>
      </c>
      <c r="L65" s="1060">
        <v>0</v>
      </c>
      <c r="M65" s="1060">
        <f t="shared" si="16"/>
        <v>0</v>
      </c>
      <c r="N65" s="1060">
        <f t="shared" si="16"/>
        <v>0</v>
      </c>
      <c r="AA65" s="1116"/>
      <c r="AB65" s="1116"/>
      <c r="AC65" s="1116"/>
      <c r="AD65" s="1116"/>
      <c r="AE65" s="1116"/>
      <c r="AF65" s="1116"/>
      <c r="AG65" s="1116"/>
      <c r="AH65" s="1116"/>
      <c r="AI65" s="1116"/>
      <c r="AJ65" s="1116"/>
      <c r="AK65" s="1116"/>
    </row>
    <row r="66" spans="1:37" s="1115" customFormat="1" ht="24">
      <c r="A66" s="2123" t="s">
        <v>2057</v>
      </c>
      <c r="B66" s="2129" t="s">
        <v>2058</v>
      </c>
      <c r="C66" s="2037"/>
      <c r="D66" s="1061">
        <f t="shared" si="12"/>
        <v>0</v>
      </c>
      <c r="E66" s="741"/>
      <c r="F66" s="1810"/>
      <c r="G66" s="1059"/>
      <c r="H66" s="1062" t="str">
        <f t="shared" si="13"/>
        <v>——</v>
      </c>
      <c r="I66" s="3359">
        <v>0.06</v>
      </c>
      <c r="J66" s="1060">
        <f t="shared" si="14"/>
        <v>0</v>
      </c>
      <c r="K66" s="1060">
        <f t="shared" si="15"/>
        <v>0</v>
      </c>
      <c r="L66" s="1060">
        <v>0</v>
      </c>
      <c r="M66" s="1060">
        <f t="shared" si="16"/>
        <v>0</v>
      </c>
      <c r="N66" s="1060">
        <f t="shared" si="16"/>
        <v>0</v>
      </c>
      <c r="AA66" s="1116"/>
      <c r="AB66" s="1116"/>
      <c r="AC66" s="1116"/>
      <c r="AD66" s="1116"/>
      <c r="AE66" s="1116"/>
      <c r="AF66" s="1116"/>
      <c r="AG66" s="1116"/>
      <c r="AH66" s="1116"/>
      <c r="AI66" s="1116"/>
      <c r="AJ66" s="1116"/>
      <c r="AK66" s="1116"/>
    </row>
    <row r="67" spans="1:37" s="1115" customFormat="1" ht="76.5">
      <c r="A67" s="2123" t="s">
        <v>2059</v>
      </c>
      <c r="B67" s="1322" t="str">
        <f>估价对象房地状况!C21</f>
        <v>估价对象周边有红星中学、瀛海镇第一中心小学、瀛海一幼幼儿园等教育机构，有肃宁正骨医院医疗设施，有北京农商银行等金融机构，公共配套设施状况一般</v>
      </c>
      <c r="C67" s="2037"/>
      <c r="D67" s="1061">
        <f t="shared" si="12"/>
        <v>0</v>
      </c>
      <c r="E67" s="741"/>
      <c r="F67" s="1810"/>
      <c r="G67" s="1059"/>
      <c r="H67" s="1062" t="str">
        <f t="shared" si="13"/>
        <v>——</v>
      </c>
      <c r="I67" s="3359">
        <v>0.06</v>
      </c>
      <c r="J67" s="1060">
        <f t="shared" si="14"/>
        <v>0</v>
      </c>
      <c r="K67" s="1060">
        <f t="shared" si="15"/>
        <v>0</v>
      </c>
      <c r="L67" s="1060">
        <v>0</v>
      </c>
      <c r="M67" s="1060">
        <f t="shared" si="16"/>
        <v>0</v>
      </c>
      <c r="N67" s="1060">
        <f t="shared" si="16"/>
        <v>0</v>
      </c>
      <c r="AA67" s="1116"/>
      <c r="AB67" s="1116"/>
      <c r="AC67" s="1116"/>
      <c r="AD67" s="1116"/>
      <c r="AE67" s="1116"/>
      <c r="AF67" s="1116"/>
      <c r="AG67" s="1116"/>
      <c r="AH67" s="1116"/>
      <c r="AI67" s="1116"/>
      <c r="AJ67" s="1116"/>
      <c r="AK67" s="1116"/>
    </row>
    <row r="68" spans="1:37" s="1115" customFormat="1" ht="25.5">
      <c r="A68" s="2123" t="s">
        <v>2060</v>
      </c>
      <c r="B68" s="1322" t="str">
        <f>估价对象房地状况!C22</f>
        <v>估价对象所在区域基础设施水平-六通</v>
      </c>
      <c r="C68" s="2037"/>
      <c r="D68" s="1061">
        <f t="shared" si="12"/>
        <v>0</v>
      </c>
      <c r="E68" s="741"/>
      <c r="F68" s="1810"/>
      <c r="G68" s="1059"/>
      <c r="H68" s="1062" t="str">
        <f t="shared" si="13"/>
        <v>——</v>
      </c>
      <c r="I68" s="3359">
        <v>0.09</v>
      </c>
      <c r="J68" s="1060">
        <f t="shared" si="14"/>
        <v>0</v>
      </c>
      <c r="K68" s="1060">
        <f t="shared" si="15"/>
        <v>0</v>
      </c>
      <c r="L68" s="1060">
        <v>0</v>
      </c>
      <c r="M68" s="1060">
        <f t="shared" si="16"/>
        <v>0</v>
      </c>
      <c r="N68" s="1060">
        <f t="shared" si="16"/>
        <v>0</v>
      </c>
      <c r="AA68" s="1116"/>
      <c r="AB68" s="1116"/>
      <c r="AC68" s="1116"/>
      <c r="AD68" s="1116"/>
      <c r="AE68" s="1116"/>
      <c r="AF68" s="1116"/>
      <c r="AG68" s="1116"/>
      <c r="AH68" s="1116"/>
      <c r="AI68" s="1116"/>
      <c r="AJ68" s="1116"/>
      <c r="AK68" s="1116"/>
    </row>
    <row r="69" spans="1:37" s="1115" customFormat="1" ht="51.75" thickBot="1">
      <c r="A69" s="2131" t="s">
        <v>2061</v>
      </c>
      <c r="B69" s="2133" t="str">
        <f>估价对象房地状况!C20</f>
        <v>周边1公里范围内有南海子公园、志远庄公园等自然景观，人文景观较少，综合评价环境状况一般</v>
      </c>
      <c r="C69" s="2037"/>
      <c r="D69" s="1061">
        <f t="shared" si="12"/>
        <v>0</v>
      </c>
      <c r="E69" s="742"/>
      <c r="F69" s="1810"/>
      <c r="G69" s="1059"/>
      <c r="H69" s="1062" t="str">
        <f t="shared" si="13"/>
        <v>——</v>
      </c>
      <c r="I69" s="3360">
        <v>7.0000000000000007E-2</v>
      </c>
      <c r="J69" s="1060">
        <f t="shared" si="14"/>
        <v>0</v>
      </c>
      <c r="K69" s="1060">
        <f t="shared" si="15"/>
        <v>0</v>
      </c>
      <c r="L69" s="1060">
        <v>0</v>
      </c>
      <c r="M69" s="1060">
        <f t="shared" si="16"/>
        <v>0</v>
      </c>
      <c r="N69" s="1060">
        <f t="shared" si="16"/>
        <v>0</v>
      </c>
      <c r="AA69" s="1116"/>
      <c r="AB69" s="1116"/>
      <c r="AC69" s="1116"/>
      <c r="AD69" s="1116"/>
      <c r="AE69" s="1116"/>
      <c r="AF69" s="1116"/>
      <c r="AG69" s="1116"/>
      <c r="AH69" s="1116"/>
      <c r="AI69" s="1116"/>
      <c r="AJ69" s="1116"/>
      <c r="AK69" s="1116"/>
    </row>
    <row r="70" spans="1:37" s="1115" customFormat="1" ht="15">
      <c r="A70" s="2119" t="s">
        <v>2065</v>
      </c>
      <c r="B70" s="2120">
        <f>1+E72</f>
        <v>1</v>
      </c>
      <c r="C70" s="737"/>
      <c r="D70" s="737"/>
      <c r="E70" s="738"/>
      <c r="F70" s="2122"/>
      <c r="G70" s="3"/>
      <c r="H70" s="3"/>
      <c r="I70" s="3"/>
      <c r="J70" s="4"/>
      <c r="K70" s="4"/>
      <c r="L70" s="4"/>
      <c r="M70" s="4"/>
      <c r="N70" s="4"/>
      <c r="AA70" s="1116"/>
      <c r="AB70" s="1116"/>
      <c r="AC70" s="1116"/>
      <c r="AD70" s="1116"/>
      <c r="AE70" s="1116"/>
      <c r="AF70" s="1116"/>
      <c r="AG70" s="1116"/>
      <c r="AH70" s="1116"/>
      <c r="AI70" s="1116"/>
      <c r="AJ70" s="1116"/>
      <c r="AK70" s="1116"/>
    </row>
    <row r="71" spans="1:37" s="1115" customFormat="1" ht="24.75">
      <c r="A71" s="2123" t="s">
        <v>2044</v>
      </c>
      <c r="B71" s="1347"/>
      <c r="C71" s="1347" t="s">
        <v>2046</v>
      </c>
      <c r="D71" s="1347" t="s">
        <v>2047</v>
      </c>
      <c r="E71" s="739" t="s">
        <v>2048</v>
      </c>
      <c r="F71" s="2124" t="s">
        <v>2063</v>
      </c>
      <c r="G71" s="1347" t="s">
        <v>310</v>
      </c>
      <c r="H71" s="2125" t="s">
        <v>2050</v>
      </c>
      <c r="I71" s="1347" t="s">
        <v>2051</v>
      </c>
      <c r="J71" s="549" t="s">
        <v>1721</v>
      </c>
      <c r="K71" s="549" t="s">
        <v>1722</v>
      </c>
      <c r="L71" s="549" t="s">
        <v>1723</v>
      </c>
      <c r="M71" s="549" t="s">
        <v>1724</v>
      </c>
      <c r="N71" s="549" t="s">
        <v>1725</v>
      </c>
      <c r="AA71" s="1116"/>
      <c r="AB71" s="1116"/>
      <c r="AC71" s="1116"/>
      <c r="AD71" s="1116"/>
      <c r="AE71" s="1116"/>
      <c r="AF71" s="1116"/>
      <c r="AG71" s="1116"/>
      <c r="AH71" s="1116"/>
      <c r="AI71" s="1116"/>
      <c r="AJ71" s="1116"/>
      <c r="AK71" s="1116"/>
    </row>
    <row r="72" spans="1:37" s="1115" customFormat="1" ht="76.5">
      <c r="A72" s="2123" t="s">
        <v>2066</v>
      </c>
      <c r="B72" s="2126" t="str">
        <f>估价对象房地状况!C15</f>
        <v>估价对象周边有瀛海家园、永旭家园、兴海园、玉璟园等住宅小区，居住用地比例、居住小区规模和社区发展完善程度，综合评价居住社区成熟度一般</v>
      </c>
      <c r="C72" s="2037"/>
      <c r="D72" s="1061">
        <f t="shared" ref="D72:D80" si="17">SUMIF($J$71:$N$71,C72,J72:N72)</f>
        <v>0</v>
      </c>
      <c r="E72" s="740">
        <f>ROUND(SUM(D72:D80),4)</f>
        <v>0</v>
      </c>
      <c r="F72" s="1810" t="str">
        <f>IF(E2="住宅",SUMIF(L1:L12,G2,N1:N12),"——")</f>
        <v>——</v>
      </c>
      <c r="G72" s="1059"/>
      <c r="H72" s="1062" t="str">
        <f t="shared" ref="H72:H80" si="18">IFERROR(ROUNDDOWN($F$72*I72/2,4),"——")</f>
        <v>——</v>
      </c>
      <c r="I72" s="3359">
        <v>0.2</v>
      </c>
      <c r="J72" s="1060">
        <f t="shared" ref="J72:J80" si="19">K72+$G72</f>
        <v>0</v>
      </c>
      <c r="K72" s="1060">
        <f t="shared" ref="K72:K80" si="20">$L72+$G72</f>
        <v>0</v>
      </c>
      <c r="L72" s="1060">
        <v>0</v>
      </c>
      <c r="M72" s="1060">
        <f t="shared" ref="M72:N80" si="21">L72-$G72</f>
        <v>0</v>
      </c>
      <c r="N72" s="1060">
        <f t="shared" si="21"/>
        <v>0</v>
      </c>
      <c r="AA72" s="1116"/>
      <c r="AB72" s="1116"/>
      <c r="AC72" s="1116"/>
      <c r="AD72" s="1116"/>
      <c r="AE72" s="1116"/>
      <c r="AF72" s="1116"/>
      <c r="AG72" s="1116"/>
      <c r="AH72" s="1116"/>
      <c r="AI72" s="1116"/>
      <c r="AJ72" s="1116"/>
      <c r="AK72" s="1116"/>
    </row>
    <row r="73" spans="1:37" s="1115" customFormat="1" ht="76.5">
      <c r="A73" s="2123" t="s">
        <v>2053</v>
      </c>
      <c r="B73" s="2127" t="str">
        <f>估价对象房地状况!C18</f>
        <v>估价对象邻近城市高速路-京台高速，附近有兴16路、兴38路、专83路等公交线路，周边道路状况、公共交通通达情况、停车便捷程度，综合评价交通便捷度较好</v>
      </c>
      <c r="C73" s="2037"/>
      <c r="D73" s="1061">
        <f t="shared" si="17"/>
        <v>0</v>
      </c>
      <c r="E73" s="743"/>
      <c r="F73" s="1810"/>
      <c r="G73" s="1059"/>
      <c r="H73" s="1062" t="str">
        <f t="shared" si="18"/>
        <v>——</v>
      </c>
      <c r="I73" s="3359">
        <v>0.26</v>
      </c>
      <c r="J73" s="1060">
        <f t="shared" si="19"/>
        <v>0</v>
      </c>
      <c r="K73" s="1060">
        <f t="shared" si="20"/>
        <v>0</v>
      </c>
      <c r="L73" s="1060">
        <v>0</v>
      </c>
      <c r="M73" s="1060">
        <f t="shared" si="21"/>
        <v>0</v>
      </c>
      <c r="N73" s="1060">
        <f t="shared" si="21"/>
        <v>0</v>
      </c>
      <c r="AA73" s="1116"/>
      <c r="AB73" s="1116"/>
      <c r="AC73" s="1116"/>
      <c r="AD73" s="1116"/>
      <c r="AE73" s="1116"/>
      <c r="AF73" s="1116"/>
      <c r="AG73" s="1116"/>
      <c r="AH73" s="1116"/>
      <c r="AI73" s="1116"/>
      <c r="AJ73" s="1116"/>
      <c r="AK73" s="1116"/>
    </row>
    <row r="74" spans="1:37" s="1990" customFormat="1" ht="36">
      <c r="A74" s="3361" t="s">
        <v>3273</v>
      </c>
      <c r="B74" s="2127">
        <f>估价对象房地状况!C19</f>
        <v>0</v>
      </c>
      <c r="C74" s="2037"/>
      <c r="D74" s="1061">
        <f t="shared" si="17"/>
        <v>0</v>
      </c>
      <c r="E74" s="743"/>
      <c r="F74" s="1810"/>
      <c r="G74" s="1059"/>
      <c r="H74" s="1062" t="str">
        <f t="shared" si="18"/>
        <v>——</v>
      </c>
      <c r="I74" s="3359">
        <v>0.1</v>
      </c>
      <c r="J74" s="1060">
        <f t="shared" si="19"/>
        <v>0</v>
      </c>
      <c r="K74" s="1060">
        <f t="shared" si="20"/>
        <v>0</v>
      </c>
      <c r="L74" s="1060">
        <v>0</v>
      </c>
      <c r="M74" s="1060">
        <f t="shared" si="21"/>
        <v>0</v>
      </c>
      <c r="N74" s="1060">
        <f t="shared" si="21"/>
        <v>0</v>
      </c>
      <c r="O74" s="1115"/>
      <c r="P74" s="1115"/>
      <c r="Q74" s="1115"/>
      <c r="AA74" s="2134"/>
      <c r="AB74" s="1116"/>
      <c r="AC74" s="1116"/>
      <c r="AD74" s="1116"/>
      <c r="AE74" s="1116"/>
      <c r="AF74" s="1116"/>
      <c r="AG74" s="1116"/>
      <c r="AH74" s="2134"/>
      <c r="AI74" s="2134"/>
      <c r="AJ74" s="2134"/>
      <c r="AK74" s="2134"/>
    </row>
    <row r="75" spans="1:37" ht="14.25">
      <c r="A75" s="2123" t="s">
        <v>2067</v>
      </c>
      <c r="B75" s="2127">
        <f>估价对象房地状况!C24</f>
        <v>0</v>
      </c>
      <c r="C75" s="2037"/>
      <c r="D75" s="1061">
        <f t="shared" si="17"/>
        <v>0</v>
      </c>
      <c r="E75" s="743"/>
      <c r="F75" s="1810"/>
      <c r="G75" s="1059"/>
      <c r="H75" s="1062" t="str">
        <f t="shared" si="18"/>
        <v>——</v>
      </c>
      <c r="I75" s="3359">
        <v>0.05</v>
      </c>
      <c r="J75" s="1060">
        <f t="shared" si="19"/>
        <v>0</v>
      </c>
      <c r="K75" s="1060">
        <f t="shared" si="20"/>
        <v>0</v>
      </c>
      <c r="L75" s="1060">
        <v>0</v>
      </c>
      <c r="M75" s="1060">
        <f t="shared" si="21"/>
        <v>0</v>
      </c>
      <c r="N75" s="1060">
        <f t="shared" si="21"/>
        <v>0</v>
      </c>
      <c r="O75" s="1115"/>
      <c r="P75" s="1115"/>
      <c r="Q75" s="1990"/>
      <c r="Z75" s="1991"/>
      <c r="AA75" s="2046"/>
      <c r="AG75" s="1117"/>
      <c r="AK75" s="2046"/>
    </row>
    <row r="76" spans="1:37" ht="76.5">
      <c r="A76" s="2123" t="s">
        <v>2059</v>
      </c>
      <c r="B76" s="1322" t="str">
        <f>估价对象房地状况!C21</f>
        <v>估价对象周边有红星中学、瀛海镇第一中心小学、瀛海一幼幼儿园等教育机构，有肃宁正骨医院医疗设施，有北京农商银行等金融机构，公共配套设施状况一般</v>
      </c>
      <c r="C76" s="2037"/>
      <c r="D76" s="1061">
        <f t="shared" si="17"/>
        <v>0</v>
      </c>
      <c r="E76" s="743"/>
      <c r="F76" s="1810"/>
      <c r="G76" s="1059"/>
      <c r="H76" s="1062" t="str">
        <f t="shared" si="18"/>
        <v>——</v>
      </c>
      <c r="I76" s="3359">
        <v>0.08</v>
      </c>
      <c r="J76" s="1060">
        <f t="shared" si="19"/>
        <v>0</v>
      </c>
      <c r="K76" s="1060">
        <f t="shared" si="20"/>
        <v>0</v>
      </c>
      <c r="L76" s="1060">
        <v>0</v>
      </c>
      <c r="M76" s="1060">
        <f t="shared" si="21"/>
        <v>0</v>
      </c>
      <c r="N76" s="1060">
        <f t="shared" si="21"/>
        <v>0</v>
      </c>
      <c r="O76" s="1115"/>
      <c r="P76" s="1115"/>
      <c r="Z76" s="1991"/>
      <c r="AA76" s="2046"/>
      <c r="AG76" s="1117"/>
      <c r="AK76" s="2046"/>
    </row>
    <row r="77" spans="1:37" ht="25.5">
      <c r="A77" s="2123" t="s">
        <v>2060</v>
      </c>
      <c r="B77" s="1322" t="str">
        <f>估价对象房地状况!C22</f>
        <v>估价对象所在区域基础设施水平-六通</v>
      </c>
      <c r="C77" s="2037"/>
      <c r="D77" s="1061">
        <f t="shared" si="17"/>
        <v>0</v>
      </c>
      <c r="E77" s="743"/>
      <c r="F77" s="1810"/>
      <c r="G77" s="1059"/>
      <c r="H77" s="1062" t="str">
        <f t="shared" si="18"/>
        <v>——</v>
      </c>
      <c r="I77" s="3359">
        <v>0.09</v>
      </c>
      <c r="J77" s="1060">
        <f t="shared" si="19"/>
        <v>0</v>
      </c>
      <c r="K77" s="1060">
        <f t="shared" si="20"/>
        <v>0</v>
      </c>
      <c r="L77" s="1060">
        <v>0</v>
      </c>
      <c r="M77" s="1060">
        <f t="shared" si="21"/>
        <v>0</v>
      </c>
      <c r="N77" s="1060">
        <f t="shared" si="21"/>
        <v>0</v>
      </c>
      <c r="O77" s="1115"/>
      <c r="P77" s="1115"/>
      <c r="Z77" s="1991"/>
      <c r="AA77" s="2046"/>
      <c r="AG77" s="1117"/>
      <c r="AK77" s="2046"/>
    </row>
    <row r="78" spans="1:37" ht="24">
      <c r="A78" s="2123" t="s">
        <v>2057</v>
      </c>
      <c r="B78" s="2129" t="s">
        <v>2058</v>
      </c>
      <c r="C78" s="2037"/>
      <c r="D78" s="1061">
        <f t="shared" si="17"/>
        <v>0</v>
      </c>
      <c r="E78" s="743"/>
      <c r="F78" s="1810"/>
      <c r="G78" s="1059"/>
      <c r="H78" s="1062" t="str">
        <f t="shared" si="18"/>
        <v>——</v>
      </c>
      <c r="I78" s="3359">
        <v>0.05</v>
      </c>
      <c r="J78" s="1060">
        <f t="shared" si="19"/>
        <v>0</v>
      </c>
      <c r="K78" s="1060">
        <f t="shared" si="20"/>
        <v>0</v>
      </c>
      <c r="L78" s="1060">
        <v>0</v>
      </c>
      <c r="M78" s="1060">
        <f t="shared" si="21"/>
        <v>0</v>
      </c>
      <c r="N78" s="1060">
        <f t="shared" si="21"/>
        <v>0</v>
      </c>
      <c r="O78" s="1990"/>
      <c r="P78" s="1990"/>
      <c r="Z78" s="1991"/>
      <c r="AA78" s="2046"/>
      <c r="AG78" s="1117"/>
      <c r="AK78" s="2046"/>
    </row>
    <row r="79" spans="1:37" ht="51">
      <c r="A79" s="2123" t="s">
        <v>2061</v>
      </c>
      <c r="B79" s="2126" t="str">
        <f>估价对象房地状况!C20</f>
        <v>周边1公里范围内有南海子公园、志远庄公园等自然景观，人文景观较少，综合评价环境状况一般</v>
      </c>
      <c r="C79" s="2037"/>
      <c r="D79" s="1061">
        <f t="shared" si="17"/>
        <v>0</v>
      </c>
      <c r="E79" s="743"/>
      <c r="F79" s="1810"/>
      <c r="G79" s="1059"/>
      <c r="H79" s="1062" t="str">
        <f t="shared" si="18"/>
        <v>——</v>
      </c>
      <c r="I79" s="3359">
        <v>0.12</v>
      </c>
      <c r="J79" s="1060">
        <f t="shared" si="19"/>
        <v>0</v>
      </c>
      <c r="K79" s="1060">
        <f t="shared" si="20"/>
        <v>0</v>
      </c>
      <c r="L79" s="1060">
        <v>0</v>
      </c>
      <c r="M79" s="1060">
        <f t="shared" si="21"/>
        <v>0</v>
      </c>
      <c r="N79" s="1060">
        <f t="shared" si="21"/>
        <v>0</v>
      </c>
      <c r="Z79" s="1991"/>
      <c r="AA79" s="2046"/>
      <c r="AG79" s="1117"/>
      <c r="AK79" s="2046"/>
    </row>
    <row r="80" spans="1:37" ht="24.75" thickBot="1">
      <c r="A80" s="2131" t="s">
        <v>2068</v>
      </c>
      <c r="B80" s="2135"/>
      <c r="C80" s="2037"/>
      <c r="D80" s="1061">
        <f t="shared" si="17"/>
        <v>0</v>
      </c>
      <c r="E80" s="744"/>
      <c r="F80" s="1810"/>
      <c r="G80" s="1059"/>
      <c r="H80" s="1062" t="str">
        <f t="shared" si="18"/>
        <v>——</v>
      </c>
      <c r="I80" s="3360">
        <v>0.05</v>
      </c>
      <c r="J80" s="1060">
        <f t="shared" si="19"/>
        <v>0</v>
      </c>
      <c r="K80" s="1060">
        <f t="shared" si="20"/>
        <v>0</v>
      </c>
      <c r="L80" s="1060">
        <v>0</v>
      </c>
      <c r="M80" s="1060">
        <f t="shared" si="21"/>
        <v>0</v>
      </c>
      <c r="N80" s="1060">
        <f t="shared" si="21"/>
        <v>0</v>
      </c>
      <c r="Z80" s="1991"/>
      <c r="AA80" s="2046"/>
      <c r="AG80" s="1117"/>
      <c r="AK80" s="2046"/>
    </row>
    <row r="81" spans="1:37" ht="15">
      <c r="A81" s="2119" t="s">
        <v>2069</v>
      </c>
      <c r="B81" s="2120">
        <f>1+E83</f>
        <v>1</v>
      </c>
      <c r="C81" s="737"/>
      <c r="D81" s="737"/>
      <c r="E81" s="738"/>
      <c r="F81" s="2122"/>
      <c r="G81" s="3"/>
      <c r="H81" s="3"/>
      <c r="I81" s="3"/>
      <c r="J81" s="4"/>
      <c r="K81" s="4"/>
      <c r="L81" s="4"/>
      <c r="M81" s="4"/>
      <c r="N81" s="4"/>
      <c r="Z81" s="1991"/>
      <c r="AA81" s="2046"/>
      <c r="AG81" s="1117"/>
      <c r="AK81" s="2046"/>
    </row>
    <row r="82" spans="1:37" ht="24.75">
      <c r="A82" s="2123" t="s">
        <v>2044</v>
      </c>
      <c r="B82" s="1347"/>
      <c r="C82" s="1347" t="s">
        <v>2046</v>
      </c>
      <c r="D82" s="1347" t="s">
        <v>2047</v>
      </c>
      <c r="E82" s="739" t="s">
        <v>2048</v>
      </c>
      <c r="F82" s="2124" t="s">
        <v>2063</v>
      </c>
      <c r="G82" s="1347" t="s">
        <v>310</v>
      </c>
      <c r="H82" s="2125" t="s">
        <v>2050</v>
      </c>
      <c r="I82" s="1347" t="s">
        <v>2051</v>
      </c>
      <c r="J82" s="549" t="s">
        <v>1721</v>
      </c>
      <c r="K82" s="549" t="s">
        <v>1722</v>
      </c>
      <c r="L82" s="549" t="s">
        <v>1723</v>
      </c>
      <c r="M82" s="549" t="s">
        <v>1724</v>
      </c>
      <c r="N82" s="549" t="s">
        <v>1725</v>
      </c>
      <c r="Z82" s="1991"/>
      <c r="AA82" s="2046"/>
      <c r="AG82" s="1117"/>
      <c r="AK82" s="2046"/>
    </row>
    <row r="83" spans="1:37" ht="38.25">
      <c r="A83" s="2123" t="s">
        <v>2070</v>
      </c>
      <c r="B83" s="2127" t="str">
        <f>估价对象房地状况!G15</f>
        <v>估价对象位于XX开发区，园区建设成熟度XX，产业集聚程度XX</v>
      </c>
      <c r="C83" s="2037"/>
      <c r="D83" s="1061">
        <f t="shared" ref="D83:D90" si="22">SUMIF($J$82:$N$82,C83,J83:N83)</f>
        <v>0</v>
      </c>
      <c r="E83" s="740">
        <f>ROUND(SUM(D83:D90),4)</f>
        <v>0</v>
      </c>
      <c r="F83" s="1810" t="str">
        <f>IF(E2="工业",SUMIF(L1:L12,G2,N1:N12),"——")</f>
        <v>——</v>
      </c>
      <c r="G83" s="1059"/>
      <c r="H83" s="1062" t="str">
        <f t="shared" ref="H83:H90" si="23">IFERROR(ROUNDDOWN($F$83*I83/2,4),"——")</f>
        <v>——</v>
      </c>
      <c r="I83" s="3359">
        <v>0.26</v>
      </c>
      <c r="J83" s="1060">
        <f t="shared" ref="J83:J90" si="24">K83+$G83</f>
        <v>0</v>
      </c>
      <c r="K83" s="1060">
        <f t="shared" ref="K83:K90" si="25">$L83+$G83</f>
        <v>0</v>
      </c>
      <c r="L83" s="1060">
        <v>0</v>
      </c>
      <c r="M83" s="1060">
        <f t="shared" ref="M83:N90" si="26">L83-$G83</f>
        <v>0</v>
      </c>
      <c r="N83" s="1060">
        <f t="shared" si="26"/>
        <v>0</v>
      </c>
      <c r="Z83" s="1991"/>
      <c r="AA83" s="2046"/>
      <c r="AG83" s="1117"/>
      <c r="AK83" s="2046"/>
    </row>
    <row r="84" spans="1:37" ht="38.25">
      <c r="A84" s="2123" t="s">
        <v>2053</v>
      </c>
      <c r="B84" s="2127" t="str">
        <f>估价对象房地状况!G16</f>
        <v>估价对象周边道路状况、公共交通通达情况、停车便捷程度，综合评价交通便捷度较好</v>
      </c>
      <c r="C84" s="2037"/>
      <c r="D84" s="1061">
        <f t="shared" si="22"/>
        <v>0</v>
      </c>
      <c r="E84" s="743"/>
      <c r="F84" s="1810"/>
      <c r="G84" s="1059"/>
      <c r="H84" s="1062" t="str">
        <f t="shared" si="23"/>
        <v>——</v>
      </c>
      <c r="I84" s="3359">
        <v>0.3</v>
      </c>
      <c r="J84" s="1060">
        <f t="shared" si="24"/>
        <v>0</v>
      </c>
      <c r="K84" s="1060">
        <f t="shared" si="25"/>
        <v>0</v>
      </c>
      <c r="L84" s="1060">
        <v>0</v>
      </c>
      <c r="M84" s="1060">
        <f t="shared" si="26"/>
        <v>0</v>
      </c>
      <c r="N84" s="1060">
        <f t="shared" si="26"/>
        <v>0</v>
      </c>
      <c r="Z84" s="1991"/>
      <c r="AA84" s="2046"/>
      <c r="AG84" s="1117"/>
      <c r="AK84" s="2046"/>
    </row>
    <row r="85" spans="1:37" ht="36">
      <c r="A85" s="3361" t="s">
        <v>3274</v>
      </c>
      <c r="B85" s="2127">
        <f>估价对象房地状况!G17</f>
        <v>0</v>
      </c>
      <c r="C85" s="2037"/>
      <c r="D85" s="1061">
        <f t="shared" si="22"/>
        <v>0</v>
      </c>
      <c r="E85" s="743"/>
      <c r="F85" s="1810"/>
      <c r="G85" s="1059"/>
      <c r="H85" s="1062" t="str">
        <f t="shared" si="23"/>
        <v>——</v>
      </c>
      <c r="I85" s="3359">
        <v>0.1</v>
      </c>
      <c r="J85" s="1060">
        <f t="shared" si="24"/>
        <v>0</v>
      </c>
      <c r="K85" s="1060">
        <f t="shared" si="25"/>
        <v>0</v>
      </c>
      <c r="L85" s="1060">
        <v>0</v>
      </c>
      <c r="M85" s="1060">
        <f t="shared" si="26"/>
        <v>0</v>
      </c>
      <c r="N85" s="1060">
        <f t="shared" si="26"/>
        <v>0</v>
      </c>
      <c r="Z85" s="1991"/>
      <c r="AA85" s="2046"/>
      <c r="AG85" s="1117"/>
      <c r="AK85" s="2046"/>
    </row>
    <row r="86" spans="1:37" ht="14.25">
      <c r="A86" s="2123" t="s">
        <v>2067</v>
      </c>
      <c r="B86" s="2127">
        <f>估价对象房地状况!G22</f>
        <v>0</v>
      </c>
      <c r="C86" s="2037"/>
      <c r="D86" s="1061">
        <f t="shared" si="22"/>
        <v>0</v>
      </c>
      <c r="E86" s="743"/>
      <c r="F86" s="1810"/>
      <c r="G86" s="1059"/>
      <c r="H86" s="1062" t="str">
        <f t="shared" si="23"/>
        <v>——</v>
      </c>
      <c r="I86" s="3359">
        <v>0.05</v>
      </c>
      <c r="J86" s="1060">
        <f t="shared" si="24"/>
        <v>0</v>
      </c>
      <c r="K86" s="1060">
        <f t="shared" si="25"/>
        <v>0</v>
      </c>
      <c r="L86" s="1060">
        <v>0</v>
      </c>
      <c r="M86" s="1060">
        <f t="shared" si="26"/>
        <v>0</v>
      </c>
      <c r="N86" s="1060">
        <f t="shared" si="26"/>
        <v>0</v>
      </c>
      <c r="Z86" s="1991"/>
      <c r="AA86" s="2046"/>
      <c r="AG86" s="1117"/>
      <c r="AK86" s="2046"/>
    </row>
    <row r="87" spans="1:37" ht="25.5">
      <c r="A87" s="2123" t="s">
        <v>2059</v>
      </c>
      <c r="B87" s="1322" t="str">
        <f>估价对象房地状况!G19</f>
        <v>估价对象所在区域公共配套设施齐备情况</v>
      </c>
      <c r="C87" s="2037"/>
      <c r="D87" s="1061">
        <f t="shared" si="22"/>
        <v>0</v>
      </c>
      <c r="E87" s="743"/>
      <c r="F87" s="1810"/>
      <c r="G87" s="1059"/>
      <c r="H87" s="1062" t="str">
        <f t="shared" si="23"/>
        <v>——</v>
      </c>
      <c r="I87" s="3359">
        <v>0.06</v>
      </c>
      <c r="J87" s="1060">
        <f t="shared" si="24"/>
        <v>0</v>
      </c>
      <c r="K87" s="1060">
        <f t="shared" si="25"/>
        <v>0</v>
      </c>
      <c r="L87" s="1060">
        <v>0</v>
      </c>
      <c r="M87" s="1060">
        <f t="shared" si="26"/>
        <v>0</v>
      </c>
      <c r="N87" s="1060">
        <f t="shared" si="26"/>
        <v>0</v>
      </c>
    </row>
    <row r="88" spans="1:37" ht="25.5">
      <c r="A88" s="2123" t="s">
        <v>2060</v>
      </c>
      <c r="B88" s="1322" t="str">
        <f>估价对象房地状况!G20</f>
        <v>估价对象所在区域基础设施水平</v>
      </c>
      <c r="C88" s="2037"/>
      <c r="D88" s="1061">
        <f t="shared" si="22"/>
        <v>0</v>
      </c>
      <c r="E88" s="743"/>
      <c r="F88" s="1810"/>
      <c r="G88" s="1059"/>
      <c r="H88" s="1062" t="str">
        <f t="shared" si="23"/>
        <v>——</v>
      </c>
      <c r="I88" s="3359">
        <v>0.12</v>
      </c>
      <c r="J88" s="1060">
        <f t="shared" si="24"/>
        <v>0</v>
      </c>
      <c r="K88" s="1060">
        <f t="shared" si="25"/>
        <v>0</v>
      </c>
      <c r="L88" s="1060">
        <v>0</v>
      </c>
      <c r="M88" s="1060">
        <f t="shared" si="26"/>
        <v>0</v>
      </c>
      <c r="N88" s="1060">
        <f t="shared" si="26"/>
        <v>0</v>
      </c>
    </row>
    <row r="89" spans="1:37" ht="24">
      <c r="A89" s="2123" t="s">
        <v>2057</v>
      </c>
      <c r="B89" s="2129" t="s">
        <v>2071</v>
      </c>
      <c r="C89" s="2037"/>
      <c r="D89" s="1061">
        <f t="shared" si="22"/>
        <v>0</v>
      </c>
      <c r="E89" s="743"/>
      <c r="F89" s="1810"/>
      <c r="G89" s="1059"/>
      <c r="H89" s="1062" t="str">
        <f t="shared" si="23"/>
        <v>——</v>
      </c>
      <c r="I89" s="3359">
        <v>0.06</v>
      </c>
      <c r="J89" s="1060">
        <f t="shared" si="24"/>
        <v>0</v>
      </c>
      <c r="K89" s="1060">
        <f t="shared" si="25"/>
        <v>0</v>
      </c>
      <c r="L89" s="1060">
        <v>0</v>
      </c>
      <c r="M89" s="1060">
        <f t="shared" si="26"/>
        <v>0</v>
      </c>
      <c r="N89" s="1060">
        <f t="shared" si="26"/>
        <v>0</v>
      </c>
    </row>
    <row r="90" spans="1:37" ht="39" thickBot="1">
      <c r="A90" s="2131" t="s">
        <v>2072</v>
      </c>
      <c r="B90" s="2136" t="str">
        <f>估价对象房地状况!G18</f>
        <v>该园区内是否有污染型企业，绿化情况，卫生条件，整体环境状况判断</v>
      </c>
      <c r="C90" s="2037"/>
      <c r="D90" s="1061">
        <f t="shared" si="22"/>
        <v>0</v>
      </c>
      <c r="E90" s="744"/>
      <c r="F90" s="1810"/>
      <c r="G90" s="1059"/>
      <c r="H90" s="1062" t="str">
        <f t="shared" si="23"/>
        <v>——</v>
      </c>
      <c r="I90" s="3360">
        <v>0.05</v>
      </c>
      <c r="J90" s="1060">
        <f t="shared" si="24"/>
        <v>0</v>
      </c>
      <c r="K90" s="1060">
        <f t="shared" si="25"/>
        <v>0</v>
      </c>
      <c r="L90" s="1060">
        <v>0</v>
      </c>
      <c r="M90" s="1060">
        <f t="shared" si="26"/>
        <v>0</v>
      </c>
      <c r="N90" s="1060">
        <f t="shared" si="26"/>
        <v>0</v>
      </c>
    </row>
    <row r="91" spans="1:37" ht="15">
      <c r="A91" s="3369" t="s">
        <v>2612</v>
      </c>
      <c r="B91" s="3370">
        <f>1+E93</f>
        <v>1</v>
      </c>
      <c r="C91" s="3363"/>
      <c r="D91" s="3364"/>
      <c r="E91" s="1810"/>
      <c r="F91" s="1810"/>
      <c r="G91" s="3365"/>
      <c r="H91" s="3366"/>
      <c r="I91" s="3367"/>
      <c r="J91" s="3368"/>
      <c r="K91" s="3368"/>
      <c r="L91" s="3368"/>
      <c r="M91" s="3368"/>
      <c r="N91" s="3368"/>
    </row>
    <row r="92" spans="1:37" ht="24.75">
      <c r="A92" s="3371" t="s">
        <v>3275</v>
      </c>
      <c r="B92" s="3358"/>
      <c r="C92" s="3358" t="s">
        <v>3284</v>
      </c>
      <c r="D92" s="3358" t="s">
        <v>3285</v>
      </c>
      <c r="E92" s="3340" t="s">
        <v>3286</v>
      </c>
      <c r="F92" s="3373" t="s">
        <v>3287</v>
      </c>
      <c r="G92" s="3358" t="s">
        <v>3288</v>
      </c>
      <c r="H92" s="3380" t="s">
        <v>3291</v>
      </c>
      <c r="I92" s="3358" t="s">
        <v>3292</v>
      </c>
      <c r="J92" s="3381" t="s">
        <v>3293</v>
      </c>
      <c r="K92" s="3381" t="s">
        <v>3294</v>
      </c>
      <c r="L92" s="3381" t="s">
        <v>3295</v>
      </c>
      <c r="M92" s="3381" t="s">
        <v>3296</v>
      </c>
      <c r="N92" s="3381" t="s">
        <v>3297</v>
      </c>
    </row>
    <row r="93" spans="1:37" ht="24">
      <c r="A93" s="3361" t="s">
        <v>3276</v>
      </c>
      <c r="B93" s="1302"/>
      <c r="C93" s="2037"/>
      <c r="D93" s="3358">
        <f>SUMIF($J$92:$N$92,C93,J93:N93)</f>
        <v>0</v>
      </c>
      <c r="E93" s="3374">
        <f>ROUND(SUM(D93:D101),4)</f>
        <v>0</v>
      </c>
      <c r="F93" s="1810" t="str">
        <f>IF(E2="公共服务",SUMIF(L1:L12,G2,N1:N12),"——")</f>
        <v>——</v>
      </c>
      <c r="G93" s="3365"/>
      <c r="H93" s="3413" t="str">
        <f>IFERROR(ROUNDDOWN($F$93*I93/2,4),"——")</f>
        <v>——</v>
      </c>
      <c r="I93" s="3359">
        <v>0.25</v>
      </c>
      <c r="J93" s="3337">
        <f t="shared" ref="J93:J101" si="27">K93+$G93</f>
        <v>0</v>
      </c>
      <c r="K93" s="3337">
        <f t="shared" ref="K93:K101" si="28">$L93+$G93</f>
        <v>0</v>
      </c>
      <c r="L93" s="3337">
        <v>0</v>
      </c>
      <c r="M93" s="3337">
        <f t="shared" ref="M93:N101" si="29">L93-$G93</f>
        <v>0</v>
      </c>
      <c r="N93" s="3337">
        <f t="shared" si="29"/>
        <v>0</v>
      </c>
    </row>
    <row r="94" spans="1:37" ht="76.5">
      <c r="A94" s="3371" t="s">
        <v>3277</v>
      </c>
      <c r="B94" s="3362" t="str">
        <f>估价对象房地状况!C18</f>
        <v>估价对象邻近城市高速路-京台高速，附近有兴16路、兴38路、专83路等公交线路，周边道路状况、公共交通通达情况、停车便捷程度，综合评价交通便捷度较好</v>
      </c>
      <c r="C94" s="2037"/>
      <c r="D94" s="3358">
        <f t="shared" ref="D94:D101" si="30">SUMIF($J$60:$N$60,C94,J94:N94)</f>
        <v>0</v>
      </c>
      <c r="E94" s="3375"/>
      <c r="F94" s="1810"/>
      <c r="G94" s="3365"/>
      <c r="H94" s="3413" t="str">
        <f>IFERROR(ROUNDDOWN($F$93*I94/2,4),"——")</f>
        <v>——</v>
      </c>
      <c r="I94" s="3359">
        <v>0.26</v>
      </c>
      <c r="J94" s="3337">
        <f t="shared" si="27"/>
        <v>0</v>
      </c>
      <c r="K94" s="3337">
        <f t="shared" si="28"/>
        <v>0</v>
      </c>
      <c r="L94" s="3337">
        <v>0</v>
      </c>
      <c r="M94" s="3337">
        <f t="shared" si="29"/>
        <v>0</v>
      </c>
      <c r="N94" s="3337">
        <f t="shared" si="29"/>
        <v>0</v>
      </c>
    </row>
    <row r="95" spans="1:37" ht="36">
      <c r="A95" s="3361" t="s">
        <v>3273</v>
      </c>
      <c r="B95" s="3362">
        <f>估价对象房地状况!C19</f>
        <v>0</v>
      </c>
      <c r="C95" s="2037"/>
      <c r="D95" s="3358">
        <f t="shared" si="30"/>
        <v>0</v>
      </c>
      <c r="E95" s="3375"/>
      <c r="F95" s="1810"/>
      <c r="G95" s="3365"/>
      <c r="H95" s="3413" t="str">
        <f t="shared" ref="H95:H101" si="31">IFERROR(ROUNDDOWN($F$93*I95/2,4),"——")</f>
        <v>——</v>
      </c>
      <c r="I95" s="3359">
        <v>0.11</v>
      </c>
      <c r="J95" s="3337">
        <f t="shared" si="27"/>
        <v>0</v>
      </c>
      <c r="K95" s="3337">
        <f t="shared" si="28"/>
        <v>0</v>
      </c>
      <c r="L95" s="3337">
        <v>0</v>
      </c>
      <c r="M95" s="3337">
        <f t="shared" si="29"/>
        <v>0</v>
      </c>
      <c r="N95" s="3337">
        <f t="shared" si="29"/>
        <v>0</v>
      </c>
    </row>
    <row r="96" spans="1:37" ht="36.75">
      <c r="A96" s="3371" t="s">
        <v>3278</v>
      </c>
      <c r="B96" s="3377" t="s">
        <v>3289</v>
      </c>
      <c r="C96" s="2037"/>
      <c r="D96" s="3358">
        <f t="shared" si="30"/>
        <v>0</v>
      </c>
      <c r="E96" s="3375"/>
      <c r="F96" s="1810"/>
      <c r="G96" s="3365"/>
      <c r="H96" s="3413" t="str">
        <f t="shared" si="31"/>
        <v>——</v>
      </c>
      <c r="I96" s="3359">
        <v>0.05</v>
      </c>
      <c r="J96" s="3337">
        <f t="shared" si="27"/>
        <v>0</v>
      </c>
      <c r="K96" s="3337">
        <f t="shared" si="28"/>
        <v>0</v>
      </c>
      <c r="L96" s="3337">
        <v>0</v>
      </c>
      <c r="M96" s="3337">
        <f t="shared" si="29"/>
        <v>0</v>
      </c>
      <c r="N96" s="3337">
        <f t="shared" si="29"/>
        <v>0</v>
      </c>
    </row>
    <row r="97" spans="1:14" ht="24">
      <c r="A97" s="3371" t="s">
        <v>3279</v>
      </c>
      <c r="B97" s="3362">
        <f>估价对象房地状况!C24</f>
        <v>0</v>
      </c>
      <c r="C97" s="2037"/>
      <c r="D97" s="3358">
        <f t="shared" si="30"/>
        <v>0</v>
      </c>
      <c r="E97" s="3375"/>
      <c r="F97" s="1810"/>
      <c r="G97" s="3365"/>
      <c r="H97" s="3413" t="str">
        <f t="shared" si="31"/>
        <v>——</v>
      </c>
      <c r="I97" s="3359">
        <v>0.05</v>
      </c>
      <c r="J97" s="3337">
        <f t="shared" si="27"/>
        <v>0</v>
      </c>
      <c r="K97" s="3337">
        <f t="shared" si="28"/>
        <v>0</v>
      </c>
      <c r="L97" s="3337">
        <v>0</v>
      </c>
      <c r="M97" s="3337">
        <f t="shared" si="29"/>
        <v>0</v>
      </c>
      <c r="N97" s="3337">
        <f t="shared" si="29"/>
        <v>0</v>
      </c>
    </row>
    <row r="98" spans="1:14" ht="24">
      <c r="A98" s="3371" t="s">
        <v>3280</v>
      </c>
      <c r="B98" s="3378" t="s">
        <v>3290</v>
      </c>
      <c r="C98" s="2037"/>
      <c r="D98" s="3358">
        <f t="shared" si="30"/>
        <v>0</v>
      </c>
      <c r="E98" s="3375"/>
      <c r="F98" s="1810"/>
      <c r="G98" s="3365"/>
      <c r="H98" s="3413" t="str">
        <f t="shared" si="31"/>
        <v>——</v>
      </c>
      <c r="I98" s="3359">
        <v>0.06</v>
      </c>
      <c r="J98" s="3337">
        <f t="shared" si="27"/>
        <v>0</v>
      </c>
      <c r="K98" s="3337">
        <f t="shared" si="28"/>
        <v>0</v>
      </c>
      <c r="L98" s="3337">
        <v>0</v>
      </c>
      <c r="M98" s="3337">
        <f t="shared" si="29"/>
        <v>0</v>
      </c>
      <c r="N98" s="3337">
        <f t="shared" si="29"/>
        <v>0</v>
      </c>
    </row>
    <row r="99" spans="1:14" ht="76.5">
      <c r="A99" s="3371" t="s">
        <v>3281</v>
      </c>
      <c r="B99" s="3362" t="str">
        <f>估价对象房地状况!C21</f>
        <v>估价对象周边有红星中学、瀛海镇第一中心小学、瀛海一幼幼儿园等教育机构，有肃宁正骨医院医疗设施，有北京农商银行等金融机构，公共配套设施状况一般</v>
      </c>
      <c r="C99" s="2037"/>
      <c r="D99" s="3358">
        <f t="shared" si="30"/>
        <v>0</v>
      </c>
      <c r="E99" s="3375"/>
      <c r="F99" s="1810"/>
      <c r="G99" s="3365"/>
      <c r="H99" s="3413" t="str">
        <f t="shared" si="31"/>
        <v>——</v>
      </c>
      <c r="I99" s="3359">
        <v>0.06</v>
      </c>
      <c r="J99" s="3337">
        <f t="shared" si="27"/>
        <v>0</v>
      </c>
      <c r="K99" s="3337">
        <f t="shared" si="28"/>
        <v>0</v>
      </c>
      <c r="L99" s="3337">
        <v>0</v>
      </c>
      <c r="M99" s="3337">
        <f t="shared" si="29"/>
        <v>0</v>
      </c>
      <c r="N99" s="3337">
        <f t="shared" si="29"/>
        <v>0</v>
      </c>
    </row>
    <row r="100" spans="1:14" ht="25.5">
      <c r="A100" s="3371" t="s">
        <v>3282</v>
      </c>
      <c r="B100" s="3362" t="str">
        <f>估价对象房地状况!C22</f>
        <v>估价对象所在区域基础设施水平-六通</v>
      </c>
      <c r="C100" s="2037"/>
      <c r="D100" s="3358">
        <f t="shared" si="30"/>
        <v>0</v>
      </c>
      <c r="E100" s="3375"/>
      <c r="F100" s="1810"/>
      <c r="G100" s="3365"/>
      <c r="H100" s="3413" t="str">
        <f t="shared" si="31"/>
        <v>——</v>
      </c>
      <c r="I100" s="3359">
        <v>0.09</v>
      </c>
      <c r="J100" s="3337">
        <f t="shared" si="27"/>
        <v>0</v>
      </c>
      <c r="K100" s="3337">
        <f t="shared" si="28"/>
        <v>0</v>
      </c>
      <c r="L100" s="3337">
        <v>0</v>
      </c>
      <c r="M100" s="3337">
        <f t="shared" si="29"/>
        <v>0</v>
      </c>
      <c r="N100" s="3337">
        <f t="shared" si="29"/>
        <v>0</v>
      </c>
    </row>
    <row r="101" spans="1:14" ht="51.75" thickBot="1">
      <c r="A101" s="3372" t="s">
        <v>3283</v>
      </c>
      <c r="B101" s="3379" t="str">
        <f>估价对象房地状况!C20</f>
        <v>周边1公里范围内有南海子公园、志远庄公园等自然景观，人文景观较少，综合评价环境状况一般</v>
      </c>
      <c r="C101" s="2037"/>
      <c r="D101" s="3358">
        <f t="shared" si="30"/>
        <v>0</v>
      </c>
      <c r="E101" s="3376"/>
      <c r="F101" s="1810"/>
      <c r="G101" s="3365"/>
      <c r="H101" s="3413" t="str">
        <f t="shared" si="31"/>
        <v>——</v>
      </c>
      <c r="I101" s="3360">
        <v>7.0000000000000007E-2</v>
      </c>
      <c r="J101" s="3337">
        <f t="shared" si="27"/>
        <v>0</v>
      </c>
      <c r="K101" s="3337">
        <f t="shared" si="28"/>
        <v>0</v>
      </c>
      <c r="L101" s="3337">
        <v>0</v>
      </c>
      <c r="M101" s="3337">
        <f t="shared" si="29"/>
        <v>0</v>
      </c>
      <c r="N101" s="3337">
        <f t="shared" si="29"/>
        <v>0</v>
      </c>
    </row>
    <row r="103" spans="1:14">
      <c r="A103" s="3863" t="s">
        <v>3298</v>
      </c>
      <c r="B103" s="3863"/>
      <c r="C103" s="3863"/>
      <c r="D103" s="3863"/>
      <c r="E103" s="3863"/>
      <c r="F103" s="3863"/>
      <c r="G103" s="3863"/>
      <c r="H103" s="3863"/>
      <c r="I103" s="3863"/>
      <c r="J103" s="3863"/>
      <c r="K103" s="3382"/>
      <c r="L103" s="3382"/>
      <c r="M103" s="3382"/>
      <c r="N103" s="3382"/>
    </row>
    <row r="104" spans="1:14">
      <c r="A104" s="3864" t="s">
        <v>3299</v>
      </c>
      <c r="B104" s="3864" t="s">
        <v>3300</v>
      </c>
      <c r="C104" s="3383" t="s">
        <v>3301</v>
      </c>
      <c r="D104" s="3384"/>
      <c r="E104" s="3384"/>
      <c r="F104" s="3384"/>
      <c r="G104" s="3384"/>
      <c r="H104" s="3384"/>
      <c r="I104" s="3384"/>
      <c r="J104" s="3385"/>
      <c r="K104" s="3386"/>
      <c r="L104" s="3386"/>
      <c r="M104" s="3386"/>
      <c r="N104" s="3386"/>
    </row>
    <row r="105" spans="1:14">
      <c r="A105" s="3864"/>
      <c r="B105" s="3864"/>
      <c r="C105" s="3387" t="s">
        <v>3302</v>
      </c>
      <c r="D105" s="3387" t="s">
        <v>3303</v>
      </c>
      <c r="E105" s="3387" t="s">
        <v>3304</v>
      </c>
      <c r="F105" s="3387" t="s">
        <v>3305</v>
      </c>
      <c r="G105" s="3387" t="s">
        <v>3306</v>
      </c>
      <c r="H105" s="3387" t="s">
        <v>3307</v>
      </c>
      <c r="I105" s="3387" t="s">
        <v>3308</v>
      </c>
      <c r="J105" s="3387" t="s">
        <v>3309</v>
      </c>
      <c r="K105" s="3387" t="s">
        <v>3310</v>
      </c>
      <c r="L105" s="3387" t="s">
        <v>3311</v>
      </c>
      <c r="M105" s="3387" t="s">
        <v>3312</v>
      </c>
      <c r="N105" s="3387" t="s">
        <v>3313</v>
      </c>
    </row>
    <row r="106" spans="1:14">
      <c r="A106" s="3850" t="s">
        <v>3314</v>
      </c>
      <c r="B106" s="3387">
        <v>1</v>
      </c>
      <c r="C106" s="3387">
        <v>1.5206</v>
      </c>
      <c r="D106" s="3387">
        <v>1.5206</v>
      </c>
      <c r="E106" s="3387">
        <v>1.5019</v>
      </c>
      <c r="F106" s="3387">
        <v>1.5019</v>
      </c>
      <c r="G106" s="3387">
        <v>1.5019</v>
      </c>
      <c r="H106" s="3387">
        <v>1.5019</v>
      </c>
      <c r="I106" s="3387">
        <v>1.5019</v>
      </c>
      <c r="J106" s="3387">
        <v>1.5418000000000001</v>
      </c>
      <c r="K106" s="3387">
        <v>1.5418000000000001</v>
      </c>
      <c r="L106" s="3387">
        <v>1.5418000000000001</v>
      </c>
      <c r="M106" s="3387">
        <v>1.5418000000000001</v>
      </c>
      <c r="N106" s="3387">
        <v>1.5418000000000001</v>
      </c>
    </row>
    <row r="107" spans="1:14">
      <c r="A107" s="3851"/>
      <c r="B107" s="3387">
        <v>2</v>
      </c>
      <c r="C107" s="3387">
        <v>1.2072000000000001</v>
      </c>
      <c r="D107" s="3387">
        <v>1.2072000000000001</v>
      </c>
      <c r="E107" s="3387">
        <v>1.1838</v>
      </c>
      <c r="F107" s="3387">
        <v>1.1838</v>
      </c>
      <c r="G107" s="3387">
        <v>1.1838</v>
      </c>
      <c r="H107" s="3387">
        <v>1.1838</v>
      </c>
      <c r="I107" s="3387">
        <v>1.1838</v>
      </c>
      <c r="J107" s="3387">
        <v>1.1883999999999999</v>
      </c>
      <c r="K107" s="3387">
        <v>1.1883999999999999</v>
      </c>
      <c r="L107" s="3387">
        <v>1.1883999999999999</v>
      </c>
      <c r="M107" s="3387">
        <v>1.1883999999999999</v>
      </c>
      <c r="N107" s="3387">
        <v>1.1883999999999999</v>
      </c>
    </row>
    <row r="108" spans="1:14">
      <c r="A108" s="3851"/>
      <c r="B108" s="3387">
        <v>3</v>
      </c>
      <c r="C108" s="3387">
        <v>1.0430999999999999</v>
      </c>
      <c r="D108" s="3387">
        <v>1.0430999999999999</v>
      </c>
      <c r="E108" s="3387">
        <v>1.0004999999999999</v>
      </c>
      <c r="F108" s="3387">
        <v>1.0004999999999999</v>
      </c>
      <c r="G108" s="3387">
        <v>1.0004999999999999</v>
      </c>
      <c r="H108" s="3387">
        <v>1.0004999999999999</v>
      </c>
      <c r="I108" s="3387">
        <v>1.0004999999999999</v>
      </c>
      <c r="J108" s="3387">
        <v>0.96940000000000004</v>
      </c>
      <c r="K108" s="3387">
        <v>0.96940000000000004</v>
      </c>
      <c r="L108" s="3387">
        <v>0.96940000000000004</v>
      </c>
      <c r="M108" s="3387">
        <v>0.96940000000000004</v>
      </c>
      <c r="N108" s="3387">
        <v>0.96940000000000004</v>
      </c>
    </row>
    <row r="109" spans="1:14">
      <c r="A109" s="3851"/>
      <c r="B109" s="3387">
        <v>4</v>
      </c>
      <c r="C109" s="3387">
        <v>0.94389999999999996</v>
      </c>
      <c r="D109" s="3387">
        <v>0.94389999999999996</v>
      </c>
      <c r="E109" s="3387">
        <v>0.88239999999999996</v>
      </c>
      <c r="F109" s="3387">
        <v>0.88239999999999996</v>
      </c>
      <c r="G109" s="3387">
        <v>0.88239999999999996</v>
      </c>
      <c r="H109" s="3387">
        <v>0.88239999999999996</v>
      </c>
      <c r="I109" s="3387">
        <v>0.88239999999999996</v>
      </c>
      <c r="J109" s="3387">
        <v>0.82299999999999995</v>
      </c>
      <c r="K109" s="3387">
        <v>0.82299999999999995</v>
      </c>
      <c r="L109" s="3387">
        <v>0.82299999999999995</v>
      </c>
      <c r="M109" s="3387">
        <v>0.82299999999999995</v>
      </c>
      <c r="N109" s="3387">
        <v>0.82299999999999995</v>
      </c>
    </row>
    <row r="110" spans="1:14">
      <c r="A110" s="3851"/>
      <c r="B110" s="3387">
        <v>5</v>
      </c>
      <c r="C110" s="3387">
        <v>0.89959999999999996</v>
      </c>
      <c r="D110" s="3387">
        <v>0.89959999999999996</v>
      </c>
      <c r="E110" s="3387">
        <v>0.84799999999999998</v>
      </c>
      <c r="F110" s="3387">
        <v>0.84799999999999998</v>
      </c>
      <c r="G110" s="3387">
        <v>0.84799999999999998</v>
      </c>
      <c r="H110" s="3387">
        <v>0.84799999999999998</v>
      </c>
      <c r="I110" s="3387">
        <v>0.84799999999999998</v>
      </c>
      <c r="J110" s="3387">
        <v>0.74980000000000002</v>
      </c>
      <c r="K110" s="3387">
        <v>0.74980000000000002</v>
      </c>
      <c r="L110" s="3387">
        <v>0.74980000000000002</v>
      </c>
      <c r="M110" s="3387">
        <v>0.74980000000000002</v>
      </c>
      <c r="N110" s="3387">
        <v>0.74980000000000002</v>
      </c>
    </row>
    <row r="111" spans="1:14">
      <c r="A111" s="3851"/>
      <c r="B111" s="3387" t="s">
        <v>3272</v>
      </c>
      <c r="C111" s="3388">
        <f>$I$3</f>
        <v>0</v>
      </c>
      <c r="D111" s="3388">
        <f t="shared" ref="D111:M111" si="32">$I$3</f>
        <v>0</v>
      </c>
      <c r="E111" s="3388">
        <f t="shared" si="32"/>
        <v>0</v>
      </c>
      <c r="F111" s="3388">
        <f t="shared" si="32"/>
        <v>0</v>
      </c>
      <c r="G111" s="3388">
        <f t="shared" si="32"/>
        <v>0</v>
      </c>
      <c r="H111" s="3388">
        <f t="shared" si="32"/>
        <v>0</v>
      </c>
      <c r="I111" s="3388">
        <f t="shared" si="32"/>
        <v>0</v>
      </c>
      <c r="J111" s="3388">
        <f t="shared" si="32"/>
        <v>0</v>
      </c>
      <c r="K111" s="3388">
        <f t="shared" si="32"/>
        <v>0</v>
      </c>
      <c r="L111" s="3388">
        <f t="shared" si="32"/>
        <v>0</v>
      </c>
      <c r="M111" s="3388">
        <f t="shared" si="32"/>
        <v>0</v>
      </c>
      <c r="N111" s="3388">
        <f>$I$3</f>
        <v>0</v>
      </c>
    </row>
    <row r="112" spans="1:14">
      <c r="A112" s="3852"/>
      <c r="B112" s="3387">
        <v>6</v>
      </c>
      <c r="C112" s="3380">
        <f>(-0.5556*(C111^2)-0.2719*C111+8944)*(10^(-4))</f>
        <v>0.89440000000000008</v>
      </c>
      <c r="D112" s="3380">
        <f>(-0.5556*(D111^2)-0.2719*D111+8944)*(10^(-4))</f>
        <v>0.89440000000000008</v>
      </c>
      <c r="E112" s="3380">
        <f>(-0.7912*(E111^2)-11.3794*E111+8482)*(10^(-4))</f>
        <v>0.84820000000000007</v>
      </c>
      <c r="F112" s="3380">
        <f t="shared" ref="F112:I112" si="33">(-0.7912*(F111^2)-11.3794*F111+8482)*(10^(-4))</f>
        <v>0.84820000000000007</v>
      </c>
      <c r="G112" s="3380">
        <f t="shared" si="33"/>
        <v>0.84820000000000007</v>
      </c>
      <c r="H112" s="3380">
        <f t="shared" si="33"/>
        <v>0.84820000000000007</v>
      </c>
      <c r="I112" s="3380">
        <f t="shared" si="33"/>
        <v>0.84820000000000007</v>
      </c>
      <c r="J112" s="3380">
        <f>(-0.989*(J111^2)-63.78*J111+7771)*(10^(-4))</f>
        <v>0.77710000000000001</v>
      </c>
      <c r="K112" s="3380">
        <f t="shared" ref="K112:N112" si="34">(-0.989*(K111^2)-63.78*K111+7771)*(10^(-4))</f>
        <v>0.77710000000000001</v>
      </c>
      <c r="L112" s="3380">
        <f t="shared" si="34"/>
        <v>0.77710000000000001</v>
      </c>
      <c r="M112" s="3380">
        <f t="shared" si="34"/>
        <v>0.77710000000000001</v>
      </c>
      <c r="N112" s="3380">
        <f t="shared" si="34"/>
        <v>0.77710000000000001</v>
      </c>
    </row>
    <row r="113" spans="1:14">
      <c r="A113" s="3853" t="s">
        <v>3315</v>
      </c>
      <c r="B113" s="3853"/>
      <c r="C113" s="3853"/>
      <c r="D113" s="3853"/>
      <c r="E113" s="3853"/>
      <c r="F113" s="3853"/>
      <c r="G113" s="3853"/>
      <c r="H113" s="3853"/>
      <c r="I113" s="3853"/>
      <c r="J113" s="3853"/>
      <c r="K113" s="3389"/>
      <c r="L113" s="3389"/>
      <c r="M113" s="3389"/>
      <c r="N113" s="3389"/>
    </row>
    <row r="114" spans="1:14">
      <c r="A114" s="3390"/>
      <c r="B114" s="3390"/>
      <c r="C114" s="3390"/>
      <c r="D114" s="3390"/>
      <c r="E114" s="3390"/>
      <c r="F114" s="3390"/>
      <c r="G114" s="3390"/>
      <c r="H114" s="3390"/>
      <c r="I114" s="3390"/>
      <c r="J114" s="3390"/>
      <c r="K114" s="3349"/>
      <c r="L114" s="3390"/>
      <c r="M114" s="3390"/>
      <c r="N114" s="3390"/>
    </row>
    <row r="115" spans="1:14" ht="13.5" thickBot="1">
      <c r="A115" s="3390"/>
      <c r="B115" s="3390"/>
      <c r="C115" s="3390"/>
      <c r="D115" s="3390"/>
      <c r="E115" s="3390"/>
      <c r="F115" s="3390"/>
      <c r="G115" s="3390"/>
      <c r="H115" s="3390"/>
      <c r="I115" s="3390"/>
      <c r="J115" s="3390"/>
      <c r="K115" s="3349"/>
      <c r="L115" s="3390"/>
      <c r="M115" s="3390"/>
      <c r="N115" s="3390"/>
    </row>
    <row r="116" spans="1:14" ht="15.75" thickBot="1">
      <c r="A116" s="3391" t="s">
        <v>3316</v>
      </c>
      <c r="B116" s="3408">
        <f>G3</f>
        <v>0</v>
      </c>
      <c r="C116" s="3392" t="s">
        <v>3317</v>
      </c>
      <c r="D116" s="3393">
        <f>SUMPRODUCT((A118:A122=F116)*(B117:M117=H116)*B118:M122)</f>
        <v>0</v>
      </c>
      <c r="E116" s="1993" t="s">
        <v>3318</v>
      </c>
      <c r="F116" s="3394">
        <f>E2</f>
        <v>0</v>
      </c>
      <c r="G116" s="1993" t="s">
        <v>3319</v>
      </c>
      <c r="H116" s="3394">
        <f>G2</f>
        <v>0</v>
      </c>
      <c r="I116" s="1993"/>
      <c r="J116" s="3395"/>
      <c r="K116" s="3395"/>
      <c r="L116" s="3395"/>
      <c r="M116" s="3395"/>
      <c r="N116" s="3390"/>
    </row>
    <row r="117" spans="1:14">
      <c r="A117" s="3396"/>
      <c r="B117" s="3397" t="s">
        <v>3320</v>
      </c>
      <c r="C117" s="3397" t="s">
        <v>3321</v>
      </c>
      <c r="D117" s="3397" t="s">
        <v>3322</v>
      </c>
      <c r="E117" s="3398" t="s">
        <v>3323</v>
      </c>
      <c r="F117" s="3398" t="s">
        <v>3324</v>
      </c>
      <c r="G117" s="3398" t="s">
        <v>3325</v>
      </c>
      <c r="H117" s="3399" t="s">
        <v>3326</v>
      </c>
      <c r="I117" s="3399" t="s">
        <v>3327</v>
      </c>
      <c r="J117" s="3400" t="s">
        <v>3328</v>
      </c>
      <c r="K117" s="3400" t="s">
        <v>3329</v>
      </c>
      <c r="L117" s="3400" t="s">
        <v>3330</v>
      </c>
      <c r="M117" s="3401" t="s">
        <v>3331</v>
      </c>
      <c r="N117" s="3390"/>
    </row>
    <row r="118" spans="1:14">
      <c r="A118" s="3402" t="s">
        <v>3332</v>
      </c>
      <c r="B118" s="3380">
        <f>ROUND(0.9968-0.011*B116,4)</f>
        <v>0.99680000000000002</v>
      </c>
      <c r="C118" s="3380">
        <f>B118</f>
        <v>0.99680000000000002</v>
      </c>
      <c r="D118" s="3380">
        <f>ROUND(0.949-0.014*B116,4)</f>
        <v>0.94899999999999995</v>
      </c>
      <c r="E118" s="3380">
        <f>D118</f>
        <v>0.94899999999999995</v>
      </c>
      <c r="F118" s="3380">
        <f>E118</f>
        <v>0.94899999999999995</v>
      </c>
      <c r="G118" s="3380">
        <f>F118</f>
        <v>0.94899999999999995</v>
      </c>
      <c r="H118" s="3380">
        <f>G118</f>
        <v>0.94899999999999995</v>
      </c>
      <c r="I118" s="3380">
        <f>ROUND(0.8486-0.018*B116,4)</f>
        <v>0.84860000000000002</v>
      </c>
      <c r="J118" s="3380">
        <f t="shared" ref="J118:M122" si="35">I118</f>
        <v>0.84860000000000002</v>
      </c>
      <c r="K118" s="3380">
        <f t="shared" si="35"/>
        <v>0.84860000000000002</v>
      </c>
      <c r="L118" s="3380">
        <f t="shared" si="35"/>
        <v>0.84860000000000002</v>
      </c>
      <c r="M118" s="3403">
        <f t="shared" si="35"/>
        <v>0.84860000000000002</v>
      </c>
      <c r="N118" s="3390"/>
    </row>
    <row r="119" spans="1:14">
      <c r="A119" s="3402" t="s">
        <v>3333</v>
      </c>
      <c r="B119" s="3380">
        <f>ROUND(0.993-0.0112*B116,4)</f>
        <v>0.99299999999999999</v>
      </c>
      <c r="C119" s="3380">
        <f>B119</f>
        <v>0.99299999999999999</v>
      </c>
      <c r="D119" s="3380">
        <f>ROUND(0.9415-0.0142*B116,4)</f>
        <v>0.9415</v>
      </c>
      <c r="E119" s="3380">
        <f t="shared" ref="E119:H120" si="36">D119</f>
        <v>0.9415</v>
      </c>
      <c r="F119" s="3380">
        <f t="shared" si="36"/>
        <v>0.9415</v>
      </c>
      <c r="G119" s="3380">
        <f t="shared" si="36"/>
        <v>0.9415</v>
      </c>
      <c r="H119" s="3380">
        <f t="shared" si="36"/>
        <v>0.9415</v>
      </c>
      <c r="I119" s="3380">
        <f>ROUND(0.838-0.0182*B116,4)</f>
        <v>0.83799999999999997</v>
      </c>
      <c r="J119" s="3380">
        <f t="shared" si="35"/>
        <v>0.83799999999999997</v>
      </c>
      <c r="K119" s="3380">
        <f t="shared" si="35"/>
        <v>0.83799999999999997</v>
      </c>
      <c r="L119" s="3380">
        <f t="shared" si="35"/>
        <v>0.83799999999999997</v>
      </c>
      <c r="M119" s="3403">
        <f t="shared" si="35"/>
        <v>0.83799999999999997</v>
      </c>
      <c r="N119" s="3390"/>
    </row>
    <row r="120" spans="1:14">
      <c r="A120" s="3402" t="s">
        <v>3334</v>
      </c>
      <c r="B120" s="3380">
        <f>ROUND(0.9448-0.0115*B116,4)</f>
        <v>0.94479999999999997</v>
      </c>
      <c r="C120" s="3380">
        <f>B120</f>
        <v>0.94479999999999997</v>
      </c>
      <c r="D120" s="3380">
        <f>ROUND(0.937-0.0145*B116,4)</f>
        <v>0.93700000000000006</v>
      </c>
      <c r="E120" s="3380">
        <f t="shared" si="36"/>
        <v>0.93700000000000006</v>
      </c>
      <c r="F120" s="3380">
        <f t="shared" si="36"/>
        <v>0.93700000000000006</v>
      </c>
      <c r="G120" s="3380">
        <f t="shared" si="36"/>
        <v>0.93700000000000006</v>
      </c>
      <c r="H120" s="3380">
        <f t="shared" si="36"/>
        <v>0.93700000000000006</v>
      </c>
      <c r="I120" s="3380">
        <f>ROUND(0.7965-0.0185*B116,4)</f>
        <v>0.79649999999999999</v>
      </c>
      <c r="J120" s="3380">
        <f t="shared" si="35"/>
        <v>0.79649999999999999</v>
      </c>
      <c r="K120" s="3380">
        <f t="shared" si="35"/>
        <v>0.79649999999999999</v>
      </c>
      <c r="L120" s="3380">
        <f t="shared" si="35"/>
        <v>0.79649999999999999</v>
      </c>
      <c r="M120" s="3403">
        <f t="shared" si="35"/>
        <v>0.79649999999999999</v>
      </c>
      <c r="N120" s="3390"/>
    </row>
    <row r="121" spans="1:14" ht="13.5" thickBot="1">
      <c r="A121" s="3404" t="s">
        <v>3335</v>
      </c>
      <c r="B121" s="3405">
        <f>ROUND(0.7836-0.012*B116,4)</f>
        <v>0.78359999999999996</v>
      </c>
      <c r="C121" s="3405">
        <f>B121</f>
        <v>0.78359999999999996</v>
      </c>
      <c r="D121" s="3405">
        <f>ROUND(0.753-0.015*B116,4)</f>
        <v>0.753</v>
      </c>
      <c r="E121" s="3405">
        <f>D121</f>
        <v>0.753</v>
      </c>
      <c r="F121" s="3405">
        <f>E121</f>
        <v>0.753</v>
      </c>
      <c r="G121" s="3405">
        <f>ROUND(0.6612-0.018*B116,4)</f>
        <v>0.66120000000000001</v>
      </c>
      <c r="H121" s="3405">
        <f>G121</f>
        <v>0.66120000000000001</v>
      </c>
      <c r="I121" s="3405">
        <f>ROUND(0.5905-0.019*B116,4)</f>
        <v>0.59050000000000002</v>
      </c>
      <c r="J121" s="3405">
        <f t="shared" si="35"/>
        <v>0.59050000000000002</v>
      </c>
      <c r="K121" s="3405">
        <f t="shared" si="35"/>
        <v>0.59050000000000002</v>
      </c>
      <c r="L121" s="3405">
        <f t="shared" si="35"/>
        <v>0.59050000000000002</v>
      </c>
      <c r="M121" s="3406">
        <f t="shared" si="35"/>
        <v>0.59050000000000002</v>
      </c>
      <c r="N121" s="3390"/>
    </row>
    <row r="122" spans="1:14">
      <c r="A122" s="3407" t="s">
        <v>2612</v>
      </c>
      <c r="B122" s="3380">
        <f>ROUND(0.9404-0.0106*B116,4)</f>
        <v>0.94040000000000001</v>
      </c>
      <c r="C122" s="3380">
        <f>B122</f>
        <v>0.94040000000000001</v>
      </c>
      <c r="D122" s="3380">
        <f>ROUND(0.8955-0.0135*B116,4)</f>
        <v>0.89549999999999996</v>
      </c>
      <c r="E122" s="3380">
        <f t="shared" ref="E122:H122" si="37">D122</f>
        <v>0.89549999999999996</v>
      </c>
      <c r="F122" s="3380">
        <f t="shared" si="37"/>
        <v>0.89549999999999996</v>
      </c>
      <c r="G122" s="3380">
        <f t="shared" si="37"/>
        <v>0.89549999999999996</v>
      </c>
      <c r="H122" s="3380">
        <f t="shared" si="37"/>
        <v>0.89549999999999996</v>
      </c>
      <c r="I122" s="3380">
        <f>ROUND(0.7632-0.0166*B116,4)</f>
        <v>0.76319999999999999</v>
      </c>
      <c r="J122" s="3380">
        <f t="shared" si="35"/>
        <v>0.76319999999999999</v>
      </c>
      <c r="K122" s="3380">
        <f t="shared" si="35"/>
        <v>0.76319999999999999</v>
      </c>
      <c r="L122" s="3380">
        <f t="shared" si="35"/>
        <v>0.76319999999999999</v>
      </c>
      <c r="M122" s="3403">
        <f t="shared" si="35"/>
        <v>0.76319999999999999</v>
      </c>
      <c r="N122" s="3390"/>
    </row>
  </sheetData>
  <sheetProtection password="CEE9" sheet="1" objects="1" scenarios="1"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6" type="noConversion"/>
  <conditionalFormatting sqref="F50">
    <cfRule type="cellIs" dxfId="5" priority="6" stopIfTrue="1" operator="notEqual">
      <formula>"——"</formula>
    </cfRule>
  </conditionalFormatting>
  <conditionalFormatting sqref="F61">
    <cfRule type="cellIs" dxfId="4" priority="5" stopIfTrue="1" operator="notEqual">
      <formula>"——"</formula>
    </cfRule>
  </conditionalFormatting>
  <conditionalFormatting sqref="F72">
    <cfRule type="cellIs" dxfId="3" priority="4" stopIfTrue="1" operator="notEqual">
      <formula>"——"</formula>
    </cfRule>
  </conditionalFormatting>
  <conditionalFormatting sqref="F83">
    <cfRule type="cellIs" dxfId="2" priority="3" stopIfTrue="1" operator="notEqual">
      <formula>"——"</formula>
    </cfRule>
  </conditionalFormatting>
  <conditionalFormatting sqref="H50:H58 H61:H69 H72:H80 H83:H91">
    <cfRule type="cellIs" dxfId="1" priority="2" operator="notEqual">
      <formula>"——"</formula>
    </cfRule>
  </conditionalFormatting>
  <conditionalFormatting sqref="H93:H101">
    <cfRule type="cellIs" dxfId="0" priority="1" operator="notEqual">
      <formula>"——"</formula>
    </cfRule>
  </conditionalFormatting>
  <dataValidations count="12">
    <dataValidation type="list" allowBlank="1" showInputMessage="1" showErrorMessage="1" sqref="E15">
      <formula1>"500米范围内,500-1000米,1000米以外"</formula1>
    </dataValidation>
    <dataValidation type="list" allowBlank="1" showInputMessage="1" showErrorMessage="1" sqref="C15:D15">
      <formula1>"有,无"</formula1>
    </dataValidation>
    <dataValidation type="list" allowBlank="1" showInputMessage="1" showErrorMessage="1" sqref="B25">
      <formula1>"容积率修正,楼层修正"</formula1>
    </dataValidation>
    <dataValidation type="list" allowBlank="1" showInputMessage="1" showErrorMessage="1" sqref="F21">
      <formula1>"与级别开发程度一致,与级别开发程度不一致"</formula1>
    </dataValidation>
    <dataValidation type="list" allowBlank="1" showInputMessage="1" showErrorMessage="1" sqref="E2">
      <formula1>"商业,办公,住宅,工业,公共服务"</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61:C69 C72:C80 C50:C58 C83:C91 C93:C101">
      <formula1>五等判定</formula1>
    </dataValidation>
    <dataValidation type="list" allowBlank="1" showInputMessage="1" showErrorMessage="1" sqref="H23">
      <formula1>"地价指数,季度增幅（自定义）,按公示增长率计算"</formula1>
    </dataValidation>
    <dataValidation type="list" allowBlank="1" showInputMessage="1" showErrorMessage="1" sqref="H20:O20">
      <formula1>七通一平</formula1>
    </dataValidation>
    <dataValidation type="list" allowBlank="1" showInputMessage="1" showErrorMessage="1" sqref="J23">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zoomScale="70" zoomScaleNormal="70" workbookViewId="0">
      <selection sqref="A1:XFD1048576"/>
    </sheetView>
  </sheetViews>
  <sheetFormatPr defaultColWidth="8.125" defaultRowHeight="19.5" customHeight="1"/>
  <cols>
    <col min="1" max="13" width="15.125" style="3066" customWidth="1"/>
    <col min="14" max="14" width="10" style="3066" customWidth="1"/>
    <col min="15" max="16" width="8.125" style="3066"/>
    <col min="17" max="17" width="34.125" style="3066" customWidth="1"/>
    <col min="18" max="18" width="8.125" style="3066" customWidth="1"/>
    <col min="19" max="19" width="8.125" style="3066"/>
    <col min="20" max="20" width="11.625" style="3066" customWidth="1"/>
    <col min="21" max="16384" width="8.125" style="3066"/>
  </cols>
  <sheetData>
    <row r="1" spans="1:13" ht="19.5" customHeight="1" thickBot="1">
      <c r="A1" s="3063" t="s">
        <v>2594</v>
      </c>
      <c r="B1" s="3064" t="s">
        <v>2595</v>
      </c>
      <c r="C1" s="3064" t="s">
        <v>2596</v>
      </c>
      <c r="D1" s="3064" t="s">
        <v>2597</v>
      </c>
      <c r="E1" s="3064" t="s">
        <v>2598</v>
      </c>
      <c r="F1" s="3064" t="s">
        <v>2599</v>
      </c>
      <c r="G1" s="3064" t="s">
        <v>2600</v>
      </c>
      <c r="H1" s="3064" t="s">
        <v>2601</v>
      </c>
      <c r="I1" s="3064" t="s">
        <v>2602</v>
      </c>
      <c r="J1" s="3064" t="s">
        <v>2603</v>
      </c>
      <c r="K1" s="3064" t="s">
        <v>2604</v>
      </c>
      <c r="L1" s="3064" t="s">
        <v>2605</v>
      </c>
      <c r="M1" s="3065" t="s">
        <v>2606</v>
      </c>
    </row>
    <row r="2" spans="1:13" ht="19.5" customHeight="1">
      <c r="A2" s="3067" t="s">
        <v>2607</v>
      </c>
      <c r="B2" s="3068">
        <v>3.5</v>
      </c>
      <c r="C2" s="3068">
        <v>3.5</v>
      </c>
      <c r="D2" s="3069">
        <v>2.5</v>
      </c>
      <c r="E2" s="3069">
        <v>2.5</v>
      </c>
      <c r="F2" s="3069">
        <v>2.5</v>
      </c>
      <c r="G2" s="3069">
        <v>2.5</v>
      </c>
      <c r="H2" s="3069">
        <v>2.5</v>
      </c>
      <c r="I2" s="3068">
        <v>2</v>
      </c>
      <c r="J2" s="3068">
        <v>2</v>
      </c>
      <c r="K2" s="3068">
        <v>2</v>
      </c>
      <c r="L2" s="3068">
        <v>2</v>
      </c>
      <c r="M2" s="3070">
        <v>2</v>
      </c>
    </row>
    <row r="3" spans="1:13" ht="19.5" customHeight="1">
      <c r="A3" s="3012" t="s">
        <v>2608</v>
      </c>
      <c r="B3" s="3015">
        <v>3.5</v>
      </c>
      <c r="C3" s="3015">
        <v>3.5</v>
      </c>
      <c r="D3" s="3071">
        <v>2.5</v>
      </c>
      <c r="E3" s="3071">
        <v>2.5</v>
      </c>
      <c r="F3" s="3071">
        <v>2.5</v>
      </c>
      <c r="G3" s="3071">
        <v>2.5</v>
      </c>
      <c r="H3" s="3071">
        <v>2.5</v>
      </c>
      <c r="I3" s="3015">
        <v>2</v>
      </c>
      <c r="J3" s="3015">
        <v>2</v>
      </c>
      <c r="K3" s="3015">
        <v>2</v>
      </c>
      <c r="L3" s="3015">
        <v>2</v>
      </c>
      <c r="M3" s="3019">
        <v>2</v>
      </c>
    </row>
    <row r="4" spans="1:13" ht="19.5" customHeight="1">
      <c r="A4" s="3012" t="s">
        <v>2609</v>
      </c>
      <c r="B4" s="3071">
        <v>2.5</v>
      </c>
      <c r="C4" s="3071">
        <v>2.5</v>
      </c>
      <c r="D4" s="3071">
        <v>2.5</v>
      </c>
      <c r="E4" s="3071">
        <v>2.5</v>
      </c>
      <c r="F4" s="3071">
        <v>2.5</v>
      </c>
      <c r="G4" s="3071">
        <v>2.5</v>
      </c>
      <c r="H4" s="3071">
        <v>2.5</v>
      </c>
      <c r="I4" s="3015">
        <v>1.5</v>
      </c>
      <c r="J4" s="3015">
        <v>1.5</v>
      </c>
      <c r="K4" s="3015">
        <v>1.5</v>
      </c>
      <c r="L4" s="3015">
        <v>1.5</v>
      </c>
      <c r="M4" s="3019">
        <v>1.5</v>
      </c>
    </row>
    <row r="5" spans="1:13" ht="19.5" customHeight="1">
      <c r="A5" s="3072" t="s">
        <v>2610</v>
      </c>
      <c r="B5" s="3015">
        <v>1.5</v>
      </c>
      <c r="C5" s="3015">
        <v>1.5</v>
      </c>
      <c r="D5" s="3015">
        <v>1.5</v>
      </c>
      <c r="E5" s="3015">
        <v>1.5</v>
      </c>
      <c r="F5" s="3015">
        <v>1.5</v>
      </c>
      <c r="G5" s="3015">
        <v>1.2</v>
      </c>
      <c r="H5" s="3015">
        <v>1.2</v>
      </c>
      <c r="I5" s="3015">
        <v>1</v>
      </c>
      <c r="J5" s="3015">
        <v>1</v>
      </c>
      <c r="K5" s="3015">
        <v>1</v>
      </c>
      <c r="L5" s="3015">
        <v>1</v>
      </c>
      <c r="M5" s="3019">
        <v>1</v>
      </c>
    </row>
    <row r="6" spans="1:13" ht="19.5" customHeight="1">
      <c r="A6" s="3073" t="s">
        <v>2611</v>
      </c>
      <c r="B6" s="3074">
        <v>2.5</v>
      </c>
      <c r="C6" s="3074">
        <v>2.5</v>
      </c>
      <c r="D6" s="3074">
        <v>2</v>
      </c>
      <c r="E6" s="3074">
        <v>2</v>
      </c>
      <c r="F6" s="3074">
        <v>2</v>
      </c>
      <c r="G6" s="3074">
        <v>2</v>
      </c>
      <c r="H6" s="3074">
        <v>2</v>
      </c>
      <c r="I6" s="3075">
        <v>1.5</v>
      </c>
      <c r="J6" s="3075">
        <v>1.5</v>
      </c>
      <c r="K6" s="3075">
        <v>1.5</v>
      </c>
      <c r="L6" s="3075">
        <v>1.5</v>
      </c>
      <c r="M6" s="3076">
        <v>1.5</v>
      </c>
    </row>
    <row r="7" spans="1:13" ht="19.5" customHeight="1" thickBot="1">
      <c r="A7" s="3077" t="s">
        <v>2612</v>
      </c>
      <c r="B7" s="3078">
        <v>2.5</v>
      </c>
      <c r="C7" s="3078">
        <v>2.5</v>
      </c>
      <c r="D7" s="3078">
        <v>2</v>
      </c>
      <c r="E7" s="3078">
        <v>2</v>
      </c>
      <c r="F7" s="3078">
        <v>2</v>
      </c>
      <c r="G7" s="3078">
        <v>2</v>
      </c>
      <c r="H7" s="3078">
        <v>2</v>
      </c>
      <c r="I7" s="3024">
        <v>1.5</v>
      </c>
      <c r="J7" s="3024">
        <v>1.5</v>
      </c>
      <c r="K7" s="3024">
        <v>1.5</v>
      </c>
      <c r="L7" s="3024">
        <v>1.5</v>
      </c>
      <c r="M7" s="3079">
        <v>1.5</v>
      </c>
    </row>
    <row r="8" spans="1:13" ht="19.5" customHeight="1">
      <c r="A8" s="3080" t="s">
        <v>2613</v>
      </c>
      <c r="B8" s="3081">
        <v>80</v>
      </c>
      <c r="C8" s="3081">
        <v>80</v>
      </c>
      <c r="D8" s="3081">
        <v>70</v>
      </c>
      <c r="E8" s="3081">
        <v>70</v>
      </c>
      <c r="F8" s="3081">
        <v>70</v>
      </c>
      <c r="G8" s="3081">
        <v>70</v>
      </c>
      <c r="H8" s="3081">
        <v>70</v>
      </c>
      <c r="I8" s="3081">
        <v>60</v>
      </c>
      <c r="J8" s="3081">
        <v>60</v>
      </c>
      <c r="K8" s="3081">
        <v>60</v>
      </c>
      <c r="L8" s="3081">
        <v>60</v>
      </c>
      <c r="M8" s="3082">
        <v>60</v>
      </c>
    </row>
    <row r="9" spans="1:13" ht="19.5" customHeight="1">
      <c r="A9" s="3083" t="s">
        <v>2614</v>
      </c>
      <c r="B9" s="3084">
        <v>70</v>
      </c>
      <c r="C9" s="3084">
        <v>70</v>
      </c>
      <c r="D9" s="3084">
        <v>60</v>
      </c>
      <c r="E9" s="3084">
        <v>60</v>
      </c>
      <c r="F9" s="3084">
        <v>60</v>
      </c>
      <c r="G9" s="3084">
        <v>60</v>
      </c>
      <c r="H9" s="3084">
        <v>60</v>
      </c>
      <c r="I9" s="3084">
        <v>50</v>
      </c>
      <c r="J9" s="3084">
        <v>50</v>
      </c>
      <c r="K9" s="3084">
        <v>50</v>
      </c>
      <c r="L9" s="3084">
        <v>50</v>
      </c>
      <c r="M9" s="3085">
        <v>50</v>
      </c>
    </row>
    <row r="10" spans="1:13" ht="19.5" customHeight="1">
      <c r="A10" s="3083" t="s">
        <v>2615</v>
      </c>
      <c r="B10" s="3084">
        <v>20</v>
      </c>
      <c r="C10" s="3084">
        <v>20</v>
      </c>
      <c r="D10" s="3084">
        <v>15</v>
      </c>
      <c r="E10" s="3084">
        <v>15</v>
      </c>
      <c r="F10" s="3084">
        <v>15</v>
      </c>
      <c r="G10" s="3084">
        <v>15</v>
      </c>
      <c r="H10" s="3084">
        <v>15</v>
      </c>
      <c r="I10" s="3084">
        <v>10</v>
      </c>
      <c r="J10" s="3084">
        <v>10</v>
      </c>
      <c r="K10" s="3084">
        <v>10</v>
      </c>
      <c r="L10" s="3084">
        <v>10</v>
      </c>
      <c r="M10" s="3085">
        <v>10</v>
      </c>
    </row>
    <row r="11" spans="1:13" ht="19.5" customHeight="1">
      <c r="A11" s="3083" t="s">
        <v>2616</v>
      </c>
      <c r="B11" s="3084">
        <v>30</v>
      </c>
      <c r="C11" s="3084">
        <v>30</v>
      </c>
      <c r="D11" s="3084">
        <v>25</v>
      </c>
      <c r="E11" s="3084">
        <v>25</v>
      </c>
      <c r="F11" s="3084">
        <v>25</v>
      </c>
      <c r="G11" s="3084">
        <v>25</v>
      </c>
      <c r="H11" s="3084">
        <v>25</v>
      </c>
      <c r="I11" s="3084">
        <v>20</v>
      </c>
      <c r="J11" s="3084">
        <v>20</v>
      </c>
      <c r="K11" s="3084">
        <v>20</v>
      </c>
      <c r="L11" s="3084">
        <v>20</v>
      </c>
      <c r="M11" s="3085">
        <v>20</v>
      </c>
    </row>
    <row r="12" spans="1:13" ht="19.5" customHeight="1">
      <c r="A12" s="3083" t="s">
        <v>2617</v>
      </c>
      <c r="B12" s="3084">
        <v>45</v>
      </c>
      <c r="C12" s="3084">
        <v>45</v>
      </c>
      <c r="D12" s="3084">
        <v>40</v>
      </c>
      <c r="E12" s="3084">
        <v>40</v>
      </c>
      <c r="F12" s="3084">
        <v>40</v>
      </c>
      <c r="G12" s="3084">
        <v>40</v>
      </c>
      <c r="H12" s="3084">
        <v>40</v>
      </c>
      <c r="I12" s="3084">
        <v>35</v>
      </c>
      <c r="J12" s="3084">
        <v>35</v>
      </c>
      <c r="K12" s="3084">
        <v>35</v>
      </c>
      <c r="L12" s="3084">
        <v>35</v>
      </c>
      <c r="M12" s="3085">
        <v>35</v>
      </c>
    </row>
    <row r="13" spans="1:13" ht="19.5" customHeight="1">
      <c r="A13" s="3083" t="s">
        <v>2618</v>
      </c>
      <c r="B13" s="3084">
        <v>60</v>
      </c>
      <c r="C13" s="3084">
        <v>60</v>
      </c>
      <c r="D13" s="3084">
        <v>50</v>
      </c>
      <c r="E13" s="3084">
        <v>50</v>
      </c>
      <c r="F13" s="3084">
        <v>50</v>
      </c>
      <c r="G13" s="3084">
        <v>50</v>
      </c>
      <c r="H13" s="3084">
        <v>50</v>
      </c>
      <c r="I13" s="3084">
        <v>40</v>
      </c>
      <c r="J13" s="3084">
        <v>40</v>
      </c>
      <c r="K13" s="3084">
        <v>40</v>
      </c>
      <c r="L13" s="3084">
        <v>40</v>
      </c>
      <c r="M13" s="3085">
        <v>40</v>
      </c>
    </row>
    <row r="14" spans="1:13" ht="19.5" customHeight="1">
      <c r="A14" s="3083" t="s">
        <v>2619</v>
      </c>
      <c r="B14" s="3084">
        <v>50</v>
      </c>
      <c r="C14" s="3084">
        <v>50</v>
      </c>
      <c r="D14" s="3084">
        <v>40</v>
      </c>
      <c r="E14" s="3084">
        <v>40</v>
      </c>
      <c r="F14" s="3084">
        <v>40</v>
      </c>
      <c r="G14" s="3084">
        <v>40</v>
      </c>
      <c r="H14" s="3084">
        <v>40</v>
      </c>
      <c r="I14" s="3084">
        <v>30</v>
      </c>
      <c r="J14" s="3084">
        <v>30</v>
      </c>
      <c r="K14" s="3084">
        <v>30</v>
      </c>
      <c r="L14" s="3084">
        <v>30</v>
      </c>
      <c r="M14" s="3085">
        <v>30</v>
      </c>
    </row>
    <row r="15" spans="1:13" ht="19.5" customHeight="1">
      <c r="A15" s="3086" t="s">
        <v>2620</v>
      </c>
      <c r="B15" s="3087">
        <v>20</v>
      </c>
      <c r="C15" s="3087">
        <v>20</v>
      </c>
      <c r="D15" s="3087">
        <v>15</v>
      </c>
      <c r="E15" s="3087">
        <v>15</v>
      </c>
      <c r="F15" s="3087">
        <v>15</v>
      </c>
      <c r="G15" s="3087">
        <v>15</v>
      </c>
      <c r="H15" s="3087">
        <v>15</v>
      </c>
      <c r="I15" s="3087">
        <v>10</v>
      </c>
      <c r="J15" s="3087">
        <v>10</v>
      </c>
      <c r="K15" s="3087">
        <v>10</v>
      </c>
      <c r="L15" s="3087">
        <v>10</v>
      </c>
      <c r="M15" s="3088">
        <v>10</v>
      </c>
    </row>
    <row r="16" spans="1:13" ht="19.5" customHeight="1">
      <c r="A16" s="3084" t="s">
        <v>2621</v>
      </c>
      <c r="B16" s="3015">
        <v>0</v>
      </c>
      <c r="C16" s="3015">
        <v>0</v>
      </c>
      <c r="D16" s="3015">
        <v>0</v>
      </c>
      <c r="E16" s="3015">
        <v>0</v>
      </c>
      <c r="F16" s="3015">
        <v>0</v>
      </c>
      <c r="G16" s="3015">
        <v>0</v>
      </c>
      <c r="H16" s="3015">
        <v>0</v>
      </c>
      <c r="I16" s="3015">
        <v>0</v>
      </c>
      <c r="J16" s="3015">
        <v>0</v>
      </c>
      <c r="K16" s="3015">
        <v>0</v>
      </c>
      <c r="L16" s="3015">
        <v>0</v>
      </c>
      <c r="M16" s="3015">
        <v>0</v>
      </c>
    </row>
    <row r="17" spans="1:13" ht="19.5" customHeight="1">
      <c r="A17" s="3084" t="s">
        <v>2622</v>
      </c>
      <c r="B17" s="3015">
        <f>SUM(B8:B15)</f>
        <v>375</v>
      </c>
      <c r="C17" s="3015">
        <f t="shared" ref="C17:H17" si="0">SUM(C8:C15)</f>
        <v>375</v>
      </c>
      <c r="D17" s="3015">
        <f t="shared" si="0"/>
        <v>315</v>
      </c>
      <c r="E17" s="3015">
        <f t="shared" si="0"/>
        <v>315</v>
      </c>
      <c r="F17" s="3015">
        <f t="shared" si="0"/>
        <v>315</v>
      </c>
      <c r="G17" s="3015">
        <f t="shared" si="0"/>
        <v>315</v>
      </c>
      <c r="H17" s="3015">
        <f t="shared" si="0"/>
        <v>315</v>
      </c>
      <c r="I17" s="3015">
        <f>SUM(I8:I15)-I13-I14</f>
        <v>185</v>
      </c>
      <c r="J17" s="3015">
        <f t="shared" ref="J17:M17" si="1">SUM(J8:J15)-J13-J14</f>
        <v>185</v>
      </c>
      <c r="K17" s="3015">
        <f t="shared" si="1"/>
        <v>185</v>
      </c>
      <c r="L17" s="3015">
        <f t="shared" si="1"/>
        <v>185</v>
      </c>
      <c r="M17" s="3015">
        <f t="shared" si="1"/>
        <v>185</v>
      </c>
    </row>
    <row r="18" spans="1:13" s="3091" customFormat="1" ht="19.5" customHeight="1">
      <c r="A18" s="3089" t="s">
        <v>2623</v>
      </c>
      <c r="B18" s="3089"/>
      <c r="C18" s="3090"/>
      <c r="D18" s="3090"/>
      <c r="E18" s="3089"/>
      <c r="F18" s="3090"/>
      <c r="G18" s="3090"/>
    </row>
    <row r="19" spans="1:13" ht="19.5" customHeight="1" thickBot="1">
      <c r="A19" s="3087" t="s">
        <v>2624</v>
      </c>
      <c r="B19" s="3092" t="s">
        <v>2625</v>
      </c>
      <c r="C19" s="3092" t="s">
        <v>2626</v>
      </c>
      <c r="D19" s="3093"/>
      <c r="E19" s="3087" t="s">
        <v>2627</v>
      </c>
      <c r="F19" s="3094"/>
      <c r="G19" s="3094"/>
    </row>
    <row r="20" spans="1:13" ht="19.5" customHeight="1">
      <c r="A20" s="3876" t="s">
        <v>2607</v>
      </c>
      <c r="B20" s="3869" t="s">
        <v>2628</v>
      </c>
      <c r="C20" s="3095" t="s">
        <v>2439</v>
      </c>
      <c r="D20" s="3096"/>
      <c r="E20" s="3097">
        <v>1</v>
      </c>
      <c r="F20" s="3098" t="s">
        <v>2440</v>
      </c>
      <c r="G20" s="3098"/>
    </row>
    <row r="21" spans="1:13" ht="19.5" customHeight="1">
      <c r="A21" s="3877"/>
      <c r="B21" s="3870"/>
      <c r="C21" s="3099" t="s">
        <v>2441</v>
      </c>
      <c r="D21" s="3100"/>
      <c r="E21" s="3101">
        <v>1</v>
      </c>
      <c r="F21" s="3098" t="s">
        <v>2442</v>
      </c>
      <c r="G21" s="3098"/>
    </row>
    <row r="22" spans="1:13" ht="19.5" customHeight="1">
      <c r="A22" s="3877"/>
      <c r="B22" s="3870"/>
      <c r="C22" s="3099" t="s">
        <v>2443</v>
      </c>
      <c r="D22" s="3100"/>
      <c r="E22" s="3101">
        <v>0.9</v>
      </c>
      <c r="F22" s="3098" t="s">
        <v>2444</v>
      </c>
      <c r="G22" s="3098"/>
    </row>
    <row r="23" spans="1:13" ht="19.5" customHeight="1">
      <c r="A23" s="3877"/>
      <c r="B23" s="3870"/>
      <c r="C23" s="3099" t="s">
        <v>2445</v>
      </c>
      <c r="D23" s="3100"/>
      <c r="E23" s="3101">
        <v>0.9</v>
      </c>
      <c r="F23" s="3098" t="s">
        <v>2446</v>
      </c>
      <c r="G23" s="3098"/>
    </row>
    <row r="24" spans="1:13" ht="19.5" customHeight="1">
      <c r="A24" s="3877"/>
      <c r="B24" s="3870"/>
      <c r="C24" s="3099" t="s">
        <v>2447</v>
      </c>
      <c r="D24" s="3100"/>
      <c r="E24" s="3101">
        <v>0.8</v>
      </c>
      <c r="F24" s="3098" t="s">
        <v>2448</v>
      </c>
      <c r="G24" s="3098"/>
    </row>
    <row r="25" spans="1:13" ht="19.5" customHeight="1" thickBot="1">
      <c r="A25" s="3878"/>
      <c r="B25" s="3871"/>
      <c r="C25" s="3102" t="s">
        <v>2449</v>
      </c>
      <c r="D25" s="3103"/>
      <c r="E25" s="3104">
        <v>0.8</v>
      </c>
      <c r="F25" s="3098" t="s">
        <v>2450</v>
      </c>
      <c r="G25" s="3098"/>
    </row>
    <row r="26" spans="1:13" ht="19.5" customHeight="1" thickBot="1">
      <c r="A26" s="3105" t="s">
        <v>2629</v>
      </c>
      <c r="B26" s="3106" t="s">
        <v>2628</v>
      </c>
      <c r="C26" s="3107" t="s">
        <v>2630</v>
      </c>
      <c r="D26" s="3108"/>
      <c r="E26" s="3109">
        <v>1</v>
      </c>
      <c r="F26" s="3098" t="s">
        <v>2451</v>
      </c>
      <c r="G26" s="3098"/>
    </row>
    <row r="27" spans="1:13" ht="19.5" customHeight="1">
      <c r="A27" s="3872" t="s">
        <v>2631</v>
      </c>
      <c r="B27" s="3869" t="s">
        <v>2612</v>
      </c>
      <c r="C27" s="3095" t="s">
        <v>2452</v>
      </c>
      <c r="D27" s="3096"/>
      <c r="E27" s="3097">
        <v>1</v>
      </c>
      <c r="F27" s="3098" t="s">
        <v>2453</v>
      </c>
      <c r="G27" s="3098"/>
    </row>
    <row r="28" spans="1:13" ht="19.5" customHeight="1">
      <c r="A28" s="3873"/>
      <c r="B28" s="3870"/>
      <c r="C28" s="3099" t="s">
        <v>2454</v>
      </c>
      <c r="D28" s="3100"/>
      <c r="E28" s="3101">
        <v>1</v>
      </c>
      <c r="F28" s="3098" t="s">
        <v>2455</v>
      </c>
      <c r="G28" s="3098"/>
    </row>
    <row r="29" spans="1:13" ht="19.5" customHeight="1">
      <c r="A29" s="3873"/>
      <c r="B29" s="3870"/>
      <c r="C29" s="3099" t="s">
        <v>2456</v>
      </c>
      <c r="D29" s="3100"/>
      <c r="E29" s="3101">
        <v>0.8</v>
      </c>
      <c r="F29" s="3098" t="s">
        <v>2457</v>
      </c>
      <c r="G29" s="3098"/>
    </row>
    <row r="30" spans="1:13" ht="19.5" customHeight="1">
      <c r="A30" s="3873"/>
      <c r="B30" s="3870"/>
      <c r="C30" s="3099" t="s">
        <v>2458</v>
      </c>
      <c r="D30" s="3100"/>
      <c r="E30" s="3101">
        <v>0.8</v>
      </c>
      <c r="F30" s="3098" t="s">
        <v>2459</v>
      </c>
      <c r="G30" s="3098"/>
    </row>
    <row r="31" spans="1:13" ht="19.5" customHeight="1">
      <c r="A31" s="3873"/>
      <c r="B31" s="3870"/>
      <c r="C31" s="3099" t="s">
        <v>2460</v>
      </c>
      <c r="D31" s="3100"/>
      <c r="E31" s="3101">
        <v>0.8</v>
      </c>
      <c r="F31" s="3098" t="s">
        <v>2461</v>
      </c>
      <c r="G31" s="3098"/>
    </row>
    <row r="32" spans="1:13" ht="19.5" customHeight="1">
      <c r="A32" s="3873"/>
      <c r="B32" s="3870"/>
      <c r="C32" s="3099" t="s">
        <v>2462</v>
      </c>
      <c r="D32" s="3100"/>
      <c r="E32" s="3101">
        <v>0.7</v>
      </c>
      <c r="F32" s="3098" t="s">
        <v>2463</v>
      </c>
      <c r="G32" s="3098"/>
    </row>
    <row r="33" spans="1:7" ht="19.5" customHeight="1">
      <c r="A33" s="3873"/>
      <c r="B33" s="3870"/>
      <c r="C33" s="3099" t="s">
        <v>2464</v>
      </c>
      <c r="D33" s="3100"/>
      <c r="E33" s="3101">
        <v>0.8</v>
      </c>
      <c r="F33" s="3098" t="s">
        <v>2465</v>
      </c>
      <c r="G33" s="3098"/>
    </row>
    <row r="34" spans="1:7" ht="19.5" customHeight="1">
      <c r="A34" s="3873"/>
      <c r="B34" s="3870"/>
      <c r="C34" s="3099" t="s">
        <v>2466</v>
      </c>
      <c r="D34" s="3100"/>
      <c r="E34" s="3101">
        <v>0.6</v>
      </c>
      <c r="F34" s="3098" t="s">
        <v>2467</v>
      </c>
      <c r="G34" s="3098"/>
    </row>
    <row r="35" spans="1:7" ht="19.5" customHeight="1">
      <c r="A35" s="3873"/>
      <c r="B35" s="3870"/>
      <c r="C35" s="3099" t="s">
        <v>2468</v>
      </c>
      <c r="D35" s="3100"/>
      <c r="E35" s="3101">
        <v>0.2</v>
      </c>
      <c r="F35" s="3098" t="s">
        <v>2469</v>
      </c>
      <c r="G35" s="3098"/>
    </row>
    <row r="36" spans="1:7" ht="19.5" customHeight="1">
      <c r="A36" s="3873"/>
      <c r="B36" s="3870"/>
      <c r="C36" s="3099" t="s">
        <v>2470</v>
      </c>
      <c r="D36" s="3100"/>
      <c r="E36" s="3101">
        <v>0.2</v>
      </c>
      <c r="F36" s="3098" t="s">
        <v>2471</v>
      </c>
      <c r="G36" s="3098"/>
    </row>
    <row r="37" spans="1:7" ht="19.5" customHeight="1">
      <c r="A37" s="3873"/>
      <c r="B37" s="3875" t="s">
        <v>2632</v>
      </c>
      <c r="C37" s="3099" t="s">
        <v>2472</v>
      </c>
      <c r="D37" s="3100"/>
      <c r="E37" s="3101">
        <v>0.6</v>
      </c>
      <c r="F37" s="3098" t="s">
        <v>2473</v>
      </c>
      <c r="G37" s="3098"/>
    </row>
    <row r="38" spans="1:7" ht="19.5" customHeight="1">
      <c r="A38" s="3873"/>
      <c r="B38" s="3870"/>
      <c r="C38" s="3099" t="s">
        <v>2474</v>
      </c>
      <c r="D38" s="3100"/>
      <c r="E38" s="3101">
        <v>0.6</v>
      </c>
      <c r="F38" s="3098" t="s">
        <v>2475</v>
      </c>
      <c r="G38" s="3098"/>
    </row>
    <row r="39" spans="1:7" ht="19.5" customHeight="1" thickBot="1">
      <c r="A39" s="3874"/>
      <c r="B39" s="3871"/>
      <c r="C39" s="3102" t="s">
        <v>2476</v>
      </c>
      <c r="D39" s="3103"/>
      <c r="E39" s="3104">
        <v>0.6</v>
      </c>
      <c r="F39" s="3098" t="s">
        <v>2477</v>
      </c>
      <c r="G39" s="3098"/>
    </row>
    <row r="40" spans="1:7" ht="19.5" customHeight="1" thickBot="1">
      <c r="A40" s="3105" t="s">
        <v>2609</v>
      </c>
      <c r="B40" s="3106" t="s">
        <v>2609</v>
      </c>
      <c r="C40" s="3107" t="s">
        <v>2633</v>
      </c>
      <c r="D40" s="3108"/>
      <c r="E40" s="3109">
        <v>1</v>
      </c>
      <c r="F40" s="3098" t="s">
        <v>2478</v>
      </c>
      <c r="G40" s="3098"/>
    </row>
    <row r="41" spans="1:7" ht="19.5" customHeight="1">
      <c r="A41" s="3876" t="s">
        <v>2610</v>
      </c>
      <c r="B41" s="3869" t="s">
        <v>2634</v>
      </c>
      <c r="C41" s="3095" t="s">
        <v>2479</v>
      </c>
      <c r="D41" s="3096"/>
      <c r="E41" s="3097">
        <v>1</v>
      </c>
      <c r="F41" s="3098" t="s">
        <v>2480</v>
      </c>
      <c r="G41" s="3098"/>
    </row>
    <row r="42" spans="1:7" ht="19.5" customHeight="1">
      <c r="A42" s="3877"/>
      <c r="B42" s="3870"/>
      <c r="C42" s="3099" t="s">
        <v>2481</v>
      </c>
      <c r="D42" s="3100"/>
      <c r="E42" s="3101">
        <v>1</v>
      </c>
      <c r="F42" s="3098" t="s">
        <v>2482</v>
      </c>
      <c r="G42" s="3098"/>
    </row>
    <row r="43" spans="1:7" ht="19.5" customHeight="1">
      <c r="A43" s="3877"/>
      <c r="B43" s="3879"/>
      <c r="C43" s="3099" t="s">
        <v>2483</v>
      </c>
      <c r="D43" s="3100"/>
      <c r="E43" s="3101">
        <v>1.5</v>
      </c>
      <c r="F43" s="3098" t="s">
        <v>2484</v>
      </c>
      <c r="G43" s="3098"/>
    </row>
    <row r="44" spans="1:7" ht="19.5" customHeight="1">
      <c r="A44" s="3877"/>
      <c r="B44" s="3110" t="s">
        <v>2635</v>
      </c>
      <c r="C44" s="3099" t="s">
        <v>2636</v>
      </c>
      <c r="D44" s="3100"/>
      <c r="E44" s="3101">
        <v>2</v>
      </c>
      <c r="F44" s="3098" t="s">
        <v>2485</v>
      </c>
      <c r="G44" s="3098"/>
    </row>
    <row r="45" spans="1:7" ht="19.5" customHeight="1">
      <c r="A45" s="3877"/>
      <c r="B45" s="3875" t="s">
        <v>2637</v>
      </c>
      <c r="C45" s="3099" t="s">
        <v>2486</v>
      </c>
      <c r="D45" s="3100"/>
      <c r="E45" s="3101">
        <v>1</v>
      </c>
      <c r="F45" s="3098" t="s">
        <v>2487</v>
      </c>
      <c r="G45" s="3098"/>
    </row>
    <row r="46" spans="1:7" ht="19.5" customHeight="1">
      <c r="A46" s="3877"/>
      <c r="B46" s="3870"/>
      <c r="C46" s="3099" t="s">
        <v>2488</v>
      </c>
      <c r="D46" s="3100"/>
      <c r="E46" s="3101">
        <v>1</v>
      </c>
      <c r="F46" s="3098" t="s">
        <v>2489</v>
      </c>
      <c r="G46" s="3098"/>
    </row>
    <row r="47" spans="1:7" ht="19.5" customHeight="1">
      <c r="A47" s="3877"/>
      <c r="B47" s="3870"/>
      <c r="C47" s="3099" t="s">
        <v>2490</v>
      </c>
      <c r="D47" s="3100"/>
      <c r="E47" s="3101">
        <v>1</v>
      </c>
      <c r="F47" s="3098" t="s">
        <v>2491</v>
      </c>
      <c r="G47" s="3098"/>
    </row>
    <row r="48" spans="1:7" ht="19.5" customHeight="1">
      <c r="A48" s="3877"/>
      <c r="B48" s="3870"/>
      <c r="C48" s="3099" t="s">
        <v>2492</v>
      </c>
      <c r="D48" s="3100"/>
      <c r="E48" s="3101">
        <v>1</v>
      </c>
      <c r="F48" s="3098" t="s">
        <v>2493</v>
      </c>
      <c r="G48" s="3098"/>
    </row>
    <row r="49" spans="1:7" ht="19.5" customHeight="1">
      <c r="A49" s="3877"/>
      <c r="B49" s="3870"/>
      <c r="C49" s="3099" t="s">
        <v>2494</v>
      </c>
      <c r="D49" s="3100"/>
      <c r="E49" s="3101">
        <v>1</v>
      </c>
      <c r="F49" s="3098" t="s">
        <v>2495</v>
      </c>
      <c r="G49" s="3098"/>
    </row>
    <row r="50" spans="1:7" ht="19.5" customHeight="1">
      <c r="A50" s="3877"/>
      <c r="B50" s="3870"/>
      <c r="C50" s="3099" t="s">
        <v>2496</v>
      </c>
      <c r="D50" s="3100"/>
      <c r="E50" s="3101">
        <v>1</v>
      </c>
      <c r="F50" s="3098" t="s">
        <v>2497</v>
      </c>
      <c r="G50" s="3098"/>
    </row>
    <row r="51" spans="1:7" ht="19.5" customHeight="1" thickBot="1">
      <c r="A51" s="3878"/>
      <c r="B51" s="3871"/>
      <c r="C51" s="3102" t="s">
        <v>2498</v>
      </c>
      <c r="D51" s="3103"/>
      <c r="E51" s="3104">
        <v>1</v>
      </c>
      <c r="F51" s="3098" t="s">
        <v>2499</v>
      </c>
      <c r="G51" s="3098"/>
    </row>
    <row r="52" spans="1:7" ht="19.5" customHeight="1">
      <c r="A52" s="3111"/>
      <c r="B52" s="3111"/>
      <c r="C52" s="3111"/>
      <c r="D52" s="3111"/>
      <c r="E52" s="3111"/>
      <c r="F52" s="3111"/>
      <c r="G52" s="3111"/>
    </row>
    <row r="54" spans="1:7" ht="19.5" customHeight="1">
      <c r="A54" s="3112"/>
      <c r="B54" s="3084" t="s">
        <v>2638</v>
      </c>
      <c r="C54" s="3084" t="s">
        <v>2638</v>
      </c>
      <c r="D54" s="3084" t="s">
        <v>2638</v>
      </c>
      <c r="E54" s="3087" t="s">
        <v>2638</v>
      </c>
      <c r="F54" s="3087" t="s">
        <v>2639</v>
      </c>
      <c r="G54" s="3087" t="s">
        <v>2640</v>
      </c>
    </row>
    <row r="55" spans="1:7" ht="19.5" customHeight="1">
      <c r="A55" s="3113"/>
      <c r="B55" s="3087" t="s">
        <v>2607</v>
      </c>
      <c r="C55" s="3087" t="s">
        <v>2607</v>
      </c>
      <c r="D55" s="3087" t="s">
        <v>2607</v>
      </c>
      <c r="E55" s="3084" t="s">
        <v>2608</v>
      </c>
      <c r="F55" s="3084" t="s">
        <v>2610</v>
      </c>
      <c r="G55" s="3084" t="s">
        <v>2641</v>
      </c>
    </row>
    <row r="56" spans="1:7" ht="19.5" customHeight="1">
      <c r="A56" s="3114"/>
      <c r="B56" s="3084">
        <v>1</v>
      </c>
      <c r="C56" s="3084">
        <v>2</v>
      </c>
      <c r="D56" s="3084">
        <v>3</v>
      </c>
      <c r="E56" s="3115" t="s">
        <v>2642</v>
      </c>
      <c r="F56" s="3115" t="s">
        <v>2642</v>
      </c>
      <c r="G56" s="3115" t="s">
        <v>2642</v>
      </c>
    </row>
    <row r="57" spans="1:7" ht="19.5" customHeight="1">
      <c r="A57" s="3116" t="s">
        <v>2595</v>
      </c>
      <c r="B57" s="3084">
        <v>0.7</v>
      </c>
      <c r="C57" s="3084">
        <v>0.4</v>
      </c>
      <c r="D57" s="3084">
        <v>0.3</v>
      </c>
      <c r="E57" s="3115">
        <v>0.3</v>
      </c>
      <c r="F57" s="3084">
        <v>0.3</v>
      </c>
      <c r="G57" s="3084">
        <v>0.2</v>
      </c>
    </row>
    <row r="58" spans="1:7" ht="19.5" customHeight="1">
      <c r="A58" s="3116" t="s">
        <v>2596</v>
      </c>
      <c r="B58" s="3084">
        <v>0.7</v>
      </c>
      <c r="C58" s="3084">
        <v>0.4</v>
      </c>
      <c r="D58" s="3084">
        <v>0.3</v>
      </c>
      <c r="E58" s="3084">
        <v>0.3</v>
      </c>
      <c r="F58" s="3084">
        <v>0.3</v>
      </c>
      <c r="G58" s="3084">
        <v>0.2</v>
      </c>
    </row>
    <row r="59" spans="1:7" ht="19.5" customHeight="1">
      <c r="A59" s="3116" t="s">
        <v>2597</v>
      </c>
      <c r="B59" s="3084">
        <v>0.6</v>
      </c>
      <c r="C59" s="3084">
        <v>0.3</v>
      </c>
      <c r="D59" s="3084">
        <v>0.25</v>
      </c>
      <c r="E59" s="3084">
        <v>0.25</v>
      </c>
      <c r="F59" s="3084">
        <v>0.25</v>
      </c>
      <c r="G59" s="3084">
        <v>0.15</v>
      </c>
    </row>
    <row r="60" spans="1:7" ht="19.5" customHeight="1">
      <c r="A60" s="3116" t="s">
        <v>2598</v>
      </c>
      <c r="B60" s="3084">
        <v>0.6</v>
      </c>
      <c r="C60" s="3084">
        <v>0.3</v>
      </c>
      <c r="D60" s="3084">
        <v>0.25</v>
      </c>
      <c r="E60" s="3084">
        <v>0.25</v>
      </c>
      <c r="F60" s="3084">
        <v>0.25</v>
      </c>
      <c r="G60" s="3084">
        <v>0.15</v>
      </c>
    </row>
    <row r="61" spans="1:7" ht="19.5" customHeight="1">
      <c r="A61" s="3116" t="s">
        <v>2599</v>
      </c>
      <c r="B61" s="3084">
        <v>0.6</v>
      </c>
      <c r="C61" s="3084">
        <v>0.3</v>
      </c>
      <c r="D61" s="3084">
        <v>0.25</v>
      </c>
      <c r="E61" s="3084">
        <v>0.25</v>
      </c>
      <c r="F61" s="3084">
        <v>0.25</v>
      </c>
      <c r="G61" s="3084">
        <v>0.15</v>
      </c>
    </row>
    <row r="62" spans="1:7" ht="19.5" customHeight="1">
      <c r="A62" s="3116" t="s">
        <v>2600</v>
      </c>
      <c r="B62" s="3084">
        <v>0.6</v>
      </c>
      <c r="C62" s="3084">
        <v>0.3</v>
      </c>
      <c r="D62" s="3084">
        <v>0.25</v>
      </c>
      <c r="E62" s="3084">
        <v>0.25</v>
      </c>
      <c r="F62" s="3084">
        <v>0.25</v>
      </c>
      <c r="G62" s="3084">
        <v>0.15</v>
      </c>
    </row>
    <row r="63" spans="1:7" ht="19.5" customHeight="1">
      <c r="A63" s="3116" t="s">
        <v>2601</v>
      </c>
      <c r="B63" s="3084">
        <v>0.6</v>
      </c>
      <c r="C63" s="3084">
        <v>0.3</v>
      </c>
      <c r="D63" s="3084">
        <v>0.25</v>
      </c>
      <c r="E63" s="3084">
        <v>0.25</v>
      </c>
      <c r="F63" s="3084">
        <v>0.25</v>
      </c>
      <c r="G63" s="3084">
        <v>0.15</v>
      </c>
    </row>
    <row r="64" spans="1:7" ht="19.5" customHeight="1">
      <c r="A64" s="3116" t="s">
        <v>2602</v>
      </c>
      <c r="B64" s="3084">
        <v>0.5</v>
      </c>
      <c r="C64" s="3084">
        <v>0.2</v>
      </c>
      <c r="D64" s="3084">
        <v>0.2</v>
      </c>
      <c r="E64" s="3084">
        <v>0.2</v>
      </c>
      <c r="F64" s="3084">
        <v>0.2</v>
      </c>
      <c r="G64" s="3084">
        <v>0.1</v>
      </c>
    </row>
    <row r="65" spans="1:7" ht="19.5" customHeight="1">
      <c r="A65" s="3116" t="s">
        <v>2603</v>
      </c>
      <c r="B65" s="3084">
        <v>0.5</v>
      </c>
      <c r="C65" s="3084">
        <v>0.2</v>
      </c>
      <c r="D65" s="3084">
        <v>0.2</v>
      </c>
      <c r="E65" s="3084">
        <v>0.2</v>
      </c>
      <c r="F65" s="3084">
        <v>0.2</v>
      </c>
      <c r="G65" s="3084">
        <v>0.1</v>
      </c>
    </row>
    <row r="66" spans="1:7" ht="19.5" customHeight="1">
      <c r="A66" s="3116" t="s">
        <v>2604</v>
      </c>
      <c r="B66" s="3084">
        <v>0.5</v>
      </c>
      <c r="C66" s="3084">
        <v>0.2</v>
      </c>
      <c r="D66" s="3084">
        <v>0.2</v>
      </c>
      <c r="E66" s="3084">
        <v>0.2</v>
      </c>
      <c r="F66" s="3084">
        <v>0.2</v>
      </c>
      <c r="G66" s="3084">
        <v>0.1</v>
      </c>
    </row>
    <row r="67" spans="1:7" ht="19.5" customHeight="1">
      <c r="A67" s="3116" t="s">
        <v>2605</v>
      </c>
      <c r="B67" s="3084">
        <v>0.5</v>
      </c>
      <c r="C67" s="3084">
        <v>0.2</v>
      </c>
      <c r="D67" s="3084">
        <v>0.2</v>
      </c>
      <c r="E67" s="3084">
        <v>0.2</v>
      </c>
      <c r="F67" s="3084">
        <v>0.2</v>
      </c>
      <c r="G67" s="3084">
        <v>0.1</v>
      </c>
    </row>
    <row r="68" spans="1:7" ht="19.5" customHeight="1">
      <c r="A68" s="3116" t="s">
        <v>2606</v>
      </c>
      <c r="B68" s="3084">
        <v>0.5</v>
      </c>
      <c r="C68" s="3084">
        <v>0.2</v>
      </c>
      <c r="D68" s="3084">
        <v>0.2</v>
      </c>
      <c r="E68" s="3084">
        <v>0.2</v>
      </c>
      <c r="F68" s="3084">
        <v>0.2</v>
      </c>
      <c r="G68" s="3084">
        <v>0.1</v>
      </c>
    </row>
    <row r="70" spans="1:7" ht="19.5" customHeight="1">
      <c r="A70" s="3117"/>
      <c r="B70" s="3118"/>
      <c r="C70" s="3118"/>
      <c r="D70" s="3118" t="s">
        <v>2643</v>
      </c>
      <c r="E70" s="3118"/>
      <c r="F70" s="3118"/>
    </row>
    <row r="71" spans="1:7" ht="19.5" customHeight="1">
      <c r="A71" s="3110" t="s">
        <v>2644</v>
      </c>
      <c r="B71" s="3110" t="s">
        <v>2645</v>
      </c>
      <c r="C71" s="3110" t="s">
        <v>2646</v>
      </c>
      <c r="D71" s="3110" t="s">
        <v>2647</v>
      </c>
      <c r="E71" s="3110" t="s">
        <v>2648</v>
      </c>
      <c r="F71" s="3110" t="s">
        <v>2649</v>
      </c>
    </row>
    <row r="72" spans="1:7" ht="14.25">
      <c r="A72" s="3110"/>
      <c r="B72" s="3110"/>
      <c r="C72" s="3110" t="s">
        <v>2650</v>
      </c>
      <c r="D72" s="3110"/>
      <c r="E72" s="3110" t="s">
        <v>2621</v>
      </c>
      <c r="F72" s="3110" t="s">
        <v>2621</v>
      </c>
    </row>
    <row r="73" spans="1:7" ht="14.25">
      <c r="A73" s="3110">
        <v>1</v>
      </c>
      <c r="B73" s="3875" t="s">
        <v>2651</v>
      </c>
      <c r="C73" s="3084" t="s">
        <v>2652</v>
      </c>
      <c r="D73" s="3084" t="s">
        <v>2653</v>
      </c>
      <c r="E73" s="3110">
        <v>0.2</v>
      </c>
      <c r="F73" s="3110">
        <v>25</v>
      </c>
    </row>
    <row r="74" spans="1:7" ht="25.5">
      <c r="A74" s="3110">
        <v>2</v>
      </c>
      <c r="B74" s="3870"/>
      <c r="C74" s="3084" t="s">
        <v>2654</v>
      </c>
      <c r="D74" s="3084" t="s">
        <v>2655</v>
      </c>
      <c r="E74" s="3110">
        <v>0.2</v>
      </c>
      <c r="F74" s="3110">
        <v>25</v>
      </c>
    </row>
    <row r="75" spans="1:7" ht="25.5">
      <c r="A75" s="3110">
        <v>3</v>
      </c>
      <c r="B75" s="3870"/>
      <c r="C75" s="3084" t="s">
        <v>2656</v>
      </c>
      <c r="D75" s="3084" t="s">
        <v>2657</v>
      </c>
      <c r="E75" s="3110">
        <v>0.2</v>
      </c>
      <c r="F75" s="3110">
        <v>25</v>
      </c>
    </row>
    <row r="76" spans="1:7" ht="14.25">
      <c r="A76" s="3110">
        <v>4</v>
      </c>
      <c r="B76" s="3870"/>
      <c r="C76" s="3084" t="s">
        <v>2658</v>
      </c>
      <c r="D76" s="3084" t="s">
        <v>2659</v>
      </c>
      <c r="E76" s="3110">
        <v>0.15</v>
      </c>
      <c r="F76" s="3110">
        <v>20</v>
      </c>
    </row>
    <row r="77" spans="1:7" ht="25.5">
      <c r="A77" s="3110">
        <v>5</v>
      </c>
      <c r="B77" s="3870"/>
      <c r="C77" s="3084" t="s">
        <v>2660</v>
      </c>
      <c r="D77" s="3084" t="s">
        <v>2661</v>
      </c>
      <c r="E77" s="3110">
        <v>0.15</v>
      </c>
      <c r="F77" s="3110">
        <v>20</v>
      </c>
    </row>
    <row r="78" spans="1:7" ht="25.5">
      <c r="A78" s="3110">
        <v>6</v>
      </c>
      <c r="B78" s="3870"/>
      <c r="C78" s="3084" t="s">
        <v>2662</v>
      </c>
      <c r="D78" s="3084" t="s">
        <v>2663</v>
      </c>
      <c r="E78" s="3110">
        <v>0.15</v>
      </c>
      <c r="F78" s="3110">
        <v>20</v>
      </c>
    </row>
    <row r="79" spans="1:7" ht="25.5">
      <c r="A79" s="3110">
        <v>7</v>
      </c>
      <c r="B79" s="3870"/>
      <c r="C79" s="3084" t="s">
        <v>2664</v>
      </c>
      <c r="D79" s="3084" t="s">
        <v>2665</v>
      </c>
      <c r="E79" s="3110">
        <v>0.15</v>
      </c>
      <c r="F79" s="3110">
        <v>20</v>
      </c>
    </row>
    <row r="80" spans="1:7" ht="25.5">
      <c r="A80" s="3110">
        <v>8</v>
      </c>
      <c r="B80" s="3870"/>
      <c r="C80" s="3084" t="s">
        <v>2666</v>
      </c>
      <c r="D80" s="3084" t="s">
        <v>2667</v>
      </c>
      <c r="E80" s="3110">
        <v>0.1</v>
      </c>
      <c r="F80" s="3110">
        <v>15</v>
      </c>
    </row>
    <row r="81" spans="1:6" ht="25.5">
      <c r="A81" s="3110">
        <v>9</v>
      </c>
      <c r="B81" s="3870"/>
      <c r="C81" s="3084" t="s">
        <v>2668</v>
      </c>
      <c r="D81" s="3084" t="s">
        <v>2669</v>
      </c>
      <c r="E81" s="3110">
        <v>0.1</v>
      </c>
      <c r="F81" s="3110">
        <v>15</v>
      </c>
    </row>
    <row r="82" spans="1:6" ht="25.5">
      <c r="A82" s="3110">
        <v>10</v>
      </c>
      <c r="B82" s="3870"/>
      <c r="C82" s="3084" t="s">
        <v>2670</v>
      </c>
      <c r="D82" s="3084" t="s">
        <v>2671</v>
      </c>
      <c r="E82" s="3110">
        <v>0.1</v>
      </c>
      <c r="F82" s="3110">
        <v>15</v>
      </c>
    </row>
    <row r="83" spans="1:6" ht="25.5">
      <c r="A83" s="3110">
        <v>11</v>
      </c>
      <c r="B83" s="3870"/>
      <c r="C83" s="3084" t="s">
        <v>2672</v>
      </c>
      <c r="D83" s="3084" t="s">
        <v>2673</v>
      </c>
      <c r="E83" s="3110">
        <v>0.1</v>
      </c>
      <c r="F83" s="3110">
        <v>15</v>
      </c>
    </row>
    <row r="84" spans="1:6" ht="25.5">
      <c r="A84" s="3110">
        <v>12</v>
      </c>
      <c r="B84" s="3870"/>
      <c r="C84" s="3084" t="s">
        <v>2674</v>
      </c>
      <c r="D84" s="3084" t="s">
        <v>2675</v>
      </c>
      <c r="E84" s="3110">
        <v>0.1</v>
      </c>
      <c r="F84" s="3110">
        <v>15</v>
      </c>
    </row>
    <row r="85" spans="1:6" ht="14.25">
      <c r="A85" s="3110">
        <v>13</v>
      </c>
      <c r="B85" s="3870"/>
      <c r="C85" s="3084" t="s">
        <v>2676</v>
      </c>
      <c r="D85" s="3084" t="s">
        <v>2677</v>
      </c>
      <c r="E85" s="3110">
        <v>0.1</v>
      </c>
      <c r="F85" s="3110">
        <v>15</v>
      </c>
    </row>
    <row r="86" spans="1:6" ht="14.25">
      <c r="A86" s="3110">
        <v>14</v>
      </c>
      <c r="B86" s="3870"/>
      <c r="C86" s="3084" t="s">
        <v>2678</v>
      </c>
      <c r="D86" s="3084" t="s">
        <v>2679</v>
      </c>
      <c r="E86" s="3110">
        <v>0.1</v>
      </c>
      <c r="F86" s="3110">
        <v>15</v>
      </c>
    </row>
    <row r="87" spans="1:6" ht="14.25">
      <c r="A87" s="3110">
        <v>15</v>
      </c>
      <c r="B87" s="3870"/>
      <c r="C87" s="3084" t="s">
        <v>2680</v>
      </c>
      <c r="D87" s="3084" t="s">
        <v>2681</v>
      </c>
      <c r="E87" s="3110">
        <v>0.1</v>
      </c>
      <c r="F87" s="3110">
        <v>15</v>
      </c>
    </row>
    <row r="88" spans="1:6" ht="25.5">
      <c r="A88" s="3110">
        <v>16</v>
      </c>
      <c r="B88" s="3870"/>
      <c r="C88" s="3084" t="s">
        <v>2682</v>
      </c>
      <c r="D88" s="3084" t="s">
        <v>2683</v>
      </c>
      <c r="E88" s="3110">
        <v>0.1</v>
      </c>
      <c r="F88" s="3110">
        <v>15</v>
      </c>
    </row>
    <row r="89" spans="1:6" ht="25.5">
      <c r="A89" s="3110">
        <v>17</v>
      </c>
      <c r="B89" s="3879"/>
      <c r="C89" s="3084" t="s">
        <v>2684</v>
      </c>
      <c r="D89" s="3084" t="s">
        <v>2685</v>
      </c>
      <c r="E89" s="3110">
        <v>0.1</v>
      </c>
      <c r="F89" s="3110">
        <v>15</v>
      </c>
    </row>
    <row r="90" spans="1:6" ht="14.25">
      <c r="A90" s="3110">
        <v>18</v>
      </c>
      <c r="B90" s="3875" t="s">
        <v>2686</v>
      </c>
      <c r="C90" s="3084" t="s">
        <v>2687</v>
      </c>
      <c r="D90" s="3084" t="s">
        <v>2688</v>
      </c>
      <c r="E90" s="3110">
        <v>0.2</v>
      </c>
      <c r="F90" s="3110">
        <v>25</v>
      </c>
    </row>
    <row r="91" spans="1:6" ht="25.5">
      <c r="A91" s="3110">
        <v>19</v>
      </c>
      <c r="B91" s="3870"/>
      <c r="C91" s="3084" t="s">
        <v>2689</v>
      </c>
      <c r="D91" s="3084" t="s">
        <v>2690</v>
      </c>
      <c r="E91" s="3110">
        <v>0.2</v>
      </c>
      <c r="F91" s="3110">
        <v>25</v>
      </c>
    </row>
    <row r="92" spans="1:6" ht="14.25">
      <c r="A92" s="3110">
        <v>20</v>
      </c>
      <c r="B92" s="3870"/>
      <c r="C92" s="3084" t="s">
        <v>2691</v>
      </c>
      <c r="D92" s="3084" t="s">
        <v>2692</v>
      </c>
      <c r="E92" s="3110">
        <v>0.15</v>
      </c>
      <c r="F92" s="3110">
        <v>20</v>
      </c>
    </row>
    <row r="93" spans="1:6" ht="25.5">
      <c r="A93" s="3110">
        <v>21</v>
      </c>
      <c r="B93" s="3870"/>
      <c r="C93" s="3084" t="s">
        <v>2693</v>
      </c>
      <c r="D93" s="3084" t="s">
        <v>2694</v>
      </c>
      <c r="E93" s="3110">
        <v>0.15</v>
      </c>
      <c r="F93" s="3110">
        <v>20</v>
      </c>
    </row>
    <row r="94" spans="1:6" ht="25.5">
      <c r="A94" s="3110">
        <v>22</v>
      </c>
      <c r="B94" s="3870"/>
      <c r="C94" s="3084" t="s">
        <v>2695</v>
      </c>
      <c r="D94" s="3084" t="s">
        <v>2696</v>
      </c>
      <c r="E94" s="3110">
        <v>0.15</v>
      </c>
      <c r="F94" s="3110">
        <v>20</v>
      </c>
    </row>
    <row r="95" spans="1:6" ht="38.25">
      <c r="A95" s="3110">
        <v>23</v>
      </c>
      <c r="B95" s="3870"/>
      <c r="C95" s="3084" t="s">
        <v>2697</v>
      </c>
      <c r="D95" s="3084" t="s">
        <v>2698</v>
      </c>
      <c r="E95" s="3110">
        <v>0.15</v>
      </c>
      <c r="F95" s="3110">
        <v>20</v>
      </c>
    </row>
    <row r="96" spans="1:6" ht="14.25">
      <c r="A96" s="3110">
        <v>24</v>
      </c>
      <c r="B96" s="3870"/>
      <c r="C96" s="3084" t="s">
        <v>2699</v>
      </c>
      <c r="D96" s="3084" t="s">
        <v>2700</v>
      </c>
      <c r="E96" s="3110">
        <v>0.1</v>
      </c>
      <c r="F96" s="3110">
        <v>15</v>
      </c>
    </row>
    <row r="97" spans="1:6" ht="25.5">
      <c r="A97" s="3110">
        <v>25</v>
      </c>
      <c r="B97" s="3870"/>
      <c r="C97" s="3084" t="s">
        <v>2701</v>
      </c>
      <c r="D97" s="3084" t="s">
        <v>2702</v>
      </c>
      <c r="E97" s="3110">
        <v>0.1</v>
      </c>
      <c r="F97" s="3110">
        <v>15</v>
      </c>
    </row>
    <row r="98" spans="1:6" ht="25.5">
      <c r="A98" s="3110">
        <v>26</v>
      </c>
      <c r="B98" s="3870"/>
      <c r="C98" s="3084" t="s">
        <v>2703</v>
      </c>
      <c r="D98" s="3084" t="s">
        <v>2704</v>
      </c>
      <c r="E98" s="3110">
        <v>0.1</v>
      </c>
      <c r="F98" s="3110">
        <v>15</v>
      </c>
    </row>
    <row r="99" spans="1:6" ht="25.5">
      <c r="A99" s="3110">
        <v>27</v>
      </c>
      <c r="B99" s="3870"/>
      <c r="C99" s="3084" t="s">
        <v>2705</v>
      </c>
      <c r="D99" s="3084" t="s">
        <v>2706</v>
      </c>
      <c r="E99" s="3110">
        <v>0.1</v>
      </c>
      <c r="F99" s="3110">
        <v>15</v>
      </c>
    </row>
    <row r="100" spans="1:6" ht="25.5">
      <c r="A100" s="3110">
        <v>28</v>
      </c>
      <c r="B100" s="3870"/>
      <c r="C100" s="3084" t="s">
        <v>2707</v>
      </c>
      <c r="D100" s="3084" t="s">
        <v>2708</v>
      </c>
      <c r="E100" s="3110">
        <v>0.1</v>
      </c>
      <c r="F100" s="3110">
        <v>15</v>
      </c>
    </row>
    <row r="101" spans="1:6" ht="25.5">
      <c r="A101" s="3110">
        <v>29</v>
      </c>
      <c r="B101" s="3870"/>
      <c r="C101" s="3084" t="s">
        <v>2709</v>
      </c>
      <c r="D101" s="3084" t="s">
        <v>2710</v>
      </c>
      <c r="E101" s="3110">
        <v>0.1</v>
      </c>
      <c r="F101" s="3110">
        <v>15</v>
      </c>
    </row>
    <row r="102" spans="1:6" ht="25.5">
      <c r="A102" s="3110">
        <v>30</v>
      </c>
      <c r="B102" s="3870"/>
      <c r="C102" s="3084" t="s">
        <v>2711</v>
      </c>
      <c r="D102" s="3084" t="s">
        <v>2712</v>
      </c>
      <c r="E102" s="3110">
        <v>0.1</v>
      </c>
      <c r="F102" s="3110">
        <v>15</v>
      </c>
    </row>
    <row r="103" spans="1:6" ht="25.5">
      <c r="A103" s="3110">
        <v>31</v>
      </c>
      <c r="B103" s="3870"/>
      <c r="C103" s="3084" t="s">
        <v>2713</v>
      </c>
      <c r="D103" s="3084" t="s">
        <v>2714</v>
      </c>
      <c r="E103" s="3110">
        <v>0.1</v>
      </c>
      <c r="F103" s="3110">
        <v>15</v>
      </c>
    </row>
    <row r="104" spans="1:6" ht="25.5">
      <c r="A104" s="3110">
        <v>32</v>
      </c>
      <c r="B104" s="3870"/>
      <c r="C104" s="3084" t="s">
        <v>2715</v>
      </c>
      <c r="D104" s="3084" t="s">
        <v>2716</v>
      </c>
      <c r="E104" s="3110">
        <v>0.1</v>
      </c>
      <c r="F104" s="3110">
        <v>15</v>
      </c>
    </row>
    <row r="105" spans="1:6" ht="25.5">
      <c r="A105" s="3110">
        <v>33</v>
      </c>
      <c r="B105" s="3870"/>
      <c r="C105" s="3084" t="s">
        <v>2717</v>
      </c>
      <c r="D105" s="3084" t="s">
        <v>2718</v>
      </c>
      <c r="E105" s="3110">
        <v>0.1</v>
      </c>
      <c r="F105" s="3110">
        <v>15</v>
      </c>
    </row>
    <row r="106" spans="1:6" ht="25.5">
      <c r="A106" s="3110">
        <v>34</v>
      </c>
      <c r="B106" s="3879"/>
      <c r="C106" s="3084" t="s">
        <v>2719</v>
      </c>
      <c r="D106" s="3084" t="s">
        <v>2720</v>
      </c>
      <c r="E106" s="3110">
        <v>0.1</v>
      </c>
      <c r="F106" s="3110">
        <v>15</v>
      </c>
    </row>
    <row r="107" spans="1:6" ht="25.5">
      <c r="A107" s="3110">
        <v>35</v>
      </c>
      <c r="B107" s="3875" t="s">
        <v>2721</v>
      </c>
      <c r="C107" s="3110" t="s">
        <v>2722</v>
      </c>
      <c r="D107" s="3084" t="s">
        <v>2723</v>
      </c>
      <c r="E107" s="3110">
        <v>0.15</v>
      </c>
      <c r="F107" s="3110">
        <v>20</v>
      </c>
    </row>
    <row r="108" spans="1:6" ht="25.5">
      <c r="A108" s="3110">
        <v>36</v>
      </c>
      <c r="B108" s="3870"/>
      <c r="C108" s="3110" t="s">
        <v>2724</v>
      </c>
      <c r="D108" s="3084" t="s">
        <v>2725</v>
      </c>
      <c r="E108" s="3110">
        <v>0.15</v>
      </c>
      <c r="F108" s="3110">
        <v>20</v>
      </c>
    </row>
    <row r="109" spans="1:6" ht="25.5">
      <c r="A109" s="3110">
        <v>37</v>
      </c>
      <c r="B109" s="3870"/>
      <c r="C109" s="3110" t="s">
        <v>2726</v>
      </c>
      <c r="D109" s="3084" t="s">
        <v>2727</v>
      </c>
      <c r="E109" s="3110">
        <v>0.15</v>
      </c>
      <c r="F109" s="3110">
        <v>20</v>
      </c>
    </row>
    <row r="110" spans="1:6" ht="14.25">
      <c r="A110" s="3110">
        <v>38</v>
      </c>
      <c r="B110" s="3870"/>
      <c r="C110" s="3110" t="s">
        <v>2728</v>
      </c>
      <c r="D110" s="3084" t="s">
        <v>2729</v>
      </c>
      <c r="E110" s="3110">
        <v>0.1</v>
      </c>
      <c r="F110" s="3110">
        <v>15</v>
      </c>
    </row>
    <row r="111" spans="1:6" ht="25.5">
      <c r="A111" s="3110">
        <v>39</v>
      </c>
      <c r="B111" s="3870"/>
      <c r="C111" s="3110" t="s">
        <v>2730</v>
      </c>
      <c r="D111" s="3084" t="s">
        <v>2731</v>
      </c>
      <c r="E111" s="3110">
        <v>0.1</v>
      </c>
      <c r="F111" s="3110">
        <v>15</v>
      </c>
    </row>
    <row r="112" spans="1:6" ht="25.5">
      <c r="A112" s="3110">
        <v>40</v>
      </c>
      <c r="B112" s="3879"/>
      <c r="C112" s="3110" t="s">
        <v>2732</v>
      </c>
      <c r="D112" s="3084" t="s">
        <v>2733</v>
      </c>
      <c r="E112" s="3110">
        <v>0.1</v>
      </c>
      <c r="F112" s="3110">
        <v>15</v>
      </c>
    </row>
    <row r="113" spans="1:6" ht="25.5">
      <c r="A113" s="3110">
        <v>41</v>
      </c>
      <c r="B113" s="3880" t="s">
        <v>2734</v>
      </c>
      <c r="C113" s="3110" t="s">
        <v>2735</v>
      </c>
      <c r="D113" s="3084" t="s">
        <v>2736</v>
      </c>
      <c r="E113" s="3110">
        <v>0.1</v>
      </c>
      <c r="F113" s="3110">
        <v>15</v>
      </c>
    </row>
    <row r="114" spans="1:6" ht="14.25">
      <c r="A114" s="3110">
        <v>42</v>
      </c>
      <c r="B114" s="3880"/>
      <c r="C114" s="3110" t="s">
        <v>2737</v>
      </c>
      <c r="D114" s="3084" t="s">
        <v>2738</v>
      </c>
      <c r="E114" s="3110">
        <v>0.1</v>
      </c>
      <c r="F114" s="3110">
        <v>15</v>
      </c>
    </row>
    <row r="115" spans="1:6" ht="25.5">
      <c r="A115" s="3110">
        <v>43</v>
      </c>
      <c r="B115" s="3880"/>
      <c r="C115" s="3110" t="s">
        <v>2739</v>
      </c>
      <c r="D115" s="3084" t="s">
        <v>2740</v>
      </c>
      <c r="E115" s="3110">
        <v>0.1</v>
      </c>
      <c r="F115" s="3110">
        <v>15</v>
      </c>
    </row>
    <row r="116" spans="1:6" ht="25.5">
      <c r="A116" s="3110">
        <v>44</v>
      </c>
      <c r="B116" s="3875" t="s">
        <v>2741</v>
      </c>
      <c r="C116" s="3110" t="s">
        <v>2742</v>
      </c>
      <c r="D116" s="3084" t="s">
        <v>2743</v>
      </c>
      <c r="E116" s="3110">
        <v>0.1</v>
      </c>
      <c r="F116" s="3110">
        <v>15</v>
      </c>
    </row>
    <row r="117" spans="1:6" ht="25.5">
      <c r="A117" s="3110">
        <v>45</v>
      </c>
      <c r="B117" s="3879"/>
      <c r="C117" s="3084" t="s">
        <v>2744</v>
      </c>
      <c r="D117" s="3084" t="s">
        <v>2745</v>
      </c>
      <c r="E117" s="3110">
        <v>0.1</v>
      </c>
      <c r="F117" s="3110">
        <v>15</v>
      </c>
    </row>
    <row r="118" spans="1:6" ht="25.5">
      <c r="A118" s="3110">
        <v>46</v>
      </c>
      <c r="B118" s="3875" t="s">
        <v>2746</v>
      </c>
      <c r="C118" s="3110" t="s">
        <v>2747</v>
      </c>
      <c r="D118" s="3084" t="s">
        <v>2748</v>
      </c>
      <c r="E118" s="3110">
        <v>0.1</v>
      </c>
      <c r="F118" s="3110">
        <v>15</v>
      </c>
    </row>
    <row r="119" spans="1:6" ht="25.5">
      <c r="A119" s="3110">
        <v>47</v>
      </c>
      <c r="B119" s="3879"/>
      <c r="C119" s="3110" t="s">
        <v>2749</v>
      </c>
      <c r="D119" s="3084" t="s">
        <v>2750</v>
      </c>
      <c r="E119" s="3110">
        <v>0.1</v>
      </c>
      <c r="F119" s="3110">
        <v>15</v>
      </c>
    </row>
    <row r="120" spans="1:6" ht="25.5">
      <c r="A120" s="3110">
        <v>48</v>
      </c>
      <c r="B120" s="3875" t="s">
        <v>2751</v>
      </c>
      <c r="C120" s="3110" t="s">
        <v>2752</v>
      </c>
      <c r="D120" s="3084" t="s">
        <v>2753</v>
      </c>
      <c r="E120" s="3110">
        <v>0.1</v>
      </c>
      <c r="F120" s="3110">
        <v>15</v>
      </c>
    </row>
    <row r="121" spans="1:6" ht="14.25">
      <c r="A121" s="3110">
        <v>49</v>
      </c>
      <c r="B121" s="3879"/>
      <c r="C121" s="3110" t="s">
        <v>2754</v>
      </c>
      <c r="D121" s="3084" t="s">
        <v>2755</v>
      </c>
      <c r="E121" s="3110">
        <v>0.1</v>
      </c>
      <c r="F121" s="3110">
        <v>15</v>
      </c>
    </row>
    <row r="122" spans="1:6" ht="25.5">
      <c r="A122" s="3110">
        <v>50</v>
      </c>
      <c r="B122" s="3880" t="s">
        <v>2756</v>
      </c>
      <c r="C122" s="3110" t="s">
        <v>2757</v>
      </c>
      <c r="D122" s="3084" t="s">
        <v>2758</v>
      </c>
      <c r="E122" s="3110">
        <v>0.1</v>
      </c>
      <c r="F122" s="3110">
        <v>15</v>
      </c>
    </row>
    <row r="123" spans="1:6" ht="25.5">
      <c r="A123" s="3110">
        <v>51</v>
      </c>
      <c r="B123" s="3880"/>
      <c r="C123" s="3110" t="s">
        <v>2759</v>
      </c>
      <c r="D123" s="3084" t="s">
        <v>2760</v>
      </c>
      <c r="E123" s="3110">
        <v>0.1</v>
      </c>
      <c r="F123" s="3110">
        <v>15</v>
      </c>
    </row>
    <row r="124" spans="1:6" ht="25.5">
      <c r="A124" s="3110">
        <v>52</v>
      </c>
      <c r="B124" s="3880" t="s">
        <v>2761</v>
      </c>
      <c r="C124" s="3110" t="s">
        <v>2762</v>
      </c>
      <c r="D124" s="3084" t="s">
        <v>2763</v>
      </c>
      <c r="E124" s="3110">
        <v>0.1</v>
      </c>
      <c r="F124" s="3110">
        <v>15</v>
      </c>
    </row>
    <row r="125" spans="1:6" ht="25.5">
      <c r="A125" s="3110">
        <v>53</v>
      </c>
      <c r="B125" s="3880"/>
      <c r="C125" s="3110" t="s">
        <v>2764</v>
      </c>
      <c r="D125" s="3084" t="s">
        <v>2765</v>
      </c>
      <c r="E125" s="3110">
        <v>0.1</v>
      </c>
      <c r="F125" s="3110">
        <v>15</v>
      </c>
    </row>
    <row r="126" spans="1:6" ht="25.5">
      <c r="A126" s="3110">
        <v>54</v>
      </c>
      <c r="B126" s="3110" t="s">
        <v>2766</v>
      </c>
      <c r="C126" s="3110" t="s">
        <v>2767</v>
      </c>
      <c r="D126" s="3084" t="s">
        <v>2768</v>
      </c>
      <c r="E126" s="3110">
        <v>0.1</v>
      </c>
      <c r="F126" s="3110">
        <v>15</v>
      </c>
    </row>
    <row r="127" spans="1:6" ht="14.25">
      <c r="A127" s="3110">
        <v>55</v>
      </c>
      <c r="B127" s="3880" t="s">
        <v>2769</v>
      </c>
      <c r="C127" s="3110" t="s">
        <v>2770</v>
      </c>
      <c r="D127" s="3084" t="s">
        <v>2771</v>
      </c>
      <c r="E127" s="3110">
        <v>0.1</v>
      </c>
      <c r="F127" s="3110">
        <v>15</v>
      </c>
    </row>
    <row r="128" spans="1:6" ht="14.25">
      <c r="A128" s="3110">
        <v>56</v>
      </c>
      <c r="B128" s="3880"/>
      <c r="C128" s="3110" t="s">
        <v>2772</v>
      </c>
      <c r="D128" s="3084" t="s">
        <v>2773</v>
      </c>
      <c r="E128" s="3110">
        <v>0.1</v>
      </c>
      <c r="F128" s="3110">
        <v>15</v>
      </c>
    </row>
    <row r="129" spans="1:6" ht="25.5">
      <c r="A129" s="3110">
        <v>57</v>
      </c>
      <c r="B129" s="3880"/>
      <c r="C129" s="3110" t="s">
        <v>2774</v>
      </c>
      <c r="D129" s="3084" t="s">
        <v>2775</v>
      </c>
      <c r="E129" s="3110">
        <v>0.1</v>
      </c>
      <c r="F129" s="3110">
        <v>15</v>
      </c>
    </row>
    <row r="130" spans="1:6" ht="25.5">
      <c r="A130" s="3110">
        <v>58</v>
      </c>
      <c r="B130" s="3880" t="s">
        <v>2776</v>
      </c>
      <c r="C130" s="3110" t="s">
        <v>2777</v>
      </c>
      <c r="D130" s="3084" t="s">
        <v>2778</v>
      </c>
      <c r="E130" s="3110">
        <v>0.1</v>
      </c>
      <c r="F130" s="3110">
        <v>15</v>
      </c>
    </row>
    <row r="131" spans="1:6" ht="25.5">
      <c r="A131" s="3110">
        <v>59</v>
      </c>
      <c r="B131" s="3880"/>
      <c r="C131" s="3110" t="s">
        <v>2779</v>
      </c>
      <c r="D131" s="3084" t="s">
        <v>2780</v>
      </c>
      <c r="E131" s="3110">
        <v>0.1</v>
      </c>
      <c r="F131" s="3110">
        <v>15</v>
      </c>
    </row>
    <row r="132" spans="1:6" ht="25.5">
      <c r="A132" s="3110">
        <v>60</v>
      </c>
      <c r="B132" s="3875" t="s">
        <v>2781</v>
      </c>
      <c r="C132" s="3110" t="s">
        <v>2782</v>
      </c>
      <c r="D132" s="3084" t="s">
        <v>2783</v>
      </c>
      <c r="E132" s="3110">
        <v>0.1</v>
      </c>
      <c r="F132" s="3110">
        <v>15</v>
      </c>
    </row>
    <row r="133" spans="1:6" ht="25.5">
      <c r="A133" s="3110">
        <v>61</v>
      </c>
      <c r="B133" s="3879"/>
      <c r="C133" s="3110" t="s">
        <v>2784</v>
      </c>
      <c r="D133" s="3084" t="s">
        <v>2785</v>
      </c>
      <c r="E133" s="3110">
        <v>0.1</v>
      </c>
      <c r="F133" s="3110">
        <v>15</v>
      </c>
    </row>
    <row r="134" spans="1:6" ht="25.5">
      <c r="A134" s="3110">
        <v>62</v>
      </c>
      <c r="B134" s="3110" t="s">
        <v>2786</v>
      </c>
      <c r="C134" s="3110" t="s">
        <v>2787</v>
      </c>
      <c r="D134" s="3084" t="s">
        <v>2788</v>
      </c>
      <c r="E134" s="3110">
        <v>0.1</v>
      </c>
      <c r="F134" s="3110">
        <v>15</v>
      </c>
    </row>
    <row r="135" spans="1:6" ht="25.5">
      <c r="A135" s="3110">
        <v>63</v>
      </c>
      <c r="B135" s="3880" t="s">
        <v>2789</v>
      </c>
      <c r="C135" s="3110" t="s">
        <v>2790</v>
      </c>
      <c r="D135" s="3084" t="s">
        <v>2791</v>
      </c>
      <c r="E135" s="3110">
        <v>0.1</v>
      </c>
      <c r="F135" s="3110">
        <v>15</v>
      </c>
    </row>
    <row r="136" spans="1:6" ht="14.25">
      <c r="A136" s="3110">
        <v>64</v>
      </c>
      <c r="B136" s="3880"/>
      <c r="C136" s="3110" t="s">
        <v>2792</v>
      </c>
      <c r="D136" s="3084" t="s">
        <v>2793</v>
      </c>
      <c r="E136" s="3110">
        <v>0.1</v>
      </c>
      <c r="F136" s="3110">
        <v>15</v>
      </c>
    </row>
    <row r="137" spans="1:6" ht="25.5">
      <c r="A137" s="3110">
        <v>65</v>
      </c>
      <c r="B137" s="3110" t="s">
        <v>2794</v>
      </c>
      <c r="C137" s="3110" t="s">
        <v>2795</v>
      </c>
      <c r="D137" s="3084" t="s">
        <v>2796</v>
      </c>
      <c r="E137" s="3110">
        <v>0.1</v>
      </c>
      <c r="F137" s="3110">
        <v>15</v>
      </c>
    </row>
    <row r="138" spans="1:6" ht="14.25">
      <c r="A138" s="3110"/>
      <c r="B138" s="3110"/>
      <c r="C138" s="3110"/>
      <c r="D138" s="3110"/>
      <c r="E138" s="3110" t="s">
        <v>2797</v>
      </c>
      <c r="F138" s="3110" t="s">
        <v>2797</v>
      </c>
    </row>
  </sheetData>
  <sheetProtection password="CEE9" sheet="1" objects="1" scenarios="1" formatCells="0" formatColumns="0" formatRows="0"/>
  <mergeCells count="21">
    <mergeCell ref="B130:B131"/>
    <mergeCell ref="B132:B133"/>
    <mergeCell ref="B135:B136"/>
    <mergeCell ref="B118:B119"/>
    <mergeCell ref="B120:B121"/>
    <mergeCell ref="B122:B123"/>
    <mergeCell ref="B124:B125"/>
    <mergeCell ref="B127:B129"/>
    <mergeCell ref="B73:B89"/>
    <mergeCell ref="B90:B106"/>
    <mergeCell ref="B107:B112"/>
    <mergeCell ref="B113:B115"/>
    <mergeCell ref="B116:B117"/>
    <mergeCell ref="B20:B25"/>
    <mergeCell ref="A27:A39"/>
    <mergeCell ref="B27:B36"/>
    <mergeCell ref="B37:B39"/>
    <mergeCell ref="A41:A51"/>
    <mergeCell ref="B41:B43"/>
    <mergeCell ref="B45:B51"/>
    <mergeCell ref="A20:A25"/>
  </mergeCells>
  <phoneticPr fontId="76" type="noConversion"/>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0"/>
  <sheetViews>
    <sheetView zoomScale="70" zoomScaleNormal="70" workbookViewId="0">
      <selection sqref="A1:XFD1048576"/>
    </sheetView>
  </sheetViews>
  <sheetFormatPr defaultColWidth="9" defaultRowHeight="14.25"/>
  <cols>
    <col min="1" max="13" width="9" style="3133"/>
    <col min="14" max="16384" width="9" style="746"/>
  </cols>
  <sheetData>
    <row r="1" spans="1:20" ht="15" thickBot="1">
      <c r="A1" s="3119" t="s">
        <v>2798</v>
      </c>
      <c r="B1" s="3119"/>
      <c r="C1" s="3119"/>
      <c r="D1" s="3119"/>
      <c r="E1" s="3119"/>
      <c r="F1" s="3119"/>
      <c r="G1" s="3119"/>
      <c r="H1" s="3119"/>
      <c r="I1" s="3119"/>
      <c r="J1" s="3119"/>
      <c r="K1" s="3119"/>
      <c r="L1" s="3119"/>
      <c r="M1" s="3119"/>
      <c r="N1" s="745"/>
    </row>
    <row r="2" spans="1:20">
      <c r="A2" s="3120" t="s">
        <v>2799</v>
      </c>
      <c r="B2" s="3121" t="s">
        <v>2595</v>
      </c>
      <c r="C2" s="3121" t="s">
        <v>2596</v>
      </c>
      <c r="D2" s="3121" t="s">
        <v>2597</v>
      </c>
      <c r="E2" s="3121" t="s">
        <v>2598</v>
      </c>
      <c r="F2" s="3121" t="s">
        <v>2599</v>
      </c>
      <c r="G2" s="3121" t="s">
        <v>2600</v>
      </c>
      <c r="H2" s="3122" t="s">
        <v>2601</v>
      </c>
      <c r="I2" s="3122" t="s">
        <v>2602</v>
      </c>
      <c r="J2" s="3123" t="s">
        <v>2603</v>
      </c>
      <c r="K2" s="3123" t="s">
        <v>2604</v>
      </c>
      <c r="L2" s="3123" t="s">
        <v>2605</v>
      </c>
      <c r="M2" s="3124" t="s">
        <v>2606</v>
      </c>
      <c r="Q2" s="3134" t="s">
        <v>2804</v>
      </c>
      <c r="R2" s="3134" t="s">
        <v>2805</v>
      </c>
      <c r="S2" s="3134" t="s">
        <v>2806</v>
      </c>
      <c r="T2" s="3134" t="s">
        <v>2807</v>
      </c>
    </row>
    <row r="3" spans="1:20">
      <c r="A3" s="3125">
        <v>1</v>
      </c>
      <c r="B3" s="3126">
        <v>1.2574000000000001</v>
      </c>
      <c r="C3" s="3126">
        <v>1.2574000000000001</v>
      </c>
      <c r="D3" s="3126">
        <v>1.2299</v>
      </c>
      <c r="E3" s="3126">
        <v>1.2299</v>
      </c>
      <c r="F3" s="3126">
        <v>1.2299</v>
      </c>
      <c r="G3" s="3126">
        <v>1.2299</v>
      </c>
      <c r="H3" s="3126">
        <v>1.2299</v>
      </c>
      <c r="I3" s="3126">
        <v>1.2333000000000001</v>
      </c>
      <c r="J3" s="3126">
        <v>1.2333000000000001</v>
      </c>
      <c r="K3" s="3126">
        <v>1.2333000000000001</v>
      </c>
      <c r="L3" s="3126">
        <v>1.2333000000000001</v>
      </c>
      <c r="M3" s="3127">
        <v>1.2333000000000001</v>
      </c>
      <c r="N3" s="747"/>
      <c r="Q3" s="3134">
        <v>10</v>
      </c>
      <c r="R3" s="3134">
        <f>ROUND(0.9968-0.011*Q3,4)</f>
        <v>0.88680000000000003</v>
      </c>
      <c r="S3" s="3134">
        <f>ROUND(0.949-0.014*Q3,4)</f>
        <v>0.80900000000000005</v>
      </c>
      <c r="T3" s="3134">
        <f>ROUND(0.8486-0.018*Q3,4)</f>
        <v>0.66859999999999997</v>
      </c>
    </row>
    <row r="4" spans="1:20">
      <c r="A4" s="3125">
        <v>1.1000000000000001</v>
      </c>
      <c r="B4" s="3126">
        <v>1.2283999999999999</v>
      </c>
      <c r="C4" s="3126">
        <v>1.2283999999999999</v>
      </c>
      <c r="D4" s="3126">
        <v>1.1984999999999999</v>
      </c>
      <c r="E4" s="3126">
        <v>1.1984999999999999</v>
      </c>
      <c r="F4" s="3126">
        <v>1.1984999999999999</v>
      </c>
      <c r="G4" s="3126">
        <v>1.1984999999999999</v>
      </c>
      <c r="H4" s="3126">
        <v>1.1984999999999999</v>
      </c>
      <c r="I4" s="3126">
        <v>1.1899</v>
      </c>
      <c r="J4" s="3126">
        <v>1.1899</v>
      </c>
      <c r="K4" s="3126">
        <v>1.1899</v>
      </c>
      <c r="L4" s="3126">
        <v>1.1899</v>
      </c>
      <c r="M4" s="3127">
        <v>1.1899</v>
      </c>
    </row>
    <row r="5" spans="1:20">
      <c r="A5" s="3125">
        <v>1.2</v>
      </c>
      <c r="B5" s="3126">
        <v>1.2031000000000001</v>
      </c>
      <c r="C5" s="3126">
        <v>1.2031000000000001</v>
      </c>
      <c r="D5" s="3126">
        <v>1.1711</v>
      </c>
      <c r="E5" s="3126">
        <v>1.1711</v>
      </c>
      <c r="F5" s="3126">
        <v>1.1711</v>
      </c>
      <c r="G5" s="3126">
        <v>1.1711</v>
      </c>
      <c r="H5" s="3126">
        <v>1.1711</v>
      </c>
      <c r="I5" s="3126">
        <v>1.1528</v>
      </c>
      <c r="J5" s="3126">
        <v>1.1528</v>
      </c>
      <c r="K5" s="3126">
        <v>1.1528</v>
      </c>
      <c r="L5" s="3126">
        <v>1.1528</v>
      </c>
      <c r="M5" s="3127">
        <v>1.1528</v>
      </c>
    </row>
    <row r="6" spans="1:20">
      <c r="A6" s="3125">
        <v>1.3</v>
      </c>
      <c r="B6" s="3126">
        <v>1.1811</v>
      </c>
      <c r="C6" s="3126">
        <v>1.1811</v>
      </c>
      <c r="D6" s="3126">
        <v>1.1472</v>
      </c>
      <c r="E6" s="3126">
        <v>1.1472</v>
      </c>
      <c r="F6" s="3126">
        <v>1.1472</v>
      </c>
      <c r="G6" s="3126">
        <v>1.1472</v>
      </c>
      <c r="H6" s="3126">
        <v>1.1472</v>
      </c>
      <c r="I6" s="3126">
        <v>1.1214</v>
      </c>
      <c r="J6" s="3126">
        <v>1.1214</v>
      </c>
      <c r="K6" s="3126">
        <v>1.1214</v>
      </c>
      <c r="L6" s="3126">
        <v>1.1214</v>
      </c>
      <c r="M6" s="3127">
        <v>1.1214</v>
      </c>
    </row>
    <row r="7" spans="1:20">
      <c r="A7" s="3125">
        <v>1.4</v>
      </c>
      <c r="B7" s="3126">
        <v>1.1619999999999999</v>
      </c>
      <c r="C7" s="3126">
        <v>1.1619999999999999</v>
      </c>
      <c r="D7" s="3126">
        <v>1.1265000000000001</v>
      </c>
      <c r="E7" s="3126">
        <v>1.1265000000000001</v>
      </c>
      <c r="F7" s="3126">
        <v>1.1265000000000001</v>
      </c>
      <c r="G7" s="3126">
        <v>1.1265000000000001</v>
      </c>
      <c r="H7" s="3126">
        <v>1.1265000000000001</v>
      </c>
      <c r="I7" s="3126">
        <v>1.0948</v>
      </c>
      <c r="J7" s="3126">
        <v>1.0948</v>
      </c>
      <c r="K7" s="3126">
        <v>1.0948</v>
      </c>
      <c r="L7" s="3126">
        <v>1.0948</v>
      </c>
      <c r="M7" s="3127">
        <v>1.0948</v>
      </c>
    </row>
    <row r="8" spans="1:20">
      <c r="A8" s="3125">
        <v>1.5</v>
      </c>
      <c r="B8" s="3126">
        <v>1.1453</v>
      </c>
      <c r="C8" s="3126">
        <v>1.1453</v>
      </c>
      <c r="D8" s="3126">
        <v>1.1084000000000001</v>
      </c>
      <c r="E8" s="3126">
        <v>1.1084000000000001</v>
      </c>
      <c r="F8" s="3126">
        <v>1.1084000000000001</v>
      </c>
      <c r="G8" s="3126">
        <v>1.1084000000000001</v>
      </c>
      <c r="H8" s="3126">
        <v>1.1084000000000001</v>
      </c>
      <c r="I8" s="3126">
        <v>1.0725</v>
      </c>
      <c r="J8" s="3126">
        <v>1.0725</v>
      </c>
      <c r="K8" s="3126">
        <v>1.0725</v>
      </c>
      <c r="L8" s="3126">
        <v>1.0725</v>
      </c>
      <c r="M8" s="3127">
        <v>1.0725</v>
      </c>
    </row>
    <row r="9" spans="1:20">
      <c r="A9" s="3125">
        <v>1.6</v>
      </c>
      <c r="B9" s="3126">
        <v>1.1306</v>
      </c>
      <c r="C9" s="3126">
        <v>1.1306</v>
      </c>
      <c r="D9" s="3126">
        <v>1.0924</v>
      </c>
      <c r="E9" s="3126">
        <v>1.0924</v>
      </c>
      <c r="F9" s="3126">
        <v>1.0924</v>
      </c>
      <c r="G9" s="3126">
        <v>1.0924</v>
      </c>
      <c r="H9" s="3126">
        <v>1.0924</v>
      </c>
      <c r="I9" s="3126">
        <v>1.0538000000000001</v>
      </c>
      <c r="J9" s="3126">
        <v>1.0538000000000001</v>
      </c>
      <c r="K9" s="3126">
        <v>1.0538000000000001</v>
      </c>
      <c r="L9" s="3126">
        <v>1.0538000000000001</v>
      </c>
      <c r="M9" s="3127">
        <v>1.0538000000000001</v>
      </c>
    </row>
    <row r="10" spans="1:20">
      <c r="A10" s="3125">
        <v>1.7</v>
      </c>
      <c r="B10" s="3126">
        <v>1.1175999999999999</v>
      </c>
      <c r="C10" s="3126">
        <v>1.1175999999999999</v>
      </c>
      <c r="D10" s="3126">
        <v>1.0783</v>
      </c>
      <c r="E10" s="3126">
        <v>1.0783</v>
      </c>
      <c r="F10" s="3126">
        <v>1.0783</v>
      </c>
      <c r="G10" s="3126">
        <v>1.0783</v>
      </c>
      <c r="H10" s="3126">
        <v>1.0783</v>
      </c>
      <c r="I10" s="3126">
        <v>1.0379</v>
      </c>
      <c r="J10" s="3126">
        <v>1.0379</v>
      </c>
      <c r="K10" s="3126">
        <v>1.0379</v>
      </c>
      <c r="L10" s="3126">
        <v>1.0379</v>
      </c>
      <c r="M10" s="3127">
        <v>1.0379</v>
      </c>
    </row>
    <row r="11" spans="1:20">
      <c r="A11" s="3125">
        <v>1.8</v>
      </c>
      <c r="B11" s="3126">
        <v>1.1057999999999999</v>
      </c>
      <c r="C11" s="3126">
        <v>1.1057999999999999</v>
      </c>
      <c r="D11" s="3126">
        <v>1.0653999999999999</v>
      </c>
      <c r="E11" s="3126">
        <v>1.0653999999999999</v>
      </c>
      <c r="F11" s="3126">
        <v>1.0653999999999999</v>
      </c>
      <c r="G11" s="3126">
        <v>1.0653999999999999</v>
      </c>
      <c r="H11" s="3126">
        <v>1.0653999999999999</v>
      </c>
      <c r="I11" s="3126">
        <v>1.0241</v>
      </c>
      <c r="J11" s="3126">
        <v>1.0241</v>
      </c>
      <c r="K11" s="3126">
        <v>1.0241</v>
      </c>
      <c r="L11" s="3126">
        <v>1.0241</v>
      </c>
      <c r="M11" s="3127">
        <v>1.0241</v>
      </c>
    </row>
    <row r="12" spans="1:20">
      <c r="A12" s="3125">
        <v>1.9</v>
      </c>
      <c r="B12" s="3126">
        <v>1.0949</v>
      </c>
      <c r="C12" s="3126">
        <v>1.0949</v>
      </c>
      <c r="D12" s="3126">
        <v>1.0537000000000001</v>
      </c>
      <c r="E12" s="3126">
        <v>1.0537000000000001</v>
      </c>
      <c r="F12" s="3126">
        <v>1.0537000000000001</v>
      </c>
      <c r="G12" s="3126">
        <v>1.0537000000000001</v>
      </c>
      <c r="H12" s="3126">
        <v>1.0537000000000001</v>
      </c>
      <c r="I12" s="3126">
        <v>1.0117</v>
      </c>
      <c r="J12" s="3126">
        <v>1.0117</v>
      </c>
      <c r="K12" s="3126">
        <v>1.0117</v>
      </c>
      <c r="L12" s="3126">
        <v>1.0117</v>
      </c>
      <c r="M12" s="3127">
        <v>1.0117</v>
      </c>
    </row>
    <row r="13" spans="1:20">
      <c r="A13" s="3125">
        <v>2</v>
      </c>
      <c r="B13" s="3126">
        <v>1.0847</v>
      </c>
      <c r="C13" s="3126">
        <v>1.0847</v>
      </c>
      <c r="D13" s="3126">
        <v>1.0427</v>
      </c>
      <c r="E13" s="3126">
        <v>1.0427</v>
      </c>
      <c r="F13" s="3126">
        <v>1.0427</v>
      </c>
      <c r="G13" s="3126">
        <v>1.0427</v>
      </c>
      <c r="H13" s="3126">
        <v>1.0427</v>
      </c>
      <c r="I13" s="3126">
        <v>1</v>
      </c>
      <c r="J13" s="3126">
        <v>1</v>
      </c>
      <c r="K13" s="3126">
        <v>1</v>
      </c>
      <c r="L13" s="3126">
        <v>1</v>
      </c>
      <c r="M13" s="3127">
        <v>1</v>
      </c>
    </row>
    <row r="14" spans="1:20">
      <c r="A14" s="3128">
        <v>2.1</v>
      </c>
      <c r="B14" s="3126">
        <v>1.0749</v>
      </c>
      <c r="C14" s="3126">
        <v>1.0749</v>
      </c>
      <c r="D14" s="3126">
        <v>1.0327999999999999</v>
      </c>
      <c r="E14" s="3126">
        <v>1.0327999999999999</v>
      </c>
      <c r="F14" s="3126">
        <v>1.0327999999999999</v>
      </c>
      <c r="G14" s="3126">
        <v>1.0327999999999999</v>
      </c>
      <c r="H14" s="3126">
        <v>1.0327999999999999</v>
      </c>
      <c r="I14" s="3126">
        <v>0.98819999999999997</v>
      </c>
      <c r="J14" s="3126">
        <v>0.98819999999999997</v>
      </c>
      <c r="K14" s="3126">
        <v>0.98819999999999997</v>
      </c>
      <c r="L14" s="3126">
        <v>0.98819999999999997</v>
      </c>
      <c r="M14" s="3127">
        <v>0.98819999999999997</v>
      </c>
    </row>
    <row r="15" spans="1:20">
      <c r="A15" s="3128">
        <v>2.2000000000000002</v>
      </c>
      <c r="B15" s="3126">
        <v>1.0663</v>
      </c>
      <c r="C15" s="3126">
        <v>1.0663</v>
      </c>
      <c r="D15" s="3126">
        <v>1.0237000000000001</v>
      </c>
      <c r="E15" s="3126">
        <v>1.0237000000000001</v>
      </c>
      <c r="F15" s="3126">
        <v>1.0237000000000001</v>
      </c>
      <c r="G15" s="3126">
        <v>1.0237000000000001</v>
      </c>
      <c r="H15" s="3126">
        <v>1.0237000000000001</v>
      </c>
      <c r="I15" s="3126">
        <v>0.9768</v>
      </c>
      <c r="J15" s="3126">
        <v>0.9768</v>
      </c>
      <c r="K15" s="3126">
        <v>0.9768</v>
      </c>
      <c r="L15" s="3126">
        <v>0.9768</v>
      </c>
      <c r="M15" s="3127">
        <v>0.9768</v>
      </c>
    </row>
    <row r="16" spans="1:20">
      <c r="A16" s="3128">
        <v>2.2999999999999998</v>
      </c>
      <c r="B16" s="3126">
        <v>1.0584</v>
      </c>
      <c r="C16" s="3126">
        <v>1.0584</v>
      </c>
      <c r="D16" s="3126">
        <v>1.0152000000000001</v>
      </c>
      <c r="E16" s="3126">
        <v>1.0152000000000001</v>
      </c>
      <c r="F16" s="3126">
        <v>1.0152000000000001</v>
      </c>
      <c r="G16" s="3126">
        <v>1.0152000000000001</v>
      </c>
      <c r="H16" s="3126">
        <v>1.0152000000000001</v>
      </c>
      <c r="I16" s="3126">
        <v>0.96609999999999996</v>
      </c>
      <c r="J16" s="3126">
        <v>0.96609999999999996</v>
      </c>
      <c r="K16" s="3126">
        <v>0.96609999999999996</v>
      </c>
      <c r="L16" s="3126">
        <v>0.96609999999999996</v>
      </c>
      <c r="M16" s="3127">
        <v>0.96609999999999996</v>
      </c>
      <c r="N16" s="747"/>
    </row>
    <row r="17" spans="1:14">
      <c r="A17" s="3128">
        <v>2.4</v>
      </c>
      <c r="B17" s="3126">
        <v>1.0511999999999999</v>
      </c>
      <c r="C17" s="3126">
        <v>1.0511999999999999</v>
      </c>
      <c r="D17" s="3126">
        <v>1.0074000000000001</v>
      </c>
      <c r="E17" s="3126">
        <v>1.0074000000000001</v>
      </c>
      <c r="F17" s="3126">
        <v>1.0074000000000001</v>
      </c>
      <c r="G17" s="3126">
        <v>1.0074000000000001</v>
      </c>
      <c r="H17" s="3126">
        <v>1.0074000000000001</v>
      </c>
      <c r="I17" s="3126">
        <v>0.95579999999999998</v>
      </c>
      <c r="J17" s="3126">
        <v>0.95579999999999998</v>
      </c>
      <c r="K17" s="3126">
        <v>0.95579999999999998</v>
      </c>
      <c r="L17" s="3126">
        <v>0.95579999999999998</v>
      </c>
      <c r="M17" s="3127">
        <v>0.95579999999999998</v>
      </c>
      <c r="N17" s="747"/>
    </row>
    <row r="18" spans="1:14">
      <c r="A18" s="3128">
        <v>2.5</v>
      </c>
      <c r="B18" s="3126">
        <v>1.0445</v>
      </c>
      <c r="C18" s="3126">
        <v>1.0445</v>
      </c>
      <c r="D18" s="3126">
        <v>1</v>
      </c>
      <c r="E18" s="3126">
        <v>1</v>
      </c>
      <c r="F18" s="3126">
        <v>1</v>
      </c>
      <c r="G18" s="3126">
        <v>1</v>
      </c>
      <c r="H18" s="3126">
        <v>1</v>
      </c>
      <c r="I18" s="3126">
        <v>0.94620000000000004</v>
      </c>
      <c r="J18" s="3126">
        <v>0.94620000000000004</v>
      </c>
      <c r="K18" s="3126">
        <v>0.94620000000000004</v>
      </c>
      <c r="L18" s="3126">
        <v>0.94620000000000004</v>
      </c>
      <c r="M18" s="3127">
        <v>0.94620000000000004</v>
      </c>
    </row>
    <row r="19" spans="1:14">
      <c r="A19" s="3128">
        <v>2.6</v>
      </c>
      <c r="B19" s="3126">
        <v>1.0386</v>
      </c>
      <c r="C19" s="3126">
        <v>1.0386</v>
      </c>
      <c r="D19" s="3126">
        <v>0.99350000000000005</v>
      </c>
      <c r="E19" s="3126">
        <v>0.99350000000000005</v>
      </c>
      <c r="F19" s="3126">
        <v>0.99350000000000005</v>
      </c>
      <c r="G19" s="3126">
        <v>0.99350000000000005</v>
      </c>
      <c r="H19" s="3126">
        <v>0.99350000000000005</v>
      </c>
      <c r="I19" s="3126">
        <v>0.93710000000000004</v>
      </c>
      <c r="J19" s="3126">
        <v>0.93710000000000004</v>
      </c>
      <c r="K19" s="3126">
        <v>0.93710000000000004</v>
      </c>
      <c r="L19" s="3126">
        <v>0.93710000000000004</v>
      </c>
      <c r="M19" s="3127">
        <v>0.93710000000000004</v>
      </c>
    </row>
    <row r="20" spans="1:14">
      <c r="A20" s="3128">
        <v>2.7</v>
      </c>
      <c r="B20" s="3126">
        <v>1.0331999999999999</v>
      </c>
      <c r="C20" s="3126">
        <v>1.0331999999999999</v>
      </c>
      <c r="D20" s="3126">
        <v>0.98770000000000002</v>
      </c>
      <c r="E20" s="3126">
        <v>0.98770000000000002</v>
      </c>
      <c r="F20" s="3126">
        <v>0.98770000000000002</v>
      </c>
      <c r="G20" s="3126">
        <v>0.98770000000000002</v>
      </c>
      <c r="H20" s="3126">
        <v>0.98770000000000002</v>
      </c>
      <c r="I20" s="3126">
        <v>0.92859999999999998</v>
      </c>
      <c r="J20" s="3126">
        <v>0.92859999999999998</v>
      </c>
      <c r="K20" s="3126">
        <v>0.92859999999999998</v>
      </c>
      <c r="L20" s="3126">
        <v>0.92859999999999998</v>
      </c>
      <c r="M20" s="3127">
        <v>0.92859999999999998</v>
      </c>
    </row>
    <row r="21" spans="1:14">
      <c r="A21" s="3128">
        <v>2.8</v>
      </c>
      <c r="B21" s="3126">
        <v>1.0282</v>
      </c>
      <c r="C21" s="3126">
        <v>1.0282</v>
      </c>
      <c r="D21" s="3126">
        <v>0.98260000000000003</v>
      </c>
      <c r="E21" s="3126">
        <v>0.98260000000000003</v>
      </c>
      <c r="F21" s="3126">
        <v>0.98260000000000003</v>
      </c>
      <c r="G21" s="3126">
        <v>0.98260000000000003</v>
      </c>
      <c r="H21" s="3126">
        <v>0.98260000000000003</v>
      </c>
      <c r="I21" s="3126">
        <v>0.92069999999999996</v>
      </c>
      <c r="J21" s="3126">
        <v>0.92069999999999996</v>
      </c>
      <c r="K21" s="3126">
        <v>0.92069999999999996</v>
      </c>
      <c r="L21" s="3126">
        <v>0.92069999999999996</v>
      </c>
      <c r="M21" s="3127">
        <v>0.92069999999999996</v>
      </c>
    </row>
    <row r="22" spans="1:14">
      <c r="A22" s="3128">
        <v>2.9</v>
      </c>
      <c r="B22" s="3126">
        <v>1.0235000000000001</v>
      </c>
      <c r="C22" s="3126">
        <v>1.0235000000000001</v>
      </c>
      <c r="D22" s="3126">
        <v>0.97770000000000001</v>
      </c>
      <c r="E22" s="3126">
        <v>0.97770000000000001</v>
      </c>
      <c r="F22" s="3126">
        <v>0.97770000000000001</v>
      </c>
      <c r="G22" s="3126">
        <v>0.97770000000000001</v>
      </c>
      <c r="H22" s="3126">
        <v>0.97770000000000001</v>
      </c>
      <c r="I22" s="3126">
        <v>0.9133</v>
      </c>
      <c r="J22" s="3126">
        <v>0.9133</v>
      </c>
      <c r="K22" s="3126">
        <v>0.9133</v>
      </c>
      <c r="L22" s="3126">
        <v>0.9133</v>
      </c>
      <c r="M22" s="3127">
        <v>0.9133</v>
      </c>
    </row>
    <row r="23" spans="1:14">
      <c r="A23" s="3128">
        <v>3</v>
      </c>
      <c r="B23" s="3126">
        <v>1.0190999999999999</v>
      </c>
      <c r="C23" s="3126">
        <v>1.0190999999999999</v>
      </c>
      <c r="D23" s="3126">
        <v>0.97299999999999998</v>
      </c>
      <c r="E23" s="3126">
        <v>0.97299999999999998</v>
      </c>
      <c r="F23" s="3126">
        <v>0.97299999999999998</v>
      </c>
      <c r="G23" s="3126">
        <v>0.97299999999999998</v>
      </c>
      <c r="H23" s="3126">
        <v>0.97299999999999998</v>
      </c>
      <c r="I23" s="3126">
        <v>0.90629999999999999</v>
      </c>
      <c r="J23" s="3126">
        <v>0.90629999999999999</v>
      </c>
      <c r="K23" s="3126">
        <v>0.90629999999999999</v>
      </c>
      <c r="L23" s="3126">
        <v>0.90629999999999999</v>
      </c>
      <c r="M23" s="3127">
        <v>0.90629999999999999</v>
      </c>
    </row>
    <row r="24" spans="1:14">
      <c r="A24" s="3128">
        <v>3.1</v>
      </c>
      <c r="B24" s="3126">
        <v>1.0148999999999999</v>
      </c>
      <c r="C24" s="3126">
        <v>1.0148999999999999</v>
      </c>
      <c r="D24" s="3126">
        <v>0.96840000000000004</v>
      </c>
      <c r="E24" s="3126">
        <v>0.96840000000000004</v>
      </c>
      <c r="F24" s="3126">
        <v>0.96840000000000004</v>
      </c>
      <c r="G24" s="3126">
        <v>0.96840000000000004</v>
      </c>
      <c r="H24" s="3126">
        <v>0.96840000000000004</v>
      </c>
      <c r="I24" s="3126">
        <v>0.89959999999999996</v>
      </c>
      <c r="J24" s="3126">
        <v>0.89959999999999996</v>
      </c>
      <c r="K24" s="3126">
        <v>0.89959999999999996</v>
      </c>
      <c r="L24" s="3126">
        <v>0.89959999999999996</v>
      </c>
      <c r="M24" s="3127">
        <v>0.89959999999999996</v>
      </c>
    </row>
    <row r="25" spans="1:14">
      <c r="A25" s="3128">
        <v>3.2</v>
      </c>
      <c r="B25" s="3126">
        <v>1.0108999999999999</v>
      </c>
      <c r="C25" s="3126">
        <v>1.0108999999999999</v>
      </c>
      <c r="D25" s="3126">
        <v>0.96399999999999997</v>
      </c>
      <c r="E25" s="3126">
        <v>0.96399999999999997</v>
      </c>
      <c r="F25" s="3126">
        <v>0.96399999999999997</v>
      </c>
      <c r="G25" s="3126">
        <v>0.96399999999999997</v>
      </c>
      <c r="H25" s="3126">
        <v>0.96399999999999997</v>
      </c>
      <c r="I25" s="3126">
        <v>0.89319999999999999</v>
      </c>
      <c r="J25" s="3126">
        <v>0.89319999999999999</v>
      </c>
      <c r="K25" s="3126">
        <v>0.89319999999999999</v>
      </c>
      <c r="L25" s="3126">
        <v>0.89319999999999999</v>
      </c>
      <c r="M25" s="3127">
        <v>0.89319999999999999</v>
      </c>
    </row>
    <row r="26" spans="1:14">
      <c r="A26" s="3128">
        <v>3.3</v>
      </c>
      <c r="B26" s="3126">
        <v>1.0071000000000001</v>
      </c>
      <c r="C26" s="3126">
        <v>1.0071000000000001</v>
      </c>
      <c r="D26" s="3126">
        <v>0.95979999999999999</v>
      </c>
      <c r="E26" s="3126">
        <v>0.95979999999999999</v>
      </c>
      <c r="F26" s="3126">
        <v>0.95979999999999999</v>
      </c>
      <c r="G26" s="3126">
        <v>0.95979999999999999</v>
      </c>
      <c r="H26" s="3126">
        <v>0.95979999999999999</v>
      </c>
      <c r="I26" s="3126">
        <v>0.8871</v>
      </c>
      <c r="J26" s="3126">
        <v>0.8871</v>
      </c>
      <c r="K26" s="3126">
        <v>0.8871</v>
      </c>
      <c r="L26" s="3126">
        <v>0.8871</v>
      </c>
      <c r="M26" s="3127">
        <v>0.8871</v>
      </c>
    </row>
    <row r="27" spans="1:14">
      <c r="A27" s="3128">
        <v>3.4</v>
      </c>
      <c r="B27" s="3126">
        <v>1.0035000000000001</v>
      </c>
      <c r="C27" s="3126">
        <v>1.0035000000000001</v>
      </c>
      <c r="D27" s="3126">
        <v>0.95579999999999998</v>
      </c>
      <c r="E27" s="3126">
        <v>0.95579999999999998</v>
      </c>
      <c r="F27" s="3126">
        <v>0.95579999999999998</v>
      </c>
      <c r="G27" s="3126">
        <v>0.95579999999999998</v>
      </c>
      <c r="H27" s="3126">
        <v>0.95579999999999998</v>
      </c>
      <c r="I27" s="3126">
        <v>0.88119999999999998</v>
      </c>
      <c r="J27" s="3126">
        <v>0.88119999999999998</v>
      </c>
      <c r="K27" s="3126">
        <v>0.88119999999999998</v>
      </c>
      <c r="L27" s="3126">
        <v>0.88119999999999998</v>
      </c>
      <c r="M27" s="3127">
        <v>0.88119999999999998</v>
      </c>
    </row>
    <row r="28" spans="1:14">
      <c r="A28" s="3128">
        <v>3.5</v>
      </c>
      <c r="B28" s="3126">
        <v>1</v>
      </c>
      <c r="C28" s="3126">
        <v>1</v>
      </c>
      <c r="D28" s="3126">
        <v>0.95199999999999996</v>
      </c>
      <c r="E28" s="3126">
        <v>0.95199999999999996</v>
      </c>
      <c r="F28" s="3126">
        <v>0.95199999999999996</v>
      </c>
      <c r="G28" s="3126">
        <v>0.95199999999999996</v>
      </c>
      <c r="H28" s="3126">
        <v>0.95199999999999996</v>
      </c>
      <c r="I28" s="3126">
        <v>0.87549999999999994</v>
      </c>
      <c r="J28" s="3126">
        <v>0.87549999999999994</v>
      </c>
      <c r="K28" s="3126">
        <v>0.87549999999999994</v>
      </c>
      <c r="L28" s="3126">
        <v>0.87549999999999994</v>
      </c>
      <c r="M28" s="3127">
        <v>0.87549999999999994</v>
      </c>
    </row>
    <row r="29" spans="1:14">
      <c r="A29" s="3128">
        <v>3.6</v>
      </c>
      <c r="B29" s="3126">
        <v>0.99660000000000004</v>
      </c>
      <c r="C29" s="3126">
        <v>0.99660000000000004</v>
      </c>
      <c r="D29" s="3126">
        <v>0.94840000000000002</v>
      </c>
      <c r="E29" s="3126">
        <v>0.94840000000000002</v>
      </c>
      <c r="F29" s="3126">
        <v>0.94840000000000002</v>
      </c>
      <c r="G29" s="3126">
        <v>0.94840000000000002</v>
      </c>
      <c r="H29" s="3126">
        <v>0.94840000000000002</v>
      </c>
      <c r="I29" s="3126">
        <v>0.87</v>
      </c>
      <c r="J29" s="3126">
        <v>0.87</v>
      </c>
      <c r="K29" s="3126">
        <v>0.87</v>
      </c>
      <c r="L29" s="3126">
        <v>0.87</v>
      </c>
      <c r="M29" s="3127">
        <v>0.87</v>
      </c>
    </row>
    <row r="30" spans="1:14">
      <c r="A30" s="3128">
        <v>3.7</v>
      </c>
      <c r="B30" s="3126">
        <v>0.99329999999999996</v>
      </c>
      <c r="C30" s="3126">
        <v>0.99329999999999996</v>
      </c>
      <c r="D30" s="3126">
        <v>0.94499999999999995</v>
      </c>
      <c r="E30" s="3126">
        <v>0.94499999999999995</v>
      </c>
      <c r="F30" s="3126">
        <v>0.94499999999999995</v>
      </c>
      <c r="G30" s="3126">
        <v>0.94499999999999995</v>
      </c>
      <c r="H30" s="3126">
        <v>0.94499999999999995</v>
      </c>
      <c r="I30" s="3126">
        <v>0.86470000000000002</v>
      </c>
      <c r="J30" s="3126">
        <v>0.86470000000000002</v>
      </c>
      <c r="K30" s="3126">
        <v>0.86470000000000002</v>
      </c>
      <c r="L30" s="3126">
        <v>0.86470000000000002</v>
      </c>
      <c r="M30" s="3127">
        <v>0.86470000000000002</v>
      </c>
    </row>
    <row r="31" spans="1:14">
      <c r="A31" s="3128">
        <v>3.8</v>
      </c>
      <c r="B31" s="3126">
        <v>0.99009999999999998</v>
      </c>
      <c r="C31" s="3126">
        <v>0.99009999999999998</v>
      </c>
      <c r="D31" s="3126">
        <v>0.94169999999999998</v>
      </c>
      <c r="E31" s="3126">
        <v>0.94169999999999998</v>
      </c>
      <c r="F31" s="3126">
        <v>0.94169999999999998</v>
      </c>
      <c r="G31" s="3126">
        <v>0.94169999999999998</v>
      </c>
      <c r="H31" s="3126">
        <v>0.94169999999999998</v>
      </c>
      <c r="I31" s="3126">
        <v>0.85960000000000003</v>
      </c>
      <c r="J31" s="3126">
        <v>0.85960000000000003</v>
      </c>
      <c r="K31" s="3126">
        <v>0.85960000000000003</v>
      </c>
      <c r="L31" s="3126">
        <v>0.85960000000000003</v>
      </c>
      <c r="M31" s="3127">
        <v>0.85960000000000003</v>
      </c>
    </row>
    <row r="32" spans="1:14">
      <c r="A32" s="3128">
        <v>3.9</v>
      </c>
      <c r="B32" s="3126">
        <v>0.98699999999999999</v>
      </c>
      <c r="C32" s="3126">
        <v>0.98699999999999999</v>
      </c>
      <c r="D32" s="3126">
        <v>0.9385</v>
      </c>
      <c r="E32" s="3126">
        <v>0.9385</v>
      </c>
      <c r="F32" s="3126">
        <v>0.9385</v>
      </c>
      <c r="G32" s="3126">
        <v>0.9385</v>
      </c>
      <c r="H32" s="3126">
        <v>0.9385</v>
      </c>
      <c r="I32" s="3126">
        <v>0.85470000000000002</v>
      </c>
      <c r="J32" s="3126">
        <v>0.85470000000000002</v>
      </c>
      <c r="K32" s="3126">
        <v>0.85470000000000002</v>
      </c>
      <c r="L32" s="3126">
        <v>0.85470000000000002</v>
      </c>
      <c r="M32" s="3127">
        <v>0.85470000000000002</v>
      </c>
    </row>
    <row r="33" spans="1:13">
      <c r="A33" s="3128">
        <v>4</v>
      </c>
      <c r="B33" s="3126">
        <v>0.98399999999999999</v>
      </c>
      <c r="C33" s="3126">
        <v>0.98399999999999999</v>
      </c>
      <c r="D33" s="3126">
        <v>0.93540000000000001</v>
      </c>
      <c r="E33" s="3126">
        <v>0.93540000000000001</v>
      </c>
      <c r="F33" s="3126">
        <v>0.93540000000000001</v>
      </c>
      <c r="G33" s="3126">
        <v>0.93540000000000001</v>
      </c>
      <c r="H33" s="3126">
        <v>0.93540000000000001</v>
      </c>
      <c r="I33" s="3126">
        <v>0.84989999999999999</v>
      </c>
      <c r="J33" s="3126">
        <v>0.84989999999999999</v>
      </c>
      <c r="K33" s="3126">
        <v>0.84989999999999999</v>
      </c>
      <c r="L33" s="3126">
        <v>0.84989999999999999</v>
      </c>
      <c r="M33" s="3127">
        <v>0.84989999999999999</v>
      </c>
    </row>
    <row r="34" spans="1:13">
      <c r="A34" s="3128">
        <v>4.0999999999999996</v>
      </c>
      <c r="B34" s="3126">
        <v>0.98109999999999997</v>
      </c>
      <c r="C34" s="3126">
        <v>0.98109999999999997</v>
      </c>
      <c r="D34" s="3126">
        <v>0.93240000000000001</v>
      </c>
      <c r="E34" s="3126">
        <v>0.93240000000000001</v>
      </c>
      <c r="F34" s="3126">
        <v>0.93240000000000001</v>
      </c>
      <c r="G34" s="3126">
        <v>0.93240000000000001</v>
      </c>
      <c r="H34" s="3126">
        <v>0.93240000000000001</v>
      </c>
      <c r="I34" s="3126">
        <v>0.84519999999999995</v>
      </c>
      <c r="J34" s="3126">
        <v>0.84519999999999995</v>
      </c>
      <c r="K34" s="3126">
        <v>0.84519999999999995</v>
      </c>
      <c r="L34" s="3126">
        <v>0.84519999999999995</v>
      </c>
      <c r="M34" s="3127">
        <v>0.84519999999999995</v>
      </c>
    </row>
    <row r="35" spans="1:13">
      <c r="A35" s="3128">
        <v>4.2</v>
      </c>
      <c r="B35" s="3126">
        <v>0.97829999999999995</v>
      </c>
      <c r="C35" s="3126">
        <v>0.97829999999999995</v>
      </c>
      <c r="D35" s="3126">
        <v>0.92949999999999999</v>
      </c>
      <c r="E35" s="3126">
        <v>0.92949999999999999</v>
      </c>
      <c r="F35" s="3126">
        <v>0.92949999999999999</v>
      </c>
      <c r="G35" s="3126">
        <v>0.92949999999999999</v>
      </c>
      <c r="H35" s="3126">
        <v>0.92949999999999999</v>
      </c>
      <c r="I35" s="3126">
        <v>0.84060000000000001</v>
      </c>
      <c r="J35" s="3126">
        <v>0.84060000000000001</v>
      </c>
      <c r="K35" s="3126">
        <v>0.84060000000000001</v>
      </c>
      <c r="L35" s="3126">
        <v>0.84060000000000001</v>
      </c>
      <c r="M35" s="3127">
        <v>0.84060000000000001</v>
      </c>
    </row>
    <row r="36" spans="1:13">
      <c r="A36" s="3128">
        <v>4.3</v>
      </c>
      <c r="B36" s="3126">
        <v>0.97560000000000002</v>
      </c>
      <c r="C36" s="3126">
        <v>0.97560000000000002</v>
      </c>
      <c r="D36" s="3126">
        <v>0.92669999999999997</v>
      </c>
      <c r="E36" s="3126">
        <v>0.92669999999999997</v>
      </c>
      <c r="F36" s="3126">
        <v>0.92669999999999997</v>
      </c>
      <c r="G36" s="3126">
        <v>0.92669999999999997</v>
      </c>
      <c r="H36" s="3126">
        <v>0.92669999999999997</v>
      </c>
      <c r="I36" s="3126">
        <v>0.83609999999999995</v>
      </c>
      <c r="J36" s="3126">
        <v>0.83609999999999995</v>
      </c>
      <c r="K36" s="3126">
        <v>0.83609999999999995</v>
      </c>
      <c r="L36" s="3126">
        <v>0.83609999999999995</v>
      </c>
      <c r="M36" s="3127">
        <v>0.83609999999999995</v>
      </c>
    </row>
    <row r="37" spans="1:13">
      <c r="A37" s="3128">
        <v>4.4000000000000004</v>
      </c>
      <c r="B37" s="3126">
        <v>0.97299999999999998</v>
      </c>
      <c r="C37" s="3126">
        <v>0.97299999999999998</v>
      </c>
      <c r="D37" s="3126">
        <v>0.92400000000000004</v>
      </c>
      <c r="E37" s="3126">
        <v>0.92400000000000004</v>
      </c>
      <c r="F37" s="3126">
        <v>0.92400000000000004</v>
      </c>
      <c r="G37" s="3126">
        <v>0.92400000000000004</v>
      </c>
      <c r="H37" s="3126">
        <v>0.92400000000000004</v>
      </c>
      <c r="I37" s="3126">
        <v>0.83169999999999999</v>
      </c>
      <c r="J37" s="3126">
        <v>0.83169999999999999</v>
      </c>
      <c r="K37" s="3126">
        <v>0.83169999999999999</v>
      </c>
      <c r="L37" s="3126">
        <v>0.83169999999999999</v>
      </c>
      <c r="M37" s="3127">
        <v>0.83169999999999999</v>
      </c>
    </row>
    <row r="38" spans="1:13">
      <c r="A38" s="3128">
        <v>4.5</v>
      </c>
      <c r="B38" s="3126">
        <v>0.97050000000000003</v>
      </c>
      <c r="C38" s="3126">
        <v>0.97050000000000003</v>
      </c>
      <c r="D38" s="3126">
        <v>0.92130000000000001</v>
      </c>
      <c r="E38" s="3126">
        <v>0.92130000000000001</v>
      </c>
      <c r="F38" s="3126">
        <v>0.92130000000000001</v>
      </c>
      <c r="G38" s="3126">
        <v>0.92130000000000001</v>
      </c>
      <c r="H38" s="3126">
        <v>0.92130000000000001</v>
      </c>
      <c r="I38" s="3126">
        <v>0.82740000000000002</v>
      </c>
      <c r="J38" s="3126">
        <v>0.82740000000000002</v>
      </c>
      <c r="K38" s="3126">
        <v>0.82740000000000002</v>
      </c>
      <c r="L38" s="3126">
        <v>0.82740000000000002</v>
      </c>
      <c r="M38" s="3127">
        <v>0.82740000000000002</v>
      </c>
    </row>
    <row r="39" spans="1:13">
      <c r="A39" s="3128">
        <v>4.5999999999999996</v>
      </c>
      <c r="B39" s="3126">
        <v>0.96809999999999996</v>
      </c>
      <c r="C39" s="3126">
        <v>0.96809999999999996</v>
      </c>
      <c r="D39" s="3126">
        <v>0.91869999999999996</v>
      </c>
      <c r="E39" s="3126">
        <v>0.91869999999999996</v>
      </c>
      <c r="F39" s="3126">
        <v>0.91869999999999996</v>
      </c>
      <c r="G39" s="3126">
        <v>0.91869999999999996</v>
      </c>
      <c r="H39" s="3126">
        <v>0.91869999999999996</v>
      </c>
      <c r="I39" s="3126">
        <v>0.82320000000000004</v>
      </c>
      <c r="J39" s="3126">
        <v>0.82320000000000004</v>
      </c>
      <c r="K39" s="3126">
        <v>0.82320000000000004</v>
      </c>
      <c r="L39" s="3126">
        <v>0.82320000000000004</v>
      </c>
      <c r="M39" s="3127">
        <v>0.82320000000000004</v>
      </c>
    </row>
    <row r="40" spans="1:13">
      <c r="A40" s="3128">
        <v>4.7</v>
      </c>
      <c r="B40" s="3126">
        <v>0.96579999999999999</v>
      </c>
      <c r="C40" s="3126">
        <v>0.96579999999999999</v>
      </c>
      <c r="D40" s="3126">
        <v>0.91610000000000003</v>
      </c>
      <c r="E40" s="3126">
        <v>0.91610000000000003</v>
      </c>
      <c r="F40" s="3126">
        <v>0.91610000000000003</v>
      </c>
      <c r="G40" s="3126">
        <v>0.91610000000000003</v>
      </c>
      <c r="H40" s="3126">
        <v>0.91610000000000003</v>
      </c>
      <c r="I40" s="3126">
        <v>0.81910000000000005</v>
      </c>
      <c r="J40" s="3126">
        <v>0.81910000000000005</v>
      </c>
      <c r="K40" s="3126">
        <v>0.81910000000000005</v>
      </c>
      <c r="L40" s="3126">
        <v>0.81910000000000005</v>
      </c>
      <c r="M40" s="3127">
        <v>0.81910000000000005</v>
      </c>
    </row>
    <row r="41" spans="1:13">
      <c r="A41" s="3128">
        <v>4.8</v>
      </c>
      <c r="B41" s="3126">
        <v>0.96360000000000001</v>
      </c>
      <c r="C41" s="3126">
        <v>0.96360000000000001</v>
      </c>
      <c r="D41" s="3126">
        <v>0.91349999999999998</v>
      </c>
      <c r="E41" s="3126">
        <v>0.91349999999999998</v>
      </c>
      <c r="F41" s="3126">
        <v>0.91349999999999998</v>
      </c>
      <c r="G41" s="3126">
        <v>0.91349999999999998</v>
      </c>
      <c r="H41" s="3126">
        <v>0.91349999999999998</v>
      </c>
      <c r="I41" s="3126">
        <v>0.81510000000000005</v>
      </c>
      <c r="J41" s="3126">
        <v>0.81510000000000005</v>
      </c>
      <c r="K41" s="3126">
        <v>0.81510000000000005</v>
      </c>
      <c r="L41" s="3126">
        <v>0.81510000000000005</v>
      </c>
      <c r="M41" s="3127">
        <v>0.81510000000000005</v>
      </c>
    </row>
    <row r="42" spans="1:13">
      <c r="A42" s="3128">
        <v>4.9000000000000004</v>
      </c>
      <c r="B42" s="3126">
        <v>0.96150000000000002</v>
      </c>
      <c r="C42" s="3126">
        <v>0.96150000000000002</v>
      </c>
      <c r="D42" s="3126">
        <v>0.91100000000000003</v>
      </c>
      <c r="E42" s="3126">
        <v>0.91100000000000003</v>
      </c>
      <c r="F42" s="3126">
        <v>0.91100000000000003</v>
      </c>
      <c r="G42" s="3126">
        <v>0.91100000000000003</v>
      </c>
      <c r="H42" s="3126">
        <v>0.91100000000000003</v>
      </c>
      <c r="I42" s="3126">
        <v>0.81110000000000004</v>
      </c>
      <c r="J42" s="3126">
        <v>0.81110000000000004</v>
      </c>
      <c r="K42" s="3126">
        <v>0.81110000000000004</v>
      </c>
      <c r="L42" s="3126">
        <v>0.81110000000000004</v>
      </c>
      <c r="M42" s="3127">
        <v>0.81110000000000004</v>
      </c>
    </row>
    <row r="43" spans="1:13">
      <c r="A43" s="3128">
        <v>5</v>
      </c>
      <c r="B43" s="3126">
        <v>0.95940000000000003</v>
      </c>
      <c r="C43" s="3126">
        <v>0.95940000000000003</v>
      </c>
      <c r="D43" s="3126">
        <v>0.90849999999999997</v>
      </c>
      <c r="E43" s="3126">
        <v>0.90849999999999997</v>
      </c>
      <c r="F43" s="3126">
        <v>0.90849999999999997</v>
      </c>
      <c r="G43" s="3126">
        <v>0.90849999999999997</v>
      </c>
      <c r="H43" s="3126">
        <v>0.90849999999999997</v>
      </c>
      <c r="I43" s="3126">
        <v>0.80720000000000003</v>
      </c>
      <c r="J43" s="3126">
        <v>0.80720000000000003</v>
      </c>
      <c r="K43" s="3126">
        <v>0.80720000000000003</v>
      </c>
      <c r="L43" s="3126">
        <v>0.80720000000000003</v>
      </c>
      <c r="M43" s="3127">
        <v>0.80720000000000003</v>
      </c>
    </row>
    <row r="44" spans="1:13">
      <c r="A44" s="3125">
        <v>5.0999999999999996</v>
      </c>
      <c r="B44" s="3126">
        <v>0.95740000000000003</v>
      </c>
      <c r="C44" s="3126">
        <v>0.95740000000000003</v>
      </c>
      <c r="D44" s="3126">
        <v>0.90600000000000003</v>
      </c>
      <c r="E44" s="3126">
        <v>0.90600000000000003</v>
      </c>
      <c r="F44" s="3126">
        <v>0.90600000000000003</v>
      </c>
      <c r="G44" s="3126">
        <v>0.90600000000000003</v>
      </c>
      <c r="H44" s="3126">
        <v>0.90600000000000003</v>
      </c>
      <c r="I44" s="3126">
        <v>0.80330000000000001</v>
      </c>
      <c r="J44" s="3126">
        <v>0.80330000000000001</v>
      </c>
      <c r="K44" s="3126">
        <v>0.80330000000000001</v>
      </c>
      <c r="L44" s="3126">
        <v>0.80330000000000001</v>
      </c>
      <c r="M44" s="3127">
        <v>0.80330000000000001</v>
      </c>
    </row>
    <row r="45" spans="1:13">
      <c r="A45" s="3125">
        <v>5.2</v>
      </c>
      <c r="B45" s="3126">
        <v>0.95540000000000003</v>
      </c>
      <c r="C45" s="3126">
        <v>0.95540000000000003</v>
      </c>
      <c r="D45" s="3126">
        <v>0.90349999999999997</v>
      </c>
      <c r="E45" s="3126">
        <v>0.90349999999999997</v>
      </c>
      <c r="F45" s="3126">
        <v>0.90349999999999997</v>
      </c>
      <c r="G45" s="3126">
        <v>0.90349999999999997</v>
      </c>
      <c r="H45" s="3126">
        <v>0.90349999999999997</v>
      </c>
      <c r="I45" s="3126">
        <v>0.79949999999999999</v>
      </c>
      <c r="J45" s="3126">
        <v>0.79949999999999999</v>
      </c>
      <c r="K45" s="3126">
        <v>0.79949999999999999</v>
      </c>
      <c r="L45" s="3126">
        <v>0.79949999999999999</v>
      </c>
      <c r="M45" s="3127">
        <v>0.79949999999999999</v>
      </c>
    </row>
    <row r="46" spans="1:13">
      <c r="A46" s="3125">
        <v>5.3</v>
      </c>
      <c r="B46" s="3126">
        <v>0.95350000000000001</v>
      </c>
      <c r="C46" s="3126">
        <v>0.95350000000000001</v>
      </c>
      <c r="D46" s="3126">
        <v>0.90110000000000001</v>
      </c>
      <c r="E46" s="3126">
        <v>0.90110000000000001</v>
      </c>
      <c r="F46" s="3126">
        <v>0.90110000000000001</v>
      </c>
      <c r="G46" s="3126">
        <v>0.90110000000000001</v>
      </c>
      <c r="H46" s="3126">
        <v>0.90110000000000001</v>
      </c>
      <c r="I46" s="3126">
        <v>0.79569999999999996</v>
      </c>
      <c r="J46" s="3126">
        <v>0.79569999999999996</v>
      </c>
      <c r="K46" s="3126">
        <v>0.79569999999999996</v>
      </c>
      <c r="L46" s="3126">
        <v>0.79569999999999996</v>
      </c>
      <c r="M46" s="3127">
        <v>0.79569999999999996</v>
      </c>
    </row>
    <row r="47" spans="1:13">
      <c r="A47" s="3125">
        <v>5.4</v>
      </c>
      <c r="B47" s="3126">
        <v>0.9516</v>
      </c>
      <c r="C47" s="3126">
        <v>0.9516</v>
      </c>
      <c r="D47" s="3126">
        <v>0.89870000000000005</v>
      </c>
      <c r="E47" s="3126">
        <v>0.89870000000000005</v>
      </c>
      <c r="F47" s="3126">
        <v>0.89870000000000005</v>
      </c>
      <c r="G47" s="3126">
        <v>0.89870000000000005</v>
      </c>
      <c r="H47" s="3126">
        <v>0.89870000000000005</v>
      </c>
      <c r="I47" s="3126">
        <v>0.79200000000000004</v>
      </c>
      <c r="J47" s="3126">
        <v>0.79200000000000004</v>
      </c>
      <c r="K47" s="3126">
        <v>0.79200000000000004</v>
      </c>
      <c r="L47" s="3126">
        <v>0.79200000000000004</v>
      </c>
      <c r="M47" s="3127">
        <v>0.79200000000000004</v>
      </c>
    </row>
    <row r="48" spans="1:13">
      <c r="A48" s="3125">
        <v>5.5</v>
      </c>
      <c r="B48" s="3126">
        <v>0.94979999999999998</v>
      </c>
      <c r="C48" s="3126">
        <v>0.94979999999999998</v>
      </c>
      <c r="D48" s="3126">
        <v>0.89629999999999999</v>
      </c>
      <c r="E48" s="3126">
        <v>0.89629999999999999</v>
      </c>
      <c r="F48" s="3126">
        <v>0.89629999999999999</v>
      </c>
      <c r="G48" s="3126">
        <v>0.89629999999999999</v>
      </c>
      <c r="H48" s="3126">
        <v>0.89629999999999999</v>
      </c>
      <c r="I48" s="3126">
        <v>0.7883</v>
      </c>
      <c r="J48" s="3126">
        <v>0.7883</v>
      </c>
      <c r="K48" s="3126">
        <v>0.7883</v>
      </c>
      <c r="L48" s="3126">
        <v>0.7883</v>
      </c>
      <c r="M48" s="3127">
        <v>0.7883</v>
      </c>
    </row>
    <row r="49" spans="1:13">
      <c r="A49" s="3125">
        <v>5.6</v>
      </c>
      <c r="B49" s="3126">
        <v>0.94799999999999995</v>
      </c>
      <c r="C49" s="3126">
        <v>0.94799999999999995</v>
      </c>
      <c r="D49" s="3126">
        <v>0.89390000000000003</v>
      </c>
      <c r="E49" s="3126">
        <v>0.89390000000000003</v>
      </c>
      <c r="F49" s="3126">
        <v>0.89390000000000003</v>
      </c>
      <c r="G49" s="3126">
        <v>0.89390000000000003</v>
      </c>
      <c r="H49" s="3126">
        <v>0.89390000000000003</v>
      </c>
      <c r="I49" s="3126">
        <v>0.78469999999999995</v>
      </c>
      <c r="J49" s="3126">
        <v>0.78469999999999995</v>
      </c>
      <c r="K49" s="3126">
        <v>0.78469999999999995</v>
      </c>
      <c r="L49" s="3126">
        <v>0.78469999999999995</v>
      </c>
      <c r="M49" s="3127">
        <v>0.78469999999999995</v>
      </c>
    </row>
    <row r="50" spans="1:13">
      <c r="A50" s="3128">
        <v>5.7</v>
      </c>
      <c r="B50" s="3126">
        <v>0.94620000000000004</v>
      </c>
      <c r="C50" s="3126">
        <v>0.94620000000000004</v>
      </c>
      <c r="D50" s="3126">
        <v>0.89149999999999996</v>
      </c>
      <c r="E50" s="3126">
        <v>0.89149999999999996</v>
      </c>
      <c r="F50" s="3126">
        <v>0.89149999999999996</v>
      </c>
      <c r="G50" s="3126">
        <v>0.89149999999999996</v>
      </c>
      <c r="H50" s="3126">
        <v>0.89149999999999996</v>
      </c>
      <c r="I50" s="3126">
        <v>0.78110000000000002</v>
      </c>
      <c r="J50" s="3126">
        <v>0.78110000000000002</v>
      </c>
      <c r="K50" s="3126">
        <v>0.78110000000000002</v>
      </c>
      <c r="L50" s="3126">
        <v>0.78110000000000002</v>
      </c>
      <c r="M50" s="3127">
        <v>0.78110000000000002</v>
      </c>
    </row>
    <row r="51" spans="1:13">
      <c r="A51" s="3125">
        <v>5.8</v>
      </c>
      <c r="B51" s="3126">
        <v>0.94450000000000001</v>
      </c>
      <c r="C51" s="3126">
        <v>0.94450000000000001</v>
      </c>
      <c r="D51" s="3126">
        <v>0.88919999999999999</v>
      </c>
      <c r="E51" s="3126">
        <v>0.88919999999999999</v>
      </c>
      <c r="F51" s="3126">
        <v>0.88919999999999999</v>
      </c>
      <c r="G51" s="3126">
        <v>0.88919999999999999</v>
      </c>
      <c r="H51" s="3126">
        <v>0.88919999999999999</v>
      </c>
      <c r="I51" s="3126">
        <v>0.77759999999999996</v>
      </c>
      <c r="J51" s="3126">
        <v>0.77759999999999996</v>
      </c>
      <c r="K51" s="3126">
        <v>0.77759999999999996</v>
      </c>
      <c r="L51" s="3126">
        <v>0.77759999999999996</v>
      </c>
      <c r="M51" s="3127">
        <v>0.77759999999999996</v>
      </c>
    </row>
    <row r="52" spans="1:13">
      <c r="A52" s="3125">
        <v>5.9</v>
      </c>
      <c r="B52" s="3126">
        <v>0.94279999999999997</v>
      </c>
      <c r="C52" s="3126">
        <v>0.94279999999999997</v>
      </c>
      <c r="D52" s="3126">
        <v>0.88690000000000002</v>
      </c>
      <c r="E52" s="3126">
        <v>0.88690000000000002</v>
      </c>
      <c r="F52" s="3126">
        <v>0.88690000000000002</v>
      </c>
      <c r="G52" s="3126">
        <v>0.88690000000000002</v>
      </c>
      <c r="H52" s="3126">
        <v>0.88690000000000002</v>
      </c>
      <c r="I52" s="3126">
        <v>0.77410000000000001</v>
      </c>
      <c r="J52" s="3126">
        <v>0.77410000000000001</v>
      </c>
      <c r="K52" s="3126">
        <v>0.77410000000000001</v>
      </c>
      <c r="L52" s="3126">
        <v>0.77410000000000001</v>
      </c>
      <c r="M52" s="3127">
        <v>0.77410000000000001</v>
      </c>
    </row>
    <row r="53" spans="1:13">
      <c r="A53" s="3125">
        <v>6</v>
      </c>
      <c r="B53" s="3126">
        <v>0.94110000000000005</v>
      </c>
      <c r="C53" s="3126">
        <v>0.94110000000000005</v>
      </c>
      <c r="D53" s="3126">
        <v>0.88460000000000005</v>
      </c>
      <c r="E53" s="3126">
        <v>0.88460000000000005</v>
      </c>
      <c r="F53" s="3126">
        <v>0.88460000000000005</v>
      </c>
      <c r="G53" s="3126">
        <v>0.88460000000000005</v>
      </c>
      <c r="H53" s="3126">
        <v>0.88460000000000005</v>
      </c>
      <c r="I53" s="3126">
        <v>0.77070000000000005</v>
      </c>
      <c r="J53" s="3126">
        <v>0.77070000000000005</v>
      </c>
      <c r="K53" s="3126">
        <v>0.77070000000000005</v>
      </c>
      <c r="L53" s="3126">
        <v>0.77070000000000005</v>
      </c>
      <c r="M53" s="3127">
        <v>0.77070000000000005</v>
      </c>
    </row>
    <row r="54" spans="1:13">
      <c r="A54" s="3125">
        <v>6.1</v>
      </c>
      <c r="B54" s="3126">
        <v>0.93940000000000001</v>
      </c>
      <c r="C54" s="3126">
        <v>0.93940000000000001</v>
      </c>
      <c r="D54" s="3126">
        <v>0.88229999999999997</v>
      </c>
      <c r="E54" s="3126">
        <v>0.88229999999999997</v>
      </c>
      <c r="F54" s="3126">
        <v>0.88229999999999997</v>
      </c>
      <c r="G54" s="3126">
        <v>0.88229999999999997</v>
      </c>
      <c r="H54" s="3126">
        <v>0.88229999999999997</v>
      </c>
      <c r="I54" s="3126">
        <v>0.76729999999999998</v>
      </c>
      <c r="J54" s="3126">
        <v>0.76729999999999998</v>
      </c>
      <c r="K54" s="3126">
        <v>0.76729999999999998</v>
      </c>
      <c r="L54" s="3126">
        <v>0.76729999999999998</v>
      </c>
      <c r="M54" s="3127">
        <v>0.76729999999999998</v>
      </c>
    </row>
    <row r="55" spans="1:13">
      <c r="A55" s="3125">
        <v>6.2</v>
      </c>
      <c r="B55" s="3126">
        <v>0.93769999999999998</v>
      </c>
      <c r="C55" s="3126">
        <v>0.93769999999999998</v>
      </c>
      <c r="D55" s="3126">
        <v>0.88</v>
      </c>
      <c r="E55" s="3126">
        <v>0.88</v>
      </c>
      <c r="F55" s="3126">
        <v>0.88</v>
      </c>
      <c r="G55" s="3126">
        <v>0.88</v>
      </c>
      <c r="H55" s="3126">
        <v>0.88</v>
      </c>
      <c r="I55" s="3126">
        <v>0.76400000000000001</v>
      </c>
      <c r="J55" s="3126">
        <v>0.76400000000000001</v>
      </c>
      <c r="K55" s="3126">
        <v>0.76400000000000001</v>
      </c>
      <c r="L55" s="3126">
        <v>0.76400000000000001</v>
      </c>
      <c r="M55" s="3127">
        <v>0.76400000000000001</v>
      </c>
    </row>
    <row r="56" spans="1:13">
      <c r="A56" s="3125">
        <v>6.3</v>
      </c>
      <c r="B56" s="3126">
        <v>0.93610000000000004</v>
      </c>
      <c r="C56" s="3126">
        <v>0.93610000000000004</v>
      </c>
      <c r="D56" s="3126">
        <v>0.87780000000000002</v>
      </c>
      <c r="E56" s="3126">
        <v>0.87780000000000002</v>
      </c>
      <c r="F56" s="3126">
        <v>0.87780000000000002</v>
      </c>
      <c r="G56" s="3126">
        <v>0.87780000000000002</v>
      </c>
      <c r="H56" s="3126">
        <v>0.87780000000000002</v>
      </c>
      <c r="I56" s="3126">
        <v>0.76070000000000004</v>
      </c>
      <c r="J56" s="3126">
        <v>0.76070000000000004</v>
      </c>
      <c r="K56" s="3126">
        <v>0.76070000000000004</v>
      </c>
      <c r="L56" s="3126">
        <v>0.76070000000000004</v>
      </c>
      <c r="M56" s="3127">
        <v>0.76070000000000004</v>
      </c>
    </row>
    <row r="57" spans="1:13">
      <c r="A57" s="3125">
        <v>6.4</v>
      </c>
      <c r="B57" s="3126">
        <v>0.9345</v>
      </c>
      <c r="C57" s="3126">
        <v>0.9345</v>
      </c>
      <c r="D57" s="3126">
        <v>0.87560000000000004</v>
      </c>
      <c r="E57" s="3126">
        <v>0.87560000000000004</v>
      </c>
      <c r="F57" s="3126">
        <v>0.87560000000000004</v>
      </c>
      <c r="G57" s="3126">
        <v>0.87560000000000004</v>
      </c>
      <c r="H57" s="3126">
        <v>0.87560000000000004</v>
      </c>
      <c r="I57" s="3126">
        <v>0.75749999999999995</v>
      </c>
      <c r="J57" s="3126">
        <v>0.75749999999999995</v>
      </c>
      <c r="K57" s="3126">
        <v>0.75749999999999995</v>
      </c>
      <c r="L57" s="3126">
        <v>0.75749999999999995</v>
      </c>
      <c r="M57" s="3127">
        <v>0.75749999999999995</v>
      </c>
    </row>
    <row r="58" spans="1:13">
      <c r="A58" s="3125">
        <v>6.5</v>
      </c>
      <c r="B58" s="3126">
        <v>0.93289999999999995</v>
      </c>
      <c r="C58" s="3126">
        <v>0.93289999999999995</v>
      </c>
      <c r="D58" s="3126">
        <v>0.87339999999999995</v>
      </c>
      <c r="E58" s="3126">
        <v>0.87339999999999995</v>
      </c>
      <c r="F58" s="3126">
        <v>0.87339999999999995</v>
      </c>
      <c r="G58" s="3126">
        <v>0.87339999999999995</v>
      </c>
      <c r="H58" s="3126">
        <v>0.87339999999999995</v>
      </c>
      <c r="I58" s="3126">
        <v>0.75429999999999997</v>
      </c>
      <c r="J58" s="3126">
        <v>0.75429999999999997</v>
      </c>
      <c r="K58" s="3126">
        <v>0.75429999999999997</v>
      </c>
      <c r="L58" s="3126">
        <v>0.75429999999999997</v>
      </c>
      <c r="M58" s="3127">
        <v>0.75429999999999997</v>
      </c>
    </row>
    <row r="59" spans="1:13">
      <c r="A59" s="3125">
        <v>6.6</v>
      </c>
      <c r="B59" s="3126">
        <v>0.93130000000000002</v>
      </c>
      <c r="C59" s="3126">
        <v>0.93130000000000002</v>
      </c>
      <c r="D59" s="3126">
        <v>0.87119999999999997</v>
      </c>
      <c r="E59" s="3126">
        <v>0.87119999999999997</v>
      </c>
      <c r="F59" s="3126">
        <v>0.87119999999999997</v>
      </c>
      <c r="G59" s="3126">
        <v>0.87119999999999997</v>
      </c>
      <c r="H59" s="3126">
        <v>0.87119999999999997</v>
      </c>
      <c r="I59" s="3126">
        <v>0.75119999999999998</v>
      </c>
      <c r="J59" s="3126">
        <v>0.75119999999999998</v>
      </c>
      <c r="K59" s="3126">
        <v>0.75119999999999998</v>
      </c>
      <c r="L59" s="3126">
        <v>0.75119999999999998</v>
      </c>
      <c r="M59" s="3127">
        <v>0.75119999999999998</v>
      </c>
    </row>
    <row r="60" spans="1:13">
      <c r="A60" s="3125">
        <v>6.7</v>
      </c>
      <c r="B60" s="3126">
        <v>0.92969999999999997</v>
      </c>
      <c r="C60" s="3126">
        <v>0.92969999999999997</v>
      </c>
      <c r="D60" s="3126">
        <v>0.86899999999999999</v>
      </c>
      <c r="E60" s="3126">
        <v>0.86899999999999999</v>
      </c>
      <c r="F60" s="3126">
        <v>0.86899999999999999</v>
      </c>
      <c r="G60" s="3126">
        <v>0.86899999999999999</v>
      </c>
      <c r="H60" s="3126">
        <v>0.86899999999999999</v>
      </c>
      <c r="I60" s="3126">
        <v>0.74809999999999999</v>
      </c>
      <c r="J60" s="3126">
        <v>0.74809999999999999</v>
      </c>
      <c r="K60" s="3126">
        <v>0.74809999999999999</v>
      </c>
      <c r="L60" s="3126">
        <v>0.74809999999999999</v>
      </c>
      <c r="M60" s="3127">
        <v>0.74809999999999999</v>
      </c>
    </row>
    <row r="61" spans="1:13">
      <c r="A61" s="3125">
        <v>6.8</v>
      </c>
      <c r="B61" s="3126">
        <v>0.92820000000000003</v>
      </c>
      <c r="C61" s="3126">
        <v>0.92820000000000003</v>
      </c>
      <c r="D61" s="3126">
        <v>0.8669</v>
      </c>
      <c r="E61" s="3126">
        <v>0.8669</v>
      </c>
      <c r="F61" s="3126">
        <v>0.8669</v>
      </c>
      <c r="G61" s="3126">
        <v>0.8669</v>
      </c>
      <c r="H61" s="3126">
        <v>0.8669</v>
      </c>
      <c r="I61" s="3126">
        <v>0.74509999999999998</v>
      </c>
      <c r="J61" s="3126">
        <v>0.74509999999999998</v>
      </c>
      <c r="K61" s="3126">
        <v>0.74509999999999998</v>
      </c>
      <c r="L61" s="3126">
        <v>0.74509999999999998</v>
      </c>
      <c r="M61" s="3127">
        <v>0.74509999999999998</v>
      </c>
    </row>
    <row r="62" spans="1:13">
      <c r="A62" s="3125">
        <v>6.9</v>
      </c>
      <c r="B62" s="3126">
        <v>0.92669999999999997</v>
      </c>
      <c r="C62" s="3126">
        <v>0.92669999999999997</v>
      </c>
      <c r="D62" s="3126">
        <v>0.86480000000000001</v>
      </c>
      <c r="E62" s="3126">
        <v>0.86480000000000001</v>
      </c>
      <c r="F62" s="3126">
        <v>0.86480000000000001</v>
      </c>
      <c r="G62" s="3126">
        <v>0.86480000000000001</v>
      </c>
      <c r="H62" s="3126">
        <v>0.86480000000000001</v>
      </c>
      <c r="I62" s="3126">
        <v>0.74209999999999998</v>
      </c>
      <c r="J62" s="3126">
        <v>0.74209999999999998</v>
      </c>
      <c r="K62" s="3126">
        <v>0.74209999999999998</v>
      </c>
      <c r="L62" s="3126">
        <v>0.74209999999999998</v>
      </c>
      <c r="M62" s="3127">
        <v>0.74209999999999998</v>
      </c>
    </row>
    <row r="63" spans="1:13">
      <c r="A63" s="3125">
        <v>7</v>
      </c>
      <c r="B63" s="3126">
        <v>0.92520000000000002</v>
      </c>
      <c r="C63" s="3126">
        <v>0.92520000000000002</v>
      </c>
      <c r="D63" s="3126">
        <v>0.86270000000000002</v>
      </c>
      <c r="E63" s="3126">
        <v>0.86270000000000002</v>
      </c>
      <c r="F63" s="3126">
        <v>0.86270000000000002</v>
      </c>
      <c r="G63" s="3126">
        <v>0.86270000000000002</v>
      </c>
      <c r="H63" s="3126">
        <v>0.86270000000000002</v>
      </c>
      <c r="I63" s="3126">
        <v>0.73919999999999997</v>
      </c>
      <c r="J63" s="3126">
        <v>0.73919999999999997</v>
      </c>
      <c r="K63" s="3126">
        <v>0.73919999999999997</v>
      </c>
      <c r="L63" s="3126">
        <v>0.73919999999999997</v>
      </c>
      <c r="M63" s="3127">
        <v>0.73919999999999997</v>
      </c>
    </row>
    <row r="64" spans="1:13">
      <c r="A64" s="3125">
        <v>7.1</v>
      </c>
      <c r="B64" s="3126">
        <v>0.92369999999999997</v>
      </c>
      <c r="C64" s="3126">
        <v>0.92369999999999997</v>
      </c>
      <c r="D64" s="3126">
        <v>0.86060000000000003</v>
      </c>
      <c r="E64" s="3126">
        <v>0.86060000000000003</v>
      </c>
      <c r="F64" s="3126">
        <v>0.86060000000000003</v>
      </c>
      <c r="G64" s="3126">
        <v>0.86060000000000003</v>
      </c>
      <c r="H64" s="3126">
        <v>0.86060000000000003</v>
      </c>
      <c r="I64" s="3126">
        <v>0.73629999999999995</v>
      </c>
      <c r="J64" s="3126">
        <v>0.73629999999999995</v>
      </c>
      <c r="K64" s="3126">
        <v>0.73629999999999995</v>
      </c>
      <c r="L64" s="3126">
        <v>0.73629999999999995</v>
      </c>
      <c r="M64" s="3127">
        <v>0.73629999999999995</v>
      </c>
    </row>
    <row r="65" spans="1:13">
      <c r="A65" s="3125">
        <v>7.2</v>
      </c>
      <c r="B65" s="3126">
        <v>0.92220000000000002</v>
      </c>
      <c r="C65" s="3126">
        <v>0.92220000000000002</v>
      </c>
      <c r="D65" s="3126">
        <v>0.85850000000000004</v>
      </c>
      <c r="E65" s="3126">
        <v>0.85850000000000004</v>
      </c>
      <c r="F65" s="3126">
        <v>0.85850000000000004</v>
      </c>
      <c r="G65" s="3126">
        <v>0.85850000000000004</v>
      </c>
      <c r="H65" s="3126">
        <v>0.85850000000000004</v>
      </c>
      <c r="I65" s="3126">
        <v>0.73350000000000004</v>
      </c>
      <c r="J65" s="3126">
        <v>0.73350000000000004</v>
      </c>
      <c r="K65" s="3126">
        <v>0.73350000000000004</v>
      </c>
      <c r="L65" s="3126">
        <v>0.73350000000000004</v>
      </c>
      <c r="M65" s="3127">
        <v>0.73350000000000004</v>
      </c>
    </row>
    <row r="66" spans="1:13">
      <c r="A66" s="3125">
        <v>7.3</v>
      </c>
      <c r="B66" s="3126">
        <v>0.92069999999999996</v>
      </c>
      <c r="C66" s="3126">
        <v>0.92069999999999996</v>
      </c>
      <c r="D66" s="3126">
        <v>0.85650000000000004</v>
      </c>
      <c r="E66" s="3126">
        <v>0.85650000000000004</v>
      </c>
      <c r="F66" s="3126">
        <v>0.85650000000000004</v>
      </c>
      <c r="G66" s="3126">
        <v>0.85650000000000004</v>
      </c>
      <c r="H66" s="3126">
        <v>0.85650000000000004</v>
      </c>
      <c r="I66" s="3126">
        <v>0.73070000000000002</v>
      </c>
      <c r="J66" s="3126">
        <v>0.73070000000000002</v>
      </c>
      <c r="K66" s="3126">
        <v>0.73070000000000002</v>
      </c>
      <c r="L66" s="3126">
        <v>0.73070000000000002</v>
      </c>
      <c r="M66" s="3127">
        <v>0.73070000000000002</v>
      </c>
    </row>
    <row r="67" spans="1:13">
      <c r="A67" s="3125">
        <v>7.4</v>
      </c>
      <c r="B67" s="3126">
        <v>0.91930000000000001</v>
      </c>
      <c r="C67" s="3126">
        <v>0.91930000000000001</v>
      </c>
      <c r="D67" s="3126">
        <v>0.85450000000000004</v>
      </c>
      <c r="E67" s="3126">
        <v>0.85450000000000004</v>
      </c>
      <c r="F67" s="3126">
        <v>0.85450000000000004</v>
      </c>
      <c r="G67" s="3126">
        <v>0.85450000000000004</v>
      </c>
      <c r="H67" s="3126">
        <v>0.85450000000000004</v>
      </c>
      <c r="I67" s="3126">
        <v>0.72799999999999998</v>
      </c>
      <c r="J67" s="3126">
        <v>0.72799999999999998</v>
      </c>
      <c r="K67" s="3126">
        <v>0.72799999999999998</v>
      </c>
      <c r="L67" s="3126">
        <v>0.72799999999999998</v>
      </c>
      <c r="M67" s="3127">
        <v>0.72799999999999998</v>
      </c>
    </row>
    <row r="68" spans="1:13">
      <c r="A68" s="3125">
        <v>7.5</v>
      </c>
      <c r="B68" s="3126">
        <v>0.91790000000000005</v>
      </c>
      <c r="C68" s="3126">
        <v>0.91790000000000005</v>
      </c>
      <c r="D68" s="3126">
        <v>0.85250000000000004</v>
      </c>
      <c r="E68" s="3126">
        <v>0.85250000000000004</v>
      </c>
      <c r="F68" s="3126">
        <v>0.85250000000000004</v>
      </c>
      <c r="G68" s="3126">
        <v>0.85250000000000004</v>
      </c>
      <c r="H68" s="3126">
        <v>0.85250000000000004</v>
      </c>
      <c r="I68" s="3126">
        <v>0.72529999999999994</v>
      </c>
      <c r="J68" s="3126">
        <v>0.72529999999999994</v>
      </c>
      <c r="K68" s="3126">
        <v>0.72529999999999994</v>
      </c>
      <c r="L68" s="3126">
        <v>0.72529999999999994</v>
      </c>
      <c r="M68" s="3127">
        <v>0.72529999999999994</v>
      </c>
    </row>
    <row r="69" spans="1:13">
      <c r="A69" s="3125">
        <v>7.6</v>
      </c>
      <c r="B69" s="3126">
        <v>0.91649999999999998</v>
      </c>
      <c r="C69" s="3126">
        <v>0.91649999999999998</v>
      </c>
      <c r="D69" s="3126">
        <v>0.85050000000000003</v>
      </c>
      <c r="E69" s="3126">
        <v>0.85050000000000003</v>
      </c>
      <c r="F69" s="3126">
        <v>0.85050000000000003</v>
      </c>
      <c r="G69" s="3126">
        <v>0.85050000000000003</v>
      </c>
      <c r="H69" s="3126">
        <v>0.85050000000000003</v>
      </c>
      <c r="I69" s="3126">
        <v>0.72260000000000002</v>
      </c>
      <c r="J69" s="3126">
        <v>0.72260000000000002</v>
      </c>
      <c r="K69" s="3126">
        <v>0.72260000000000002</v>
      </c>
      <c r="L69" s="3126">
        <v>0.72260000000000002</v>
      </c>
      <c r="M69" s="3127">
        <v>0.72260000000000002</v>
      </c>
    </row>
    <row r="70" spans="1:13">
      <c r="A70" s="3125">
        <v>7.7</v>
      </c>
      <c r="B70" s="3126">
        <v>0.91510000000000002</v>
      </c>
      <c r="C70" s="3126">
        <v>0.91510000000000002</v>
      </c>
      <c r="D70" s="3126">
        <v>0.84850000000000003</v>
      </c>
      <c r="E70" s="3126">
        <v>0.84850000000000003</v>
      </c>
      <c r="F70" s="3126">
        <v>0.84850000000000003</v>
      </c>
      <c r="G70" s="3126">
        <v>0.84850000000000003</v>
      </c>
      <c r="H70" s="3126">
        <v>0.84850000000000003</v>
      </c>
      <c r="I70" s="3126">
        <v>0.72</v>
      </c>
      <c r="J70" s="3126">
        <v>0.72</v>
      </c>
      <c r="K70" s="3126">
        <v>0.72</v>
      </c>
      <c r="L70" s="3126">
        <v>0.72</v>
      </c>
      <c r="M70" s="3127">
        <v>0.72</v>
      </c>
    </row>
    <row r="71" spans="1:13">
      <c r="A71" s="3125">
        <v>7.8</v>
      </c>
      <c r="B71" s="3126">
        <v>0.91369999999999996</v>
      </c>
      <c r="C71" s="3126">
        <v>0.91369999999999996</v>
      </c>
      <c r="D71" s="3126">
        <v>0.84660000000000002</v>
      </c>
      <c r="E71" s="3126">
        <v>0.84660000000000002</v>
      </c>
      <c r="F71" s="3126">
        <v>0.84660000000000002</v>
      </c>
      <c r="G71" s="3126">
        <v>0.84660000000000002</v>
      </c>
      <c r="H71" s="3126">
        <v>0.84660000000000002</v>
      </c>
      <c r="I71" s="3126">
        <v>0.71740000000000004</v>
      </c>
      <c r="J71" s="3126">
        <v>0.71740000000000004</v>
      </c>
      <c r="K71" s="3126">
        <v>0.71740000000000004</v>
      </c>
      <c r="L71" s="3126">
        <v>0.71740000000000004</v>
      </c>
      <c r="M71" s="3127">
        <v>0.71740000000000004</v>
      </c>
    </row>
    <row r="72" spans="1:13">
      <c r="A72" s="3125">
        <v>7.9</v>
      </c>
      <c r="B72" s="3126">
        <v>0.9123</v>
      </c>
      <c r="C72" s="3126">
        <v>0.9123</v>
      </c>
      <c r="D72" s="3126">
        <v>0.84470000000000001</v>
      </c>
      <c r="E72" s="3126">
        <v>0.84470000000000001</v>
      </c>
      <c r="F72" s="3126">
        <v>0.84470000000000001</v>
      </c>
      <c r="G72" s="3126">
        <v>0.84470000000000001</v>
      </c>
      <c r="H72" s="3126">
        <v>0.84470000000000001</v>
      </c>
      <c r="I72" s="3126">
        <v>0.71479999999999999</v>
      </c>
      <c r="J72" s="3126">
        <v>0.71479999999999999</v>
      </c>
      <c r="K72" s="3126">
        <v>0.71479999999999999</v>
      </c>
      <c r="L72" s="3126">
        <v>0.71479999999999999</v>
      </c>
      <c r="M72" s="3127">
        <v>0.71479999999999999</v>
      </c>
    </row>
    <row r="73" spans="1:13">
      <c r="A73" s="3125">
        <v>8</v>
      </c>
      <c r="B73" s="3126">
        <v>0.91090000000000004</v>
      </c>
      <c r="C73" s="3126">
        <v>0.91090000000000004</v>
      </c>
      <c r="D73" s="3126">
        <v>0.84279999999999999</v>
      </c>
      <c r="E73" s="3126">
        <v>0.84279999999999999</v>
      </c>
      <c r="F73" s="3126">
        <v>0.84279999999999999</v>
      </c>
      <c r="G73" s="3126">
        <v>0.84279999999999999</v>
      </c>
      <c r="H73" s="3126">
        <v>0.84279999999999999</v>
      </c>
      <c r="I73" s="3126">
        <v>0.71230000000000004</v>
      </c>
      <c r="J73" s="3126">
        <v>0.71230000000000004</v>
      </c>
      <c r="K73" s="3126">
        <v>0.71230000000000004</v>
      </c>
      <c r="L73" s="3126">
        <v>0.71230000000000004</v>
      </c>
      <c r="M73" s="3127">
        <v>0.71230000000000004</v>
      </c>
    </row>
    <row r="74" spans="1:13">
      <c r="A74" s="3125">
        <v>8.1</v>
      </c>
      <c r="B74" s="3126">
        <v>0.90959999999999996</v>
      </c>
      <c r="C74" s="3126">
        <v>0.90959999999999996</v>
      </c>
      <c r="D74" s="3126">
        <v>0.84089999999999998</v>
      </c>
      <c r="E74" s="3126">
        <v>0.84089999999999998</v>
      </c>
      <c r="F74" s="3126">
        <v>0.84089999999999998</v>
      </c>
      <c r="G74" s="3126">
        <v>0.84089999999999998</v>
      </c>
      <c r="H74" s="3126">
        <v>0.84089999999999998</v>
      </c>
      <c r="I74" s="3126">
        <v>0.70979999999999999</v>
      </c>
      <c r="J74" s="3126">
        <v>0.70979999999999999</v>
      </c>
      <c r="K74" s="3126">
        <v>0.70979999999999999</v>
      </c>
      <c r="L74" s="3126">
        <v>0.70979999999999999</v>
      </c>
      <c r="M74" s="3127">
        <v>0.70979999999999999</v>
      </c>
    </row>
    <row r="75" spans="1:13">
      <c r="A75" s="3125">
        <v>8.1999999999999993</v>
      </c>
      <c r="B75" s="3126">
        <v>0.9083</v>
      </c>
      <c r="C75" s="3126">
        <v>0.9083</v>
      </c>
      <c r="D75" s="3126">
        <v>0.83899999999999997</v>
      </c>
      <c r="E75" s="3126">
        <v>0.83899999999999997</v>
      </c>
      <c r="F75" s="3126">
        <v>0.83899999999999997</v>
      </c>
      <c r="G75" s="3126">
        <v>0.83899999999999997</v>
      </c>
      <c r="H75" s="3126">
        <v>0.83899999999999997</v>
      </c>
      <c r="I75" s="3126">
        <v>0.70730000000000004</v>
      </c>
      <c r="J75" s="3126">
        <v>0.70730000000000004</v>
      </c>
      <c r="K75" s="3126">
        <v>0.70730000000000004</v>
      </c>
      <c r="L75" s="3126">
        <v>0.70730000000000004</v>
      </c>
      <c r="M75" s="3127">
        <v>0.70730000000000004</v>
      </c>
    </row>
    <row r="76" spans="1:13">
      <c r="A76" s="3125">
        <v>8.3000000000000007</v>
      </c>
      <c r="B76" s="3126">
        <v>0.90700000000000003</v>
      </c>
      <c r="C76" s="3126">
        <v>0.90700000000000003</v>
      </c>
      <c r="D76" s="3126">
        <v>0.83720000000000006</v>
      </c>
      <c r="E76" s="3126">
        <v>0.83720000000000006</v>
      </c>
      <c r="F76" s="3126">
        <v>0.83720000000000006</v>
      </c>
      <c r="G76" s="3126">
        <v>0.83720000000000006</v>
      </c>
      <c r="H76" s="3126">
        <v>0.83720000000000006</v>
      </c>
      <c r="I76" s="3126">
        <v>0.70489999999999997</v>
      </c>
      <c r="J76" s="3126">
        <v>0.70489999999999997</v>
      </c>
      <c r="K76" s="3126">
        <v>0.70489999999999997</v>
      </c>
      <c r="L76" s="3126">
        <v>0.70489999999999997</v>
      </c>
      <c r="M76" s="3127">
        <v>0.70489999999999997</v>
      </c>
    </row>
    <row r="77" spans="1:13">
      <c r="A77" s="3125">
        <v>8.4</v>
      </c>
      <c r="B77" s="3126">
        <v>0.90569999999999995</v>
      </c>
      <c r="C77" s="3126">
        <v>0.90569999999999995</v>
      </c>
      <c r="D77" s="3126">
        <v>0.83540000000000003</v>
      </c>
      <c r="E77" s="3126">
        <v>0.83540000000000003</v>
      </c>
      <c r="F77" s="3126">
        <v>0.83540000000000003</v>
      </c>
      <c r="G77" s="3126">
        <v>0.83540000000000003</v>
      </c>
      <c r="H77" s="3126">
        <v>0.83540000000000003</v>
      </c>
      <c r="I77" s="3126">
        <v>0.70250000000000001</v>
      </c>
      <c r="J77" s="3126">
        <v>0.70250000000000001</v>
      </c>
      <c r="K77" s="3126">
        <v>0.70250000000000001</v>
      </c>
      <c r="L77" s="3126">
        <v>0.70250000000000001</v>
      </c>
      <c r="M77" s="3127">
        <v>0.70250000000000001</v>
      </c>
    </row>
    <row r="78" spans="1:13">
      <c r="A78" s="3125">
        <v>8.5</v>
      </c>
      <c r="B78" s="3126">
        <v>0.90439999999999998</v>
      </c>
      <c r="C78" s="3126">
        <v>0.90439999999999998</v>
      </c>
      <c r="D78" s="3126">
        <v>0.83360000000000001</v>
      </c>
      <c r="E78" s="3126">
        <v>0.83360000000000001</v>
      </c>
      <c r="F78" s="3126">
        <v>0.83360000000000001</v>
      </c>
      <c r="G78" s="3126">
        <v>0.83360000000000001</v>
      </c>
      <c r="H78" s="3126">
        <v>0.83360000000000001</v>
      </c>
      <c r="I78" s="3126">
        <v>0.70009999999999994</v>
      </c>
      <c r="J78" s="3126">
        <v>0.70009999999999994</v>
      </c>
      <c r="K78" s="3126">
        <v>0.70009999999999994</v>
      </c>
      <c r="L78" s="3126">
        <v>0.70009999999999994</v>
      </c>
      <c r="M78" s="3127">
        <v>0.70009999999999994</v>
      </c>
    </row>
    <row r="79" spans="1:13">
      <c r="A79" s="3125">
        <v>8.6</v>
      </c>
      <c r="B79" s="3126">
        <v>0.90310000000000001</v>
      </c>
      <c r="C79" s="3126">
        <v>0.90310000000000001</v>
      </c>
      <c r="D79" s="3126">
        <v>0.83179999999999998</v>
      </c>
      <c r="E79" s="3126">
        <v>0.83179999999999998</v>
      </c>
      <c r="F79" s="3126">
        <v>0.83179999999999998</v>
      </c>
      <c r="G79" s="3126">
        <v>0.83179999999999998</v>
      </c>
      <c r="H79" s="3126">
        <v>0.83179999999999998</v>
      </c>
      <c r="I79" s="3126">
        <v>0.69779999999999998</v>
      </c>
      <c r="J79" s="3126">
        <v>0.69779999999999998</v>
      </c>
      <c r="K79" s="3126">
        <v>0.69779999999999998</v>
      </c>
      <c r="L79" s="3126">
        <v>0.69779999999999998</v>
      </c>
      <c r="M79" s="3127">
        <v>0.69779999999999998</v>
      </c>
    </row>
    <row r="80" spans="1:13">
      <c r="A80" s="3125">
        <v>8.6999999999999993</v>
      </c>
      <c r="B80" s="3126">
        <v>0.90180000000000005</v>
      </c>
      <c r="C80" s="3126">
        <v>0.90180000000000005</v>
      </c>
      <c r="D80" s="3126">
        <v>0.83</v>
      </c>
      <c r="E80" s="3126">
        <v>0.83</v>
      </c>
      <c r="F80" s="3126">
        <v>0.83</v>
      </c>
      <c r="G80" s="3126">
        <v>0.83</v>
      </c>
      <c r="H80" s="3126">
        <v>0.83</v>
      </c>
      <c r="I80" s="3126">
        <v>0.69550000000000001</v>
      </c>
      <c r="J80" s="3126">
        <v>0.69550000000000001</v>
      </c>
      <c r="K80" s="3126">
        <v>0.69550000000000001</v>
      </c>
      <c r="L80" s="3126">
        <v>0.69550000000000001</v>
      </c>
      <c r="M80" s="3127">
        <v>0.69550000000000001</v>
      </c>
    </row>
    <row r="81" spans="1:20">
      <c r="A81" s="3125">
        <v>8.8000000000000007</v>
      </c>
      <c r="B81" s="3126">
        <v>0.90059999999999996</v>
      </c>
      <c r="C81" s="3126">
        <v>0.90059999999999996</v>
      </c>
      <c r="D81" s="3126">
        <v>0.82830000000000004</v>
      </c>
      <c r="E81" s="3126">
        <v>0.82830000000000004</v>
      </c>
      <c r="F81" s="3126">
        <v>0.82830000000000004</v>
      </c>
      <c r="G81" s="3126">
        <v>0.82830000000000004</v>
      </c>
      <c r="H81" s="3126">
        <v>0.82830000000000004</v>
      </c>
      <c r="I81" s="3126">
        <v>0.69320000000000004</v>
      </c>
      <c r="J81" s="3126">
        <v>0.69320000000000004</v>
      </c>
      <c r="K81" s="3126">
        <v>0.69320000000000004</v>
      </c>
      <c r="L81" s="3126">
        <v>0.69320000000000004</v>
      </c>
      <c r="M81" s="3127">
        <v>0.69320000000000004</v>
      </c>
    </row>
    <row r="82" spans="1:20">
      <c r="A82" s="3125">
        <v>8.9</v>
      </c>
      <c r="B82" s="3126">
        <v>0.89939999999999998</v>
      </c>
      <c r="C82" s="3126">
        <v>0.89939999999999998</v>
      </c>
      <c r="D82" s="3126">
        <v>0.8266</v>
      </c>
      <c r="E82" s="3126">
        <v>0.8266</v>
      </c>
      <c r="F82" s="3126">
        <v>0.8266</v>
      </c>
      <c r="G82" s="3126">
        <v>0.8266</v>
      </c>
      <c r="H82" s="3126">
        <v>0.8266</v>
      </c>
      <c r="I82" s="3126">
        <v>0.69099999999999995</v>
      </c>
      <c r="J82" s="3126">
        <v>0.69099999999999995</v>
      </c>
      <c r="K82" s="3126">
        <v>0.69099999999999995</v>
      </c>
      <c r="L82" s="3126">
        <v>0.69099999999999995</v>
      </c>
      <c r="M82" s="3127">
        <v>0.69099999999999995</v>
      </c>
    </row>
    <row r="83" spans="1:20">
      <c r="A83" s="3128">
        <v>9</v>
      </c>
      <c r="B83" s="3126">
        <v>0.8982</v>
      </c>
      <c r="C83" s="3126">
        <v>0.8982</v>
      </c>
      <c r="D83" s="3126">
        <v>0.82489999999999997</v>
      </c>
      <c r="E83" s="3126">
        <v>0.82489999999999997</v>
      </c>
      <c r="F83" s="3126">
        <v>0.82489999999999997</v>
      </c>
      <c r="G83" s="3126">
        <v>0.82489999999999997</v>
      </c>
      <c r="H83" s="3126">
        <v>0.82489999999999997</v>
      </c>
      <c r="I83" s="3126">
        <v>0.68879999999999997</v>
      </c>
      <c r="J83" s="3126">
        <v>0.68879999999999997</v>
      </c>
      <c r="K83" s="3126">
        <v>0.68879999999999997</v>
      </c>
      <c r="L83" s="3126">
        <v>0.68879999999999997</v>
      </c>
      <c r="M83" s="3127">
        <v>0.68879999999999997</v>
      </c>
    </row>
    <row r="84" spans="1:20">
      <c r="A84" s="3128">
        <v>9.1</v>
      </c>
      <c r="B84" s="3126">
        <v>0.89700000000000002</v>
      </c>
      <c r="C84" s="3126">
        <v>0.89700000000000002</v>
      </c>
      <c r="D84" s="3126">
        <v>0.82320000000000004</v>
      </c>
      <c r="E84" s="3126">
        <v>0.82320000000000004</v>
      </c>
      <c r="F84" s="3126">
        <v>0.82320000000000004</v>
      </c>
      <c r="G84" s="3126">
        <v>0.82320000000000004</v>
      </c>
      <c r="H84" s="3126">
        <v>0.82320000000000004</v>
      </c>
      <c r="I84" s="3126">
        <v>0.68659999999999999</v>
      </c>
      <c r="J84" s="3126">
        <v>0.68659999999999999</v>
      </c>
      <c r="K84" s="3126">
        <v>0.68659999999999999</v>
      </c>
      <c r="L84" s="3126">
        <v>0.68659999999999999</v>
      </c>
      <c r="M84" s="3127">
        <v>0.68659999999999999</v>
      </c>
    </row>
    <row r="85" spans="1:20">
      <c r="A85" s="3128">
        <v>9.1999999999999993</v>
      </c>
      <c r="B85" s="3126">
        <v>0.89580000000000004</v>
      </c>
      <c r="C85" s="3126">
        <v>0.89580000000000004</v>
      </c>
      <c r="D85" s="3126">
        <v>0.82150000000000001</v>
      </c>
      <c r="E85" s="3126">
        <v>0.82150000000000001</v>
      </c>
      <c r="F85" s="3126">
        <v>0.82150000000000001</v>
      </c>
      <c r="G85" s="3126">
        <v>0.82150000000000001</v>
      </c>
      <c r="H85" s="3126">
        <v>0.82150000000000001</v>
      </c>
      <c r="I85" s="3126">
        <v>0.6845</v>
      </c>
      <c r="J85" s="3126">
        <v>0.6845</v>
      </c>
      <c r="K85" s="3126">
        <v>0.6845</v>
      </c>
      <c r="L85" s="3126">
        <v>0.6845</v>
      </c>
      <c r="M85" s="3127">
        <v>0.6845</v>
      </c>
    </row>
    <row r="86" spans="1:20">
      <c r="A86" s="3128">
        <v>9.3000000000000007</v>
      </c>
      <c r="B86" s="3126">
        <v>0.89459999999999995</v>
      </c>
      <c r="C86" s="3126">
        <v>0.89459999999999995</v>
      </c>
      <c r="D86" s="3126">
        <v>0.81989999999999996</v>
      </c>
      <c r="E86" s="3126">
        <v>0.81989999999999996</v>
      </c>
      <c r="F86" s="3126">
        <v>0.81989999999999996</v>
      </c>
      <c r="G86" s="3126">
        <v>0.81989999999999996</v>
      </c>
      <c r="H86" s="3126">
        <v>0.81989999999999996</v>
      </c>
      <c r="I86" s="3126">
        <v>0.68240000000000001</v>
      </c>
      <c r="J86" s="3126">
        <v>0.68240000000000001</v>
      </c>
      <c r="K86" s="3126">
        <v>0.68240000000000001</v>
      </c>
      <c r="L86" s="3126">
        <v>0.68240000000000001</v>
      </c>
      <c r="M86" s="3127">
        <v>0.68240000000000001</v>
      </c>
    </row>
    <row r="87" spans="1:20">
      <c r="A87" s="3128">
        <v>9.4</v>
      </c>
      <c r="B87" s="3126">
        <v>0.89339999999999997</v>
      </c>
      <c r="C87" s="3126">
        <v>0.89339999999999997</v>
      </c>
      <c r="D87" s="3126">
        <v>0.81830000000000003</v>
      </c>
      <c r="E87" s="3126">
        <v>0.81830000000000003</v>
      </c>
      <c r="F87" s="3126">
        <v>0.81830000000000003</v>
      </c>
      <c r="G87" s="3126">
        <v>0.81830000000000003</v>
      </c>
      <c r="H87" s="3126">
        <v>0.81830000000000003</v>
      </c>
      <c r="I87" s="3126">
        <v>0.68030000000000002</v>
      </c>
      <c r="J87" s="3126">
        <v>0.68030000000000002</v>
      </c>
      <c r="K87" s="3126">
        <v>0.68030000000000002</v>
      </c>
      <c r="L87" s="3126">
        <v>0.68030000000000002</v>
      </c>
      <c r="M87" s="3127">
        <v>0.68030000000000002</v>
      </c>
    </row>
    <row r="88" spans="1:20">
      <c r="A88" s="3128">
        <v>9.5</v>
      </c>
      <c r="B88" s="3126">
        <v>0.89229999999999998</v>
      </c>
      <c r="C88" s="3126">
        <v>0.89229999999999998</v>
      </c>
      <c r="D88" s="3126">
        <v>0.81669999999999998</v>
      </c>
      <c r="E88" s="3126">
        <v>0.81669999999999998</v>
      </c>
      <c r="F88" s="3126">
        <v>0.81669999999999998</v>
      </c>
      <c r="G88" s="3126">
        <v>0.81669999999999998</v>
      </c>
      <c r="H88" s="3126">
        <v>0.81669999999999998</v>
      </c>
      <c r="I88" s="3126">
        <v>0.67830000000000001</v>
      </c>
      <c r="J88" s="3126">
        <v>0.67830000000000001</v>
      </c>
      <c r="K88" s="3126">
        <v>0.67830000000000001</v>
      </c>
      <c r="L88" s="3126">
        <v>0.67830000000000001</v>
      </c>
      <c r="M88" s="3127">
        <v>0.67830000000000001</v>
      </c>
    </row>
    <row r="89" spans="1:20">
      <c r="A89" s="3128">
        <v>9.6</v>
      </c>
      <c r="B89" s="3126">
        <v>0.89119999999999999</v>
      </c>
      <c r="C89" s="3126">
        <v>0.89119999999999999</v>
      </c>
      <c r="D89" s="3126">
        <v>0.81510000000000005</v>
      </c>
      <c r="E89" s="3126">
        <v>0.81510000000000005</v>
      </c>
      <c r="F89" s="3126">
        <v>0.81510000000000005</v>
      </c>
      <c r="G89" s="3126">
        <v>0.81510000000000005</v>
      </c>
      <c r="H89" s="3126">
        <v>0.81510000000000005</v>
      </c>
      <c r="I89" s="3126">
        <v>0.67630000000000001</v>
      </c>
      <c r="J89" s="3126">
        <v>0.67630000000000001</v>
      </c>
      <c r="K89" s="3126">
        <v>0.67630000000000001</v>
      </c>
      <c r="L89" s="3126">
        <v>0.67630000000000001</v>
      </c>
      <c r="M89" s="3127">
        <v>0.67630000000000001</v>
      </c>
    </row>
    <row r="90" spans="1:20">
      <c r="A90" s="3128">
        <v>9.6999999999999993</v>
      </c>
      <c r="B90" s="3126">
        <v>0.8901</v>
      </c>
      <c r="C90" s="3126">
        <v>0.8901</v>
      </c>
      <c r="D90" s="3126">
        <v>0.8135</v>
      </c>
      <c r="E90" s="3126">
        <v>0.8135</v>
      </c>
      <c r="F90" s="3126">
        <v>0.8135</v>
      </c>
      <c r="G90" s="3126">
        <v>0.8135</v>
      </c>
      <c r="H90" s="3126">
        <v>0.8135</v>
      </c>
      <c r="I90" s="3126">
        <v>0.67430000000000001</v>
      </c>
      <c r="J90" s="3126">
        <v>0.67430000000000001</v>
      </c>
      <c r="K90" s="3126">
        <v>0.67430000000000001</v>
      </c>
      <c r="L90" s="3126">
        <v>0.67430000000000001</v>
      </c>
      <c r="M90" s="3127">
        <v>0.67430000000000001</v>
      </c>
    </row>
    <row r="91" spans="1:20">
      <c r="A91" s="3128">
        <v>9.8000000000000007</v>
      </c>
      <c r="B91" s="3126">
        <v>0.88900000000000001</v>
      </c>
      <c r="C91" s="3126">
        <v>0.88900000000000001</v>
      </c>
      <c r="D91" s="3126">
        <v>0.81200000000000006</v>
      </c>
      <c r="E91" s="3126">
        <v>0.81200000000000006</v>
      </c>
      <c r="F91" s="3126">
        <v>0.81200000000000006</v>
      </c>
      <c r="G91" s="3126">
        <v>0.81200000000000006</v>
      </c>
      <c r="H91" s="3126">
        <v>0.81200000000000006</v>
      </c>
      <c r="I91" s="3126">
        <v>0.6724</v>
      </c>
      <c r="J91" s="3126">
        <v>0.6724</v>
      </c>
      <c r="K91" s="3126">
        <v>0.6724</v>
      </c>
      <c r="L91" s="3126">
        <v>0.6724</v>
      </c>
      <c r="M91" s="3127">
        <v>0.6724</v>
      </c>
    </row>
    <row r="92" spans="1:20" ht="15" thickBot="1">
      <c r="A92" s="3129">
        <v>9.9</v>
      </c>
      <c r="B92" s="3130">
        <v>0.88790000000000002</v>
      </c>
      <c r="C92" s="3130">
        <v>0.88790000000000002</v>
      </c>
      <c r="D92" s="3130">
        <v>0.8105</v>
      </c>
      <c r="E92" s="3130">
        <v>0.8105</v>
      </c>
      <c r="F92" s="3130">
        <v>0.8105</v>
      </c>
      <c r="G92" s="3130">
        <v>0.8105</v>
      </c>
      <c r="H92" s="3130">
        <v>0.8105</v>
      </c>
      <c r="I92" s="3130">
        <v>0.67049999999999998</v>
      </c>
      <c r="J92" s="3130">
        <v>0.67049999999999998</v>
      </c>
      <c r="K92" s="3130">
        <v>0.67049999999999998</v>
      </c>
      <c r="L92" s="3130">
        <v>0.67049999999999998</v>
      </c>
      <c r="M92" s="3131">
        <v>0.67049999999999998</v>
      </c>
    </row>
    <row r="93" spans="1:20" ht="15" thickBot="1">
      <c r="A93" s="3119" t="s">
        <v>2800</v>
      </c>
      <c r="B93" s="3119"/>
      <c r="C93" s="3119"/>
      <c r="D93" s="3119"/>
      <c r="E93" s="3119"/>
      <c r="F93" s="3119"/>
      <c r="G93" s="3119"/>
      <c r="H93" s="3119"/>
      <c r="I93" s="3119"/>
      <c r="J93" s="3119"/>
      <c r="K93" s="3119"/>
      <c r="L93" s="3119"/>
      <c r="M93" s="3119"/>
    </row>
    <row r="94" spans="1:20">
      <c r="A94" s="3120" t="s">
        <v>2799</v>
      </c>
      <c r="B94" s="3121" t="s">
        <v>2595</v>
      </c>
      <c r="C94" s="3121" t="s">
        <v>2596</v>
      </c>
      <c r="D94" s="3121" t="s">
        <v>2597</v>
      </c>
      <c r="E94" s="3121" t="s">
        <v>2598</v>
      </c>
      <c r="F94" s="3121" t="s">
        <v>2599</v>
      </c>
      <c r="G94" s="3121" t="s">
        <v>2600</v>
      </c>
      <c r="H94" s="3122" t="s">
        <v>2601</v>
      </c>
      <c r="I94" s="3122" t="s">
        <v>2602</v>
      </c>
      <c r="J94" s="3123" t="s">
        <v>2603</v>
      </c>
      <c r="K94" s="3123" t="s">
        <v>2604</v>
      </c>
      <c r="L94" s="3123" t="s">
        <v>2605</v>
      </c>
      <c r="M94" s="3124" t="s">
        <v>2606</v>
      </c>
      <c r="N94" s="746">
        <f>SUMPRODUCT((A95:A184=ROUNDDOWN(基准地价修正!G3,1))*(B94:M94=基准地价修正!G2)*(B95:M184))</f>
        <v>0</v>
      </c>
      <c r="Q94" s="3134" t="s">
        <v>2804</v>
      </c>
      <c r="R94" s="3134" t="s">
        <v>2805</v>
      </c>
      <c r="S94" s="3134" t="s">
        <v>2806</v>
      </c>
      <c r="T94" s="3134" t="s">
        <v>2807</v>
      </c>
    </row>
    <row r="95" spans="1:20">
      <c r="A95" s="3125">
        <v>1</v>
      </c>
      <c r="B95" s="3126">
        <v>1.2501</v>
      </c>
      <c r="C95" s="3126">
        <v>1.2501</v>
      </c>
      <c r="D95" s="3126">
        <v>1.2158</v>
      </c>
      <c r="E95" s="3126">
        <v>1.2158</v>
      </c>
      <c r="F95" s="3126">
        <v>1.2158</v>
      </c>
      <c r="G95" s="3126">
        <v>1.2158</v>
      </c>
      <c r="H95" s="3126">
        <v>1.2158</v>
      </c>
      <c r="I95" s="3126">
        <v>1.2302</v>
      </c>
      <c r="J95" s="3126">
        <v>1.2302</v>
      </c>
      <c r="K95" s="3126">
        <v>1.2302</v>
      </c>
      <c r="L95" s="3126">
        <v>1.2302</v>
      </c>
      <c r="M95" s="3127">
        <v>1.2302</v>
      </c>
      <c r="Q95" s="3134">
        <v>10</v>
      </c>
      <c r="R95" s="3134">
        <f>ROUND(0.993-0.0112*Q95,4)</f>
        <v>0.88100000000000001</v>
      </c>
      <c r="S95" s="3134">
        <f>ROUND(0.9415-0.0142*Q95,4)</f>
        <v>0.79949999999999999</v>
      </c>
      <c r="T95" s="3134">
        <f>ROUND(0.8438-0.0182*Q95,4)</f>
        <v>0.66180000000000005</v>
      </c>
    </row>
    <row r="96" spans="1:20">
      <c r="A96" s="3125">
        <v>1.1000000000000001</v>
      </c>
      <c r="B96" s="3126">
        <v>1.2310000000000001</v>
      </c>
      <c r="C96" s="3126">
        <v>1.2310000000000001</v>
      </c>
      <c r="D96" s="3126">
        <v>1.1947000000000001</v>
      </c>
      <c r="E96" s="3126">
        <v>1.1947000000000001</v>
      </c>
      <c r="F96" s="3126">
        <v>1.1947000000000001</v>
      </c>
      <c r="G96" s="3126">
        <v>1.1947000000000001</v>
      </c>
      <c r="H96" s="3126">
        <v>1.1947000000000001</v>
      </c>
      <c r="I96" s="3126">
        <v>1.2008000000000001</v>
      </c>
      <c r="J96" s="3126">
        <v>1.2008000000000001</v>
      </c>
      <c r="K96" s="3126">
        <v>1.2008000000000001</v>
      </c>
      <c r="L96" s="3126">
        <v>1.2008000000000001</v>
      </c>
      <c r="M96" s="3127">
        <v>1.2008000000000001</v>
      </c>
    </row>
    <row r="97" spans="1:14">
      <c r="A97" s="3125">
        <v>1.2</v>
      </c>
      <c r="B97" s="3126">
        <v>1.2130000000000001</v>
      </c>
      <c r="C97" s="3126">
        <v>1.2130000000000001</v>
      </c>
      <c r="D97" s="3126">
        <v>1.1748000000000001</v>
      </c>
      <c r="E97" s="3126">
        <v>1.1748000000000001</v>
      </c>
      <c r="F97" s="3126">
        <v>1.1748000000000001</v>
      </c>
      <c r="G97" s="3126">
        <v>1.1748000000000001</v>
      </c>
      <c r="H97" s="3126">
        <v>1.1748000000000001</v>
      </c>
      <c r="I97" s="3126">
        <v>1.173</v>
      </c>
      <c r="J97" s="3126">
        <v>1.173</v>
      </c>
      <c r="K97" s="3126">
        <v>1.173</v>
      </c>
      <c r="L97" s="3126">
        <v>1.173</v>
      </c>
      <c r="M97" s="3127">
        <v>1.173</v>
      </c>
    </row>
    <row r="98" spans="1:14">
      <c r="A98" s="3125">
        <v>1.3</v>
      </c>
      <c r="B98" s="3126">
        <v>1.196</v>
      </c>
      <c r="C98" s="3126">
        <v>1.196</v>
      </c>
      <c r="D98" s="3126">
        <v>1.1559999999999999</v>
      </c>
      <c r="E98" s="3126">
        <v>1.1559999999999999</v>
      </c>
      <c r="F98" s="3126">
        <v>1.1559999999999999</v>
      </c>
      <c r="G98" s="3126">
        <v>1.1559999999999999</v>
      </c>
      <c r="H98" s="3126">
        <v>1.1559999999999999</v>
      </c>
      <c r="I98" s="3126">
        <v>1.1468</v>
      </c>
      <c r="J98" s="3126">
        <v>1.1468</v>
      </c>
      <c r="K98" s="3126">
        <v>1.1468</v>
      </c>
      <c r="L98" s="3126">
        <v>1.1468</v>
      </c>
      <c r="M98" s="3127">
        <v>1.1468</v>
      </c>
    </row>
    <row r="99" spans="1:14">
      <c r="A99" s="3125">
        <v>1.4</v>
      </c>
      <c r="B99" s="3126">
        <v>1.18</v>
      </c>
      <c r="C99" s="3126">
        <v>1.18</v>
      </c>
      <c r="D99" s="3126">
        <v>1.1382000000000001</v>
      </c>
      <c r="E99" s="3126">
        <v>1.1382000000000001</v>
      </c>
      <c r="F99" s="3126">
        <v>1.1382000000000001</v>
      </c>
      <c r="G99" s="3126">
        <v>1.1382000000000001</v>
      </c>
      <c r="H99" s="3126">
        <v>1.1382000000000001</v>
      </c>
      <c r="I99" s="3126">
        <v>1.1220000000000001</v>
      </c>
      <c r="J99" s="3126">
        <v>1.1220000000000001</v>
      </c>
      <c r="K99" s="3126">
        <v>1.1220000000000001</v>
      </c>
      <c r="L99" s="3126">
        <v>1.1220000000000001</v>
      </c>
      <c r="M99" s="3127">
        <v>1.1220000000000001</v>
      </c>
    </row>
    <row r="100" spans="1:14">
      <c r="A100" s="3125">
        <v>1.5</v>
      </c>
      <c r="B100" s="3126">
        <v>1.1649</v>
      </c>
      <c r="C100" s="3126">
        <v>1.1649</v>
      </c>
      <c r="D100" s="3126">
        <v>1.1214999999999999</v>
      </c>
      <c r="E100" s="3126">
        <v>1.1214999999999999</v>
      </c>
      <c r="F100" s="3126">
        <v>1.1214999999999999</v>
      </c>
      <c r="G100" s="3126">
        <v>1.1214999999999999</v>
      </c>
      <c r="H100" s="3126">
        <v>1.1214999999999999</v>
      </c>
      <c r="I100" s="3126">
        <v>1.0985</v>
      </c>
      <c r="J100" s="3126">
        <v>1.0985</v>
      </c>
      <c r="K100" s="3126">
        <v>1.0985</v>
      </c>
      <c r="L100" s="3126">
        <v>1.0985</v>
      </c>
      <c r="M100" s="3127">
        <v>1.0985</v>
      </c>
    </row>
    <row r="101" spans="1:14">
      <c r="A101" s="3125">
        <v>1.6</v>
      </c>
      <c r="B101" s="3126">
        <v>1.1507000000000001</v>
      </c>
      <c r="C101" s="3126">
        <v>1.1507000000000001</v>
      </c>
      <c r="D101" s="3126">
        <v>1.1056999999999999</v>
      </c>
      <c r="E101" s="3126">
        <v>1.1056999999999999</v>
      </c>
      <c r="F101" s="3126">
        <v>1.1056999999999999</v>
      </c>
      <c r="G101" s="3126">
        <v>1.1056999999999999</v>
      </c>
      <c r="H101" s="3126">
        <v>1.1056999999999999</v>
      </c>
      <c r="I101" s="3126">
        <v>1.0764</v>
      </c>
      <c r="J101" s="3126">
        <v>1.0764</v>
      </c>
      <c r="K101" s="3126">
        <v>1.0764</v>
      </c>
      <c r="L101" s="3126">
        <v>1.0764</v>
      </c>
      <c r="M101" s="3127">
        <v>1.0764</v>
      </c>
    </row>
    <row r="102" spans="1:14">
      <c r="A102" s="3125">
        <v>1.7</v>
      </c>
      <c r="B102" s="3126">
        <v>1.1373</v>
      </c>
      <c r="C102" s="3126">
        <v>1.1373</v>
      </c>
      <c r="D102" s="3126">
        <v>1.0908</v>
      </c>
      <c r="E102" s="3126">
        <v>1.0908</v>
      </c>
      <c r="F102" s="3126">
        <v>1.0908</v>
      </c>
      <c r="G102" s="3126">
        <v>1.0908</v>
      </c>
      <c r="H102" s="3126">
        <v>1.0908</v>
      </c>
      <c r="I102" s="3126">
        <v>1.0556000000000001</v>
      </c>
      <c r="J102" s="3126">
        <v>1.0556000000000001</v>
      </c>
      <c r="K102" s="3126">
        <v>1.0556000000000001</v>
      </c>
      <c r="L102" s="3126">
        <v>1.0556000000000001</v>
      </c>
      <c r="M102" s="3127">
        <v>1.0556000000000001</v>
      </c>
    </row>
    <row r="103" spans="1:14">
      <c r="A103" s="3125">
        <v>1.8</v>
      </c>
      <c r="B103" s="3126">
        <v>1.1247</v>
      </c>
      <c r="C103" s="3126">
        <v>1.1247</v>
      </c>
      <c r="D103" s="3126">
        <v>1.0768</v>
      </c>
      <c r="E103" s="3126">
        <v>1.0768</v>
      </c>
      <c r="F103" s="3126">
        <v>1.0768</v>
      </c>
      <c r="G103" s="3126">
        <v>1.0768</v>
      </c>
      <c r="H103" s="3126">
        <v>1.0768</v>
      </c>
      <c r="I103" s="3126">
        <v>1.0359</v>
      </c>
      <c r="J103" s="3126">
        <v>1.0359</v>
      </c>
      <c r="K103" s="3126">
        <v>1.0359</v>
      </c>
      <c r="L103" s="3126">
        <v>1.0359</v>
      </c>
      <c r="M103" s="3127">
        <v>1.0359</v>
      </c>
      <c r="N103" s="745"/>
    </row>
    <row r="104" spans="1:14">
      <c r="A104" s="3125">
        <v>1.9</v>
      </c>
      <c r="B104" s="3126">
        <v>1.1128</v>
      </c>
      <c r="C104" s="3126">
        <v>1.1128</v>
      </c>
      <c r="D104" s="3126">
        <v>1.0637000000000001</v>
      </c>
      <c r="E104" s="3126">
        <v>1.0637000000000001</v>
      </c>
      <c r="F104" s="3126">
        <v>1.0637000000000001</v>
      </c>
      <c r="G104" s="3126">
        <v>1.0637000000000001</v>
      </c>
      <c r="H104" s="3126">
        <v>1.0637000000000001</v>
      </c>
      <c r="I104" s="3126">
        <v>1.0174000000000001</v>
      </c>
      <c r="J104" s="3126">
        <v>1.0174000000000001</v>
      </c>
      <c r="K104" s="3126">
        <v>1.0174000000000001</v>
      </c>
      <c r="L104" s="3126">
        <v>1.0174000000000001</v>
      </c>
      <c r="M104" s="3127">
        <v>1.0174000000000001</v>
      </c>
      <c r="N104" s="745"/>
    </row>
    <row r="105" spans="1:14">
      <c r="A105" s="3125">
        <v>2</v>
      </c>
      <c r="B105" s="3126">
        <v>1.1016999999999999</v>
      </c>
      <c r="C105" s="3126">
        <v>1.1016999999999999</v>
      </c>
      <c r="D105" s="3126">
        <v>1.0512999999999999</v>
      </c>
      <c r="E105" s="3126">
        <v>1.0512999999999999</v>
      </c>
      <c r="F105" s="3126">
        <v>1.0512999999999999</v>
      </c>
      <c r="G105" s="3126">
        <v>1.0512999999999999</v>
      </c>
      <c r="H105" s="3126">
        <v>1.0512999999999999</v>
      </c>
      <c r="I105" s="3126">
        <v>1</v>
      </c>
      <c r="J105" s="3126">
        <v>1</v>
      </c>
      <c r="K105" s="3126">
        <v>1</v>
      </c>
      <c r="L105" s="3126">
        <v>1</v>
      </c>
      <c r="M105" s="3127">
        <v>1</v>
      </c>
    </row>
    <row r="106" spans="1:14">
      <c r="A106" s="3128">
        <v>2.1</v>
      </c>
      <c r="B106" s="3126">
        <v>1.0912999999999999</v>
      </c>
      <c r="C106" s="3126">
        <v>1.0912999999999999</v>
      </c>
      <c r="D106" s="3126">
        <v>1.0397000000000001</v>
      </c>
      <c r="E106" s="3126">
        <v>1.0397000000000001</v>
      </c>
      <c r="F106" s="3126">
        <v>1.0397000000000001</v>
      </c>
      <c r="G106" s="3126">
        <v>1.0397000000000001</v>
      </c>
      <c r="H106" s="3126">
        <v>1.0397000000000001</v>
      </c>
      <c r="I106" s="3126">
        <v>0.98360000000000003</v>
      </c>
      <c r="J106" s="3126">
        <v>0.98360000000000003</v>
      </c>
      <c r="K106" s="3126">
        <v>0.98360000000000003</v>
      </c>
      <c r="L106" s="3126">
        <v>0.98360000000000003</v>
      </c>
      <c r="M106" s="3127">
        <v>0.98360000000000003</v>
      </c>
    </row>
    <row r="107" spans="1:14">
      <c r="A107" s="3128">
        <v>2.2000000000000002</v>
      </c>
      <c r="B107" s="3126">
        <v>1.0814999999999999</v>
      </c>
      <c r="C107" s="3126">
        <v>1.0814999999999999</v>
      </c>
      <c r="D107" s="3126">
        <v>1.0287999999999999</v>
      </c>
      <c r="E107" s="3126">
        <v>1.0287999999999999</v>
      </c>
      <c r="F107" s="3126">
        <v>1.0287999999999999</v>
      </c>
      <c r="G107" s="3126">
        <v>1.0287999999999999</v>
      </c>
      <c r="H107" s="3126">
        <v>1.0287999999999999</v>
      </c>
      <c r="I107" s="3126">
        <v>0.96819999999999995</v>
      </c>
      <c r="J107" s="3126">
        <v>0.96819999999999995</v>
      </c>
      <c r="K107" s="3126">
        <v>0.96819999999999995</v>
      </c>
      <c r="L107" s="3126">
        <v>0.96819999999999995</v>
      </c>
      <c r="M107" s="3127">
        <v>0.96819999999999995</v>
      </c>
    </row>
    <row r="108" spans="1:14">
      <c r="A108" s="3128">
        <v>2.2999999999999998</v>
      </c>
      <c r="B108" s="3126">
        <v>1.0724</v>
      </c>
      <c r="C108" s="3126">
        <v>1.0724</v>
      </c>
      <c r="D108" s="3126">
        <v>1.0185999999999999</v>
      </c>
      <c r="E108" s="3126">
        <v>1.0185999999999999</v>
      </c>
      <c r="F108" s="3126">
        <v>1.0185999999999999</v>
      </c>
      <c r="G108" s="3126">
        <v>1.0185999999999999</v>
      </c>
      <c r="H108" s="3126">
        <v>1.0185999999999999</v>
      </c>
      <c r="I108" s="3126">
        <v>0.95369999999999999</v>
      </c>
      <c r="J108" s="3126">
        <v>0.95369999999999999</v>
      </c>
      <c r="K108" s="3126">
        <v>0.95369999999999999</v>
      </c>
      <c r="L108" s="3126">
        <v>0.95369999999999999</v>
      </c>
      <c r="M108" s="3127">
        <v>0.95369999999999999</v>
      </c>
    </row>
    <row r="109" spans="1:14">
      <c r="A109" s="3128">
        <v>2.4</v>
      </c>
      <c r="B109" s="3126">
        <v>1.0638000000000001</v>
      </c>
      <c r="C109" s="3126">
        <v>1.0638000000000001</v>
      </c>
      <c r="D109" s="3126">
        <v>1.0089999999999999</v>
      </c>
      <c r="E109" s="3126">
        <v>1.0089999999999999</v>
      </c>
      <c r="F109" s="3126">
        <v>1.0089999999999999</v>
      </c>
      <c r="G109" s="3126">
        <v>1.0089999999999999</v>
      </c>
      <c r="H109" s="3126">
        <v>1.0089999999999999</v>
      </c>
      <c r="I109" s="3126">
        <v>0.94010000000000005</v>
      </c>
      <c r="J109" s="3126">
        <v>0.94010000000000005</v>
      </c>
      <c r="K109" s="3126">
        <v>0.94010000000000005</v>
      </c>
      <c r="L109" s="3126">
        <v>0.94010000000000005</v>
      </c>
      <c r="M109" s="3127">
        <v>0.94010000000000005</v>
      </c>
    </row>
    <row r="110" spans="1:14">
      <c r="A110" s="3128">
        <v>2.5</v>
      </c>
      <c r="B110" s="3126">
        <v>1.0558000000000001</v>
      </c>
      <c r="C110" s="3126">
        <v>1.0558000000000001</v>
      </c>
      <c r="D110" s="3126">
        <v>1</v>
      </c>
      <c r="E110" s="3126">
        <v>1</v>
      </c>
      <c r="F110" s="3126">
        <v>1</v>
      </c>
      <c r="G110" s="3126">
        <v>1</v>
      </c>
      <c r="H110" s="3126">
        <v>1</v>
      </c>
      <c r="I110" s="3126">
        <v>0.9274</v>
      </c>
      <c r="J110" s="3126">
        <v>0.9274</v>
      </c>
      <c r="K110" s="3126">
        <v>0.9274</v>
      </c>
      <c r="L110" s="3126">
        <v>0.9274</v>
      </c>
      <c r="M110" s="3127">
        <v>0.9274</v>
      </c>
    </row>
    <row r="111" spans="1:14">
      <c r="A111" s="3128">
        <v>2.6</v>
      </c>
      <c r="B111" s="3126">
        <v>1.0483</v>
      </c>
      <c r="C111" s="3126">
        <v>1.0483</v>
      </c>
      <c r="D111" s="3126">
        <v>0.99160000000000004</v>
      </c>
      <c r="E111" s="3126">
        <v>0.99160000000000004</v>
      </c>
      <c r="F111" s="3126">
        <v>0.99160000000000004</v>
      </c>
      <c r="G111" s="3126">
        <v>0.99160000000000004</v>
      </c>
      <c r="H111" s="3126">
        <v>0.99160000000000004</v>
      </c>
      <c r="I111" s="3126">
        <v>0.91539999999999999</v>
      </c>
      <c r="J111" s="3126">
        <v>0.91539999999999999</v>
      </c>
      <c r="K111" s="3126">
        <v>0.91539999999999999</v>
      </c>
      <c r="L111" s="3126">
        <v>0.91539999999999999</v>
      </c>
      <c r="M111" s="3127">
        <v>0.91539999999999999</v>
      </c>
    </row>
    <row r="112" spans="1:14">
      <c r="A112" s="3128">
        <v>2.7</v>
      </c>
      <c r="B112" s="3126">
        <v>1.0412999999999999</v>
      </c>
      <c r="C112" s="3126">
        <v>1.0412999999999999</v>
      </c>
      <c r="D112" s="3126">
        <v>0.98370000000000002</v>
      </c>
      <c r="E112" s="3126">
        <v>0.98370000000000002</v>
      </c>
      <c r="F112" s="3126">
        <v>0.98370000000000002</v>
      </c>
      <c r="G112" s="3126">
        <v>0.98370000000000002</v>
      </c>
      <c r="H112" s="3126">
        <v>0.98370000000000002</v>
      </c>
      <c r="I112" s="3126">
        <v>0.90429999999999999</v>
      </c>
      <c r="J112" s="3126">
        <v>0.90429999999999999</v>
      </c>
      <c r="K112" s="3126">
        <v>0.90429999999999999</v>
      </c>
      <c r="L112" s="3126">
        <v>0.90429999999999999</v>
      </c>
      <c r="M112" s="3127">
        <v>0.90429999999999999</v>
      </c>
    </row>
    <row r="113" spans="1:13">
      <c r="A113" s="3128">
        <v>2.8</v>
      </c>
      <c r="B113" s="3126">
        <v>1.0347999999999999</v>
      </c>
      <c r="C113" s="3126">
        <v>1.0347999999999999</v>
      </c>
      <c r="D113" s="3126">
        <v>0.97640000000000005</v>
      </c>
      <c r="E113" s="3126">
        <v>0.97640000000000005</v>
      </c>
      <c r="F113" s="3126">
        <v>0.97640000000000005</v>
      </c>
      <c r="G113" s="3126">
        <v>0.97640000000000005</v>
      </c>
      <c r="H113" s="3126">
        <v>0.97640000000000005</v>
      </c>
      <c r="I113" s="3126">
        <v>0.89370000000000005</v>
      </c>
      <c r="J113" s="3126">
        <v>0.89370000000000005</v>
      </c>
      <c r="K113" s="3126">
        <v>0.89370000000000005</v>
      </c>
      <c r="L113" s="3126">
        <v>0.89370000000000005</v>
      </c>
      <c r="M113" s="3127">
        <v>0.89370000000000005</v>
      </c>
    </row>
    <row r="114" spans="1:13">
      <c r="A114" s="3128">
        <v>2.9</v>
      </c>
      <c r="B114" s="3126">
        <v>1.0286999999999999</v>
      </c>
      <c r="C114" s="3126">
        <v>1.0286999999999999</v>
      </c>
      <c r="D114" s="3126">
        <v>0.96950000000000003</v>
      </c>
      <c r="E114" s="3126">
        <v>0.96950000000000003</v>
      </c>
      <c r="F114" s="3126">
        <v>0.96950000000000003</v>
      </c>
      <c r="G114" s="3126">
        <v>0.96950000000000003</v>
      </c>
      <c r="H114" s="3126">
        <v>0.96950000000000003</v>
      </c>
      <c r="I114" s="3126">
        <v>0.88390000000000002</v>
      </c>
      <c r="J114" s="3126">
        <v>0.88390000000000002</v>
      </c>
      <c r="K114" s="3126">
        <v>0.88390000000000002</v>
      </c>
      <c r="L114" s="3126">
        <v>0.88390000000000002</v>
      </c>
      <c r="M114" s="3127">
        <v>0.88390000000000002</v>
      </c>
    </row>
    <row r="115" spans="1:13">
      <c r="A115" s="3128">
        <v>3</v>
      </c>
      <c r="B115" s="3126">
        <v>1.0229999999999999</v>
      </c>
      <c r="C115" s="3126">
        <v>1.0229999999999999</v>
      </c>
      <c r="D115" s="3126">
        <v>0.96309999999999996</v>
      </c>
      <c r="E115" s="3126">
        <v>0.96309999999999996</v>
      </c>
      <c r="F115" s="3126">
        <v>0.96309999999999996</v>
      </c>
      <c r="G115" s="3126">
        <v>0.96309999999999996</v>
      </c>
      <c r="H115" s="3126">
        <v>0.96309999999999996</v>
      </c>
      <c r="I115" s="3126">
        <v>0.87460000000000004</v>
      </c>
      <c r="J115" s="3126">
        <v>0.87460000000000004</v>
      </c>
      <c r="K115" s="3126">
        <v>0.87460000000000004</v>
      </c>
      <c r="L115" s="3126">
        <v>0.87460000000000004</v>
      </c>
      <c r="M115" s="3127">
        <v>0.87460000000000004</v>
      </c>
    </row>
    <row r="116" spans="1:13">
      <c r="A116" s="3128">
        <v>3.1</v>
      </c>
      <c r="B116" s="3126">
        <v>1.0177</v>
      </c>
      <c r="C116" s="3126">
        <v>1.0177</v>
      </c>
      <c r="D116" s="3126">
        <v>0.95709999999999995</v>
      </c>
      <c r="E116" s="3126">
        <v>0.95709999999999995</v>
      </c>
      <c r="F116" s="3126">
        <v>0.95709999999999995</v>
      </c>
      <c r="G116" s="3126">
        <v>0.95709999999999995</v>
      </c>
      <c r="H116" s="3126">
        <v>0.95709999999999995</v>
      </c>
      <c r="I116" s="3126">
        <v>0.8659</v>
      </c>
      <c r="J116" s="3126">
        <v>0.8659</v>
      </c>
      <c r="K116" s="3126">
        <v>0.8659</v>
      </c>
      <c r="L116" s="3126">
        <v>0.8659</v>
      </c>
      <c r="M116" s="3127">
        <v>0.8659</v>
      </c>
    </row>
    <row r="117" spans="1:13">
      <c r="A117" s="3128">
        <v>3.2</v>
      </c>
      <c r="B117" s="3126">
        <v>1.0127999999999999</v>
      </c>
      <c r="C117" s="3126">
        <v>1.0127999999999999</v>
      </c>
      <c r="D117" s="3126">
        <v>0.9516</v>
      </c>
      <c r="E117" s="3126">
        <v>0.9516</v>
      </c>
      <c r="F117" s="3126">
        <v>0.9516</v>
      </c>
      <c r="G117" s="3126">
        <v>0.9516</v>
      </c>
      <c r="H117" s="3126">
        <v>0.9516</v>
      </c>
      <c r="I117" s="3126">
        <v>0.85780000000000001</v>
      </c>
      <c r="J117" s="3126">
        <v>0.85780000000000001</v>
      </c>
      <c r="K117" s="3126">
        <v>0.85780000000000001</v>
      </c>
      <c r="L117" s="3126">
        <v>0.85780000000000001</v>
      </c>
      <c r="M117" s="3127">
        <v>0.85780000000000001</v>
      </c>
    </row>
    <row r="118" spans="1:13">
      <c r="A118" s="3128">
        <v>3.3</v>
      </c>
      <c r="B118" s="3126">
        <v>1.0082</v>
      </c>
      <c r="C118" s="3126">
        <v>1.0082</v>
      </c>
      <c r="D118" s="3126">
        <v>0.94640000000000002</v>
      </c>
      <c r="E118" s="3126">
        <v>0.94640000000000002</v>
      </c>
      <c r="F118" s="3126">
        <v>0.94640000000000002</v>
      </c>
      <c r="G118" s="3126">
        <v>0.94640000000000002</v>
      </c>
      <c r="H118" s="3126">
        <v>0.94640000000000002</v>
      </c>
      <c r="I118" s="3126">
        <v>0.85029999999999994</v>
      </c>
      <c r="J118" s="3126">
        <v>0.85029999999999994</v>
      </c>
      <c r="K118" s="3126">
        <v>0.85029999999999994</v>
      </c>
      <c r="L118" s="3126">
        <v>0.85029999999999994</v>
      </c>
      <c r="M118" s="3127">
        <v>0.85029999999999994</v>
      </c>
    </row>
    <row r="119" spans="1:13">
      <c r="A119" s="3128">
        <v>3.4</v>
      </c>
      <c r="B119" s="3126">
        <v>1.004</v>
      </c>
      <c r="C119" s="3126">
        <v>1.004</v>
      </c>
      <c r="D119" s="3126">
        <v>0.9415</v>
      </c>
      <c r="E119" s="3126">
        <v>0.9415</v>
      </c>
      <c r="F119" s="3126">
        <v>0.9415</v>
      </c>
      <c r="G119" s="3126">
        <v>0.9415</v>
      </c>
      <c r="H119" s="3126">
        <v>0.9415</v>
      </c>
      <c r="I119" s="3126">
        <v>0.84319999999999995</v>
      </c>
      <c r="J119" s="3126">
        <v>0.84319999999999995</v>
      </c>
      <c r="K119" s="3126">
        <v>0.84319999999999995</v>
      </c>
      <c r="L119" s="3126">
        <v>0.84319999999999995</v>
      </c>
      <c r="M119" s="3127">
        <v>0.84319999999999995</v>
      </c>
    </row>
    <row r="120" spans="1:13">
      <c r="A120" s="3128">
        <v>3.5</v>
      </c>
      <c r="B120" s="3126">
        <v>1</v>
      </c>
      <c r="C120" s="3126">
        <v>1</v>
      </c>
      <c r="D120" s="3126">
        <v>0.93700000000000006</v>
      </c>
      <c r="E120" s="3126">
        <v>0.93700000000000006</v>
      </c>
      <c r="F120" s="3126">
        <v>0.93700000000000006</v>
      </c>
      <c r="G120" s="3126">
        <v>0.93700000000000006</v>
      </c>
      <c r="H120" s="3126">
        <v>0.93700000000000006</v>
      </c>
      <c r="I120" s="3126">
        <v>0.83660000000000001</v>
      </c>
      <c r="J120" s="3126">
        <v>0.83660000000000001</v>
      </c>
      <c r="K120" s="3126">
        <v>0.83660000000000001</v>
      </c>
      <c r="L120" s="3126">
        <v>0.83660000000000001</v>
      </c>
      <c r="M120" s="3127">
        <v>0.83660000000000001</v>
      </c>
    </row>
    <row r="121" spans="1:13">
      <c r="A121" s="3128">
        <v>3.6</v>
      </c>
      <c r="B121" s="3126">
        <v>0.99629999999999996</v>
      </c>
      <c r="C121" s="3126">
        <v>0.99629999999999996</v>
      </c>
      <c r="D121" s="3126">
        <v>0.93279999999999996</v>
      </c>
      <c r="E121" s="3126">
        <v>0.93279999999999996</v>
      </c>
      <c r="F121" s="3126">
        <v>0.93279999999999996</v>
      </c>
      <c r="G121" s="3126">
        <v>0.93279999999999996</v>
      </c>
      <c r="H121" s="3126">
        <v>0.93279999999999996</v>
      </c>
      <c r="I121" s="3126">
        <v>0.83040000000000003</v>
      </c>
      <c r="J121" s="3126">
        <v>0.83040000000000003</v>
      </c>
      <c r="K121" s="3126">
        <v>0.83040000000000003</v>
      </c>
      <c r="L121" s="3126">
        <v>0.83040000000000003</v>
      </c>
      <c r="M121" s="3127">
        <v>0.83040000000000003</v>
      </c>
    </row>
    <row r="122" spans="1:13">
      <c r="A122" s="3128">
        <v>3.7</v>
      </c>
      <c r="B122" s="3126">
        <v>0.9929</v>
      </c>
      <c r="C122" s="3126">
        <v>0.9929</v>
      </c>
      <c r="D122" s="3126">
        <v>0.92879999999999996</v>
      </c>
      <c r="E122" s="3126">
        <v>0.92879999999999996</v>
      </c>
      <c r="F122" s="3126">
        <v>0.92879999999999996</v>
      </c>
      <c r="G122" s="3126">
        <v>0.92879999999999996</v>
      </c>
      <c r="H122" s="3126">
        <v>0.92879999999999996</v>
      </c>
      <c r="I122" s="3126">
        <v>0.8246</v>
      </c>
      <c r="J122" s="3126">
        <v>0.8246</v>
      </c>
      <c r="K122" s="3126">
        <v>0.8246</v>
      </c>
      <c r="L122" s="3126">
        <v>0.8246</v>
      </c>
      <c r="M122" s="3127">
        <v>0.8246</v>
      </c>
    </row>
    <row r="123" spans="1:13">
      <c r="A123" s="3128">
        <v>3.8</v>
      </c>
      <c r="B123" s="3126">
        <v>0.98970000000000002</v>
      </c>
      <c r="C123" s="3126">
        <v>0.98970000000000002</v>
      </c>
      <c r="D123" s="3126">
        <v>0.92520000000000002</v>
      </c>
      <c r="E123" s="3126">
        <v>0.92520000000000002</v>
      </c>
      <c r="F123" s="3126">
        <v>0.92520000000000002</v>
      </c>
      <c r="G123" s="3126">
        <v>0.92520000000000002</v>
      </c>
      <c r="H123" s="3126">
        <v>0.92520000000000002</v>
      </c>
      <c r="I123" s="3126">
        <v>0.81920000000000004</v>
      </c>
      <c r="J123" s="3126">
        <v>0.81920000000000004</v>
      </c>
      <c r="K123" s="3126">
        <v>0.81920000000000004</v>
      </c>
      <c r="L123" s="3126">
        <v>0.81920000000000004</v>
      </c>
      <c r="M123" s="3127">
        <v>0.81920000000000004</v>
      </c>
    </row>
    <row r="124" spans="1:13">
      <c r="A124" s="3128">
        <v>3.9</v>
      </c>
      <c r="B124" s="3126">
        <v>0.98670000000000002</v>
      </c>
      <c r="C124" s="3126">
        <v>0.98670000000000002</v>
      </c>
      <c r="D124" s="3126">
        <v>0.92179999999999995</v>
      </c>
      <c r="E124" s="3126">
        <v>0.92179999999999995</v>
      </c>
      <c r="F124" s="3126">
        <v>0.92179999999999995</v>
      </c>
      <c r="G124" s="3126">
        <v>0.92179999999999995</v>
      </c>
      <c r="H124" s="3126">
        <v>0.92179999999999995</v>
      </c>
      <c r="I124" s="3126">
        <v>0.81410000000000005</v>
      </c>
      <c r="J124" s="3126">
        <v>0.81410000000000005</v>
      </c>
      <c r="K124" s="3126">
        <v>0.81410000000000005</v>
      </c>
      <c r="L124" s="3126">
        <v>0.81410000000000005</v>
      </c>
      <c r="M124" s="3127">
        <v>0.81410000000000005</v>
      </c>
    </row>
    <row r="125" spans="1:13">
      <c r="A125" s="3128">
        <v>4</v>
      </c>
      <c r="B125" s="3126">
        <v>0.98380000000000001</v>
      </c>
      <c r="C125" s="3126">
        <v>0.98380000000000001</v>
      </c>
      <c r="D125" s="3126">
        <v>0.91859999999999997</v>
      </c>
      <c r="E125" s="3126">
        <v>0.91859999999999997</v>
      </c>
      <c r="F125" s="3126">
        <v>0.91859999999999997</v>
      </c>
      <c r="G125" s="3126">
        <v>0.91859999999999997</v>
      </c>
      <c r="H125" s="3126">
        <v>0.91859999999999997</v>
      </c>
      <c r="I125" s="3126">
        <v>0.80940000000000001</v>
      </c>
      <c r="J125" s="3126">
        <v>0.80940000000000001</v>
      </c>
      <c r="K125" s="3126">
        <v>0.80940000000000001</v>
      </c>
      <c r="L125" s="3126">
        <v>0.80940000000000001</v>
      </c>
      <c r="M125" s="3127">
        <v>0.80940000000000001</v>
      </c>
    </row>
    <row r="126" spans="1:13">
      <c r="A126" s="3128">
        <v>4.0999999999999996</v>
      </c>
      <c r="B126" s="3126">
        <v>0.98099999999999998</v>
      </c>
      <c r="C126" s="3126">
        <v>0.98099999999999998</v>
      </c>
      <c r="D126" s="3126">
        <v>0.91559999999999997</v>
      </c>
      <c r="E126" s="3126">
        <v>0.91559999999999997</v>
      </c>
      <c r="F126" s="3126">
        <v>0.91559999999999997</v>
      </c>
      <c r="G126" s="3126">
        <v>0.91559999999999997</v>
      </c>
      <c r="H126" s="3126">
        <v>0.91559999999999997</v>
      </c>
      <c r="I126" s="3126">
        <v>0.80489999999999995</v>
      </c>
      <c r="J126" s="3126">
        <v>0.80489999999999995</v>
      </c>
      <c r="K126" s="3126">
        <v>0.80489999999999995</v>
      </c>
      <c r="L126" s="3126">
        <v>0.80489999999999995</v>
      </c>
      <c r="M126" s="3127">
        <v>0.80489999999999995</v>
      </c>
    </row>
    <row r="127" spans="1:13">
      <c r="A127" s="3128">
        <v>4.2</v>
      </c>
      <c r="B127" s="3126">
        <v>0.97829999999999995</v>
      </c>
      <c r="C127" s="3126">
        <v>0.97829999999999995</v>
      </c>
      <c r="D127" s="3126">
        <v>0.91269999999999996</v>
      </c>
      <c r="E127" s="3126">
        <v>0.91269999999999996</v>
      </c>
      <c r="F127" s="3126">
        <v>0.91269999999999996</v>
      </c>
      <c r="G127" s="3126">
        <v>0.91269999999999996</v>
      </c>
      <c r="H127" s="3126">
        <v>0.91269999999999996</v>
      </c>
      <c r="I127" s="3126">
        <v>0.80059999999999998</v>
      </c>
      <c r="J127" s="3126">
        <v>0.80059999999999998</v>
      </c>
      <c r="K127" s="3126">
        <v>0.80059999999999998</v>
      </c>
      <c r="L127" s="3126">
        <v>0.80059999999999998</v>
      </c>
      <c r="M127" s="3127">
        <v>0.80059999999999998</v>
      </c>
    </row>
    <row r="128" spans="1:13">
      <c r="A128" s="3128">
        <v>4.3</v>
      </c>
      <c r="B128" s="3126">
        <v>0.97570000000000001</v>
      </c>
      <c r="C128" s="3126">
        <v>0.97570000000000001</v>
      </c>
      <c r="D128" s="3126">
        <v>0.90990000000000004</v>
      </c>
      <c r="E128" s="3126">
        <v>0.90990000000000004</v>
      </c>
      <c r="F128" s="3126">
        <v>0.90990000000000004</v>
      </c>
      <c r="G128" s="3126">
        <v>0.90990000000000004</v>
      </c>
      <c r="H128" s="3126">
        <v>0.90990000000000004</v>
      </c>
      <c r="I128" s="3126">
        <v>0.79649999999999999</v>
      </c>
      <c r="J128" s="3126">
        <v>0.79649999999999999</v>
      </c>
      <c r="K128" s="3126">
        <v>0.79649999999999999</v>
      </c>
      <c r="L128" s="3126">
        <v>0.79649999999999999</v>
      </c>
      <c r="M128" s="3127">
        <v>0.79649999999999999</v>
      </c>
    </row>
    <row r="129" spans="1:13">
      <c r="A129" s="3128">
        <v>4.4000000000000004</v>
      </c>
      <c r="B129" s="3126">
        <v>0.97319999999999995</v>
      </c>
      <c r="C129" s="3126">
        <v>0.97319999999999995</v>
      </c>
      <c r="D129" s="3126">
        <v>0.90720000000000001</v>
      </c>
      <c r="E129" s="3126">
        <v>0.90720000000000001</v>
      </c>
      <c r="F129" s="3126">
        <v>0.90720000000000001</v>
      </c>
      <c r="G129" s="3126">
        <v>0.90720000000000001</v>
      </c>
      <c r="H129" s="3126">
        <v>0.90720000000000001</v>
      </c>
      <c r="I129" s="3126">
        <v>0.79259999999999997</v>
      </c>
      <c r="J129" s="3126">
        <v>0.79259999999999997</v>
      </c>
      <c r="K129" s="3126">
        <v>0.79259999999999997</v>
      </c>
      <c r="L129" s="3126">
        <v>0.79259999999999997</v>
      </c>
      <c r="M129" s="3127">
        <v>0.79259999999999997</v>
      </c>
    </row>
    <row r="130" spans="1:13">
      <c r="A130" s="3128">
        <v>4.5</v>
      </c>
      <c r="B130" s="3126">
        <v>0.9708</v>
      </c>
      <c r="C130" s="3126">
        <v>0.9708</v>
      </c>
      <c r="D130" s="3126">
        <v>0.90459999999999996</v>
      </c>
      <c r="E130" s="3126">
        <v>0.90459999999999996</v>
      </c>
      <c r="F130" s="3126">
        <v>0.90459999999999996</v>
      </c>
      <c r="G130" s="3126">
        <v>0.90459999999999996</v>
      </c>
      <c r="H130" s="3126">
        <v>0.90459999999999996</v>
      </c>
      <c r="I130" s="3126">
        <v>0.78890000000000005</v>
      </c>
      <c r="J130" s="3126">
        <v>0.78890000000000005</v>
      </c>
      <c r="K130" s="3126">
        <v>0.78890000000000005</v>
      </c>
      <c r="L130" s="3126">
        <v>0.78890000000000005</v>
      </c>
      <c r="M130" s="3127">
        <v>0.78890000000000005</v>
      </c>
    </row>
    <row r="131" spans="1:13">
      <c r="A131" s="3128">
        <v>4.5999999999999996</v>
      </c>
      <c r="B131" s="3126">
        <v>0.96850000000000003</v>
      </c>
      <c r="C131" s="3126">
        <v>0.96850000000000003</v>
      </c>
      <c r="D131" s="3126">
        <v>0.90210000000000001</v>
      </c>
      <c r="E131" s="3126">
        <v>0.90210000000000001</v>
      </c>
      <c r="F131" s="3126">
        <v>0.90210000000000001</v>
      </c>
      <c r="G131" s="3126">
        <v>0.90210000000000001</v>
      </c>
      <c r="H131" s="3126">
        <v>0.90210000000000001</v>
      </c>
      <c r="I131" s="3126">
        <v>0.78539999999999999</v>
      </c>
      <c r="J131" s="3126">
        <v>0.78539999999999999</v>
      </c>
      <c r="K131" s="3126">
        <v>0.78539999999999999</v>
      </c>
      <c r="L131" s="3126">
        <v>0.78539999999999999</v>
      </c>
      <c r="M131" s="3127">
        <v>0.78539999999999999</v>
      </c>
    </row>
    <row r="132" spans="1:13">
      <c r="A132" s="3128">
        <v>4.7</v>
      </c>
      <c r="B132" s="3126">
        <v>0.96630000000000005</v>
      </c>
      <c r="C132" s="3126">
        <v>0.96630000000000005</v>
      </c>
      <c r="D132" s="3126">
        <v>0.89959999999999996</v>
      </c>
      <c r="E132" s="3126">
        <v>0.89959999999999996</v>
      </c>
      <c r="F132" s="3126">
        <v>0.89959999999999996</v>
      </c>
      <c r="G132" s="3126">
        <v>0.89959999999999996</v>
      </c>
      <c r="H132" s="3126">
        <v>0.89959999999999996</v>
      </c>
      <c r="I132" s="3126">
        <v>0.78210000000000002</v>
      </c>
      <c r="J132" s="3126">
        <v>0.78210000000000002</v>
      </c>
      <c r="K132" s="3126">
        <v>0.78210000000000002</v>
      </c>
      <c r="L132" s="3126">
        <v>0.78210000000000002</v>
      </c>
      <c r="M132" s="3127">
        <v>0.78210000000000002</v>
      </c>
    </row>
    <row r="133" spans="1:13">
      <c r="A133" s="3128">
        <v>4.8</v>
      </c>
      <c r="B133" s="3126">
        <v>0.96409999999999996</v>
      </c>
      <c r="C133" s="3126">
        <v>0.96409999999999996</v>
      </c>
      <c r="D133" s="3126">
        <v>0.8972</v>
      </c>
      <c r="E133" s="3126">
        <v>0.8972</v>
      </c>
      <c r="F133" s="3126">
        <v>0.8972</v>
      </c>
      <c r="G133" s="3126">
        <v>0.8972</v>
      </c>
      <c r="H133" s="3126">
        <v>0.8972</v>
      </c>
      <c r="I133" s="3126">
        <v>0.77890000000000004</v>
      </c>
      <c r="J133" s="3126">
        <v>0.77890000000000004</v>
      </c>
      <c r="K133" s="3126">
        <v>0.77890000000000004</v>
      </c>
      <c r="L133" s="3126">
        <v>0.77890000000000004</v>
      </c>
      <c r="M133" s="3127">
        <v>0.77890000000000004</v>
      </c>
    </row>
    <row r="134" spans="1:13">
      <c r="A134" s="3128">
        <v>4.9000000000000004</v>
      </c>
      <c r="B134" s="3126">
        <v>0.96199999999999997</v>
      </c>
      <c r="C134" s="3126">
        <v>0.96199999999999997</v>
      </c>
      <c r="D134" s="3126">
        <v>0.89480000000000004</v>
      </c>
      <c r="E134" s="3126">
        <v>0.89480000000000004</v>
      </c>
      <c r="F134" s="3126">
        <v>0.89480000000000004</v>
      </c>
      <c r="G134" s="3126">
        <v>0.89480000000000004</v>
      </c>
      <c r="H134" s="3126">
        <v>0.89480000000000004</v>
      </c>
      <c r="I134" s="3126">
        <v>0.77580000000000005</v>
      </c>
      <c r="J134" s="3126">
        <v>0.77580000000000005</v>
      </c>
      <c r="K134" s="3126">
        <v>0.77580000000000005</v>
      </c>
      <c r="L134" s="3126">
        <v>0.77580000000000005</v>
      </c>
      <c r="M134" s="3127">
        <v>0.77580000000000005</v>
      </c>
    </row>
    <row r="135" spans="1:13">
      <c r="A135" s="3128">
        <v>5</v>
      </c>
      <c r="B135" s="3126">
        <v>0.95989999999999998</v>
      </c>
      <c r="C135" s="3126">
        <v>0.95989999999999998</v>
      </c>
      <c r="D135" s="3126">
        <v>0.89239999999999997</v>
      </c>
      <c r="E135" s="3126">
        <v>0.89239999999999997</v>
      </c>
      <c r="F135" s="3126">
        <v>0.89239999999999997</v>
      </c>
      <c r="G135" s="3126">
        <v>0.89239999999999997</v>
      </c>
      <c r="H135" s="3126">
        <v>0.89239999999999997</v>
      </c>
      <c r="I135" s="3126">
        <v>0.77280000000000004</v>
      </c>
      <c r="J135" s="3126">
        <v>0.77280000000000004</v>
      </c>
      <c r="K135" s="3126">
        <v>0.77280000000000004</v>
      </c>
      <c r="L135" s="3126">
        <v>0.77280000000000004</v>
      </c>
      <c r="M135" s="3127">
        <v>0.77280000000000004</v>
      </c>
    </row>
    <row r="136" spans="1:13">
      <c r="A136" s="3125">
        <v>5.0999999999999996</v>
      </c>
      <c r="B136" s="3126">
        <v>0.95779999999999998</v>
      </c>
      <c r="C136" s="3126">
        <v>0.95779999999999998</v>
      </c>
      <c r="D136" s="3126">
        <v>0.8901</v>
      </c>
      <c r="E136" s="3126">
        <v>0.8901</v>
      </c>
      <c r="F136" s="3126">
        <v>0.8901</v>
      </c>
      <c r="G136" s="3126">
        <v>0.8901</v>
      </c>
      <c r="H136" s="3126">
        <v>0.8901</v>
      </c>
      <c r="I136" s="3126">
        <v>0.76990000000000003</v>
      </c>
      <c r="J136" s="3126">
        <v>0.76990000000000003</v>
      </c>
      <c r="K136" s="3126">
        <v>0.76990000000000003</v>
      </c>
      <c r="L136" s="3126">
        <v>0.76990000000000003</v>
      </c>
      <c r="M136" s="3127">
        <v>0.76990000000000003</v>
      </c>
    </row>
    <row r="137" spans="1:13">
      <c r="A137" s="3125">
        <v>5.2</v>
      </c>
      <c r="B137" s="3126">
        <v>0.95579999999999998</v>
      </c>
      <c r="C137" s="3126">
        <v>0.95579999999999998</v>
      </c>
      <c r="D137" s="3126">
        <v>0.88780000000000003</v>
      </c>
      <c r="E137" s="3126">
        <v>0.88780000000000003</v>
      </c>
      <c r="F137" s="3126">
        <v>0.88780000000000003</v>
      </c>
      <c r="G137" s="3126">
        <v>0.88780000000000003</v>
      </c>
      <c r="H137" s="3126">
        <v>0.88780000000000003</v>
      </c>
      <c r="I137" s="3126">
        <v>0.76700000000000002</v>
      </c>
      <c r="J137" s="3126">
        <v>0.76700000000000002</v>
      </c>
      <c r="K137" s="3126">
        <v>0.76700000000000002</v>
      </c>
      <c r="L137" s="3126">
        <v>0.76700000000000002</v>
      </c>
      <c r="M137" s="3127">
        <v>0.76700000000000002</v>
      </c>
    </row>
    <row r="138" spans="1:13">
      <c r="A138" s="3125">
        <v>5.3</v>
      </c>
      <c r="B138" s="3126">
        <v>0.95379999999999998</v>
      </c>
      <c r="C138" s="3126">
        <v>0.95379999999999998</v>
      </c>
      <c r="D138" s="3126">
        <v>0.88549999999999995</v>
      </c>
      <c r="E138" s="3126">
        <v>0.88549999999999995</v>
      </c>
      <c r="F138" s="3126">
        <v>0.88549999999999995</v>
      </c>
      <c r="G138" s="3126">
        <v>0.88549999999999995</v>
      </c>
      <c r="H138" s="3126">
        <v>0.88549999999999995</v>
      </c>
      <c r="I138" s="3126">
        <v>0.76419999999999999</v>
      </c>
      <c r="J138" s="3126">
        <v>0.76419999999999999</v>
      </c>
      <c r="K138" s="3126">
        <v>0.76419999999999999</v>
      </c>
      <c r="L138" s="3126">
        <v>0.76419999999999999</v>
      </c>
      <c r="M138" s="3127">
        <v>0.76419999999999999</v>
      </c>
    </row>
    <row r="139" spans="1:13">
      <c r="A139" s="3125">
        <v>5.4</v>
      </c>
      <c r="B139" s="3126">
        <v>0.95179999999999998</v>
      </c>
      <c r="C139" s="3126">
        <v>0.95179999999999998</v>
      </c>
      <c r="D139" s="3126">
        <v>0.88329999999999997</v>
      </c>
      <c r="E139" s="3126">
        <v>0.88329999999999997</v>
      </c>
      <c r="F139" s="3126">
        <v>0.88329999999999997</v>
      </c>
      <c r="G139" s="3126">
        <v>0.88329999999999997</v>
      </c>
      <c r="H139" s="3126">
        <v>0.88329999999999997</v>
      </c>
      <c r="I139" s="3126">
        <v>0.76139999999999997</v>
      </c>
      <c r="J139" s="3126">
        <v>0.76139999999999997</v>
      </c>
      <c r="K139" s="3126">
        <v>0.76139999999999997</v>
      </c>
      <c r="L139" s="3126">
        <v>0.76139999999999997</v>
      </c>
      <c r="M139" s="3127">
        <v>0.76139999999999997</v>
      </c>
    </row>
    <row r="140" spans="1:13">
      <c r="A140" s="3125">
        <v>5.5</v>
      </c>
      <c r="B140" s="3126">
        <v>0.94979999999999998</v>
      </c>
      <c r="C140" s="3126">
        <v>0.94979999999999998</v>
      </c>
      <c r="D140" s="3126">
        <v>0.88109999999999999</v>
      </c>
      <c r="E140" s="3126">
        <v>0.88109999999999999</v>
      </c>
      <c r="F140" s="3126">
        <v>0.88109999999999999</v>
      </c>
      <c r="G140" s="3126">
        <v>0.88109999999999999</v>
      </c>
      <c r="H140" s="3126">
        <v>0.88109999999999999</v>
      </c>
      <c r="I140" s="3126">
        <v>0.75860000000000005</v>
      </c>
      <c r="J140" s="3126">
        <v>0.75860000000000005</v>
      </c>
      <c r="K140" s="3126">
        <v>0.75860000000000005</v>
      </c>
      <c r="L140" s="3126">
        <v>0.75860000000000005</v>
      </c>
      <c r="M140" s="3127">
        <v>0.75860000000000005</v>
      </c>
    </row>
    <row r="141" spans="1:13">
      <c r="A141" s="3125">
        <v>5.6</v>
      </c>
      <c r="B141" s="3126">
        <v>0.94789999999999996</v>
      </c>
      <c r="C141" s="3126">
        <v>0.94789999999999996</v>
      </c>
      <c r="D141" s="3126">
        <v>0.87890000000000001</v>
      </c>
      <c r="E141" s="3126">
        <v>0.87890000000000001</v>
      </c>
      <c r="F141" s="3126">
        <v>0.87890000000000001</v>
      </c>
      <c r="G141" s="3126">
        <v>0.87890000000000001</v>
      </c>
      <c r="H141" s="3126">
        <v>0.87890000000000001</v>
      </c>
      <c r="I141" s="3126">
        <v>0.75590000000000002</v>
      </c>
      <c r="J141" s="3126">
        <v>0.75590000000000002</v>
      </c>
      <c r="K141" s="3126">
        <v>0.75590000000000002</v>
      </c>
      <c r="L141" s="3126">
        <v>0.75590000000000002</v>
      </c>
      <c r="M141" s="3127">
        <v>0.75590000000000002</v>
      </c>
    </row>
    <row r="142" spans="1:13">
      <c r="A142" s="3128">
        <v>5.7</v>
      </c>
      <c r="B142" s="3126">
        <v>0.94599999999999995</v>
      </c>
      <c r="C142" s="3126">
        <v>0.94599999999999995</v>
      </c>
      <c r="D142" s="3126">
        <v>0.87670000000000003</v>
      </c>
      <c r="E142" s="3126">
        <v>0.87670000000000003</v>
      </c>
      <c r="F142" s="3126">
        <v>0.87670000000000003</v>
      </c>
      <c r="G142" s="3126">
        <v>0.87670000000000003</v>
      </c>
      <c r="H142" s="3126">
        <v>0.87670000000000003</v>
      </c>
      <c r="I142" s="3126">
        <v>0.75319999999999998</v>
      </c>
      <c r="J142" s="3126">
        <v>0.75319999999999998</v>
      </c>
      <c r="K142" s="3126">
        <v>0.75319999999999998</v>
      </c>
      <c r="L142" s="3126">
        <v>0.75319999999999998</v>
      </c>
      <c r="M142" s="3127">
        <v>0.75319999999999998</v>
      </c>
    </row>
    <row r="143" spans="1:13">
      <c r="A143" s="3125">
        <v>5.8</v>
      </c>
      <c r="B143" s="3126">
        <v>0.94410000000000005</v>
      </c>
      <c r="C143" s="3126">
        <v>0.94410000000000005</v>
      </c>
      <c r="D143" s="3126">
        <v>0.87460000000000004</v>
      </c>
      <c r="E143" s="3126">
        <v>0.87460000000000004</v>
      </c>
      <c r="F143" s="3126">
        <v>0.87460000000000004</v>
      </c>
      <c r="G143" s="3126">
        <v>0.87460000000000004</v>
      </c>
      <c r="H143" s="3126">
        <v>0.87460000000000004</v>
      </c>
      <c r="I143" s="3126">
        <v>0.75049999999999994</v>
      </c>
      <c r="J143" s="3126">
        <v>0.75049999999999994</v>
      </c>
      <c r="K143" s="3126">
        <v>0.75049999999999994</v>
      </c>
      <c r="L143" s="3126">
        <v>0.75049999999999994</v>
      </c>
      <c r="M143" s="3127">
        <v>0.75049999999999994</v>
      </c>
    </row>
    <row r="144" spans="1:13">
      <c r="A144" s="3125">
        <v>5.9</v>
      </c>
      <c r="B144" s="3126">
        <v>0.94220000000000004</v>
      </c>
      <c r="C144" s="3126">
        <v>0.94220000000000004</v>
      </c>
      <c r="D144" s="3126">
        <v>0.87250000000000005</v>
      </c>
      <c r="E144" s="3126">
        <v>0.87250000000000005</v>
      </c>
      <c r="F144" s="3126">
        <v>0.87250000000000005</v>
      </c>
      <c r="G144" s="3126">
        <v>0.87250000000000005</v>
      </c>
      <c r="H144" s="3126">
        <v>0.87250000000000005</v>
      </c>
      <c r="I144" s="3126">
        <v>0.74780000000000002</v>
      </c>
      <c r="J144" s="3126">
        <v>0.74780000000000002</v>
      </c>
      <c r="K144" s="3126">
        <v>0.74780000000000002</v>
      </c>
      <c r="L144" s="3126">
        <v>0.74780000000000002</v>
      </c>
      <c r="M144" s="3127">
        <v>0.74780000000000002</v>
      </c>
    </row>
    <row r="145" spans="1:13">
      <c r="A145" s="3125">
        <v>6</v>
      </c>
      <c r="B145" s="3126">
        <v>0.94040000000000001</v>
      </c>
      <c r="C145" s="3126">
        <v>0.94040000000000001</v>
      </c>
      <c r="D145" s="3126">
        <v>0.87039999999999995</v>
      </c>
      <c r="E145" s="3126">
        <v>0.87039999999999995</v>
      </c>
      <c r="F145" s="3126">
        <v>0.87039999999999995</v>
      </c>
      <c r="G145" s="3126">
        <v>0.87039999999999995</v>
      </c>
      <c r="H145" s="3126">
        <v>0.87039999999999995</v>
      </c>
      <c r="I145" s="3126">
        <v>0.74519999999999997</v>
      </c>
      <c r="J145" s="3126">
        <v>0.74519999999999997</v>
      </c>
      <c r="K145" s="3126">
        <v>0.74519999999999997</v>
      </c>
      <c r="L145" s="3126">
        <v>0.74519999999999997</v>
      </c>
      <c r="M145" s="3127">
        <v>0.74519999999999997</v>
      </c>
    </row>
    <row r="146" spans="1:13">
      <c r="A146" s="3125">
        <v>6.1</v>
      </c>
      <c r="B146" s="3126">
        <v>0.93859999999999999</v>
      </c>
      <c r="C146" s="3126">
        <v>0.93859999999999999</v>
      </c>
      <c r="D146" s="3126">
        <v>0.86829999999999996</v>
      </c>
      <c r="E146" s="3126">
        <v>0.86829999999999996</v>
      </c>
      <c r="F146" s="3126">
        <v>0.86829999999999996</v>
      </c>
      <c r="G146" s="3126">
        <v>0.86829999999999996</v>
      </c>
      <c r="H146" s="3126">
        <v>0.86829999999999996</v>
      </c>
      <c r="I146" s="3126">
        <v>0.74260000000000004</v>
      </c>
      <c r="J146" s="3126">
        <v>0.74260000000000004</v>
      </c>
      <c r="K146" s="3126">
        <v>0.74260000000000004</v>
      </c>
      <c r="L146" s="3126">
        <v>0.74260000000000004</v>
      </c>
      <c r="M146" s="3127">
        <v>0.74260000000000004</v>
      </c>
    </row>
    <row r="147" spans="1:13">
      <c r="A147" s="3125">
        <v>6.2</v>
      </c>
      <c r="B147" s="3126">
        <v>0.93679999999999997</v>
      </c>
      <c r="C147" s="3126">
        <v>0.93679999999999997</v>
      </c>
      <c r="D147" s="3126">
        <v>0.86619999999999997</v>
      </c>
      <c r="E147" s="3126">
        <v>0.86619999999999997</v>
      </c>
      <c r="F147" s="3126">
        <v>0.86619999999999997</v>
      </c>
      <c r="G147" s="3126">
        <v>0.86619999999999997</v>
      </c>
      <c r="H147" s="3126">
        <v>0.86619999999999997</v>
      </c>
      <c r="I147" s="3126">
        <v>0.74</v>
      </c>
      <c r="J147" s="3126">
        <v>0.74</v>
      </c>
      <c r="K147" s="3126">
        <v>0.74</v>
      </c>
      <c r="L147" s="3126">
        <v>0.74</v>
      </c>
      <c r="M147" s="3127">
        <v>0.74</v>
      </c>
    </row>
    <row r="148" spans="1:13">
      <c r="A148" s="3125">
        <v>6.3</v>
      </c>
      <c r="B148" s="3126">
        <v>0.93500000000000005</v>
      </c>
      <c r="C148" s="3126">
        <v>0.93500000000000005</v>
      </c>
      <c r="D148" s="3126">
        <v>0.86409999999999998</v>
      </c>
      <c r="E148" s="3126">
        <v>0.86409999999999998</v>
      </c>
      <c r="F148" s="3126">
        <v>0.86409999999999998</v>
      </c>
      <c r="G148" s="3126">
        <v>0.86409999999999998</v>
      </c>
      <c r="H148" s="3126">
        <v>0.86409999999999998</v>
      </c>
      <c r="I148" s="3126">
        <v>0.73740000000000006</v>
      </c>
      <c r="J148" s="3126">
        <v>0.73740000000000006</v>
      </c>
      <c r="K148" s="3126">
        <v>0.73740000000000006</v>
      </c>
      <c r="L148" s="3126">
        <v>0.73740000000000006</v>
      </c>
      <c r="M148" s="3127">
        <v>0.73740000000000006</v>
      </c>
    </row>
    <row r="149" spans="1:13">
      <c r="A149" s="3125">
        <v>6.4</v>
      </c>
      <c r="B149" s="3126">
        <v>0.93320000000000003</v>
      </c>
      <c r="C149" s="3126">
        <v>0.93320000000000003</v>
      </c>
      <c r="D149" s="3126">
        <v>0.86209999999999998</v>
      </c>
      <c r="E149" s="3126">
        <v>0.86209999999999998</v>
      </c>
      <c r="F149" s="3126">
        <v>0.86209999999999998</v>
      </c>
      <c r="G149" s="3126">
        <v>0.86209999999999998</v>
      </c>
      <c r="H149" s="3126">
        <v>0.86209999999999998</v>
      </c>
      <c r="I149" s="3126">
        <v>0.73480000000000001</v>
      </c>
      <c r="J149" s="3126">
        <v>0.73480000000000001</v>
      </c>
      <c r="K149" s="3126">
        <v>0.73480000000000001</v>
      </c>
      <c r="L149" s="3126">
        <v>0.73480000000000001</v>
      </c>
      <c r="M149" s="3127">
        <v>0.73480000000000001</v>
      </c>
    </row>
    <row r="150" spans="1:13">
      <c r="A150" s="3125">
        <v>6.5</v>
      </c>
      <c r="B150" s="3126">
        <v>0.93149999999999999</v>
      </c>
      <c r="C150" s="3126">
        <v>0.93149999999999999</v>
      </c>
      <c r="D150" s="3126">
        <v>0.86009999999999998</v>
      </c>
      <c r="E150" s="3126">
        <v>0.86009999999999998</v>
      </c>
      <c r="F150" s="3126">
        <v>0.86009999999999998</v>
      </c>
      <c r="G150" s="3126">
        <v>0.86009999999999998</v>
      </c>
      <c r="H150" s="3126">
        <v>0.86009999999999998</v>
      </c>
      <c r="I150" s="3126">
        <v>0.73229999999999995</v>
      </c>
      <c r="J150" s="3126">
        <v>0.73229999999999995</v>
      </c>
      <c r="K150" s="3126">
        <v>0.73229999999999995</v>
      </c>
      <c r="L150" s="3126">
        <v>0.73229999999999995</v>
      </c>
      <c r="M150" s="3127">
        <v>0.73229999999999995</v>
      </c>
    </row>
    <row r="151" spans="1:13">
      <c r="A151" s="3125">
        <v>6.6</v>
      </c>
      <c r="B151" s="3126">
        <v>0.92979999999999996</v>
      </c>
      <c r="C151" s="3126">
        <v>0.92979999999999996</v>
      </c>
      <c r="D151" s="3126">
        <v>0.85809999999999997</v>
      </c>
      <c r="E151" s="3126">
        <v>0.85809999999999997</v>
      </c>
      <c r="F151" s="3126">
        <v>0.85809999999999997</v>
      </c>
      <c r="G151" s="3126">
        <v>0.85809999999999997</v>
      </c>
      <c r="H151" s="3126">
        <v>0.85809999999999997</v>
      </c>
      <c r="I151" s="3126">
        <v>0.7298</v>
      </c>
      <c r="J151" s="3126">
        <v>0.7298</v>
      </c>
      <c r="K151" s="3126">
        <v>0.7298</v>
      </c>
      <c r="L151" s="3126">
        <v>0.7298</v>
      </c>
      <c r="M151" s="3127">
        <v>0.7298</v>
      </c>
    </row>
    <row r="152" spans="1:13">
      <c r="A152" s="3125">
        <v>6.7</v>
      </c>
      <c r="B152" s="3126">
        <v>0.92810000000000004</v>
      </c>
      <c r="C152" s="3126">
        <v>0.92810000000000004</v>
      </c>
      <c r="D152" s="3126">
        <v>0.85609999999999997</v>
      </c>
      <c r="E152" s="3126">
        <v>0.85609999999999997</v>
      </c>
      <c r="F152" s="3126">
        <v>0.85609999999999997</v>
      </c>
      <c r="G152" s="3126">
        <v>0.85609999999999997</v>
      </c>
      <c r="H152" s="3126">
        <v>0.85609999999999997</v>
      </c>
      <c r="I152" s="3126">
        <v>0.72729999999999995</v>
      </c>
      <c r="J152" s="3126">
        <v>0.72729999999999995</v>
      </c>
      <c r="K152" s="3126">
        <v>0.72729999999999995</v>
      </c>
      <c r="L152" s="3126">
        <v>0.72729999999999995</v>
      </c>
      <c r="M152" s="3127">
        <v>0.72729999999999995</v>
      </c>
    </row>
    <row r="153" spans="1:13">
      <c r="A153" s="3125">
        <v>6.8</v>
      </c>
      <c r="B153" s="3126">
        <v>0.9264</v>
      </c>
      <c r="C153" s="3126">
        <v>0.9264</v>
      </c>
      <c r="D153" s="3126">
        <v>0.85409999999999997</v>
      </c>
      <c r="E153" s="3126">
        <v>0.85409999999999997</v>
      </c>
      <c r="F153" s="3126">
        <v>0.85409999999999997</v>
      </c>
      <c r="G153" s="3126">
        <v>0.85409999999999997</v>
      </c>
      <c r="H153" s="3126">
        <v>0.85409999999999997</v>
      </c>
      <c r="I153" s="3126">
        <v>0.7248</v>
      </c>
      <c r="J153" s="3126">
        <v>0.7248</v>
      </c>
      <c r="K153" s="3126">
        <v>0.7248</v>
      </c>
      <c r="L153" s="3126">
        <v>0.7248</v>
      </c>
      <c r="M153" s="3127">
        <v>0.7248</v>
      </c>
    </row>
    <row r="154" spans="1:13">
      <c r="A154" s="3125">
        <v>6.9</v>
      </c>
      <c r="B154" s="3126">
        <v>0.92469999999999997</v>
      </c>
      <c r="C154" s="3126">
        <v>0.92469999999999997</v>
      </c>
      <c r="D154" s="3126">
        <v>0.85209999999999997</v>
      </c>
      <c r="E154" s="3126">
        <v>0.85209999999999997</v>
      </c>
      <c r="F154" s="3126">
        <v>0.85209999999999997</v>
      </c>
      <c r="G154" s="3126">
        <v>0.85209999999999997</v>
      </c>
      <c r="H154" s="3126">
        <v>0.85209999999999997</v>
      </c>
      <c r="I154" s="3126">
        <v>0.72230000000000005</v>
      </c>
      <c r="J154" s="3126">
        <v>0.72230000000000005</v>
      </c>
      <c r="K154" s="3126">
        <v>0.72230000000000005</v>
      </c>
      <c r="L154" s="3126">
        <v>0.72230000000000005</v>
      </c>
      <c r="M154" s="3127">
        <v>0.72230000000000005</v>
      </c>
    </row>
    <row r="155" spans="1:13">
      <c r="A155" s="3125">
        <v>7</v>
      </c>
      <c r="B155" s="3126">
        <v>0.92300000000000004</v>
      </c>
      <c r="C155" s="3126">
        <v>0.92300000000000004</v>
      </c>
      <c r="D155" s="3126">
        <v>0.85019999999999996</v>
      </c>
      <c r="E155" s="3126">
        <v>0.85019999999999996</v>
      </c>
      <c r="F155" s="3126">
        <v>0.85019999999999996</v>
      </c>
      <c r="G155" s="3126">
        <v>0.85019999999999996</v>
      </c>
      <c r="H155" s="3126">
        <v>0.85019999999999996</v>
      </c>
      <c r="I155" s="3126">
        <v>0.71989999999999998</v>
      </c>
      <c r="J155" s="3126">
        <v>0.71989999999999998</v>
      </c>
      <c r="K155" s="3126">
        <v>0.71989999999999998</v>
      </c>
      <c r="L155" s="3126">
        <v>0.71989999999999998</v>
      </c>
      <c r="M155" s="3127">
        <v>0.71989999999999998</v>
      </c>
    </row>
    <row r="156" spans="1:13">
      <c r="A156" s="3125">
        <v>7.1</v>
      </c>
      <c r="B156" s="3126">
        <v>0.9214</v>
      </c>
      <c r="C156" s="3126">
        <v>0.9214</v>
      </c>
      <c r="D156" s="3126">
        <v>0.84830000000000005</v>
      </c>
      <c r="E156" s="3126">
        <v>0.84830000000000005</v>
      </c>
      <c r="F156" s="3126">
        <v>0.84830000000000005</v>
      </c>
      <c r="G156" s="3126">
        <v>0.84830000000000005</v>
      </c>
      <c r="H156" s="3126">
        <v>0.84830000000000005</v>
      </c>
      <c r="I156" s="3126">
        <v>0.71750000000000003</v>
      </c>
      <c r="J156" s="3126">
        <v>0.71750000000000003</v>
      </c>
      <c r="K156" s="3126">
        <v>0.71750000000000003</v>
      </c>
      <c r="L156" s="3126">
        <v>0.71750000000000003</v>
      </c>
      <c r="M156" s="3127">
        <v>0.71750000000000003</v>
      </c>
    </row>
    <row r="157" spans="1:13">
      <c r="A157" s="3125">
        <v>7.2</v>
      </c>
      <c r="B157" s="3126">
        <v>0.91979999999999995</v>
      </c>
      <c r="C157" s="3126">
        <v>0.91979999999999995</v>
      </c>
      <c r="D157" s="3126">
        <v>0.84640000000000004</v>
      </c>
      <c r="E157" s="3126">
        <v>0.84640000000000004</v>
      </c>
      <c r="F157" s="3126">
        <v>0.84640000000000004</v>
      </c>
      <c r="G157" s="3126">
        <v>0.84640000000000004</v>
      </c>
      <c r="H157" s="3126">
        <v>0.84640000000000004</v>
      </c>
      <c r="I157" s="3126">
        <v>0.71509999999999996</v>
      </c>
      <c r="J157" s="3126">
        <v>0.71509999999999996</v>
      </c>
      <c r="K157" s="3126">
        <v>0.71509999999999996</v>
      </c>
      <c r="L157" s="3126">
        <v>0.71509999999999996</v>
      </c>
      <c r="M157" s="3127">
        <v>0.71509999999999996</v>
      </c>
    </row>
    <row r="158" spans="1:13">
      <c r="A158" s="3125">
        <v>7.3</v>
      </c>
      <c r="B158" s="3126">
        <v>0.91820000000000002</v>
      </c>
      <c r="C158" s="3126">
        <v>0.91820000000000002</v>
      </c>
      <c r="D158" s="3126">
        <v>0.84450000000000003</v>
      </c>
      <c r="E158" s="3126">
        <v>0.84450000000000003</v>
      </c>
      <c r="F158" s="3126">
        <v>0.84450000000000003</v>
      </c>
      <c r="G158" s="3126">
        <v>0.84450000000000003</v>
      </c>
      <c r="H158" s="3126">
        <v>0.84450000000000003</v>
      </c>
      <c r="I158" s="3126">
        <v>0.7127</v>
      </c>
      <c r="J158" s="3126">
        <v>0.7127</v>
      </c>
      <c r="K158" s="3126">
        <v>0.7127</v>
      </c>
      <c r="L158" s="3126">
        <v>0.7127</v>
      </c>
      <c r="M158" s="3127">
        <v>0.7127</v>
      </c>
    </row>
    <row r="159" spans="1:13">
      <c r="A159" s="3125">
        <v>7.4</v>
      </c>
      <c r="B159" s="3126">
        <v>0.91659999999999997</v>
      </c>
      <c r="C159" s="3126">
        <v>0.91659999999999997</v>
      </c>
      <c r="D159" s="3126">
        <v>0.84260000000000002</v>
      </c>
      <c r="E159" s="3126">
        <v>0.84260000000000002</v>
      </c>
      <c r="F159" s="3126">
        <v>0.84260000000000002</v>
      </c>
      <c r="G159" s="3126">
        <v>0.84260000000000002</v>
      </c>
      <c r="H159" s="3126">
        <v>0.84260000000000002</v>
      </c>
      <c r="I159" s="3126">
        <v>0.71030000000000004</v>
      </c>
      <c r="J159" s="3126">
        <v>0.71030000000000004</v>
      </c>
      <c r="K159" s="3126">
        <v>0.71030000000000004</v>
      </c>
      <c r="L159" s="3126">
        <v>0.71030000000000004</v>
      </c>
      <c r="M159" s="3127">
        <v>0.71030000000000004</v>
      </c>
    </row>
    <row r="160" spans="1:13">
      <c r="A160" s="3125">
        <v>7.5</v>
      </c>
      <c r="B160" s="3126">
        <v>0.91500000000000004</v>
      </c>
      <c r="C160" s="3126">
        <v>0.91500000000000004</v>
      </c>
      <c r="D160" s="3126">
        <v>0.8407</v>
      </c>
      <c r="E160" s="3126">
        <v>0.8407</v>
      </c>
      <c r="F160" s="3126">
        <v>0.8407</v>
      </c>
      <c r="G160" s="3126">
        <v>0.8407</v>
      </c>
      <c r="H160" s="3126">
        <v>0.8407</v>
      </c>
      <c r="I160" s="3126">
        <v>0.70799999999999996</v>
      </c>
      <c r="J160" s="3126">
        <v>0.70799999999999996</v>
      </c>
      <c r="K160" s="3126">
        <v>0.70799999999999996</v>
      </c>
      <c r="L160" s="3126">
        <v>0.70799999999999996</v>
      </c>
      <c r="M160" s="3127">
        <v>0.70799999999999996</v>
      </c>
    </row>
    <row r="161" spans="1:13">
      <c r="A161" s="3125">
        <v>7.6</v>
      </c>
      <c r="B161" s="3126">
        <v>0.91339999999999999</v>
      </c>
      <c r="C161" s="3126">
        <v>0.91339999999999999</v>
      </c>
      <c r="D161" s="3126">
        <v>0.83889999999999998</v>
      </c>
      <c r="E161" s="3126">
        <v>0.83889999999999998</v>
      </c>
      <c r="F161" s="3126">
        <v>0.83889999999999998</v>
      </c>
      <c r="G161" s="3126">
        <v>0.83889999999999998</v>
      </c>
      <c r="H161" s="3126">
        <v>0.83889999999999998</v>
      </c>
      <c r="I161" s="3126">
        <v>0.70569999999999999</v>
      </c>
      <c r="J161" s="3126">
        <v>0.70569999999999999</v>
      </c>
      <c r="K161" s="3126">
        <v>0.70569999999999999</v>
      </c>
      <c r="L161" s="3126">
        <v>0.70569999999999999</v>
      </c>
      <c r="M161" s="3127">
        <v>0.70569999999999999</v>
      </c>
    </row>
    <row r="162" spans="1:13">
      <c r="A162" s="3125">
        <v>7.7</v>
      </c>
      <c r="B162" s="3126">
        <v>0.91190000000000004</v>
      </c>
      <c r="C162" s="3126">
        <v>0.91190000000000004</v>
      </c>
      <c r="D162" s="3126">
        <v>0.83709999999999996</v>
      </c>
      <c r="E162" s="3126">
        <v>0.83709999999999996</v>
      </c>
      <c r="F162" s="3126">
        <v>0.83709999999999996</v>
      </c>
      <c r="G162" s="3126">
        <v>0.83709999999999996</v>
      </c>
      <c r="H162" s="3126">
        <v>0.83709999999999996</v>
      </c>
      <c r="I162" s="3126">
        <v>0.70340000000000003</v>
      </c>
      <c r="J162" s="3126">
        <v>0.70340000000000003</v>
      </c>
      <c r="K162" s="3126">
        <v>0.70340000000000003</v>
      </c>
      <c r="L162" s="3126">
        <v>0.70340000000000003</v>
      </c>
      <c r="M162" s="3127">
        <v>0.70340000000000003</v>
      </c>
    </row>
    <row r="163" spans="1:13">
      <c r="A163" s="3125">
        <v>7.8</v>
      </c>
      <c r="B163" s="3126">
        <v>0.91039999999999999</v>
      </c>
      <c r="C163" s="3126">
        <v>0.91039999999999999</v>
      </c>
      <c r="D163" s="3126">
        <v>0.83530000000000004</v>
      </c>
      <c r="E163" s="3126">
        <v>0.83530000000000004</v>
      </c>
      <c r="F163" s="3126">
        <v>0.83530000000000004</v>
      </c>
      <c r="G163" s="3126">
        <v>0.83530000000000004</v>
      </c>
      <c r="H163" s="3126">
        <v>0.83530000000000004</v>
      </c>
      <c r="I163" s="3126">
        <v>0.70109999999999995</v>
      </c>
      <c r="J163" s="3126">
        <v>0.70109999999999995</v>
      </c>
      <c r="K163" s="3126">
        <v>0.70109999999999995</v>
      </c>
      <c r="L163" s="3126">
        <v>0.70109999999999995</v>
      </c>
      <c r="M163" s="3127">
        <v>0.70109999999999995</v>
      </c>
    </row>
    <row r="164" spans="1:13">
      <c r="A164" s="3125">
        <v>7.9</v>
      </c>
      <c r="B164" s="3126">
        <v>0.90890000000000004</v>
      </c>
      <c r="C164" s="3126">
        <v>0.90890000000000004</v>
      </c>
      <c r="D164" s="3126">
        <v>0.83350000000000002</v>
      </c>
      <c r="E164" s="3126">
        <v>0.83350000000000002</v>
      </c>
      <c r="F164" s="3126">
        <v>0.83350000000000002</v>
      </c>
      <c r="G164" s="3126">
        <v>0.83350000000000002</v>
      </c>
      <c r="H164" s="3126">
        <v>0.83350000000000002</v>
      </c>
      <c r="I164" s="3126">
        <v>0.69879999999999998</v>
      </c>
      <c r="J164" s="3126">
        <v>0.69879999999999998</v>
      </c>
      <c r="K164" s="3126">
        <v>0.69879999999999998</v>
      </c>
      <c r="L164" s="3126">
        <v>0.69879999999999998</v>
      </c>
      <c r="M164" s="3127">
        <v>0.69879999999999998</v>
      </c>
    </row>
    <row r="165" spans="1:13">
      <c r="A165" s="3125">
        <v>8</v>
      </c>
      <c r="B165" s="3126">
        <v>0.90739999999999998</v>
      </c>
      <c r="C165" s="3126">
        <v>0.90739999999999998</v>
      </c>
      <c r="D165" s="3126">
        <v>0.83169999999999999</v>
      </c>
      <c r="E165" s="3126">
        <v>0.83169999999999999</v>
      </c>
      <c r="F165" s="3126">
        <v>0.83169999999999999</v>
      </c>
      <c r="G165" s="3126">
        <v>0.83169999999999999</v>
      </c>
      <c r="H165" s="3126">
        <v>0.83169999999999999</v>
      </c>
      <c r="I165" s="3126">
        <v>0.6966</v>
      </c>
      <c r="J165" s="3126">
        <v>0.6966</v>
      </c>
      <c r="K165" s="3126">
        <v>0.6966</v>
      </c>
      <c r="L165" s="3126">
        <v>0.6966</v>
      </c>
      <c r="M165" s="3127">
        <v>0.6966</v>
      </c>
    </row>
    <row r="166" spans="1:13">
      <c r="A166" s="3125">
        <v>8.1</v>
      </c>
      <c r="B166" s="3126">
        <v>0.90590000000000004</v>
      </c>
      <c r="C166" s="3126">
        <v>0.90590000000000004</v>
      </c>
      <c r="D166" s="3126">
        <v>0.82989999999999997</v>
      </c>
      <c r="E166" s="3126">
        <v>0.82989999999999997</v>
      </c>
      <c r="F166" s="3126">
        <v>0.82989999999999997</v>
      </c>
      <c r="G166" s="3126">
        <v>0.82989999999999997</v>
      </c>
      <c r="H166" s="3126">
        <v>0.82989999999999997</v>
      </c>
      <c r="I166" s="3126">
        <v>0.69440000000000002</v>
      </c>
      <c r="J166" s="3126">
        <v>0.69440000000000002</v>
      </c>
      <c r="K166" s="3126">
        <v>0.69440000000000002</v>
      </c>
      <c r="L166" s="3126">
        <v>0.69440000000000002</v>
      </c>
      <c r="M166" s="3127">
        <v>0.69440000000000002</v>
      </c>
    </row>
    <row r="167" spans="1:13">
      <c r="A167" s="3125">
        <v>8.1999999999999993</v>
      </c>
      <c r="B167" s="3126">
        <v>0.90439999999999998</v>
      </c>
      <c r="C167" s="3126">
        <v>0.90439999999999998</v>
      </c>
      <c r="D167" s="3126">
        <v>0.82820000000000005</v>
      </c>
      <c r="E167" s="3126">
        <v>0.82820000000000005</v>
      </c>
      <c r="F167" s="3126">
        <v>0.82820000000000005</v>
      </c>
      <c r="G167" s="3126">
        <v>0.82820000000000005</v>
      </c>
      <c r="H167" s="3126">
        <v>0.82820000000000005</v>
      </c>
      <c r="I167" s="3126">
        <v>0.69220000000000004</v>
      </c>
      <c r="J167" s="3126">
        <v>0.69220000000000004</v>
      </c>
      <c r="K167" s="3126">
        <v>0.69220000000000004</v>
      </c>
      <c r="L167" s="3126">
        <v>0.69220000000000004</v>
      </c>
      <c r="M167" s="3127">
        <v>0.69220000000000004</v>
      </c>
    </row>
    <row r="168" spans="1:13">
      <c r="A168" s="3125">
        <v>8.3000000000000007</v>
      </c>
      <c r="B168" s="3126">
        <v>0.90300000000000002</v>
      </c>
      <c r="C168" s="3126">
        <v>0.90300000000000002</v>
      </c>
      <c r="D168" s="3126">
        <v>0.82650000000000001</v>
      </c>
      <c r="E168" s="3126">
        <v>0.82650000000000001</v>
      </c>
      <c r="F168" s="3126">
        <v>0.82650000000000001</v>
      </c>
      <c r="G168" s="3126">
        <v>0.82650000000000001</v>
      </c>
      <c r="H168" s="3126">
        <v>0.82650000000000001</v>
      </c>
      <c r="I168" s="3126">
        <v>0.69</v>
      </c>
      <c r="J168" s="3126">
        <v>0.69</v>
      </c>
      <c r="K168" s="3126">
        <v>0.69</v>
      </c>
      <c r="L168" s="3126">
        <v>0.69</v>
      </c>
      <c r="M168" s="3127">
        <v>0.69</v>
      </c>
    </row>
    <row r="169" spans="1:13">
      <c r="A169" s="3125">
        <v>8.4</v>
      </c>
      <c r="B169" s="3126">
        <v>0.90159999999999996</v>
      </c>
      <c r="C169" s="3126">
        <v>0.90159999999999996</v>
      </c>
      <c r="D169" s="3126">
        <v>0.82479999999999998</v>
      </c>
      <c r="E169" s="3126">
        <v>0.82479999999999998</v>
      </c>
      <c r="F169" s="3126">
        <v>0.82479999999999998</v>
      </c>
      <c r="G169" s="3126">
        <v>0.82479999999999998</v>
      </c>
      <c r="H169" s="3126">
        <v>0.82479999999999998</v>
      </c>
      <c r="I169" s="3126">
        <v>0.68779999999999997</v>
      </c>
      <c r="J169" s="3126">
        <v>0.68779999999999997</v>
      </c>
      <c r="K169" s="3126">
        <v>0.68779999999999997</v>
      </c>
      <c r="L169" s="3126">
        <v>0.68779999999999997</v>
      </c>
      <c r="M169" s="3127">
        <v>0.68779999999999997</v>
      </c>
    </row>
    <row r="170" spans="1:13">
      <c r="A170" s="3125">
        <v>8.5</v>
      </c>
      <c r="B170" s="3126">
        <v>0.9002</v>
      </c>
      <c r="C170" s="3126">
        <v>0.9002</v>
      </c>
      <c r="D170" s="3126">
        <v>0.82310000000000005</v>
      </c>
      <c r="E170" s="3126">
        <v>0.82310000000000005</v>
      </c>
      <c r="F170" s="3126">
        <v>0.82310000000000005</v>
      </c>
      <c r="G170" s="3126">
        <v>0.82310000000000005</v>
      </c>
      <c r="H170" s="3126">
        <v>0.82310000000000005</v>
      </c>
      <c r="I170" s="3126">
        <v>0.68569999999999998</v>
      </c>
      <c r="J170" s="3126">
        <v>0.68569999999999998</v>
      </c>
      <c r="K170" s="3126">
        <v>0.68569999999999998</v>
      </c>
      <c r="L170" s="3126">
        <v>0.68569999999999998</v>
      </c>
      <c r="M170" s="3127">
        <v>0.68569999999999998</v>
      </c>
    </row>
    <row r="171" spans="1:13">
      <c r="A171" s="3125">
        <v>8.6</v>
      </c>
      <c r="B171" s="3126">
        <v>0.89880000000000004</v>
      </c>
      <c r="C171" s="3126">
        <v>0.89880000000000004</v>
      </c>
      <c r="D171" s="3126">
        <v>0.82140000000000002</v>
      </c>
      <c r="E171" s="3126">
        <v>0.82140000000000002</v>
      </c>
      <c r="F171" s="3126">
        <v>0.82140000000000002</v>
      </c>
      <c r="G171" s="3126">
        <v>0.82140000000000002</v>
      </c>
      <c r="H171" s="3126">
        <v>0.82140000000000002</v>
      </c>
      <c r="I171" s="3126">
        <v>0.68359999999999999</v>
      </c>
      <c r="J171" s="3126">
        <v>0.68359999999999999</v>
      </c>
      <c r="K171" s="3126">
        <v>0.68359999999999999</v>
      </c>
      <c r="L171" s="3126">
        <v>0.68359999999999999</v>
      </c>
      <c r="M171" s="3127">
        <v>0.68359999999999999</v>
      </c>
    </row>
    <row r="172" spans="1:13">
      <c r="A172" s="3125">
        <v>8.6999999999999993</v>
      </c>
      <c r="B172" s="3126">
        <v>0.89739999999999998</v>
      </c>
      <c r="C172" s="3126">
        <v>0.89739999999999998</v>
      </c>
      <c r="D172" s="3126">
        <v>0.81969999999999998</v>
      </c>
      <c r="E172" s="3126">
        <v>0.81969999999999998</v>
      </c>
      <c r="F172" s="3126">
        <v>0.81969999999999998</v>
      </c>
      <c r="G172" s="3126">
        <v>0.81969999999999998</v>
      </c>
      <c r="H172" s="3126">
        <v>0.81969999999999998</v>
      </c>
      <c r="I172" s="3126">
        <v>0.68149999999999999</v>
      </c>
      <c r="J172" s="3126">
        <v>0.68149999999999999</v>
      </c>
      <c r="K172" s="3126">
        <v>0.68149999999999999</v>
      </c>
      <c r="L172" s="3126">
        <v>0.68149999999999999</v>
      </c>
      <c r="M172" s="3127">
        <v>0.68149999999999999</v>
      </c>
    </row>
    <row r="173" spans="1:13">
      <c r="A173" s="3125">
        <v>8.8000000000000007</v>
      </c>
      <c r="B173" s="3126">
        <v>0.89600000000000002</v>
      </c>
      <c r="C173" s="3126">
        <v>0.89600000000000002</v>
      </c>
      <c r="D173" s="3126">
        <v>0.81810000000000005</v>
      </c>
      <c r="E173" s="3126">
        <v>0.81810000000000005</v>
      </c>
      <c r="F173" s="3126">
        <v>0.81810000000000005</v>
      </c>
      <c r="G173" s="3126">
        <v>0.81810000000000005</v>
      </c>
      <c r="H173" s="3126">
        <v>0.81810000000000005</v>
      </c>
      <c r="I173" s="3126">
        <v>0.6794</v>
      </c>
      <c r="J173" s="3126">
        <v>0.6794</v>
      </c>
      <c r="K173" s="3126">
        <v>0.6794</v>
      </c>
      <c r="L173" s="3126">
        <v>0.6794</v>
      </c>
      <c r="M173" s="3127">
        <v>0.6794</v>
      </c>
    </row>
    <row r="174" spans="1:13">
      <c r="A174" s="3125">
        <v>8.9</v>
      </c>
      <c r="B174" s="3126">
        <v>0.89470000000000005</v>
      </c>
      <c r="C174" s="3126">
        <v>0.89470000000000005</v>
      </c>
      <c r="D174" s="3126">
        <v>0.8165</v>
      </c>
      <c r="E174" s="3126">
        <v>0.8165</v>
      </c>
      <c r="F174" s="3126">
        <v>0.8165</v>
      </c>
      <c r="G174" s="3126">
        <v>0.8165</v>
      </c>
      <c r="H174" s="3126">
        <v>0.8165</v>
      </c>
      <c r="I174" s="3126">
        <v>0.6774</v>
      </c>
      <c r="J174" s="3126">
        <v>0.6774</v>
      </c>
      <c r="K174" s="3126">
        <v>0.6774</v>
      </c>
      <c r="L174" s="3126">
        <v>0.6774</v>
      </c>
      <c r="M174" s="3127">
        <v>0.6774</v>
      </c>
    </row>
    <row r="175" spans="1:13">
      <c r="A175" s="3128">
        <v>9</v>
      </c>
      <c r="B175" s="3126">
        <v>0.89339999999999997</v>
      </c>
      <c r="C175" s="3126">
        <v>0.89339999999999997</v>
      </c>
      <c r="D175" s="3126">
        <v>0.81489999999999996</v>
      </c>
      <c r="E175" s="3126">
        <v>0.81489999999999996</v>
      </c>
      <c r="F175" s="3126">
        <v>0.81489999999999996</v>
      </c>
      <c r="G175" s="3126">
        <v>0.81489999999999996</v>
      </c>
      <c r="H175" s="3126">
        <v>0.81489999999999996</v>
      </c>
      <c r="I175" s="3126">
        <v>0.6754</v>
      </c>
      <c r="J175" s="3126">
        <v>0.6754</v>
      </c>
      <c r="K175" s="3126">
        <v>0.6754</v>
      </c>
      <c r="L175" s="3126">
        <v>0.6754</v>
      </c>
      <c r="M175" s="3127">
        <v>0.6754</v>
      </c>
    </row>
    <row r="176" spans="1:13">
      <c r="A176" s="3128">
        <v>9.1</v>
      </c>
      <c r="B176" s="3126">
        <v>0.8921</v>
      </c>
      <c r="C176" s="3126">
        <v>0.8921</v>
      </c>
      <c r="D176" s="3126">
        <v>0.81330000000000002</v>
      </c>
      <c r="E176" s="3126">
        <v>0.81330000000000002</v>
      </c>
      <c r="F176" s="3126">
        <v>0.81330000000000002</v>
      </c>
      <c r="G176" s="3126">
        <v>0.81330000000000002</v>
      </c>
      <c r="H176" s="3126">
        <v>0.81330000000000002</v>
      </c>
      <c r="I176" s="3126">
        <v>0.6734</v>
      </c>
      <c r="J176" s="3126">
        <v>0.6734</v>
      </c>
      <c r="K176" s="3126">
        <v>0.6734</v>
      </c>
      <c r="L176" s="3126">
        <v>0.6734</v>
      </c>
      <c r="M176" s="3127">
        <v>0.6734</v>
      </c>
    </row>
    <row r="177" spans="1:20">
      <c r="A177" s="3128">
        <v>9.1999999999999993</v>
      </c>
      <c r="B177" s="3126">
        <v>0.89080000000000004</v>
      </c>
      <c r="C177" s="3126">
        <v>0.89080000000000004</v>
      </c>
      <c r="D177" s="3126">
        <v>0.81169999999999998</v>
      </c>
      <c r="E177" s="3126">
        <v>0.81169999999999998</v>
      </c>
      <c r="F177" s="3126">
        <v>0.81169999999999998</v>
      </c>
      <c r="G177" s="3126">
        <v>0.81169999999999998</v>
      </c>
      <c r="H177" s="3126">
        <v>0.81169999999999998</v>
      </c>
      <c r="I177" s="3126">
        <v>0.6714</v>
      </c>
      <c r="J177" s="3126">
        <v>0.6714</v>
      </c>
      <c r="K177" s="3126">
        <v>0.6714</v>
      </c>
      <c r="L177" s="3126">
        <v>0.6714</v>
      </c>
      <c r="M177" s="3127">
        <v>0.6714</v>
      </c>
    </row>
    <row r="178" spans="1:20">
      <c r="A178" s="3128">
        <v>9.3000000000000007</v>
      </c>
      <c r="B178" s="3126">
        <v>0.88949999999999996</v>
      </c>
      <c r="C178" s="3126">
        <v>0.88949999999999996</v>
      </c>
      <c r="D178" s="3126">
        <v>0.81010000000000004</v>
      </c>
      <c r="E178" s="3126">
        <v>0.81010000000000004</v>
      </c>
      <c r="F178" s="3126">
        <v>0.81010000000000004</v>
      </c>
      <c r="G178" s="3126">
        <v>0.81010000000000004</v>
      </c>
      <c r="H178" s="3126">
        <v>0.81010000000000004</v>
      </c>
      <c r="I178" s="3126">
        <v>0.6694</v>
      </c>
      <c r="J178" s="3126">
        <v>0.6694</v>
      </c>
      <c r="K178" s="3126">
        <v>0.6694</v>
      </c>
      <c r="L178" s="3126">
        <v>0.6694</v>
      </c>
      <c r="M178" s="3127">
        <v>0.6694</v>
      </c>
    </row>
    <row r="179" spans="1:20">
      <c r="A179" s="3128">
        <v>9.4</v>
      </c>
      <c r="B179" s="3126">
        <v>0.88819999999999999</v>
      </c>
      <c r="C179" s="3126">
        <v>0.88819999999999999</v>
      </c>
      <c r="D179" s="3126">
        <v>0.8085</v>
      </c>
      <c r="E179" s="3126">
        <v>0.8085</v>
      </c>
      <c r="F179" s="3126">
        <v>0.8085</v>
      </c>
      <c r="G179" s="3126">
        <v>0.8085</v>
      </c>
      <c r="H179" s="3126">
        <v>0.8085</v>
      </c>
      <c r="I179" s="3126">
        <v>0.66739999999999999</v>
      </c>
      <c r="J179" s="3126">
        <v>0.66739999999999999</v>
      </c>
      <c r="K179" s="3126">
        <v>0.66739999999999999</v>
      </c>
      <c r="L179" s="3126">
        <v>0.66739999999999999</v>
      </c>
      <c r="M179" s="3127">
        <v>0.66739999999999999</v>
      </c>
    </row>
    <row r="180" spans="1:20">
      <c r="A180" s="3128">
        <v>9.5</v>
      </c>
      <c r="B180" s="3126">
        <v>0.88700000000000001</v>
      </c>
      <c r="C180" s="3126">
        <v>0.88700000000000001</v>
      </c>
      <c r="D180" s="3126">
        <v>0.80700000000000005</v>
      </c>
      <c r="E180" s="3126">
        <v>0.80700000000000005</v>
      </c>
      <c r="F180" s="3126">
        <v>0.80700000000000005</v>
      </c>
      <c r="G180" s="3126">
        <v>0.80700000000000005</v>
      </c>
      <c r="H180" s="3126">
        <v>0.80700000000000005</v>
      </c>
      <c r="I180" s="3126">
        <v>0.66549999999999998</v>
      </c>
      <c r="J180" s="3126">
        <v>0.66549999999999998</v>
      </c>
      <c r="K180" s="3126">
        <v>0.66549999999999998</v>
      </c>
      <c r="L180" s="3126">
        <v>0.66549999999999998</v>
      </c>
      <c r="M180" s="3127">
        <v>0.66549999999999998</v>
      </c>
    </row>
    <row r="181" spans="1:20">
      <c r="A181" s="3128">
        <v>9.6</v>
      </c>
      <c r="B181" s="3126">
        <v>0.88580000000000003</v>
      </c>
      <c r="C181" s="3126">
        <v>0.88580000000000003</v>
      </c>
      <c r="D181" s="3126">
        <v>0.80549999999999999</v>
      </c>
      <c r="E181" s="3126">
        <v>0.80549999999999999</v>
      </c>
      <c r="F181" s="3126">
        <v>0.80549999999999999</v>
      </c>
      <c r="G181" s="3126">
        <v>0.80549999999999999</v>
      </c>
      <c r="H181" s="3126">
        <v>0.80549999999999999</v>
      </c>
      <c r="I181" s="3126">
        <v>0.66359999999999997</v>
      </c>
      <c r="J181" s="3126">
        <v>0.66359999999999997</v>
      </c>
      <c r="K181" s="3126">
        <v>0.66359999999999997</v>
      </c>
      <c r="L181" s="3126">
        <v>0.66359999999999997</v>
      </c>
      <c r="M181" s="3127">
        <v>0.66359999999999997</v>
      </c>
    </row>
    <row r="182" spans="1:20">
      <c r="A182" s="3128">
        <v>9.6999999999999993</v>
      </c>
      <c r="B182" s="3126">
        <v>0.88460000000000005</v>
      </c>
      <c r="C182" s="3126">
        <v>0.88460000000000005</v>
      </c>
      <c r="D182" s="3126">
        <v>0.80400000000000005</v>
      </c>
      <c r="E182" s="3126">
        <v>0.80400000000000005</v>
      </c>
      <c r="F182" s="3126">
        <v>0.80400000000000005</v>
      </c>
      <c r="G182" s="3126">
        <v>0.80400000000000005</v>
      </c>
      <c r="H182" s="3126">
        <v>0.80400000000000005</v>
      </c>
      <c r="I182" s="3126">
        <v>0.66169999999999995</v>
      </c>
      <c r="J182" s="3126">
        <v>0.66169999999999995</v>
      </c>
      <c r="K182" s="3126">
        <v>0.66169999999999995</v>
      </c>
      <c r="L182" s="3126">
        <v>0.66169999999999995</v>
      </c>
      <c r="M182" s="3127">
        <v>0.66169999999999995</v>
      </c>
    </row>
    <row r="183" spans="1:20">
      <c r="A183" s="3128">
        <v>9.8000000000000007</v>
      </c>
      <c r="B183" s="3126">
        <v>0.88339999999999996</v>
      </c>
      <c r="C183" s="3126">
        <v>0.88339999999999996</v>
      </c>
      <c r="D183" s="3126">
        <v>0.80249999999999999</v>
      </c>
      <c r="E183" s="3126">
        <v>0.80249999999999999</v>
      </c>
      <c r="F183" s="3126">
        <v>0.80249999999999999</v>
      </c>
      <c r="G183" s="3126">
        <v>0.80249999999999999</v>
      </c>
      <c r="H183" s="3126">
        <v>0.80249999999999999</v>
      </c>
      <c r="I183" s="3126">
        <v>0.65980000000000005</v>
      </c>
      <c r="J183" s="3126">
        <v>0.65980000000000005</v>
      </c>
      <c r="K183" s="3126">
        <v>0.65980000000000005</v>
      </c>
      <c r="L183" s="3126">
        <v>0.65980000000000005</v>
      </c>
      <c r="M183" s="3127">
        <v>0.65980000000000005</v>
      </c>
    </row>
    <row r="184" spans="1:20" ht="15" thickBot="1">
      <c r="A184" s="3129">
        <v>9.9</v>
      </c>
      <c r="B184" s="3130">
        <v>0.88219999999999998</v>
      </c>
      <c r="C184" s="3130">
        <v>0.88219999999999998</v>
      </c>
      <c r="D184" s="3130">
        <v>0.80100000000000005</v>
      </c>
      <c r="E184" s="3130">
        <v>0.80100000000000005</v>
      </c>
      <c r="F184" s="3130">
        <v>0.80100000000000005</v>
      </c>
      <c r="G184" s="3130">
        <v>0.80100000000000005</v>
      </c>
      <c r="H184" s="3130">
        <v>0.80100000000000005</v>
      </c>
      <c r="I184" s="3130">
        <v>0.65790000000000004</v>
      </c>
      <c r="J184" s="3130">
        <v>0.65790000000000004</v>
      </c>
      <c r="K184" s="3130">
        <v>0.65790000000000004</v>
      </c>
      <c r="L184" s="3130">
        <v>0.65790000000000004</v>
      </c>
      <c r="M184" s="3131">
        <v>0.65790000000000004</v>
      </c>
    </row>
    <row r="185" spans="1:20" ht="15" thickBot="1">
      <c r="A185" s="3119" t="s">
        <v>2801</v>
      </c>
      <c r="B185" s="3119"/>
      <c r="C185" s="3119"/>
      <c r="D185" s="3119"/>
      <c r="E185" s="3119"/>
      <c r="F185" s="3119"/>
      <c r="G185" s="3119"/>
      <c r="H185" s="3119"/>
      <c r="I185" s="3119"/>
      <c r="J185" s="3119"/>
      <c r="K185" s="3119"/>
      <c r="L185" s="3119"/>
      <c r="M185" s="3119"/>
    </row>
    <row r="186" spans="1:20">
      <c r="A186" s="3120" t="s">
        <v>2799</v>
      </c>
      <c r="B186" s="3121" t="s">
        <v>2595</v>
      </c>
      <c r="C186" s="3121" t="s">
        <v>2596</v>
      </c>
      <c r="D186" s="3121" t="s">
        <v>2597</v>
      </c>
      <c r="E186" s="3121" t="s">
        <v>2598</v>
      </c>
      <c r="F186" s="3121" t="s">
        <v>2599</v>
      </c>
      <c r="G186" s="3121" t="s">
        <v>2600</v>
      </c>
      <c r="H186" s="3122" t="s">
        <v>2601</v>
      </c>
      <c r="I186" s="3122" t="s">
        <v>2602</v>
      </c>
      <c r="J186" s="3123" t="s">
        <v>2603</v>
      </c>
      <c r="K186" s="3123" t="s">
        <v>2604</v>
      </c>
      <c r="L186" s="3123" t="s">
        <v>2605</v>
      </c>
      <c r="M186" s="3124" t="s">
        <v>2606</v>
      </c>
      <c r="Q186" s="3134" t="s">
        <v>2804</v>
      </c>
      <c r="R186" s="3134" t="s">
        <v>2805</v>
      </c>
      <c r="S186" s="3134" t="s">
        <v>2806</v>
      </c>
      <c r="T186" s="3134" t="s">
        <v>2807</v>
      </c>
    </row>
    <row r="187" spans="1:20">
      <c r="A187" s="3125">
        <v>1</v>
      </c>
      <c r="B187" s="3126">
        <v>1.1901999999999999</v>
      </c>
      <c r="C187" s="3126">
        <v>1.1901999999999999</v>
      </c>
      <c r="D187" s="3126">
        <v>1.222</v>
      </c>
      <c r="E187" s="3126">
        <v>1.222</v>
      </c>
      <c r="F187" s="3126">
        <v>1.222</v>
      </c>
      <c r="G187" s="3126">
        <v>1.222</v>
      </c>
      <c r="H187" s="3126">
        <v>1.222</v>
      </c>
      <c r="I187" s="3126">
        <v>1.1054999999999999</v>
      </c>
      <c r="J187" s="3126">
        <v>1.1054999999999999</v>
      </c>
      <c r="K187" s="3126">
        <v>1.1054999999999999</v>
      </c>
      <c r="L187" s="3126">
        <v>1.1054999999999999</v>
      </c>
      <c r="M187" s="3127">
        <v>1.1054999999999999</v>
      </c>
      <c r="Q187" s="3134">
        <v>10</v>
      </c>
      <c r="R187" s="3134">
        <f>ROUND(0.9448-0.0115*Q187,4)</f>
        <v>0.82979999999999998</v>
      </c>
      <c r="S187" s="3134">
        <f>ROUND(0.937-0.0145*Q187,4)</f>
        <v>0.79200000000000004</v>
      </c>
      <c r="T187" s="3134">
        <f>ROUND(0.7965-0.0185*Q187,4)</f>
        <v>0.61150000000000004</v>
      </c>
    </row>
    <row r="188" spans="1:20">
      <c r="A188" s="3125">
        <v>1.1000000000000001</v>
      </c>
      <c r="B188" s="3126">
        <v>1.1715</v>
      </c>
      <c r="C188" s="3126">
        <v>1.1715</v>
      </c>
      <c r="D188" s="3126">
        <v>1.2002999999999999</v>
      </c>
      <c r="E188" s="3126">
        <v>1.2002999999999999</v>
      </c>
      <c r="F188" s="3126">
        <v>1.2002999999999999</v>
      </c>
      <c r="G188" s="3126">
        <v>1.2002999999999999</v>
      </c>
      <c r="H188" s="3126">
        <v>1.2002999999999999</v>
      </c>
      <c r="I188" s="3126">
        <v>1.0819000000000001</v>
      </c>
      <c r="J188" s="3126">
        <v>1.0819000000000001</v>
      </c>
      <c r="K188" s="3126">
        <v>1.0819000000000001</v>
      </c>
      <c r="L188" s="3126">
        <v>1.0819000000000001</v>
      </c>
      <c r="M188" s="3127">
        <v>1.0819000000000001</v>
      </c>
    </row>
    <row r="189" spans="1:20">
      <c r="A189" s="3125">
        <v>1.2</v>
      </c>
      <c r="B189" s="3126">
        <v>1.1538999999999999</v>
      </c>
      <c r="C189" s="3126">
        <v>1.1538999999999999</v>
      </c>
      <c r="D189" s="3126">
        <v>1.1798</v>
      </c>
      <c r="E189" s="3126">
        <v>1.1798</v>
      </c>
      <c r="F189" s="3126">
        <v>1.1798</v>
      </c>
      <c r="G189" s="3126">
        <v>1.1798</v>
      </c>
      <c r="H189" s="3126">
        <v>1.1798</v>
      </c>
      <c r="I189" s="3126">
        <v>1.0597000000000001</v>
      </c>
      <c r="J189" s="3126">
        <v>1.0597000000000001</v>
      </c>
      <c r="K189" s="3126">
        <v>1.0597000000000001</v>
      </c>
      <c r="L189" s="3126">
        <v>1.0597000000000001</v>
      </c>
      <c r="M189" s="3127">
        <v>1.0597000000000001</v>
      </c>
    </row>
    <row r="190" spans="1:20">
      <c r="A190" s="3125">
        <v>1.3</v>
      </c>
      <c r="B190" s="3126">
        <v>1.1372</v>
      </c>
      <c r="C190" s="3126">
        <v>1.1372</v>
      </c>
      <c r="D190" s="3126">
        <v>1.1605000000000001</v>
      </c>
      <c r="E190" s="3126">
        <v>1.1605000000000001</v>
      </c>
      <c r="F190" s="3126">
        <v>1.1605000000000001</v>
      </c>
      <c r="G190" s="3126">
        <v>1.1605000000000001</v>
      </c>
      <c r="H190" s="3126">
        <v>1.1605000000000001</v>
      </c>
      <c r="I190" s="3126">
        <v>1.0386</v>
      </c>
      <c r="J190" s="3126">
        <v>1.0386</v>
      </c>
      <c r="K190" s="3126">
        <v>1.0386</v>
      </c>
      <c r="L190" s="3126">
        <v>1.0386</v>
      </c>
      <c r="M190" s="3127">
        <v>1.0386</v>
      </c>
    </row>
    <row r="191" spans="1:20">
      <c r="A191" s="3125">
        <v>1.4</v>
      </c>
      <c r="B191" s="3126">
        <v>1.1215999999999999</v>
      </c>
      <c r="C191" s="3126">
        <v>1.1215999999999999</v>
      </c>
      <c r="D191" s="3126">
        <v>1.1422000000000001</v>
      </c>
      <c r="E191" s="3126">
        <v>1.1422000000000001</v>
      </c>
      <c r="F191" s="3126">
        <v>1.1422000000000001</v>
      </c>
      <c r="G191" s="3126">
        <v>1.1422000000000001</v>
      </c>
      <c r="H191" s="3126">
        <v>1.1422000000000001</v>
      </c>
      <c r="I191" s="3126">
        <v>1.0187999999999999</v>
      </c>
      <c r="J191" s="3126">
        <v>1.0187999999999999</v>
      </c>
      <c r="K191" s="3126">
        <v>1.0187999999999999</v>
      </c>
      <c r="L191" s="3126">
        <v>1.0187999999999999</v>
      </c>
      <c r="M191" s="3127">
        <v>1.0187999999999999</v>
      </c>
    </row>
    <row r="192" spans="1:20">
      <c r="A192" s="3125">
        <v>1.5</v>
      </c>
      <c r="B192" s="3126">
        <v>1.1069</v>
      </c>
      <c r="C192" s="3126">
        <v>1.1069</v>
      </c>
      <c r="D192" s="3126">
        <v>1.125</v>
      </c>
      <c r="E192" s="3126">
        <v>1.125</v>
      </c>
      <c r="F192" s="3126">
        <v>1.125</v>
      </c>
      <c r="G192" s="3126">
        <v>1.125</v>
      </c>
      <c r="H192" s="3126">
        <v>1.125</v>
      </c>
      <c r="I192" s="3126">
        <v>1</v>
      </c>
      <c r="J192" s="3126">
        <v>1</v>
      </c>
      <c r="K192" s="3126">
        <v>1</v>
      </c>
      <c r="L192" s="3126">
        <v>1</v>
      </c>
      <c r="M192" s="3127">
        <v>1</v>
      </c>
    </row>
    <row r="193" spans="1:13">
      <c r="A193" s="3125">
        <v>1.6</v>
      </c>
      <c r="B193" s="3126">
        <v>1.0929</v>
      </c>
      <c r="C193" s="3126">
        <v>1.0929</v>
      </c>
      <c r="D193" s="3126">
        <v>1.1087</v>
      </c>
      <c r="E193" s="3126">
        <v>1.1087</v>
      </c>
      <c r="F193" s="3126">
        <v>1.1087</v>
      </c>
      <c r="G193" s="3126">
        <v>1.1087</v>
      </c>
      <c r="H193" s="3126">
        <v>1.1087</v>
      </c>
      <c r="I193" s="3126">
        <v>0.98229999999999995</v>
      </c>
      <c r="J193" s="3126">
        <v>0.98229999999999995</v>
      </c>
      <c r="K193" s="3126">
        <v>0.98229999999999995</v>
      </c>
      <c r="L193" s="3126">
        <v>0.98229999999999995</v>
      </c>
      <c r="M193" s="3127">
        <v>0.98229999999999995</v>
      </c>
    </row>
    <row r="194" spans="1:13">
      <c r="A194" s="3125">
        <v>1.7</v>
      </c>
      <c r="B194" s="3126">
        <v>1.0798000000000001</v>
      </c>
      <c r="C194" s="3126">
        <v>1.0798000000000001</v>
      </c>
      <c r="D194" s="3126">
        <v>1.0933999999999999</v>
      </c>
      <c r="E194" s="3126">
        <v>1.0933999999999999</v>
      </c>
      <c r="F194" s="3126">
        <v>1.0933999999999999</v>
      </c>
      <c r="G194" s="3126">
        <v>1.0933999999999999</v>
      </c>
      <c r="H194" s="3126">
        <v>1.0933999999999999</v>
      </c>
      <c r="I194" s="3126">
        <v>0.96560000000000001</v>
      </c>
      <c r="J194" s="3126">
        <v>0.96560000000000001</v>
      </c>
      <c r="K194" s="3126">
        <v>0.96560000000000001</v>
      </c>
      <c r="L194" s="3126">
        <v>0.96560000000000001</v>
      </c>
      <c r="M194" s="3127">
        <v>0.96560000000000001</v>
      </c>
    </row>
    <row r="195" spans="1:13">
      <c r="A195" s="3125">
        <v>1.8</v>
      </c>
      <c r="B195" s="3126">
        <v>1.0674999999999999</v>
      </c>
      <c r="C195" s="3126">
        <v>1.0674999999999999</v>
      </c>
      <c r="D195" s="3126">
        <v>1.0790999999999999</v>
      </c>
      <c r="E195" s="3126">
        <v>1.0790999999999999</v>
      </c>
      <c r="F195" s="3126">
        <v>1.0790999999999999</v>
      </c>
      <c r="G195" s="3126">
        <v>1.0790999999999999</v>
      </c>
      <c r="H195" s="3126">
        <v>1.0790999999999999</v>
      </c>
      <c r="I195" s="3126">
        <v>0.94989999999999997</v>
      </c>
      <c r="J195" s="3126">
        <v>0.94989999999999997</v>
      </c>
      <c r="K195" s="3126">
        <v>0.94989999999999997</v>
      </c>
      <c r="L195" s="3126">
        <v>0.94989999999999997</v>
      </c>
      <c r="M195" s="3127">
        <v>0.94989999999999997</v>
      </c>
    </row>
    <row r="196" spans="1:13">
      <c r="A196" s="3125">
        <v>1.9</v>
      </c>
      <c r="B196" s="3126">
        <v>1.0558000000000001</v>
      </c>
      <c r="C196" s="3126">
        <v>1.0558000000000001</v>
      </c>
      <c r="D196" s="3126">
        <v>1.0654999999999999</v>
      </c>
      <c r="E196" s="3126">
        <v>1.0654999999999999</v>
      </c>
      <c r="F196" s="3126">
        <v>1.0654999999999999</v>
      </c>
      <c r="G196" s="3126">
        <v>1.0654999999999999</v>
      </c>
      <c r="H196" s="3126">
        <v>1.0654999999999999</v>
      </c>
      <c r="I196" s="3126">
        <v>0.93520000000000003</v>
      </c>
      <c r="J196" s="3126">
        <v>0.93520000000000003</v>
      </c>
      <c r="K196" s="3126">
        <v>0.93520000000000003</v>
      </c>
      <c r="L196" s="3126">
        <v>0.93520000000000003</v>
      </c>
      <c r="M196" s="3127">
        <v>0.93520000000000003</v>
      </c>
    </row>
    <row r="197" spans="1:13">
      <c r="A197" s="3125">
        <v>2</v>
      </c>
      <c r="B197" s="3126">
        <v>1.0449999999999999</v>
      </c>
      <c r="C197" s="3126">
        <v>1.0449999999999999</v>
      </c>
      <c r="D197" s="3126">
        <v>1.0528</v>
      </c>
      <c r="E197" s="3126">
        <v>1.0528</v>
      </c>
      <c r="F197" s="3126">
        <v>1.0528</v>
      </c>
      <c r="G197" s="3126">
        <v>1.0528</v>
      </c>
      <c r="H197" s="3126">
        <v>1.0528</v>
      </c>
      <c r="I197" s="3126">
        <v>0.92130000000000001</v>
      </c>
      <c r="J197" s="3126">
        <v>0.92130000000000001</v>
      </c>
      <c r="K197" s="3126">
        <v>0.92130000000000001</v>
      </c>
      <c r="L197" s="3126">
        <v>0.92130000000000001</v>
      </c>
      <c r="M197" s="3127">
        <v>0.92130000000000001</v>
      </c>
    </row>
    <row r="198" spans="1:13">
      <c r="A198" s="3128">
        <v>2.1</v>
      </c>
      <c r="B198" s="3126">
        <v>1.0347999999999999</v>
      </c>
      <c r="C198" s="3126">
        <v>1.0347999999999999</v>
      </c>
      <c r="D198" s="3126">
        <v>1.0407999999999999</v>
      </c>
      <c r="E198" s="3126">
        <v>1.0407999999999999</v>
      </c>
      <c r="F198" s="3126">
        <v>1.0407999999999999</v>
      </c>
      <c r="G198" s="3126">
        <v>1.0407999999999999</v>
      </c>
      <c r="H198" s="3126">
        <v>1.0407999999999999</v>
      </c>
      <c r="I198" s="3126">
        <v>0.90820000000000001</v>
      </c>
      <c r="J198" s="3126">
        <v>0.90820000000000001</v>
      </c>
      <c r="K198" s="3126">
        <v>0.90820000000000001</v>
      </c>
      <c r="L198" s="3126">
        <v>0.90820000000000001</v>
      </c>
      <c r="M198" s="3127">
        <v>0.90820000000000001</v>
      </c>
    </row>
    <row r="199" spans="1:13">
      <c r="A199" s="3128">
        <v>2.2000000000000002</v>
      </c>
      <c r="B199" s="3126">
        <v>1.0251999999999999</v>
      </c>
      <c r="C199" s="3126">
        <v>1.0251999999999999</v>
      </c>
      <c r="D199" s="3126">
        <v>1.0296000000000001</v>
      </c>
      <c r="E199" s="3126">
        <v>1.0296000000000001</v>
      </c>
      <c r="F199" s="3126">
        <v>1.0296000000000001</v>
      </c>
      <c r="G199" s="3126">
        <v>1.0296000000000001</v>
      </c>
      <c r="H199" s="3126">
        <v>1.0296000000000001</v>
      </c>
      <c r="I199" s="3126">
        <v>0.89570000000000005</v>
      </c>
      <c r="J199" s="3126">
        <v>0.89570000000000005</v>
      </c>
      <c r="K199" s="3126">
        <v>0.89570000000000005</v>
      </c>
      <c r="L199" s="3126">
        <v>0.89570000000000005</v>
      </c>
      <c r="M199" s="3127">
        <v>0.89570000000000005</v>
      </c>
    </row>
    <row r="200" spans="1:13">
      <c r="A200" s="3128">
        <v>2.2999999999999998</v>
      </c>
      <c r="B200" s="3126">
        <v>1.0162</v>
      </c>
      <c r="C200" s="3126">
        <v>1.0162</v>
      </c>
      <c r="D200" s="3126">
        <v>1.0190999999999999</v>
      </c>
      <c r="E200" s="3126">
        <v>1.0190999999999999</v>
      </c>
      <c r="F200" s="3126">
        <v>1.0190999999999999</v>
      </c>
      <c r="G200" s="3126">
        <v>1.0190999999999999</v>
      </c>
      <c r="H200" s="3126">
        <v>1.0190999999999999</v>
      </c>
      <c r="I200" s="3126">
        <v>0.88419999999999999</v>
      </c>
      <c r="J200" s="3126">
        <v>0.88419999999999999</v>
      </c>
      <c r="K200" s="3126">
        <v>0.88419999999999999</v>
      </c>
      <c r="L200" s="3126">
        <v>0.88419999999999999</v>
      </c>
      <c r="M200" s="3127">
        <v>0.88419999999999999</v>
      </c>
    </row>
    <row r="201" spans="1:13">
      <c r="A201" s="3128">
        <v>2.4</v>
      </c>
      <c r="B201" s="3126">
        <v>1.0078</v>
      </c>
      <c r="C201" s="3126">
        <v>1.0078</v>
      </c>
      <c r="D201" s="3126">
        <v>1.0092000000000001</v>
      </c>
      <c r="E201" s="3126">
        <v>1.0092000000000001</v>
      </c>
      <c r="F201" s="3126">
        <v>1.0092000000000001</v>
      </c>
      <c r="G201" s="3126">
        <v>1.0092000000000001</v>
      </c>
      <c r="H201" s="3126">
        <v>1.0092000000000001</v>
      </c>
      <c r="I201" s="3126">
        <v>0.87329999999999997</v>
      </c>
      <c r="J201" s="3126">
        <v>0.87329999999999997</v>
      </c>
      <c r="K201" s="3126">
        <v>0.87329999999999997</v>
      </c>
      <c r="L201" s="3126">
        <v>0.87329999999999997</v>
      </c>
      <c r="M201" s="3127">
        <v>0.87329999999999997</v>
      </c>
    </row>
    <row r="202" spans="1:13">
      <c r="A202" s="3128">
        <v>2.5</v>
      </c>
      <c r="B202" s="3126">
        <v>1</v>
      </c>
      <c r="C202" s="3126">
        <v>1</v>
      </c>
      <c r="D202" s="3126">
        <v>1</v>
      </c>
      <c r="E202" s="3126">
        <v>1</v>
      </c>
      <c r="F202" s="3126">
        <v>1</v>
      </c>
      <c r="G202" s="3126">
        <v>1</v>
      </c>
      <c r="H202" s="3126">
        <v>1</v>
      </c>
      <c r="I202" s="3126">
        <v>0.86299999999999999</v>
      </c>
      <c r="J202" s="3126">
        <v>0.86299999999999999</v>
      </c>
      <c r="K202" s="3126">
        <v>0.86299999999999999</v>
      </c>
      <c r="L202" s="3126">
        <v>0.86299999999999999</v>
      </c>
      <c r="M202" s="3127">
        <v>0.86299999999999999</v>
      </c>
    </row>
    <row r="203" spans="1:13">
      <c r="A203" s="3128">
        <v>2.6</v>
      </c>
      <c r="B203" s="3126">
        <v>0.99270000000000003</v>
      </c>
      <c r="C203" s="3126">
        <v>0.99270000000000003</v>
      </c>
      <c r="D203" s="3126">
        <v>0.99139999999999995</v>
      </c>
      <c r="E203" s="3126">
        <v>0.99139999999999995</v>
      </c>
      <c r="F203" s="3126">
        <v>0.99139999999999995</v>
      </c>
      <c r="G203" s="3126">
        <v>0.99139999999999995</v>
      </c>
      <c r="H203" s="3126">
        <v>0.99139999999999995</v>
      </c>
      <c r="I203" s="3126">
        <v>0.85340000000000005</v>
      </c>
      <c r="J203" s="3126">
        <v>0.85340000000000005</v>
      </c>
      <c r="K203" s="3126">
        <v>0.85340000000000005</v>
      </c>
      <c r="L203" s="3126">
        <v>0.85340000000000005</v>
      </c>
      <c r="M203" s="3127">
        <v>0.85340000000000005</v>
      </c>
    </row>
    <row r="204" spans="1:13">
      <c r="A204" s="3128">
        <v>2.7</v>
      </c>
      <c r="B204" s="3126">
        <v>0.98580000000000001</v>
      </c>
      <c r="C204" s="3126">
        <v>0.98580000000000001</v>
      </c>
      <c r="D204" s="3126">
        <v>0.98329999999999995</v>
      </c>
      <c r="E204" s="3126">
        <v>0.98329999999999995</v>
      </c>
      <c r="F204" s="3126">
        <v>0.98329999999999995</v>
      </c>
      <c r="G204" s="3126">
        <v>0.98329999999999995</v>
      </c>
      <c r="H204" s="3126">
        <v>0.98329999999999995</v>
      </c>
      <c r="I204" s="3126">
        <v>0.84440000000000004</v>
      </c>
      <c r="J204" s="3126">
        <v>0.84440000000000004</v>
      </c>
      <c r="K204" s="3126">
        <v>0.84440000000000004</v>
      </c>
      <c r="L204" s="3126">
        <v>0.84440000000000004</v>
      </c>
      <c r="M204" s="3127">
        <v>0.84440000000000004</v>
      </c>
    </row>
    <row r="205" spans="1:13">
      <c r="A205" s="3128">
        <v>2.8</v>
      </c>
      <c r="B205" s="3126">
        <v>0.97940000000000005</v>
      </c>
      <c r="C205" s="3126">
        <v>0.97940000000000005</v>
      </c>
      <c r="D205" s="3126">
        <v>0.97570000000000001</v>
      </c>
      <c r="E205" s="3126">
        <v>0.97570000000000001</v>
      </c>
      <c r="F205" s="3126">
        <v>0.97570000000000001</v>
      </c>
      <c r="G205" s="3126">
        <v>0.97570000000000001</v>
      </c>
      <c r="H205" s="3126">
        <v>0.97570000000000001</v>
      </c>
      <c r="I205" s="3126">
        <v>0.83599999999999997</v>
      </c>
      <c r="J205" s="3126">
        <v>0.83599999999999997</v>
      </c>
      <c r="K205" s="3126">
        <v>0.83599999999999997</v>
      </c>
      <c r="L205" s="3126">
        <v>0.83599999999999997</v>
      </c>
      <c r="M205" s="3127">
        <v>0.83599999999999997</v>
      </c>
    </row>
    <row r="206" spans="1:13">
      <c r="A206" s="3128">
        <v>2.9</v>
      </c>
      <c r="B206" s="3126">
        <v>0.97350000000000003</v>
      </c>
      <c r="C206" s="3126">
        <v>0.97350000000000003</v>
      </c>
      <c r="D206" s="3126">
        <v>0.96870000000000001</v>
      </c>
      <c r="E206" s="3126">
        <v>0.96870000000000001</v>
      </c>
      <c r="F206" s="3126">
        <v>0.96870000000000001</v>
      </c>
      <c r="G206" s="3126">
        <v>0.96870000000000001</v>
      </c>
      <c r="H206" s="3126">
        <v>0.96870000000000001</v>
      </c>
      <c r="I206" s="3126">
        <v>0.82820000000000005</v>
      </c>
      <c r="J206" s="3126">
        <v>0.82820000000000005</v>
      </c>
      <c r="K206" s="3126">
        <v>0.82820000000000005</v>
      </c>
      <c r="L206" s="3126">
        <v>0.82820000000000005</v>
      </c>
      <c r="M206" s="3127">
        <v>0.82820000000000005</v>
      </c>
    </row>
    <row r="207" spans="1:13">
      <c r="A207" s="3128">
        <v>3</v>
      </c>
      <c r="B207" s="3126">
        <v>0.96789999999999998</v>
      </c>
      <c r="C207" s="3126">
        <v>0.96789999999999998</v>
      </c>
      <c r="D207" s="3126">
        <v>0.96209999999999996</v>
      </c>
      <c r="E207" s="3126">
        <v>0.96209999999999996</v>
      </c>
      <c r="F207" s="3126">
        <v>0.96209999999999996</v>
      </c>
      <c r="G207" s="3126">
        <v>0.96209999999999996</v>
      </c>
      <c r="H207" s="3126">
        <v>0.96209999999999996</v>
      </c>
      <c r="I207" s="3126">
        <v>0.82079999999999997</v>
      </c>
      <c r="J207" s="3126">
        <v>0.82079999999999997</v>
      </c>
      <c r="K207" s="3126">
        <v>0.82079999999999997</v>
      </c>
      <c r="L207" s="3126">
        <v>0.82079999999999997</v>
      </c>
      <c r="M207" s="3127">
        <v>0.82079999999999997</v>
      </c>
    </row>
    <row r="208" spans="1:13">
      <c r="A208" s="3128">
        <v>3.1</v>
      </c>
      <c r="B208" s="3126">
        <v>0.9627</v>
      </c>
      <c r="C208" s="3126">
        <v>0.9627</v>
      </c>
      <c r="D208" s="3126">
        <v>0.95589999999999997</v>
      </c>
      <c r="E208" s="3126">
        <v>0.95589999999999997</v>
      </c>
      <c r="F208" s="3126">
        <v>0.95589999999999997</v>
      </c>
      <c r="G208" s="3126">
        <v>0.95589999999999997</v>
      </c>
      <c r="H208" s="3126">
        <v>0.95589999999999997</v>
      </c>
      <c r="I208" s="3126">
        <v>0.81389999999999996</v>
      </c>
      <c r="J208" s="3126">
        <v>0.81389999999999996</v>
      </c>
      <c r="K208" s="3126">
        <v>0.81389999999999996</v>
      </c>
      <c r="L208" s="3126">
        <v>0.81389999999999996</v>
      </c>
      <c r="M208" s="3127">
        <v>0.81389999999999996</v>
      </c>
    </row>
    <row r="209" spans="1:13">
      <c r="A209" s="3128">
        <v>3.2</v>
      </c>
      <c r="B209" s="3126">
        <v>0.95789999999999997</v>
      </c>
      <c r="C209" s="3126">
        <v>0.95789999999999997</v>
      </c>
      <c r="D209" s="3126">
        <v>0.95020000000000004</v>
      </c>
      <c r="E209" s="3126">
        <v>0.95020000000000004</v>
      </c>
      <c r="F209" s="3126">
        <v>0.95020000000000004</v>
      </c>
      <c r="G209" s="3126">
        <v>0.95020000000000004</v>
      </c>
      <c r="H209" s="3126">
        <v>0.95020000000000004</v>
      </c>
      <c r="I209" s="3126">
        <v>0.8075</v>
      </c>
      <c r="J209" s="3126">
        <v>0.8075</v>
      </c>
      <c r="K209" s="3126">
        <v>0.8075</v>
      </c>
      <c r="L209" s="3126">
        <v>0.8075</v>
      </c>
      <c r="M209" s="3127">
        <v>0.8075</v>
      </c>
    </row>
    <row r="210" spans="1:13">
      <c r="A210" s="3128">
        <v>3.3</v>
      </c>
      <c r="B210" s="3126">
        <v>0.95340000000000003</v>
      </c>
      <c r="C210" s="3126">
        <v>0.95340000000000003</v>
      </c>
      <c r="D210" s="3126">
        <v>0.94479999999999997</v>
      </c>
      <c r="E210" s="3126">
        <v>0.94479999999999997</v>
      </c>
      <c r="F210" s="3126">
        <v>0.94479999999999997</v>
      </c>
      <c r="G210" s="3126">
        <v>0.94479999999999997</v>
      </c>
      <c r="H210" s="3126">
        <v>0.94479999999999997</v>
      </c>
      <c r="I210" s="3126">
        <v>0.80149999999999999</v>
      </c>
      <c r="J210" s="3126">
        <v>0.80149999999999999</v>
      </c>
      <c r="K210" s="3126">
        <v>0.80149999999999999</v>
      </c>
      <c r="L210" s="3126">
        <v>0.80149999999999999</v>
      </c>
      <c r="M210" s="3127">
        <v>0.80149999999999999</v>
      </c>
    </row>
    <row r="211" spans="1:13">
      <c r="A211" s="3128">
        <v>3.4</v>
      </c>
      <c r="B211" s="3126">
        <v>0.94920000000000004</v>
      </c>
      <c r="C211" s="3126">
        <v>0.94920000000000004</v>
      </c>
      <c r="D211" s="3126">
        <v>0.93989999999999996</v>
      </c>
      <c r="E211" s="3126">
        <v>0.93989999999999996</v>
      </c>
      <c r="F211" s="3126">
        <v>0.93989999999999996</v>
      </c>
      <c r="G211" s="3126">
        <v>0.93989999999999996</v>
      </c>
      <c r="H211" s="3126">
        <v>0.93989999999999996</v>
      </c>
      <c r="I211" s="3126">
        <v>0.79590000000000005</v>
      </c>
      <c r="J211" s="3126">
        <v>0.79590000000000005</v>
      </c>
      <c r="K211" s="3126">
        <v>0.79590000000000005</v>
      </c>
      <c r="L211" s="3126">
        <v>0.79590000000000005</v>
      </c>
      <c r="M211" s="3127">
        <v>0.79590000000000005</v>
      </c>
    </row>
    <row r="212" spans="1:13">
      <c r="A212" s="3128">
        <v>3.5</v>
      </c>
      <c r="B212" s="3126">
        <v>0.94540000000000002</v>
      </c>
      <c r="C212" s="3126">
        <v>0.94540000000000002</v>
      </c>
      <c r="D212" s="3126">
        <v>0.93520000000000003</v>
      </c>
      <c r="E212" s="3126">
        <v>0.93520000000000003</v>
      </c>
      <c r="F212" s="3126">
        <v>0.93520000000000003</v>
      </c>
      <c r="G212" s="3126">
        <v>0.93520000000000003</v>
      </c>
      <c r="H212" s="3126">
        <v>0.93520000000000003</v>
      </c>
      <c r="I212" s="3126">
        <v>0.79059999999999997</v>
      </c>
      <c r="J212" s="3126">
        <v>0.79059999999999997</v>
      </c>
      <c r="K212" s="3126">
        <v>0.79059999999999997</v>
      </c>
      <c r="L212" s="3126">
        <v>0.79059999999999997</v>
      </c>
      <c r="M212" s="3127">
        <v>0.79059999999999997</v>
      </c>
    </row>
    <row r="213" spans="1:13">
      <c r="A213" s="3128">
        <v>3.6</v>
      </c>
      <c r="B213" s="3126">
        <v>0.94179999999999997</v>
      </c>
      <c r="C213" s="3126">
        <v>0.94179999999999997</v>
      </c>
      <c r="D213" s="3126">
        <v>0.93089999999999995</v>
      </c>
      <c r="E213" s="3126">
        <v>0.93089999999999995</v>
      </c>
      <c r="F213" s="3126">
        <v>0.93089999999999995</v>
      </c>
      <c r="G213" s="3126">
        <v>0.93089999999999995</v>
      </c>
      <c r="H213" s="3126">
        <v>0.93089999999999995</v>
      </c>
      <c r="I213" s="3126">
        <v>0.78569999999999995</v>
      </c>
      <c r="J213" s="3126">
        <v>0.78569999999999995</v>
      </c>
      <c r="K213" s="3126">
        <v>0.78569999999999995</v>
      </c>
      <c r="L213" s="3126">
        <v>0.78569999999999995</v>
      </c>
      <c r="M213" s="3127">
        <v>0.78569999999999995</v>
      </c>
    </row>
    <row r="214" spans="1:13">
      <c r="A214" s="3128">
        <v>3.7</v>
      </c>
      <c r="B214" s="3126">
        <v>0.93840000000000001</v>
      </c>
      <c r="C214" s="3126">
        <v>0.93840000000000001</v>
      </c>
      <c r="D214" s="3126">
        <v>0.92689999999999995</v>
      </c>
      <c r="E214" s="3126">
        <v>0.92689999999999995</v>
      </c>
      <c r="F214" s="3126">
        <v>0.92689999999999995</v>
      </c>
      <c r="G214" s="3126">
        <v>0.92689999999999995</v>
      </c>
      <c r="H214" s="3126">
        <v>0.92689999999999995</v>
      </c>
      <c r="I214" s="3126">
        <v>0.78110000000000002</v>
      </c>
      <c r="J214" s="3126">
        <v>0.78110000000000002</v>
      </c>
      <c r="K214" s="3126">
        <v>0.78110000000000002</v>
      </c>
      <c r="L214" s="3126">
        <v>0.78110000000000002</v>
      </c>
      <c r="M214" s="3127">
        <v>0.78110000000000002</v>
      </c>
    </row>
    <row r="215" spans="1:13">
      <c r="A215" s="3128">
        <v>3.8</v>
      </c>
      <c r="B215" s="3126">
        <v>0.93530000000000002</v>
      </c>
      <c r="C215" s="3126">
        <v>0.93530000000000002</v>
      </c>
      <c r="D215" s="3126">
        <v>0.92310000000000003</v>
      </c>
      <c r="E215" s="3126">
        <v>0.92310000000000003</v>
      </c>
      <c r="F215" s="3126">
        <v>0.92310000000000003</v>
      </c>
      <c r="G215" s="3126">
        <v>0.92310000000000003</v>
      </c>
      <c r="H215" s="3126">
        <v>0.92310000000000003</v>
      </c>
      <c r="I215" s="3126">
        <v>0.77680000000000005</v>
      </c>
      <c r="J215" s="3126">
        <v>0.77680000000000005</v>
      </c>
      <c r="K215" s="3126">
        <v>0.77680000000000005</v>
      </c>
      <c r="L215" s="3126">
        <v>0.77680000000000005</v>
      </c>
      <c r="M215" s="3127">
        <v>0.77680000000000005</v>
      </c>
    </row>
    <row r="216" spans="1:13">
      <c r="A216" s="3128">
        <v>3.9</v>
      </c>
      <c r="B216" s="3126">
        <v>0.93240000000000001</v>
      </c>
      <c r="C216" s="3126">
        <v>0.93240000000000001</v>
      </c>
      <c r="D216" s="3126">
        <v>0.91959999999999997</v>
      </c>
      <c r="E216" s="3126">
        <v>0.91959999999999997</v>
      </c>
      <c r="F216" s="3126">
        <v>0.91959999999999997</v>
      </c>
      <c r="G216" s="3126">
        <v>0.91959999999999997</v>
      </c>
      <c r="H216" s="3126">
        <v>0.91959999999999997</v>
      </c>
      <c r="I216" s="3126">
        <v>0.77270000000000005</v>
      </c>
      <c r="J216" s="3126">
        <v>0.77270000000000005</v>
      </c>
      <c r="K216" s="3126">
        <v>0.77270000000000005</v>
      </c>
      <c r="L216" s="3126">
        <v>0.77270000000000005</v>
      </c>
      <c r="M216" s="3127">
        <v>0.77270000000000005</v>
      </c>
    </row>
    <row r="217" spans="1:13">
      <c r="A217" s="3128">
        <v>4</v>
      </c>
      <c r="B217" s="3126">
        <v>0.92969999999999997</v>
      </c>
      <c r="C217" s="3126">
        <v>0.92969999999999997</v>
      </c>
      <c r="D217" s="3126">
        <v>0.9163</v>
      </c>
      <c r="E217" s="3126">
        <v>0.9163</v>
      </c>
      <c r="F217" s="3126">
        <v>0.9163</v>
      </c>
      <c r="G217" s="3126">
        <v>0.9163</v>
      </c>
      <c r="H217" s="3126">
        <v>0.9163</v>
      </c>
      <c r="I217" s="3126">
        <v>0.76880000000000004</v>
      </c>
      <c r="J217" s="3126">
        <v>0.76880000000000004</v>
      </c>
      <c r="K217" s="3126">
        <v>0.76880000000000004</v>
      </c>
      <c r="L217" s="3126">
        <v>0.76880000000000004</v>
      </c>
      <c r="M217" s="3127">
        <v>0.76880000000000004</v>
      </c>
    </row>
    <row r="218" spans="1:13">
      <c r="A218" s="3128">
        <v>4.0999999999999996</v>
      </c>
      <c r="B218" s="3126">
        <v>0.92720000000000002</v>
      </c>
      <c r="C218" s="3126">
        <v>0.92720000000000002</v>
      </c>
      <c r="D218" s="3126">
        <v>0.91320000000000001</v>
      </c>
      <c r="E218" s="3126">
        <v>0.91320000000000001</v>
      </c>
      <c r="F218" s="3126">
        <v>0.91320000000000001</v>
      </c>
      <c r="G218" s="3126">
        <v>0.91320000000000001</v>
      </c>
      <c r="H218" s="3126">
        <v>0.91320000000000001</v>
      </c>
      <c r="I218" s="3126">
        <v>0.7651</v>
      </c>
      <c r="J218" s="3126">
        <v>0.7651</v>
      </c>
      <c r="K218" s="3126">
        <v>0.7651</v>
      </c>
      <c r="L218" s="3126">
        <v>0.7651</v>
      </c>
      <c r="M218" s="3127">
        <v>0.7651</v>
      </c>
    </row>
    <row r="219" spans="1:13">
      <c r="A219" s="3128">
        <v>4.2</v>
      </c>
      <c r="B219" s="3126">
        <v>0.92479999999999996</v>
      </c>
      <c r="C219" s="3126">
        <v>0.92479999999999996</v>
      </c>
      <c r="D219" s="3126">
        <v>0.91020000000000001</v>
      </c>
      <c r="E219" s="3126">
        <v>0.91020000000000001</v>
      </c>
      <c r="F219" s="3126">
        <v>0.91020000000000001</v>
      </c>
      <c r="G219" s="3126">
        <v>0.91020000000000001</v>
      </c>
      <c r="H219" s="3126">
        <v>0.91020000000000001</v>
      </c>
      <c r="I219" s="3126">
        <v>0.76149999999999995</v>
      </c>
      <c r="J219" s="3126">
        <v>0.76149999999999995</v>
      </c>
      <c r="K219" s="3126">
        <v>0.76149999999999995</v>
      </c>
      <c r="L219" s="3126">
        <v>0.76149999999999995</v>
      </c>
      <c r="M219" s="3127">
        <v>0.76149999999999995</v>
      </c>
    </row>
    <row r="220" spans="1:13">
      <c r="A220" s="3128">
        <v>4.3</v>
      </c>
      <c r="B220" s="3126">
        <v>0.92249999999999999</v>
      </c>
      <c r="C220" s="3126">
        <v>0.92249999999999999</v>
      </c>
      <c r="D220" s="3126">
        <v>0.9073</v>
      </c>
      <c r="E220" s="3126">
        <v>0.9073</v>
      </c>
      <c r="F220" s="3126">
        <v>0.9073</v>
      </c>
      <c r="G220" s="3126">
        <v>0.9073</v>
      </c>
      <c r="H220" s="3126">
        <v>0.9073</v>
      </c>
      <c r="I220" s="3126">
        <v>0.75800000000000001</v>
      </c>
      <c r="J220" s="3126">
        <v>0.75800000000000001</v>
      </c>
      <c r="K220" s="3126">
        <v>0.75800000000000001</v>
      </c>
      <c r="L220" s="3126">
        <v>0.75800000000000001</v>
      </c>
      <c r="M220" s="3127">
        <v>0.75800000000000001</v>
      </c>
    </row>
    <row r="221" spans="1:13">
      <c r="A221" s="3128">
        <v>4.4000000000000004</v>
      </c>
      <c r="B221" s="3126">
        <v>0.92030000000000001</v>
      </c>
      <c r="C221" s="3126">
        <v>0.92030000000000001</v>
      </c>
      <c r="D221" s="3126">
        <v>0.90449999999999997</v>
      </c>
      <c r="E221" s="3126">
        <v>0.90449999999999997</v>
      </c>
      <c r="F221" s="3126">
        <v>0.90449999999999997</v>
      </c>
      <c r="G221" s="3126">
        <v>0.90449999999999997</v>
      </c>
      <c r="H221" s="3126">
        <v>0.90449999999999997</v>
      </c>
      <c r="I221" s="3126">
        <v>0.75460000000000005</v>
      </c>
      <c r="J221" s="3126">
        <v>0.75460000000000005</v>
      </c>
      <c r="K221" s="3126">
        <v>0.75460000000000005</v>
      </c>
      <c r="L221" s="3126">
        <v>0.75460000000000005</v>
      </c>
      <c r="M221" s="3127">
        <v>0.75460000000000005</v>
      </c>
    </row>
    <row r="222" spans="1:13">
      <c r="A222" s="3128">
        <v>4.5</v>
      </c>
      <c r="B222" s="3126">
        <v>0.91810000000000003</v>
      </c>
      <c r="C222" s="3126">
        <v>0.91810000000000003</v>
      </c>
      <c r="D222" s="3126">
        <v>0.90180000000000005</v>
      </c>
      <c r="E222" s="3126">
        <v>0.90180000000000005</v>
      </c>
      <c r="F222" s="3126">
        <v>0.90180000000000005</v>
      </c>
      <c r="G222" s="3126">
        <v>0.90180000000000005</v>
      </c>
      <c r="H222" s="3126">
        <v>0.90180000000000005</v>
      </c>
      <c r="I222" s="3126">
        <v>0.75129999999999997</v>
      </c>
      <c r="J222" s="3126">
        <v>0.75129999999999997</v>
      </c>
      <c r="K222" s="3126">
        <v>0.75129999999999997</v>
      </c>
      <c r="L222" s="3126">
        <v>0.75129999999999997</v>
      </c>
      <c r="M222" s="3127">
        <v>0.75129999999999997</v>
      </c>
    </row>
    <row r="223" spans="1:13">
      <c r="A223" s="3128">
        <v>4.5999999999999996</v>
      </c>
      <c r="B223" s="3126">
        <v>0.91600000000000004</v>
      </c>
      <c r="C223" s="3126">
        <v>0.91600000000000004</v>
      </c>
      <c r="D223" s="3126">
        <v>0.8992</v>
      </c>
      <c r="E223" s="3126">
        <v>0.8992</v>
      </c>
      <c r="F223" s="3126">
        <v>0.8992</v>
      </c>
      <c r="G223" s="3126">
        <v>0.8992</v>
      </c>
      <c r="H223" s="3126">
        <v>0.8992</v>
      </c>
      <c r="I223" s="3126">
        <v>0.748</v>
      </c>
      <c r="J223" s="3126">
        <v>0.748</v>
      </c>
      <c r="K223" s="3126">
        <v>0.748</v>
      </c>
      <c r="L223" s="3126">
        <v>0.748</v>
      </c>
      <c r="M223" s="3127">
        <v>0.748</v>
      </c>
    </row>
    <row r="224" spans="1:13">
      <c r="A224" s="3128">
        <v>4.7</v>
      </c>
      <c r="B224" s="3126">
        <v>0.91390000000000005</v>
      </c>
      <c r="C224" s="3126">
        <v>0.91390000000000005</v>
      </c>
      <c r="D224" s="3126">
        <v>0.89659999999999995</v>
      </c>
      <c r="E224" s="3126">
        <v>0.89659999999999995</v>
      </c>
      <c r="F224" s="3126">
        <v>0.89659999999999995</v>
      </c>
      <c r="G224" s="3126">
        <v>0.89659999999999995</v>
      </c>
      <c r="H224" s="3126">
        <v>0.89659999999999995</v>
      </c>
      <c r="I224" s="3126">
        <v>0.74480000000000002</v>
      </c>
      <c r="J224" s="3126">
        <v>0.74480000000000002</v>
      </c>
      <c r="K224" s="3126">
        <v>0.74480000000000002</v>
      </c>
      <c r="L224" s="3126">
        <v>0.74480000000000002</v>
      </c>
      <c r="M224" s="3127">
        <v>0.74480000000000002</v>
      </c>
    </row>
    <row r="225" spans="1:13">
      <c r="A225" s="3128">
        <v>4.8</v>
      </c>
      <c r="B225" s="3126">
        <v>0.91180000000000005</v>
      </c>
      <c r="C225" s="3126">
        <v>0.91180000000000005</v>
      </c>
      <c r="D225" s="3126">
        <v>0.89410000000000001</v>
      </c>
      <c r="E225" s="3126">
        <v>0.89410000000000001</v>
      </c>
      <c r="F225" s="3126">
        <v>0.89410000000000001</v>
      </c>
      <c r="G225" s="3126">
        <v>0.89410000000000001</v>
      </c>
      <c r="H225" s="3126">
        <v>0.89410000000000001</v>
      </c>
      <c r="I225" s="3126">
        <v>0.74160000000000004</v>
      </c>
      <c r="J225" s="3126">
        <v>0.74160000000000004</v>
      </c>
      <c r="K225" s="3126">
        <v>0.74160000000000004</v>
      </c>
      <c r="L225" s="3126">
        <v>0.74160000000000004</v>
      </c>
      <c r="M225" s="3127">
        <v>0.74160000000000004</v>
      </c>
    </row>
    <row r="226" spans="1:13">
      <c r="A226" s="3128">
        <v>4.9000000000000004</v>
      </c>
      <c r="B226" s="3126">
        <v>0.90980000000000005</v>
      </c>
      <c r="C226" s="3126">
        <v>0.90980000000000005</v>
      </c>
      <c r="D226" s="3126">
        <v>0.89159999999999995</v>
      </c>
      <c r="E226" s="3126">
        <v>0.89159999999999995</v>
      </c>
      <c r="F226" s="3126">
        <v>0.89159999999999995</v>
      </c>
      <c r="G226" s="3126">
        <v>0.89159999999999995</v>
      </c>
      <c r="H226" s="3126">
        <v>0.89159999999999995</v>
      </c>
      <c r="I226" s="3126">
        <v>0.73839999999999995</v>
      </c>
      <c r="J226" s="3126">
        <v>0.73839999999999995</v>
      </c>
      <c r="K226" s="3126">
        <v>0.73839999999999995</v>
      </c>
      <c r="L226" s="3126">
        <v>0.73839999999999995</v>
      </c>
      <c r="M226" s="3127">
        <v>0.73839999999999995</v>
      </c>
    </row>
    <row r="227" spans="1:13">
      <c r="A227" s="3128">
        <v>5</v>
      </c>
      <c r="B227" s="3126">
        <v>0.90780000000000005</v>
      </c>
      <c r="C227" s="3126">
        <v>0.90780000000000005</v>
      </c>
      <c r="D227" s="3126">
        <v>0.8891</v>
      </c>
      <c r="E227" s="3126">
        <v>0.8891</v>
      </c>
      <c r="F227" s="3126">
        <v>0.8891</v>
      </c>
      <c r="G227" s="3126">
        <v>0.8891</v>
      </c>
      <c r="H227" s="3126">
        <v>0.8891</v>
      </c>
      <c r="I227" s="3126">
        <v>0.73529999999999995</v>
      </c>
      <c r="J227" s="3126">
        <v>0.73529999999999995</v>
      </c>
      <c r="K227" s="3126">
        <v>0.73529999999999995</v>
      </c>
      <c r="L227" s="3126">
        <v>0.73529999999999995</v>
      </c>
      <c r="M227" s="3127">
        <v>0.73529999999999995</v>
      </c>
    </row>
    <row r="228" spans="1:13">
      <c r="A228" s="3125">
        <v>5.0999999999999996</v>
      </c>
      <c r="B228" s="3126">
        <v>0.90580000000000005</v>
      </c>
      <c r="C228" s="3126">
        <v>0.90580000000000005</v>
      </c>
      <c r="D228" s="3126">
        <v>0.88670000000000004</v>
      </c>
      <c r="E228" s="3126">
        <v>0.88670000000000004</v>
      </c>
      <c r="F228" s="3126">
        <v>0.88670000000000004</v>
      </c>
      <c r="G228" s="3126">
        <v>0.88670000000000004</v>
      </c>
      <c r="H228" s="3126">
        <v>0.88670000000000004</v>
      </c>
      <c r="I228" s="3126">
        <v>0.73219999999999996</v>
      </c>
      <c r="J228" s="3126">
        <v>0.73219999999999996</v>
      </c>
      <c r="K228" s="3126">
        <v>0.73219999999999996</v>
      </c>
      <c r="L228" s="3126">
        <v>0.73219999999999996</v>
      </c>
      <c r="M228" s="3127">
        <v>0.73219999999999996</v>
      </c>
    </row>
    <row r="229" spans="1:13">
      <c r="A229" s="3125">
        <v>5.2</v>
      </c>
      <c r="B229" s="3126">
        <v>0.90380000000000005</v>
      </c>
      <c r="C229" s="3126">
        <v>0.90380000000000005</v>
      </c>
      <c r="D229" s="3126">
        <v>0.88429999999999997</v>
      </c>
      <c r="E229" s="3126">
        <v>0.88429999999999997</v>
      </c>
      <c r="F229" s="3126">
        <v>0.88429999999999997</v>
      </c>
      <c r="G229" s="3126">
        <v>0.88429999999999997</v>
      </c>
      <c r="H229" s="3126">
        <v>0.88429999999999997</v>
      </c>
      <c r="I229" s="3126">
        <v>0.72909999999999997</v>
      </c>
      <c r="J229" s="3126">
        <v>0.72909999999999997</v>
      </c>
      <c r="K229" s="3126">
        <v>0.72909999999999997</v>
      </c>
      <c r="L229" s="3126">
        <v>0.72909999999999997</v>
      </c>
      <c r="M229" s="3127">
        <v>0.72909999999999997</v>
      </c>
    </row>
    <row r="230" spans="1:13">
      <c r="A230" s="3125">
        <v>5.3</v>
      </c>
      <c r="B230" s="3126">
        <v>0.90190000000000003</v>
      </c>
      <c r="C230" s="3126">
        <v>0.90190000000000003</v>
      </c>
      <c r="D230" s="3126">
        <v>0.88190000000000002</v>
      </c>
      <c r="E230" s="3126">
        <v>0.88190000000000002</v>
      </c>
      <c r="F230" s="3126">
        <v>0.88190000000000002</v>
      </c>
      <c r="G230" s="3126">
        <v>0.88190000000000002</v>
      </c>
      <c r="H230" s="3126">
        <v>0.88190000000000002</v>
      </c>
      <c r="I230" s="3126">
        <v>0.72609999999999997</v>
      </c>
      <c r="J230" s="3126">
        <v>0.72609999999999997</v>
      </c>
      <c r="K230" s="3126">
        <v>0.72609999999999997</v>
      </c>
      <c r="L230" s="3126">
        <v>0.72609999999999997</v>
      </c>
      <c r="M230" s="3127">
        <v>0.72609999999999997</v>
      </c>
    </row>
    <row r="231" spans="1:13">
      <c r="A231" s="3125">
        <v>5.4</v>
      </c>
      <c r="B231" s="3126">
        <v>0.9</v>
      </c>
      <c r="C231" s="3126">
        <v>0.9</v>
      </c>
      <c r="D231" s="3126">
        <v>0.87949999999999995</v>
      </c>
      <c r="E231" s="3126">
        <v>0.87949999999999995</v>
      </c>
      <c r="F231" s="3126">
        <v>0.87949999999999995</v>
      </c>
      <c r="G231" s="3126">
        <v>0.87949999999999995</v>
      </c>
      <c r="H231" s="3126">
        <v>0.87949999999999995</v>
      </c>
      <c r="I231" s="3126">
        <v>0.72309999999999997</v>
      </c>
      <c r="J231" s="3126">
        <v>0.72309999999999997</v>
      </c>
      <c r="K231" s="3126">
        <v>0.72309999999999997</v>
      </c>
      <c r="L231" s="3126">
        <v>0.72309999999999997</v>
      </c>
      <c r="M231" s="3127">
        <v>0.72309999999999997</v>
      </c>
    </row>
    <row r="232" spans="1:13">
      <c r="A232" s="3125">
        <v>5.5</v>
      </c>
      <c r="B232" s="3126">
        <v>0.89810000000000001</v>
      </c>
      <c r="C232" s="3126">
        <v>0.89810000000000001</v>
      </c>
      <c r="D232" s="3126">
        <v>0.87719999999999998</v>
      </c>
      <c r="E232" s="3126">
        <v>0.87719999999999998</v>
      </c>
      <c r="F232" s="3126">
        <v>0.87719999999999998</v>
      </c>
      <c r="G232" s="3126">
        <v>0.87719999999999998</v>
      </c>
      <c r="H232" s="3126">
        <v>0.87719999999999998</v>
      </c>
      <c r="I232" s="3126">
        <v>0.72009999999999996</v>
      </c>
      <c r="J232" s="3126">
        <v>0.72009999999999996</v>
      </c>
      <c r="K232" s="3126">
        <v>0.72009999999999996</v>
      </c>
      <c r="L232" s="3126">
        <v>0.72009999999999996</v>
      </c>
      <c r="M232" s="3127">
        <v>0.72009999999999996</v>
      </c>
    </row>
    <row r="233" spans="1:13">
      <c r="A233" s="3125">
        <v>5.6</v>
      </c>
      <c r="B233" s="3126">
        <v>0.8962</v>
      </c>
      <c r="C233" s="3126">
        <v>0.8962</v>
      </c>
      <c r="D233" s="3126">
        <v>0.87490000000000001</v>
      </c>
      <c r="E233" s="3126">
        <v>0.87490000000000001</v>
      </c>
      <c r="F233" s="3126">
        <v>0.87490000000000001</v>
      </c>
      <c r="G233" s="3126">
        <v>0.87490000000000001</v>
      </c>
      <c r="H233" s="3126">
        <v>0.87490000000000001</v>
      </c>
      <c r="I233" s="3126">
        <v>0.71709999999999996</v>
      </c>
      <c r="J233" s="3126">
        <v>0.71709999999999996</v>
      </c>
      <c r="K233" s="3126">
        <v>0.71709999999999996</v>
      </c>
      <c r="L233" s="3126">
        <v>0.71709999999999996</v>
      </c>
      <c r="M233" s="3127">
        <v>0.71709999999999996</v>
      </c>
    </row>
    <row r="234" spans="1:13">
      <c r="A234" s="3128">
        <v>5.7</v>
      </c>
      <c r="B234" s="3126">
        <v>0.89429999999999998</v>
      </c>
      <c r="C234" s="3126">
        <v>0.89429999999999998</v>
      </c>
      <c r="D234" s="3126">
        <v>0.87260000000000004</v>
      </c>
      <c r="E234" s="3126">
        <v>0.87260000000000004</v>
      </c>
      <c r="F234" s="3126">
        <v>0.87260000000000004</v>
      </c>
      <c r="G234" s="3126">
        <v>0.87260000000000004</v>
      </c>
      <c r="H234" s="3126">
        <v>0.87260000000000004</v>
      </c>
      <c r="I234" s="3126">
        <v>0.71419999999999995</v>
      </c>
      <c r="J234" s="3126">
        <v>0.71419999999999995</v>
      </c>
      <c r="K234" s="3126">
        <v>0.71419999999999995</v>
      </c>
      <c r="L234" s="3126">
        <v>0.71419999999999995</v>
      </c>
      <c r="M234" s="3127">
        <v>0.71419999999999995</v>
      </c>
    </row>
    <row r="235" spans="1:13">
      <c r="A235" s="3125">
        <v>5.8</v>
      </c>
      <c r="B235" s="3126">
        <v>0.89249999999999996</v>
      </c>
      <c r="C235" s="3126">
        <v>0.89249999999999996</v>
      </c>
      <c r="D235" s="3126">
        <v>0.87029999999999996</v>
      </c>
      <c r="E235" s="3126">
        <v>0.87029999999999996</v>
      </c>
      <c r="F235" s="3126">
        <v>0.87029999999999996</v>
      </c>
      <c r="G235" s="3126">
        <v>0.87029999999999996</v>
      </c>
      <c r="H235" s="3126">
        <v>0.87029999999999996</v>
      </c>
      <c r="I235" s="3126">
        <v>0.71130000000000004</v>
      </c>
      <c r="J235" s="3126">
        <v>0.71130000000000004</v>
      </c>
      <c r="K235" s="3126">
        <v>0.71130000000000004</v>
      </c>
      <c r="L235" s="3126">
        <v>0.71130000000000004</v>
      </c>
      <c r="M235" s="3127">
        <v>0.71130000000000004</v>
      </c>
    </row>
    <row r="236" spans="1:13">
      <c r="A236" s="3125">
        <v>5.9</v>
      </c>
      <c r="B236" s="3126">
        <v>0.89070000000000005</v>
      </c>
      <c r="C236" s="3126">
        <v>0.89070000000000005</v>
      </c>
      <c r="D236" s="3126">
        <v>0.86799999999999999</v>
      </c>
      <c r="E236" s="3126">
        <v>0.86799999999999999</v>
      </c>
      <c r="F236" s="3126">
        <v>0.86799999999999999</v>
      </c>
      <c r="G236" s="3126">
        <v>0.86799999999999999</v>
      </c>
      <c r="H236" s="3126">
        <v>0.86799999999999999</v>
      </c>
      <c r="I236" s="3126">
        <v>0.70840000000000003</v>
      </c>
      <c r="J236" s="3126">
        <v>0.70840000000000003</v>
      </c>
      <c r="K236" s="3126">
        <v>0.70840000000000003</v>
      </c>
      <c r="L236" s="3126">
        <v>0.70840000000000003</v>
      </c>
      <c r="M236" s="3127">
        <v>0.70840000000000003</v>
      </c>
    </row>
    <row r="237" spans="1:13">
      <c r="A237" s="3125">
        <v>6</v>
      </c>
      <c r="B237" s="3126">
        <v>0.88890000000000002</v>
      </c>
      <c r="C237" s="3126">
        <v>0.88890000000000002</v>
      </c>
      <c r="D237" s="3126">
        <v>0.86580000000000001</v>
      </c>
      <c r="E237" s="3126">
        <v>0.86580000000000001</v>
      </c>
      <c r="F237" s="3126">
        <v>0.86580000000000001</v>
      </c>
      <c r="G237" s="3126">
        <v>0.86580000000000001</v>
      </c>
      <c r="H237" s="3126">
        <v>0.86580000000000001</v>
      </c>
      <c r="I237" s="3126">
        <v>0.70550000000000002</v>
      </c>
      <c r="J237" s="3126">
        <v>0.70550000000000002</v>
      </c>
      <c r="K237" s="3126">
        <v>0.70550000000000002</v>
      </c>
      <c r="L237" s="3126">
        <v>0.70550000000000002</v>
      </c>
      <c r="M237" s="3127">
        <v>0.70550000000000002</v>
      </c>
    </row>
    <row r="238" spans="1:13">
      <c r="A238" s="3125">
        <v>6.1</v>
      </c>
      <c r="B238" s="3126">
        <v>0.8871</v>
      </c>
      <c r="C238" s="3126">
        <v>0.8871</v>
      </c>
      <c r="D238" s="3126">
        <v>0.86360000000000003</v>
      </c>
      <c r="E238" s="3126">
        <v>0.86360000000000003</v>
      </c>
      <c r="F238" s="3126">
        <v>0.86360000000000003</v>
      </c>
      <c r="G238" s="3126">
        <v>0.86360000000000003</v>
      </c>
      <c r="H238" s="3126">
        <v>0.86360000000000003</v>
      </c>
      <c r="I238" s="3126">
        <v>0.70269999999999999</v>
      </c>
      <c r="J238" s="3126">
        <v>0.70269999999999999</v>
      </c>
      <c r="K238" s="3126">
        <v>0.70269999999999999</v>
      </c>
      <c r="L238" s="3126">
        <v>0.70269999999999999</v>
      </c>
      <c r="M238" s="3127">
        <v>0.70269999999999999</v>
      </c>
    </row>
    <row r="239" spans="1:13">
      <c r="A239" s="3125">
        <v>6.2</v>
      </c>
      <c r="B239" s="3126">
        <v>0.88529999999999998</v>
      </c>
      <c r="C239" s="3126">
        <v>0.88529999999999998</v>
      </c>
      <c r="D239" s="3126">
        <v>0.86140000000000005</v>
      </c>
      <c r="E239" s="3126">
        <v>0.86140000000000005</v>
      </c>
      <c r="F239" s="3126">
        <v>0.86140000000000005</v>
      </c>
      <c r="G239" s="3126">
        <v>0.86140000000000005</v>
      </c>
      <c r="H239" s="3126">
        <v>0.86140000000000005</v>
      </c>
      <c r="I239" s="3126">
        <v>0.69989999999999997</v>
      </c>
      <c r="J239" s="3126">
        <v>0.69989999999999997</v>
      </c>
      <c r="K239" s="3126">
        <v>0.69989999999999997</v>
      </c>
      <c r="L239" s="3126">
        <v>0.69989999999999997</v>
      </c>
      <c r="M239" s="3127">
        <v>0.69989999999999997</v>
      </c>
    </row>
    <row r="240" spans="1:13">
      <c r="A240" s="3125">
        <v>6.3</v>
      </c>
      <c r="B240" s="3126">
        <v>0.88349999999999995</v>
      </c>
      <c r="C240" s="3126">
        <v>0.88349999999999995</v>
      </c>
      <c r="D240" s="3126">
        <v>0.85919999999999996</v>
      </c>
      <c r="E240" s="3126">
        <v>0.85919999999999996</v>
      </c>
      <c r="F240" s="3126">
        <v>0.85919999999999996</v>
      </c>
      <c r="G240" s="3126">
        <v>0.85919999999999996</v>
      </c>
      <c r="H240" s="3126">
        <v>0.85919999999999996</v>
      </c>
      <c r="I240" s="3126">
        <v>0.69710000000000005</v>
      </c>
      <c r="J240" s="3126">
        <v>0.69710000000000005</v>
      </c>
      <c r="K240" s="3126">
        <v>0.69710000000000005</v>
      </c>
      <c r="L240" s="3126">
        <v>0.69710000000000005</v>
      </c>
      <c r="M240" s="3127">
        <v>0.69710000000000005</v>
      </c>
    </row>
    <row r="241" spans="1:13">
      <c r="A241" s="3125">
        <v>6.4</v>
      </c>
      <c r="B241" s="3126">
        <v>0.88180000000000003</v>
      </c>
      <c r="C241" s="3126">
        <v>0.88180000000000003</v>
      </c>
      <c r="D241" s="3126">
        <v>0.85699999999999998</v>
      </c>
      <c r="E241" s="3126">
        <v>0.85699999999999998</v>
      </c>
      <c r="F241" s="3126">
        <v>0.85699999999999998</v>
      </c>
      <c r="G241" s="3126">
        <v>0.85699999999999998</v>
      </c>
      <c r="H241" s="3126">
        <v>0.85699999999999998</v>
      </c>
      <c r="I241" s="3126">
        <v>0.69430000000000003</v>
      </c>
      <c r="J241" s="3126">
        <v>0.69430000000000003</v>
      </c>
      <c r="K241" s="3126">
        <v>0.69430000000000003</v>
      </c>
      <c r="L241" s="3126">
        <v>0.69430000000000003</v>
      </c>
      <c r="M241" s="3127">
        <v>0.69430000000000003</v>
      </c>
    </row>
    <row r="242" spans="1:13">
      <c r="A242" s="3125">
        <v>6.5</v>
      </c>
      <c r="B242" s="3126">
        <v>0.88009999999999999</v>
      </c>
      <c r="C242" s="3126">
        <v>0.88009999999999999</v>
      </c>
      <c r="D242" s="3126">
        <v>0.85489999999999999</v>
      </c>
      <c r="E242" s="3126">
        <v>0.85489999999999999</v>
      </c>
      <c r="F242" s="3126">
        <v>0.85489999999999999</v>
      </c>
      <c r="G242" s="3126">
        <v>0.85489999999999999</v>
      </c>
      <c r="H242" s="3126">
        <v>0.85489999999999999</v>
      </c>
      <c r="I242" s="3126">
        <v>0.69159999999999999</v>
      </c>
      <c r="J242" s="3126">
        <v>0.69159999999999999</v>
      </c>
      <c r="K242" s="3126">
        <v>0.69159999999999999</v>
      </c>
      <c r="L242" s="3126">
        <v>0.69159999999999999</v>
      </c>
      <c r="M242" s="3127">
        <v>0.69159999999999999</v>
      </c>
    </row>
    <row r="243" spans="1:13">
      <c r="A243" s="3125">
        <v>6.6</v>
      </c>
      <c r="B243" s="3126">
        <v>0.87839999999999996</v>
      </c>
      <c r="C243" s="3126">
        <v>0.87839999999999996</v>
      </c>
      <c r="D243" s="3126">
        <v>0.8528</v>
      </c>
      <c r="E243" s="3126">
        <v>0.8528</v>
      </c>
      <c r="F243" s="3126">
        <v>0.8528</v>
      </c>
      <c r="G243" s="3126">
        <v>0.8528</v>
      </c>
      <c r="H243" s="3126">
        <v>0.8528</v>
      </c>
      <c r="I243" s="3126">
        <v>0.68889999999999996</v>
      </c>
      <c r="J243" s="3126">
        <v>0.68889999999999996</v>
      </c>
      <c r="K243" s="3126">
        <v>0.68889999999999996</v>
      </c>
      <c r="L243" s="3126">
        <v>0.68889999999999996</v>
      </c>
      <c r="M243" s="3127">
        <v>0.68889999999999996</v>
      </c>
    </row>
    <row r="244" spans="1:13">
      <c r="A244" s="3125">
        <v>6.7</v>
      </c>
      <c r="B244" s="3126">
        <v>0.87670000000000003</v>
      </c>
      <c r="C244" s="3126">
        <v>0.87670000000000003</v>
      </c>
      <c r="D244" s="3126">
        <v>0.85070000000000001</v>
      </c>
      <c r="E244" s="3126">
        <v>0.85070000000000001</v>
      </c>
      <c r="F244" s="3126">
        <v>0.85070000000000001</v>
      </c>
      <c r="G244" s="3126">
        <v>0.85070000000000001</v>
      </c>
      <c r="H244" s="3126">
        <v>0.85070000000000001</v>
      </c>
      <c r="I244" s="3126">
        <v>0.68620000000000003</v>
      </c>
      <c r="J244" s="3126">
        <v>0.68620000000000003</v>
      </c>
      <c r="K244" s="3126">
        <v>0.68620000000000003</v>
      </c>
      <c r="L244" s="3126">
        <v>0.68620000000000003</v>
      </c>
      <c r="M244" s="3127">
        <v>0.68620000000000003</v>
      </c>
    </row>
    <row r="245" spans="1:13">
      <c r="A245" s="3125">
        <v>6.8</v>
      </c>
      <c r="B245" s="3126">
        <v>0.875</v>
      </c>
      <c r="C245" s="3126">
        <v>0.875</v>
      </c>
      <c r="D245" s="3126">
        <v>0.84860000000000002</v>
      </c>
      <c r="E245" s="3126">
        <v>0.84860000000000002</v>
      </c>
      <c r="F245" s="3126">
        <v>0.84860000000000002</v>
      </c>
      <c r="G245" s="3126">
        <v>0.84860000000000002</v>
      </c>
      <c r="H245" s="3126">
        <v>0.84860000000000002</v>
      </c>
      <c r="I245" s="3126">
        <v>0.6835</v>
      </c>
      <c r="J245" s="3126">
        <v>0.6835</v>
      </c>
      <c r="K245" s="3126">
        <v>0.6835</v>
      </c>
      <c r="L245" s="3126">
        <v>0.6835</v>
      </c>
      <c r="M245" s="3127">
        <v>0.6835</v>
      </c>
    </row>
    <row r="246" spans="1:13">
      <c r="A246" s="3125">
        <v>6.9</v>
      </c>
      <c r="B246" s="3126">
        <v>0.87329999999999997</v>
      </c>
      <c r="C246" s="3126">
        <v>0.87329999999999997</v>
      </c>
      <c r="D246" s="3126">
        <v>0.84650000000000003</v>
      </c>
      <c r="E246" s="3126">
        <v>0.84650000000000003</v>
      </c>
      <c r="F246" s="3126">
        <v>0.84650000000000003</v>
      </c>
      <c r="G246" s="3126">
        <v>0.84650000000000003</v>
      </c>
      <c r="H246" s="3126">
        <v>0.84650000000000003</v>
      </c>
      <c r="I246" s="3126">
        <v>0.68089999999999995</v>
      </c>
      <c r="J246" s="3126">
        <v>0.68089999999999995</v>
      </c>
      <c r="K246" s="3126">
        <v>0.68089999999999995</v>
      </c>
      <c r="L246" s="3126">
        <v>0.68089999999999995</v>
      </c>
      <c r="M246" s="3127">
        <v>0.68089999999999995</v>
      </c>
    </row>
    <row r="247" spans="1:13">
      <c r="A247" s="3125">
        <v>7</v>
      </c>
      <c r="B247" s="3126">
        <v>0.87170000000000003</v>
      </c>
      <c r="C247" s="3126">
        <v>0.87170000000000003</v>
      </c>
      <c r="D247" s="3126">
        <v>0.84450000000000003</v>
      </c>
      <c r="E247" s="3126">
        <v>0.84450000000000003</v>
      </c>
      <c r="F247" s="3126">
        <v>0.84450000000000003</v>
      </c>
      <c r="G247" s="3126">
        <v>0.84450000000000003</v>
      </c>
      <c r="H247" s="3126">
        <v>0.84450000000000003</v>
      </c>
      <c r="I247" s="3126">
        <v>0.67830000000000001</v>
      </c>
      <c r="J247" s="3126">
        <v>0.67830000000000001</v>
      </c>
      <c r="K247" s="3126">
        <v>0.67830000000000001</v>
      </c>
      <c r="L247" s="3126">
        <v>0.67830000000000001</v>
      </c>
      <c r="M247" s="3127">
        <v>0.67830000000000001</v>
      </c>
    </row>
    <row r="248" spans="1:13">
      <c r="A248" s="3125">
        <v>7.1</v>
      </c>
      <c r="B248" s="3126">
        <v>0.87009999999999998</v>
      </c>
      <c r="C248" s="3126">
        <v>0.87009999999999998</v>
      </c>
      <c r="D248" s="3126">
        <v>0.84250000000000003</v>
      </c>
      <c r="E248" s="3126">
        <v>0.84250000000000003</v>
      </c>
      <c r="F248" s="3126">
        <v>0.84250000000000003</v>
      </c>
      <c r="G248" s="3126">
        <v>0.84250000000000003</v>
      </c>
      <c r="H248" s="3126">
        <v>0.84250000000000003</v>
      </c>
      <c r="I248" s="3126">
        <v>0.67569999999999997</v>
      </c>
      <c r="J248" s="3126">
        <v>0.67569999999999997</v>
      </c>
      <c r="K248" s="3126">
        <v>0.67569999999999997</v>
      </c>
      <c r="L248" s="3126">
        <v>0.67569999999999997</v>
      </c>
      <c r="M248" s="3127">
        <v>0.67569999999999997</v>
      </c>
    </row>
    <row r="249" spans="1:13">
      <c r="A249" s="3125">
        <v>7.2</v>
      </c>
      <c r="B249" s="3126">
        <v>0.86850000000000005</v>
      </c>
      <c r="C249" s="3126">
        <v>0.86850000000000005</v>
      </c>
      <c r="D249" s="3126">
        <v>0.84050000000000002</v>
      </c>
      <c r="E249" s="3126">
        <v>0.84050000000000002</v>
      </c>
      <c r="F249" s="3126">
        <v>0.84050000000000002</v>
      </c>
      <c r="G249" s="3126">
        <v>0.84050000000000002</v>
      </c>
      <c r="H249" s="3126">
        <v>0.84050000000000002</v>
      </c>
      <c r="I249" s="3126">
        <v>0.67310000000000003</v>
      </c>
      <c r="J249" s="3126">
        <v>0.67310000000000003</v>
      </c>
      <c r="K249" s="3126">
        <v>0.67310000000000003</v>
      </c>
      <c r="L249" s="3126">
        <v>0.67310000000000003</v>
      </c>
      <c r="M249" s="3127">
        <v>0.67310000000000003</v>
      </c>
    </row>
    <row r="250" spans="1:13">
      <c r="A250" s="3125">
        <v>7.3</v>
      </c>
      <c r="B250" s="3126">
        <v>0.8669</v>
      </c>
      <c r="C250" s="3126">
        <v>0.8669</v>
      </c>
      <c r="D250" s="3126">
        <v>0.83850000000000002</v>
      </c>
      <c r="E250" s="3126">
        <v>0.83850000000000002</v>
      </c>
      <c r="F250" s="3126">
        <v>0.83850000000000002</v>
      </c>
      <c r="G250" s="3126">
        <v>0.83850000000000002</v>
      </c>
      <c r="H250" s="3126">
        <v>0.83850000000000002</v>
      </c>
      <c r="I250" s="3126">
        <v>0.67059999999999997</v>
      </c>
      <c r="J250" s="3126">
        <v>0.67059999999999997</v>
      </c>
      <c r="K250" s="3126">
        <v>0.67059999999999997</v>
      </c>
      <c r="L250" s="3126">
        <v>0.67059999999999997</v>
      </c>
      <c r="M250" s="3127">
        <v>0.67059999999999997</v>
      </c>
    </row>
    <row r="251" spans="1:13">
      <c r="A251" s="3125">
        <v>7.4</v>
      </c>
      <c r="B251" s="3126">
        <v>0.86529999999999996</v>
      </c>
      <c r="C251" s="3126">
        <v>0.86529999999999996</v>
      </c>
      <c r="D251" s="3126">
        <v>0.83650000000000002</v>
      </c>
      <c r="E251" s="3126">
        <v>0.83650000000000002</v>
      </c>
      <c r="F251" s="3126">
        <v>0.83650000000000002</v>
      </c>
      <c r="G251" s="3126">
        <v>0.83650000000000002</v>
      </c>
      <c r="H251" s="3126">
        <v>0.83650000000000002</v>
      </c>
      <c r="I251" s="3126">
        <v>0.66810000000000003</v>
      </c>
      <c r="J251" s="3126">
        <v>0.66810000000000003</v>
      </c>
      <c r="K251" s="3126">
        <v>0.66810000000000003</v>
      </c>
      <c r="L251" s="3126">
        <v>0.66810000000000003</v>
      </c>
      <c r="M251" s="3127">
        <v>0.66810000000000003</v>
      </c>
    </row>
    <row r="252" spans="1:13">
      <c r="A252" s="3125">
        <v>7.5</v>
      </c>
      <c r="B252" s="3126">
        <v>0.86370000000000002</v>
      </c>
      <c r="C252" s="3126">
        <v>0.86370000000000002</v>
      </c>
      <c r="D252" s="3126">
        <v>0.83460000000000001</v>
      </c>
      <c r="E252" s="3126">
        <v>0.83460000000000001</v>
      </c>
      <c r="F252" s="3126">
        <v>0.83460000000000001</v>
      </c>
      <c r="G252" s="3126">
        <v>0.83460000000000001</v>
      </c>
      <c r="H252" s="3126">
        <v>0.83460000000000001</v>
      </c>
      <c r="I252" s="3126">
        <v>0.66559999999999997</v>
      </c>
      <c r="J252" s="3126">
        <v>0.66559999999999997</v>
      </c>
      <c r="K252" s="3126">
        <v>0.66559999999999997</v>
      </c>
      <c r="L252" s="3126">
        <v>0.66559999999999997</v>
      </c>
      <c r="M252" s="3127">
        <v>0.66559999999999997</v>
      </c>
    </row>
    <row r="253" spans="1:13">
      <c r="A253" s="3125">
        <v>7.6</v>
      </c>
      <c r="B253" s="3126">
        <v>0.86219999999999997</v>
      </c>
      <c r="C253" s="3126">
        <v>0.86219999999999997</v>
      </c>
      <c r="D253" s="3126">
        <v>0.8327</v>
      </c>
      <c r="E253" s="3126">
        <v>0.8327</v>
      </c>
      <c r="F253" s="3126">
        <v>0.8327</v>
      </c>
      <c r="G253" s="3126">
        <v>0.8327</v>
      </c>
      <c r="H253" s="3126">
        <v>0.8327</v>
      </c>
      <c r="I253" s="3126">
        <v>0.66310000000000002</v>
      </c>
      <c r="J253" s="3126">
        <v>0.66310000000000002</v>
      </c>
      <c r="K253" s="3126">
        <v>0.66310000000000002</v>
      </c>
      <c r="L253" s="3126">
        <v>0.66310000000000002</v>
      </c>
      <c r="M253" s="3127">
        <v>0.66310000000000002</v>
      </c>
    </row>
    <row r="254" spans="1:13">
      <c r="A254" s="3125">
        <v>7.7</v>
      </c>
      <c r="B254" s="3126">
        <v>0.86070000000000002</v>
      </c>
      <c r="C254" s="3126">
        <v>0.86070000000000002</v>
      </c>
      <c r="D254" s="3126">
        <v>0.83079999999999998</v>
      </c>
      <c r="E254" s="3126">
        <v>0.83079999999999998</v>
      </c>
      <c r="F254" s="3126">
        <v>0.83079999999999998</v>
      </c>
      <c r="G254" s="3126">
        <v>0.83079999999999998</v>
      </c>
      <c r="H254" s="3126">
        <v>0.83079999999999998</v>
      </c>
      <c r="I254" s="3126">
        <v>0.66069999999999995</v>
      </c>
      <c r="J254" s="3126">
        <v>0.66069999999999995</v>
      </c>
      <c r="K254" s="3126">
        <v>0.66069999999999995</v>
      </c>
      <c r="L254" s="3126">
        <v>0.66069999999999995</v>
      </c>
      <c r="M254" s="3127">
        <v>0.66069999999999995</v>
      </c>
    </row>
    <row r="255" spans="1:13">
      <c r="A255" s="3125">
        <v>7.8</v>
      </c>
      <c r="B255" s="3126">
        <v>0.85919999999999996</v>
      </c>
      <c r="C255" s="3126">
        <v>0.85919999999999996</v>
      </c>
      <c r="D255" s="3126">
        <v>0.82889999999999997</v>
      </c>
      <c r="E255" s="3126">
        <v>0.82889999999999997</v>
      </c>
      <c r="F255" s="3126">
        <v>0.82889999999999997</v>
      </c>
      <c r="G255" s="3126">
        <v>0.82889999999999997</v>
      </c>
      <c r="H255" s="3126">
        <v>0.82889999999999997</v>
      </c>
      <c r="I255" s="3126">
        <v>0.6583</v>
      </c>
      <c r="J255" s="3126">
        <v>0.6583</v>
      </c>
      <c r="K255" s="3126">
        <v>0.6583</v>
      </c>
      <c r="L255" s="3126">
        <v>0.6583</v>
      </c>
      <c r="M255" s="3127">
        <v>0.6583</v>
      </c>
    </row>
    <row r="256" spans="1:13">
      <c r="A256" s="3125">
        <v>7.9</v>
      </c>
      <c r="B256" s="3126">
        <v>0.85770000000000002</v>
      </c>
      <c r="C256" s="3126">
        <v>0.85770000000000002</v>
      </c>
      <c r="D256" s="3126">
        <v>0.82699999999999996</v>
      </c>
      <c r="E256" s="3126">
        <v>0.82699999999999996</v>
      </c>
      <c r="F256" s="3126">
        <v>0.82699999999999996</v>
      </c>
      <c r="G256" s="3126">
        <v>0.82699999999999996</v>
      </c>
      <c r="H256" s="3126">
        <v>0.82699999999999996</v>
      </c>
      <c r="I256" s="3126">
        <v>0.65590000000000004</v>
      </c>
      <c r="J256" s="3126">
        <v>0.65590000000000004</v>
      </c>
      <c r="K256" s="3126">
        <v>0.65590000000000004</v>
      </c>
      <c r="L256" s="3126">
        <v>0.65590000000000004</v>
      </c>
      <c r="M256" s="3127">
        <v>0.65590000000000004</v>
      </c>
    </row>
    <row r="257" spans="1:13">
      <c r="A257" s="3125">
        <v>8</v>
      </c>
      <c r="B257" s="3126">
        <v>0.85619999999999996</v>
      </c>
      <c r="C257" s="3126">
        <v>0.85619999999999996</v>
      </c>
      <c r="D257" s="3126">
        <v>0.82509999999999994</v>
      </c>
      <c r="E257" s="3126">
        <v>0.82509999999999994</v>
      </c>
      <c r="F257" s="3126">
        <v>0.82509999999999994</v>
      </c>
      <c r="G257" s="3126">
        <v>0.82509999999999994</v>
      </c>
      <c r="H257" s="3126">
        <v>0.82509999999999994</v>
      </c>
      <c r="I257" s="3126">
        <v>0.65349999999999997</v>
      </c>
      <c r="J257" s="3126">
        <v>0.65349999999999997</v>
      </c>
      <c r="K257" s="3126">
        <v>0.65349999999999997</v>
      </c>
      <c r="L257" s="3126">
        <v>0.65349999999999997</v>
      </c>
      <c r="M257" s="3127">
        <v>0.65349999999999997</v>
      </c>
    </row>
    <row r="258" spans="1:13">
      <c r="A258" s="3125">
        <v>8.1</v>
      </c>
      <c r="B258" s="3126">
        <v>0.85470000000000002</v>
      </c>
      <c r="C258" s="3126">
        <v>0.85470000000000002</v>
      </c>
      <c r="D258" s="3126">
        <v>0.82330000000000003</v>
      </c>
      <c r="E258" s="3126">
        <v>0.82330000000000003</v>
      </c>
      <c r="F258" s="3126">
        <v>0.82330000000000003</v>
      </c>
      <c r="G258" s="3126">
        <v>0.82330000000000003</v>
      </c>
      <c r="H258" s="3126">
        <v>0.82330000000000003</v>
      </c>
      <c r="I258" s="3126">
        <v>0.6512</v>
      </c>
      <c r="J258" s="3126">
        <v>0.6512</v>
      </c>
      <c r="K258" s="3126">
        <v>0.6512</v>
      </c>
      <c r="L258" s="3126">
        <v>0.6512</v>
      </c>
      <c r="M258" s="3127">
        <v>0.6512</v>
      </c>
    </row>
    <row r="259" spans="1:13">
      <c r="A259" s="3125">
        <v>8.1999999999999993</v>
      </c>
      <c r="B259" s="3126">
        <v>0.85329999999999995</v>
      </c>
      <c r="C259" s="3126">
        <v>0.85329999999999995</v>
      </c>
      <c r="D259" s="3126">
        <v>0.82150000000000001</v>
      </c>
      <c r="E259" s="3126">
        <v>0.82150000000000001</v>
      </c>
      <c r="F259" s="3126">
        <v>0.82150000000000001</v>
      </c>
      <c r="G259" s="3126">
        <v>0.82150000000000001</v>
      </c>
      <c r="H259" s="3126">
        <v>0.82150000000000001</v>
      </c>
      <c r="I259" s="3126">
        <v>0.64890000000000003</v>
      </c>
      <c r="J259" s="3126">
        <v>0.64890000000000003</v>
      </c>
      <c r="K259" s="3126">
        <v>0.64890000000000003</v>
      </c>
      <c r="L259" s="3126">
        <v>0.64890000000000003</v>
      </c>
      <c r="M259" s="3127">
        <v>0.64890000000000003</v>
      </c>
    </row>
    <row r="260" spans="1:13">
      <c r="A260" s="3125">
        <v>8.3000000000000007</v>
      </c>
      <c r="B260" s="3126">
        <v>0.85189999999999999</v>
      </c>
      <c r="C260" s="3126">
        <v>0.85189999999999999</v>
      </c>
      <c r="D260" s="3126">
        <v>0.81969999999999998</v>
      </c>
      <c r="E260" s="3126">
        <v>0.81969999999999998</v>
      </c>
      <c r="F260" s="3126">
        <v>0.81969999999999998</v>
      </c>
      <c r="G260" s="3126">
        <v>0.81969999999999998</v>
      </c>
      <c r="H260" s="3126">
        <v>0.81969999999999998</v>
      </c>
      <c r="I260" s="3126">
        <v>0.64659999999999995</v>
      </c>
      <c r="J260" s="3126">
        <v>0.64659999999999995</v>
      </c>
      <c r="K260" s="3126">
        <v>0.64659999999999995</v>
      </c>
      <c r="L260" s="3126">
        <v>0.64659999999999995</v>
      </c>
      <c r="M260" s="3127">
        <v>0.64659999999999995</v>
      </c>
    </row>
    <row r="261" spans="1:13">
      <c r="A261" s="3125">
        <v>8.4</v>
      </c>
      <c r="B261" s="3126">
        <v>0.85050000000000003</v>
      </c>
      <c r="C261" s="3126">
        <v>0.85050000000000003</v>
      </c>
      <c r="D261" s="3126">
        <v>0.81789999999999996</v>
      </c>
      <c r="E261" s="3126">
        <v>0.81789999999999996</v>
      </c>
      <c r="F261" s="3126">
        <v>0.81789999999999996</v>
      </c>
      <c r="G261" s="3126">
        <v>0.81789999999999996</v>
      </c>
      <c r="H261" s="3126">
        <v>0.81789999999999996</v>
      </c>
      <c r="I261" s="3126">
        <v>0.64429999999999998</v>
      </c>
      <c r="J261" s="3126">
        <v>0.64429999999999998</v>
      </c>
      <c r="K261" s="3126">
        <v>0.64429999999999998</v>
      </c>
      <c r="L261" s="3126">
        <v>0.64429999999999998</v>
      </c>
      <c r="M261" s="3127">
        <v>0.64429999999999998</v>
      </c>
    </row>
    <row r="262" spans="1:13">
      <c r="A262" s="3125">
        <v>8.5</v>
      </c>
      <c r="B262" s="3126">
        <v>0.84909999999999997</v>
      </c>
      <c r="C262" s="3126">
        <v>0.84909999999999997</v>
      </c>
      <c r="D262" s="3126">
        <v>0.81610000000000005</v>
      </c>
      <c r="E262" s="3126">
        <v>0.81610000000000005</v>
      </c>
      <c r="F262" s="3126">
        <v>0.81610000000000005</v>
      </c>
      <c r="G262" s="3126">
        <v>0.81610000000000005</v>
      </c>
      <c r="H262" s="3126">
        <v>0.81610000000000005</v>
      </c>
      <c r="I262" s="3126">
        <v>0.6421</v>
      </c>
      <c r="J262" s="3126">
        <v>0.6421</v>
      </c>
      <c r="K262" s="3126">
        <v>0.6421</v>
      </c>
      <c r="L262" s="3126">
        <v>0.6421</v>
      </c>
      <c r="M262" s="3127">
        <v>0.6421</v>
      </c>
    </row>
    <row r="263" spans="1:13">
      <c r="A263" s="3125">
        <v>8.6</v>
      </c>
      <c r="B263" s="3126">
        <v>0.84770000000000001</v>
      </c>
      <c r="C263" s="3126">
        <v>0.84770000000000001</v>
      </c>
      <c r="D263" s="3126">
        <v>0.81440000000000001</v>
      </c>
      <c r="E263" s="3126">
        <v>0.81440000000000001</v>
      </c>
      <c r="F263" s="3126">
        <v>0.81440000000000001</v>
      </c>
      <c r="G263" s="3126">
        <v>0.81440000000000001</v>
      </c>
      <c r="H263" s="3126">
        <v>0.81440000000000001</v>
      </c>
      <c r="I263" s="3126">
        <v>0.63990000000000002</v>
      </c>
      <c r="J263" s="3126">
        <v>0.63990000000000002</v>
      </c>
      <c r="K263" s="3126">
        <v>0.63990000000000002</v>
      </c>
      <c r="L263" s="3126">
        <v>0.63990000000000002</v>
      </c>
      <c r="M263" s="3127">
        <v>0.63990000000000002</v>
      </c>
    </row>
    <row r="264" spans="1:13">
      <c r="A264" s="3125">
        <v>8.6999999999999993</v>
      </c>
      <c r="B264" s="3126">
        <v>0.84630000000000005</v>
      </c>
      <c r="C264" s="3126">
        <v>0.84630000000000005</v>
      </c>
      <c r="D264" s="3126">
        <v>0.81269999999999998</v>
      </c>
      <c r="E264" s="3126">
        <v>0.81269999999999998</v>
      </c>
      <c r="F264" s="3126">
        <v>0.81269999999999998</v>
      </c>
      <c r="G264" s="3126">
        <v>0.81269999999999998</v>
      </c>
      <c r="H264" s="3126">
        <v>0.81269999999999998</v>
      </c>
      <c r="I264" s="3126">
        <v>0.63770000000000004</v>
      </c>
      <c r="J264" s="3126">
        <v>0.63770000000000004</v>
      </c>
      <c r="K264" s="3126">
        <v>0.63770000000000004</v>
      </c>
      <c r="L264" s="3126">
        <v>0.63770000000000004</v>
      </c>
      <c r="M264" s="3127">
        <v>0.63770000000000004</v>
      </c>
    </row>
    <row r="265" spans="1:13">
      <c r="A265" s="3125">
        <v>8.8000000000000007</v>
      </c>
      <c r="B265" s="3126">
        <v>0.84489999999999998</v>
      </c>
      <c r="C265" s="3126">
        <v>0.84489999999999998</v>
      </c>
      <c r="D265" s="3126">
        <v>0.81100000000000005</v>
      </c>
      <c r="E265" s="3126">
        <v>0.81100000000000005</v>
      </c>
      <c r="F265" s="3126">
        <v>0.81100000000000005</v>
      </c>
      <c r="G265" s="3126">
        <v>0.81100000000000005</v>
      </c>
      <c r="H265" s="3126">
        <v>0.81100000000000005</v>
      </c>
      <c r="I265" s="3126">
        <v>0.63549999999999995</v>
      </c>
      <c r="J265" s="3126">
        <v>0.63549999999999995</v>
      </c>
      <c r="K265" s="3126">
        <v>0.63549999999999995</v>
      </c>
      <c r="L265" s="3126">
        <v>0.63549999999999995</v>
      </c>
      <c r="M265" s="3127">
        <v>0.63549999999999995</v>
      </c>
    </row>
    <row r="266" spans="1:13">
      <c r="A266" s="3125">
        <v>8.9</v>
      </c>
      <c r="B266" s="3126">
        <v>0.84360000000000002</v>
      </c>
      <c r="C266" s="3126">
        <v>0.84360000000000002</v>
      </c>
      <c r="D266" s="3126">
        <v>0.80930000000000002</v>
      </c>
      <c r="E266" s="3126">
        <v>0.80930000000000002</v>
      </c>
      <c r="F266" s="3126">
        <v>0.80930000000000002</v>
      </c>
      <c r="G266" s="3126">
        <v>0.80930000000000002</v>
      </c>
      <c r="H266" s="3126">
        <v>0.80930000000000002</v>
      </c>
      <c r="I266" s="3126">
        <v>0.63339999999999996</v>
      </c>
      <c r="J266" s="3126">
        <v>0.63339999999999996</v>
      </c>
      <c r="K266" s="3126">
        <v>0.63339999999999996</v>
      </c>
      <c r="L266" s="3126">
        <v>0.63339999999999996</v>
      </c>
      <c r="M266" s="3127">
        <v>0.63339999999999996</v>
      </c>
    </row>
    <row r="267" spans="1:13">
      <c r="A267" s="3128">
        <v>9</v>
      </c>
      <c r="B267" s="3126">
        <v>0.84230000000000005</v>
      </c>
      <c r="C267" s="3126">
        <v>0.84230000000000005</v>
      </c>
      <c r="D267" s="3126">
        <v>0.80759999999999998</v>
      </c>
      <c r="E267" s="3126">
        <v>0.80759999999999998</v>
      </c>
      <c r="F267" s="3126">
        <v>0.80759999999999998</v>
      </c>
      <c r="G267" s="3126">
        <v>0.80759999999999998</v>
      </c>
      <c r="H267" s="3126">
        <v>0.80759999999999998</v>
      </c>
      <c r="I267" s="3126">
        <v>0.63129999999999997</v>
      </c>
      <c r="J267" s="3126">
        <v>0.63129999999999997</v>
      </c>
      <c r="K267" s="3126">
        <v>0.63129999999999997</v>
      </c>
      <c r="L267" s="3126">
        <v>0.63129999999999997</v>
      </c>
      <c r="M267" s="3127">
        <v>0.63129999999999997</v>
      </c>
    </row>
    <row r="268" spans="1:13">
      <c r="A268" s="3128">
        <v>9.1</v>
      </c>
      <c r="B268" s="3126">
        <v>0.84099999999999997</v>
      </c>
      <c r="C268" s="3126">
        <v>0.84099999999999997</v>
      </c>
      <c r="D268" s="3126">
        <v>0.80600000000000005</v>
      </c>
      <c r="E268" s="3126">
        <v>0.80600000000000005</v>
      </c>
      <c r="F268" s="3126">
        <v>0.80600000000000005</v>
      </c>
      <c r="G268" s="3126">
        <v>0.80600000000000005</v>
      </c>
      <c r="H268" s="3126">
        <v>0.80600000000000005</v>
      </c>
      <c r="I268" s="3126">
        <v>0.62919999999999998</v>
      </c>
      <c r="J268" s="3126">
        <v>0.62919999999999998</v>
      </c>
      <c r="K268" s="3126">
        <v>0.62919999999999998</v>
      </c>
      <c r="L268" s="3126">
        <v>0.62919999999999998</v>
      </c>
      <c r="M268" s="3127">
        <v>0.62919999999999998</v>
      </c>
    </row>
    <row r="269" spans="1:13">
      <c r="A269" s="3128">
        <v>9.1999999999999993</v>
      </c>
      <c r="B269" s="3126">
        <v>0.8397</v>
      </c>
      <c r="C269" s="3126">
        <v>0.8397</v>
      </c>
      <c r="D269" s="3126">
        <v>0.8044</v>
      </c>
      <c r="E269" s="3126">
        <v>0.8044</v>
      </c>
      <c r="F269" s="3126">
        <v>0.8044</v>
      </c>
      <c r="G269" s="3126">
        <v>0.8044</v>
      </c>
      <c r="H269" s="3126">
        <v>0.8044</v>
      </c>
      <c r="I269" s="3126">
        <v>0.62709999999999999</v>
      </c>
      <c r="J269" s="3126">
        <v>0.62709999999999999</v>
      </c>
      <c r="K269" s="3126">
        <v>0.62709999999999999</v>
      </c>
      <c r="L269" s="3126">
        <v>0.62709999999999999</v>
      </c>
      <c r="M269" s="3127">
        <v>0.62709999999999999</v>
      </c>
    </row>
    <row r="270" spans="1:13">
      <c r="A270" s="3128">
        <v>9.3000000000000007</v>
      </c>
      <c r="B270" s="3126">
        <v>0.83840000000000003</v>
      </c>
      <c r="C270" s="3126">
        <v>0.83840000000000003</v>
      </c>
      <c r="D270" s="3126">
        <v>0.80279999999999996</v>
      </c>
      <c r="E270" s="3126">
        <v>0.80279999999999996</v>
      </c>
      <c r="F270" s="3126">
        <v>0.80279999999999996</v>
      </c>
      <c r="G270" s="3126">
        <v>0.80279999999999996</v>
      </c>
      <c r="H270" s="3126">
        <v>0.80279999999999996</v>
      </c>
      <c r="I270" s="3126">
        <v>0.62509999999999999</v>
      </c>
      <c r="J270" s="3126">
        <v>0.62509999999999999</v>
      </c>
      <c r="K270" s="3126">
        <v>0.62509999999999999</v>
      </c>
      <c r="L270" s="3126">
        <v>0.62509999999999999</v>
      </c>
      <c r="M270" s="3127">
        <v>0.62509999999999999</v>
      </c>
    </row>
    <row r="271" spans="1:13">
      <c r="A271" s="3128">
        <v>9.4</v>
      </c>
      <c r="B271" s="3126">
        <v>0.83709999999999996</v>
      </c>
      <c r="C271" s="3126">
        <v>0.83709999999999996</v>
      </c>
      <c r="D271" s="3126">
        <v>0.80120000000000002</v>
      </c>
      <c r="E271" s="3126">
        <v>0.80120000000000002</v>
      </c>
      <c r="F271" s="3126">
        <v>0.80120000000000002</v>
      </c>
      <c r="G271" s="3126">
        <v>0.80120000000000002</v>
      </c>
      <c r="H271" s="3126">
        <v>0.80120000000000002</v>
      </c>
      <c r="I271" s="3126">
        <v>0.62309999999999999</v>
      </c>
      <c r="J271" s="3126">
        <v>0.62309999999999999</v>
      </c>
      <c r="K271" s="3126">
        <v>0.62309999999999999</v>
      </c>
      <c r="L271" s="3126">
        <v>0.62309999999999999</v>
      </c>
      <c r="M271" s="3127">
        <v>0.62309999999999999</v>
      </c>
    </row>
    <row r="272" spans="1:13">
      <c r="A272" s="3128">
        <v>9.5</v>
      </c>
      <c r="B272" s="3126">
        <v>0.83579999999999999</v>
      </c>
      <c r="C272" s="3126">
        <v>0.83579999999999999</v>
      </c>
      <c r="D272" s="3126">
        <v>0.79959999999999998</v>
      </c>
      <c r="E272" s="3126">
        <v>0.79959999999999998</v>
      </c>
      <c r="F272" s="3126">
        <v>0.79959999999999998</v>
      </c>
      <c r="G272" s="3126">
        <v>0.79959999999999998</v>
      </c>
      <c r="H272" s="3126">
        <v>0.79959999999999998</v>
      </c>
      <c r="I272" s="3126">
        <v>0.62109999999999999</v>
      </c>
      <c r="J272" s="3126">
        <v>0.62109999999999999</v>
      </c>
      <c r="K272" s="3126">
        <v>0.62109999999999999</v>
      </c>
      <c r="L272" s="3126">
        <v>0.62109999999999999</v>
      </c>
      <c r="M272" s="3127">
        <v>0.62109999999999999</v>
      </c>
    </row>
    <row r="273" spans="1:21">
      <c r="A273" s="3128">
        <v>9.6</v>
      </c>
      <c r="B273" s="3126">
        <v>0.83460000000000001</v>
      </c>
      <c r="C273" s="3126">
        <v>0.83460000000000001</v>
      </c>
      <c r="D273" s="3126">
        <v>0.79800000000000004</v>
      </c>
      <c r="E273" s="3126">
        <v>0.79800000000000004</v>
      </c>
      <c r="F273" s="3126">
        <v>0.79800000000000004</v>
      </c>
      <c r="G273" s="3126">
        <v>0.79800000000000004</v>
      </c>
      <c r="H273" s="3126">
        <v>0.79800000000000004</v>
      </c>
      <c r="I273" s="3126">
        <v>0.61909999999999998</v>
      </c>
      <c r="J273" s="3126">
        <v>0.61909999999999998</v>
      </c>
      <c r="K273" s="3126">
        <v>0.61909999999999998</v>
      </c>
      <c r="L273" s="3126">
        <v>0.61909999999999998</v>
      </c>
      <c r="M273" s="3127">
        <v>0.61909999999999998</v>
      </c>
    </row>
    <row r="274" spans="1:21">
      <c r="A274" s="3128">
        <v>9.6999999999999993</v>
      </c>
      <c r="B274" s="3126">
        <v>0.83340000000000003</v>
      </c>
      <c r="C274" s="3126">
        <v>0.83340000000000003</v>
      </c>
      <c r="D274" s="3126">
        <v>0.79649999999999999</v>
      </c>
      <c r="E274" s="3126">
        <v>0.79649999999999999</v>
      </c>
      <c r="F274" s="3126">
        <v>0.79649999999999999</v>
      </c>
      <c r="G274" s="3126">
        <v>0.79649999999999999</v>
      </c>
      <c r="H274" s="3126">
        <v>0.79649999999999999</v>
      </c>
      <c r="I274" s="3126">
        <v>0.61719999999999997</v>
      </c>
      <c r="J274" s="3126">
        <v>0.61719999999999997</v>
      </c>
      <c r="K274" s="3126">
        <v>0.61719999999999997</v>
      </c>
      <c r="L274" s="3126">
        <v>0.61719999999999997</v>
      </c>
      <c r="M274" s="3127">
        <v>0.61719999999999997</v>
      </c>
    </row>
    <row r="275" spans="1:21">
      <c r="A275" s="3128">
        <v>9.8000000000000007</v>
      </c>
      <c r="B275" s="3126">
        <v>0.83220000000000005</v>
      </c>
      <c r="C275" s="3126">
        <v>0.83220000000000005</v>
      </c>
      <c r="D275" s="3126">
        <v>0.79500000000000004</v>
      </c>
      <c r="E275" s="3126">
        <v>0.79500000000000004</v>
      </c>
      <c r="F275" s="3126">
        <v>0.79500000000000004</v>
      </c>
      <c r="G275" s="3126">
        <v>0.79500000000000004</v>
      </c>
      <c r="H275" s="3126">
        <v>0.79500000000000004</v>
      </c>
      <c r="I275" s="3126">
        <v>0.61529999999999996</v>
      </c>
      <c r="J275" s="3126">
        <v>0.61529999999999996</v>
      </c>
      <c r="K275" s="3126">
        <v>0.61529999999999996</v>
      </c>
      <c r="L275" s="3126">
        <v>0.61529999999999996</v>
      </c>
      <c r="M275" s="3127">
        <v>0.61529999999999996</v>
      </c>
    </row>
    <row r="276" spans="1:21" ht="15" thickBot="1">
      <c r="A276" s="3129">
        <v>9.9</v>
      </c>
      <c r="B276" s="3130">
        <v>0.83099999999999996</v>
      </c>
      <c r="C276" s="3130">
        <v>0.83099999999999996</v>
      </c>
      <c r="D276" s="3130">
        <v>0.79349999999999998</v>
      </c>
      <c r="E276" s="3130">
        <v>0.79349999999999998</v>
      </c>
      <c r="F276" s="3130">
        <v>0.79349999999999998</v>
      </c>
      <c r="G276" s="3130">
        <v>0.79349999999999998</v>
      </c>
      <c r="H276" s="3130">
        <v>0.79349999999999998</v>
      </c>
      <c r="I276" s="3130">
        <v>0.61339999999999995</v>
      </c>
      <c r="J276" s="3130">
        <v>0.61339999999999995</v>
      </c>
      <c r="K276" s="3130">
        <v>0.61339999999999995</v>
      </c>
      <c r="L276" s="3130">
        <v>0.61339999999999995</v>
      </c>
      <c r="M276" s="3131">
        <v>0.61339999999999995</v>
      </c>
    </row>
    <row r="277" spans="1:21" ht="15" thickBot="1">
      <c r="A277" s="3119" t="s">
        <v>2802</v>
      </c>
      <c r="B277" s="3119"/>
      <c r="C277" s="3119"/>
      <c r="D277" s="3119"/>
      <c r="E277" s="3119"/>
      <c r="F277" s="3119"/>
      <c r="G277" s="3119"/>
      <c r="H277" s="3119"/>
      <c r="I277" s="3119"/>
      <c r="J277" s="3119"/>
      <c r="K277" s="3119"/>
      <c r="L277" s="3119"/>
      <c r="M277" s="3119"/>
    </row>
    <row r="278" spans="1:21">
      <c r="A278" s="3120" t="s">
        <v>2799</v>
      </c>
      <c r="B278" s="3121" t="s">
        <v>2595</v>
      </c>
      <c r="C278" s="3121" t="s">
        <v>2596</v>
      </c>
      <c r="D278" s="3121" t="s">
        <v>2597</v>
      </c>
      <c r="E278" s="3121" t="s">
        <v>2598</v>
      </c>
      <c r="F278" s="3121" t="s">
        <v>2599</v>
      </c>
      <c r="G278" s="3121" t="s">
        <v>2600</v>
      </c>
      <c r="H278" s="3122" t="s">
        <v>2601</v>
      </c>
      <c r="I278" s="3122" t="s">
        <v>2602</v>
      </c>
      <c r="J278" s="3123" t="s">
        <v>2603</v>
      </c>
      <c r="K278" s="3123" t="s">
        <v>2604</v>
      </c>
      <c r="L278" s="3123" t="s">
        <v>2605</v>
      </c>
      <c r="M278" s="3124" t="s">
        <v>2606</v>
      </c>
      <c r="Q278" s="3134" t="s">
        <v>2804</v>
      </c>
      <c r="R278" s="3134" t="s">
        <v>2805</v>
      </c>
      <c r="S278" s="3134" t="s">
        <v>2808</v>
      </c>
      <c r="T278" s="3134" t="s">
        <v>2809</v>
      </c>
      <c r="U278" s="3134" t="s">
        <v>2807</v>
      </c>
    </row>
    <row r="279" spans="1:21">
      <c r="A279" s="3125">
        <v>1</v>
      </c>
      <c r="B279" s="3126">
        <v>1.1055999999999999</v>
      </c>
      <c r="C279" s="3126">
        <v>1.1055999999999999</v>
      </c>
      <c r="D279" s="3126">
        <v>1.1220000000000001</v>
      </c>
      <c r="E279" s="3126">
        <v>1.1220000000000001</v>
      </c>
      <c r="F279" s="3126">
        <v>1.1220000000000001</v>
      </c>
      <c r="G279" s="3126">
        <v>1.0583</v>
      </c>
      <c r="H279" s="3126">
        <v>1.0583</v>
      </c>
      <c r="I279" s="3126">
        <v>1</v>
      </c>
      <c r="J279" s="3126">
        <v>1</v>
      </c>
      <c r="K279" s="3126">
        <v>1</v>
      </c>
      <c r="L279" s="3126">
        <v>1</v>
      </c>
      <c r="M279" s="3127">
        <v>1</v>
      </c>
      <c r="Q279" s="3134">
        <v>10</v>
      </c>
      <c r="R279" s="3134">
        <f>ROUND(0.7836-0.012*Q279,4)</f>
        <v>0.66359999999999997</v>
      </c>
      <c r="S279" s="3134">
        <f>ROUND(0.753-0.015*Q279,4)</f>
        <v>0.60299999999999998</v>
      </c>
      <c r="T279" s="3134">
        <f>ROUND(0.6612-0.018*Q279,4)</f>
        <v>0.48120000000000002</v>
      </c>
      <c r="U279" s="3134">
        <f>ROUND(0.5905-0.019*R279,4)</f>
        <v>0.57789999999999997</v>
      </c>
    </row>
    <row r="280" spans="1:21">
      <c r="A280" s="3125">
        <v>1.1000000000000001</v>
      </c>
      <c r="B280" s="3126">
        <v>1.0820000000000001</v>
      </c>
      <c r="C280" s="3126">
        <v>1.0820000000000001</v>
      </c>
      <c r="D280" s="3126">
        <v>1.0948</v>
      </c>
      <c r="E280" s="3126">
        <v>1.0948</v>
      </c>
      <c r="F280" s="3126">
        <v>1.0948</v>
      </c>
      <c r="G280" s="3126">
        <v>1.0284</v>
      </c>
      <c r="H280" s="3126">
        <v>1.0284</v>
      </c>
      <c r="I280" s="3126">
        <v>0.96860000000000002</v>
      </c>
      <c r="J280" s="3126">
        <v>0.96860000000000002</v>
      </c>
      <c r="K280" s="3126">
        <v>0.96860000000000002</v>
      </c>
      <c r="L280" s="3126">
        <v>0.96860000000000002</v>
      </c>
      <c r="M280" s="3127">
        <v>0.96860000000000002</v>
      </c>
    </row>
    <row r="281" spans="1:21">
      <c r="A281" s="3125">
        <v>1.2</v>
      </c>
      <c r="B281" s="3126">
        <v>1.0598000000000001</v>
      </c>
      <c r="C281" s="3126">
        <v>1.0598000000000001</v>
      </c>
      <c r="D281" s="3126">
        <v>1.0690999999999999</v>
      </c>
      <c r="E281" s="3126">
        <v>1.0690999999999999</v>
      </c>
      <c r="F281" s="3126">
        <v>1.0690999999999999</v>
      </c>
      <c r="G281" s="3126">
        <v>1</v>
      </c>
      <c r="H281" s="3126">
        <v>1</v>
      </c>
      <c r="I281" s="3126">
        <v>0.93879999999999997</v>
      </c>
      <c r="J281" s="3126">
        <v>0.93879999999999997</v>
      </c>
      <c r="K281" s="3126">
        <v>0.93879999999999997</v>
      </c>
      <c r="L281" s="3126">
        <v>0.93879999999999997</v>
      </c>
      <c r="M281" s="3127">
        <v>0.93879999999999997</v>
      </c>
    </row>
    <row r="282" spans="1:21">
      <c r="A282" s="3125">
        <v>1.3</v>
      </c>
      <c r="B282" s="3126">
        <v>1.0387</v>
      </c>
      <c r="C282" s="3126">
        <v>1.0387</v>
      </c>
      <c r="D282" s="3126">
        <v>1.0447</v>
      </c>
      <c r="E282" s="3126">
        <v>1.0447</v>
      </c>
      <c r="F282" s="3126">
        <v>1.0447</v>
      </c>
      <c r="G282" s="3126">
        <v>0.97319999999999995</v>
      </c>
      <c r="H282" s="3126">
        <v>0.97319999999999995</v>
      </c>
      <c r="I282" s="3126">
        <v>0.91069999999999995</v>
      </c>
      <c r="J282" s="3126">
        <v>0.91069999999999995</v>
      </c>
      <c r="K282" s="3126">
        <v>0.91069999999999995</v>
      </c>
      <c r="L282" s="3126">
        <v>0.91069999999999995</v>
      </c>
      <c r="M282" s="3127">
        <v>0.91069999999999995</v>
      </c>
    </row>
    <row r="283" spans="1:21">
      <c r="A283" s="3125">
        <v>1.4</v>
      </c>
      <c r="B283" s="3126">
        <v>1.0187999999999999</v>
      </c>
      <c r="C283" s="3126">
        <v>1.0187999999999999</v>
      </c>
      <c r="D283" s="3126">
        <v>1.0217000000000001</v>
      </c>
      <c r="E283" s="3126">
        <v>1.0217000000000001</v>
      </c>
      <c r="F283" s="3126">
        <v>1.0217000000000001</v>
      </c>
      <c r="G283" s="3126">
        <v>0.94779999999999998</v>
      </c>
      <c r="H283" s="3126">
        <v>0.94779999999999998</v>
      </c>
      <c r="I283" s="3126">
        <v>0.8841</v>
      </c>
      <c r="J283" s="3126">
        <v>0.8841</v>
      </c>
      <c r="K283" s="3126">
        <v>0.8841</v>
      </c>
      <c r="L283" s="3126">
        <v>0.8841</v>
      </c>
      <c r="M283" s="3127">
        <v>0.8841</v>
      </c>
    </row>
    <row r="284" spans="1:21">
      <c r="A284" s="3125">
        <v>1.5</v>
      </c>
      <c r="B284" s="3126">
        <v>1</v>
      </c>
      <c r="C284" s="3126">
        <v>1</v>
      </c>
      <c r="D284" s="3126">
        <v>1</v>
      </c>
      <c r="E284" s="3126">
        <v>1</v>
      </c>
      <c r="F284" s="3126">
        <v>1</v>
      </c>
      <c r="G284" s="3126">
        <v>0.92379999999999995</v>
      </c>
      <c r="H284" s="3126">
        <v>0.92379999999999995</v>
      </c>
      <c r="I284" s="3126">
        <v>0.8589</v>
      </c>
      <c r="J284" s="3126">
        <v>0.8589</v>
      </c>
      <c r="K284" s="3126">
        <v>0.8589</v>
      </c>
      <c r="L284" s="3126">
        <v>0.8589</v>
      </c>
      <c r="M284" s="3127">
        <v>0.8589</v>
      </c>
    </row>
    <row r="285" spans="1:21">
      <c r="A285" s="3125">
        <v>1.6</v>
      </c>
      <c r="B285" s="3126">
        <v>0.98229999999999995</v>
      </c>
      <c r="C285" s="3126">
        <v>0.98229999999999995</v>
      </c>
      <c r="D285" s="3126">
        <v>0.97950000000000004</v>
      </c>
      <c r="E285" s="3126">
        <v>0.97950000000000004</v>
      </c>
      <c r="F285" s="3126">
        <v>0.97950000000000004</v>
      </c>
      <c r="G285" s="3126">
        <v>0.9012</v>
      </c>
      <c r="H285" s="3126">
        <v>0.9012</v>
      </c>
      <c r="I285" s="3126">
        <v>0.83509999999999995</v>
      </c>
      <c r="J285" s="3126">
        <v>0.83509999999999995</v>
      </c>
      <c r="K285" s="3126">
        <v>0.83509999999999995</v>
      </c>
      <c r="L285" s="3126">
        <v>0.83509999999999995</v>
      </c>
      <c r="M285" s="3127">
        <v>0.83509999999999995</v>
      </c>
    </row>
    <row r="286" spans="1:21">
      <c r="A286" s="3125">
        <v>1.7</v>
      </c>
      <c r="B286" s="3126">
        <v>0.96550000000000002</v>
      </c>
      <c r="C286" s="3126">
        <v>0.96550000000000002</v>
      </c>
      <c r="D286" s="3126">
        <v>0.96009999999999995</v>
      </c>
      <c r="E286" s="3126">
        <v>0.96009999999999995</v>
      </c>
      <c r="F286" s="3126">
        <v>0.96009999999999995</v>
      </c>
      <c r="G286" s="3126">
        <v>0.87980000000000003</v>
      </c>
      <c r="H286" s="3126">
        <v>0.87980000000000003</v>
      </c>
      <c r="I286" s="3126">
        <v>0.81269999999999998</v>
      </c>
      <c r="J286" s="3126">
        <v>0.81269999999999998</v>
      </c>
      <c r="K286" s="3126">
        <v>0.81269999999999998</v>
      </c>
      <c r="L286" s="3126">
        <v>0.81269999999999998</v>
      </c>
      <c r="M286" s="3127">
        <v>0.81269999999999998</v>
      </c>
    </row>
    <row r="287" spans="1:21">
      <c r="A287" s="3125">
        <v>1.8</v>
      </c>
      <c r="B287" s="3126">
        <v>0.94969999999999999</v>
      </c>
      <c r="C287" s="3126">
        <v>0.94969999999999999</v>
      </c>
      <c r="D287" s="3126">
        <v>0.94189999999999996</v>
      </c>
      <c r="E287" s="3126">
        <v>0.94189999999999996</v>
      </c>
      <c r="F287" s="3126">
        <v>0.94189999999999996</v>
      </c>
      <c r="G287" s="3126">
        <v>0.85960000000000003</v>
      </c>
      <c r="H287" s="3126">
        <v>0.85960000000000003</v>
      </c>
      <c r="I287" s="3126">
        <v>0.79149999999999998</v>
      </c>
      <c r="J287" s="3126">
        <v>0.79149999999999998</v>
      </c>
      <c r="K287" s="3126">
        <v>0.79149999999999998</v>
      </c>
      <c r="L287" s="3126">
        <v>0.79149999999999998</v>
      </c>
      <c r="M287" s="3127">
        <v>0.79149999999999998</v>
      </c>
    </row>
    <row r="288" spans="1:21">
      <c r="A288" s="3125">
        <v>1.9</v>
      </c>
      <c r="B288" s="3126">
        <v>0.93479999999999996</v>
      </c>
      <c r="C288" s="3126">
        <v>0.93479999999999996</v>
      </c>
      <c r="D288" s="3126">
        <v>0.92459999999999998</v>
      </c>
      <c r="E288" s="3126">
        <v>0.92459999999999998</v>
      </c>
      <c r="F288" s="3126">
        <v>0.92459999999999998</v>
      </c>
      <c r="G288" s="3126">
        <v>0.84060000000000001</v>
      </c>
      <c r="H288" s="3126">
        <v>0.84060000000000001</v>
      </c>
      <c r="I288" s="3126">
        <v>0.77149999999999996</v>
      </c>
      <c r="J288" s="3126">
        <v>0.77149999999999996</v>
      </c>
      <c r="K288" s="3126">
        <v>0.77149999999999996</v>
      </c>
      <c r="L288" s="3126">
        <v>0.77149999999999996</v>
      </c>
      <c r="M288" s="3127">
        <v>0.77149999999999996</v>
      </c>
    </row>
    <row r="289" spans="1:13">
      <c r="A289" s="3125">
        <v>2</v>
      </c>
      <c r="B289" s="3126">
        <v>0.92079999999999995</v>
      </c>
      <c r="C289" s="3126">
        <v>0.92079999999999995</v>
      </c>
      <c r="D289" s="3126">
        <v>0.90839999999999999</v>
      </c>
      <c r="E289" s="3126">
        <v>0.90839999999999999</v>
      </c>
      <c r="F289" s="3126">
        <v>0.90839999999999999</v>
      </c>
      <c r="G289" s="3126">
        <v>0.82269999999999999</v>
      </c>
      <c r="H289" s="3126">
        <v>0.82269999999999999</v>
      </c>
      <c r="I289" s="3126">
        <v>0.75270000000000004</v>
      </c>
      <c r="J289" s="3126">
        <v>0.75270000000000004</v>
      </c>
      <c r="K289" s="3126">
        <v>0.75270000000000004</v>
      </c>
      <c r="L289" s="3126">
        <v>0.75270000000000004</v>
      </c>
      <c r="M289" s="3127">
        <v>0.75270000000000004</v>
      </c>
    </row>
    <row r="290" spans="1:13">
      <c r="A290" s="3128">
        <v>2.1</v>
      </c>
      <c r="B290" s="3126">
        <v>0.90759999999999996</v>
      </c>
      <c r="C290" s="3126">
        <v>0.90759999999999996</v>
      </c>
      <c r="D290" s="3126">
        <v>0.89319999999999999</v>
      </c>
      <c r="E290" s="3126">
        <v>0.89319999999999999</v>
      </c>
      <c r="F290" s="3126">
        <v>0.89319999999999999</v>
      </c>
      <c r="G290" s="3126">
        <v>0.80589999999999995</v>
      </c>
      <c r="H290" s="3126">
        <v>0.80589999999999995</v>
      </c>
      <c r="I290" s="3126">
        <v>0.73499999999999999</v>
      </c>
      <c r="J290" s="3126">
        <v>0.73499999999999999</v>
      </c>
      <c r="K290" s="3126">
        <v>0.73499999999999999</v>
      </c>
      <c r="L290" s="3126">
        <v>0.73499999999999999</v>
      </c>
      <c r="M290" s="3127">
        <v>0.73499999999999999</v>
      </c>
    </row>
    <row r="291" spans="1:13">
      <c r="A291" s="3128">
        <v>2.2000000000000002</v>
      </c>
      <c r="B291" s="3126">
        <v>0.8952</v>
      </c>
      <c r="C291" s="3126">
        <v>0.8952</v>
      </c>
      <c r="D291" s="3126">
        <v>0.87880000000000003</v>
      </c>
      <c r="E291" s="3126">
        <v>0.87880000000000003</v>
      </c>
      <c r="F291" s="3126">
        <v>0.87880000000000003</v>
      </c>
      <c r="G291" s="3126">
        <v>0.79</v>
      </c>
      <c r="H291" s="3126">
        <v>0.79</v>
      </c>
      <c r="I291" s="3126">
        <v>0.71840000000000004</v>
      </c>
      <c r="J291" s="3126">
        <v>0.71840000000000004</v>
      </c>
      <c r="K291" s="3126">
        <v>0.71840000000000004</v>
      </c>
      <c r="L291" s="3126">
        <v>0.71840000000000004</v>
      </c>
      <c r="M291" s="3127">
        <v>0.71840000000000004</v>
      </c>
    </row>
    <row r="292" spans="1:13">
      <c r="A292" s="3128">
        <v>2.2999999999999998</v>
      </c>
      <c r="B292" s="3126">
        <v>0.88360000000000005</v>
      </c>
      <c r="C292" s="3126">
        <v>0.88360000000000005</v>
      </c>
      <c r="D292" s="3126">
        <v>0.86529999999999996</v>
      </c>
      <c r="E292" s="3126">
        <v>0.86529999999999996</v>
      </c>
      <c r="F292" s="3126">
        <v>0.86529999999999996</v>
      </c>
      <c r="G292" s="3126">
        <v>0.77510000000000001</v>
      </c>
      <c r="H292" s="3126">
        <v>0.77510000000000001</v>
      </c>
      <c r="I292" s="3126">
        <v>0.70269999999999999</v>
      </c>
      <c r="J292" s="3126">
        <v>0.70269999999999999</v>
      </c>
      <c r="K292" s="3126">
        <v>0.70269999999999999</v>
      </c>
      <c r="L292" s="3126">
        <v>0.70269999999999999</v>
      </c>
      <c r="M292" s="3127">
        <v>0.70269999999999999</v>
      </c>
    </row>
    <row r="293" spans="1:13">
      <c r="A293" s="3128">
        <v>2.4</v>
      </c>
      <c r="B293" s="3126">
        <v>0.87260000000000004</v>
      </c>
      <c r="C293" s="3126">
        <v>0.87260000000000004</v>
      </c>
      <c r="D293" s="3126">
        <v>0.85260000000000002</v>
      </c>
      <c r="E293" s="3126">
        <v>0.85260000000000002</v>
      </c>
      <c r="F293" s="3126">
        <v>0.85260000000000002</v>
      </c>
      <c r="G293" s="3126">
        <v>0.76100000000000001</v>
      </c>
      <c r="H293" s="3126">
        <v>0.76100000000000001</v>
      </c>
      <c r="I293" s="3126">
        <v>0.68799999999999994</v>
      </c>
      <c r="J293" s="3126">
        <v>0.68799999999999994</v>
      </c>
      <c r="K293" s="3126">
        <v>0.68799999999999994</v>
      </c>
      <c r="L293" s="3126">
        <v>0.68799999999999994</v>
      </c>
      <c r="M293" s="3127">
        <v>0.68799999999999994</v>
      </c>
    </row>
    <row r="294" spans="1:13">
      <c r="A294" s="3128">
        <v>2.5</v>
      </c>
      <c r="B294" s="3126">
        <v>0.86229999999999996</v>
      </c>
      <c r="C294" s="3126">
        <v>0.86229999999999996</v>
      </c>
      <c r="D294" s="3126">
        <v>0.8407</v>
      </c>
      <c r="E294" s="3126">
        <v>0.8407</v>
      </c>
      <c r="F294" s="3126">
        <v>0.8407</v>
      </c>
      <c r="G294" s="3126">
        <v>0.74780000000000002</v>
      </c>
      <c r="H294" s="3126">
        <v>0.74780000000000002</v>
      </c>
      <c r="I294" s="3126">
        <v>0.67410000000000003</v>
      </c>
      <c r="J294" s="3126">
        <v>0.67410000000000003</v>
      </c>
      <c r="K294" s="3126">
        <v>0.67410000000000003</v>
      </c>
      <c r="L294" s="3126">
        <v>0.67410000000000003</v>
      </c>
      <c r="M294" s="3127">
        <v>0.67410000000000003</v>
      </c>
    </row>
    <row r="295" spans="1:13">
      <c r="A295" s="3128">
        <v>2.6</v>
      </c>
      <c r="B295" s="3126">
        <v>0.85270000000000001</v>
      </c>
      <c r="C295" s="3126">
        <v>0.85270000000000001</v>
      </c>
      <c r="D295" s="3126">
        <v>0.82950000000000002</v>
      </c>
      <c r="E295" s="3126">
        <v>0.82950000000000002</v>
      </c>
      <c r="F295" s="3126">
        <v>0.82950000000000002</v>
      </c>
      <c r="G295" s="3126">
        <v>0.73540000000000005</v>
      </c>
      <c r="H295" s="3126">
        <v>0.73540000000000005</v>
      </c>
      <c r="I295" s="3126">
        <v>0.66110000000000002</v>
      </c>
      <c r="J295" s="3126">
        <v>0.66110000000000002</v>
      </c>
      <c r="K295" s="3126">
        <v>0.66110000000000002</v>
      </c>
      <c r="L295" s="3126">
        <v>0.66110000000000002</v>
      </c>
      <c r="M295" s="3127">
        <v>0.66110000000000002</v>
      </c>
    </row>
    <row r="296" spans="1:13">
      <c r="A296" s="3128">
        <v>2.7</v>
      </c>
      <c r="B296" s="3126">
        <v>0.84360000000000002</v>
      </c>
      <c r="C296" s="3126">
        <v>0.84360000000000002</v>
      </c>
      <c r="D296" s="3126">
        <v>0.81899999999999995</v>
      </c>
      <c r="E296" s="3126">
        <v>0.81899999999999995</v>
      </c>
      <c r="F296" s="3126">
        <v>0.81899999999999995</v>
      </c>
      <c r="G296" s="3126">
        <v>0.7238</v>
      </c>
      <c r="H296" s="3126">
        <v>0.7238</v>
      </c>
      <c r="I296" s="3126">
        <v>0.64880000000000004</v>
      </c>
      <c r="J296" s="3126">
        <v>0.64880000000000004</v>
      </c>
      <c r="K296" s="3126">
        <v>0.64880000000000004</v>
      </c>
      <c r="L296" s="3126">
        <v>0.64880000000000004</v>
      </c>
      <c r="M296" s="3127">
        <v>0.64880000000000004</v>
      </c>
    </row>
    <row r="297" spans="1:13">
      <c r="A297" s="3128">
        <v>2.8</v>
      </c>
      <c r="B297" s="3126">
        <v>0.83509999999999995</v>
      </c>
      <c r="C297" s="3126">
        <v>0.83509999999999995</v>
      </c>
      <c r="D297" s="3126">
        <v>0.80910000000000004</v>
      </c>
      <c r="E297" s="3126">
        <v>0.80910000000000004</v>
      </c>
      <c r="F297" s="3126">
        <v>0.80910000000000004</v>
      </c>
      <c r="G297" s="3126">
        <v>0.71289999999999998</v>
      </c>
      <c r="H297" s="3126">
        <v>0.71289999999999998</v>
      </c>
      <c r="I297" s="3126">
        <v>0.63739999999999997</v>
      </c>
      <c r="J297" s="3126">
        <v>0.63739999999999997</v>
      </c>
      <c r="K297" s="3126">
        <v>0.63739999999999997</v>
      </c>
      <c r="L297" s="3126">
        <v>0.63739999999999997</v>
      </c>
      <c r="M297" s="3127">
        <v>0.63739999999999997</v>
      </c>
    </row>
    <row r="298" spans="1:13">
      <c r="A298" s="3128">
        <v>2.9</v>
      </c>
      <c r="B298" s="3126">
        <v>0.82720000000000005</v>
      </c>
      <c r="C298" s="3126">
        <v>0.82720000000000005</v>
      </c>
      <c r="D298" s="3126">
        <v>0.79990000000000006</v>
      </c>
      <c r="E298" s="3126">
        <v>0.79990000000000006</v>
      </c>
      <c r="F298" s="3126">
        <v>0.79990000000000006</v>
      </c>
      <c r="G298" s="3126">
        <v>0.7026</v>
      </c>
      <c r="H298" s="3126">
        <v>0.7026</v>
      </c>
      <c r="I298" s="3126">
        <v>0.62660000000000005</v>
      </c>
      <c r="J298" s="3126">
        <v>0.62660000000000005</v>
      </c>
      <c r="K298" s="3126">
        <v>0.62660000000000005</v>
      </c>
      <c r="L298" s="3126">
        <v>0.62660000000000005</v>
      </c>
      <c r="M298" s="3127">
        <v>0.62660000000000005</v>
      </c>
    </row>
    <row r="299" spans="1:13">
      <c r="A299" s="3128">
        <v>3</v>
      </c>
      <c r="B299" s="3126">
        <v>0.81969999999999998</v>
      </c>
      <c r="C299" s="3126">
        <v>0.81969999999999998</v>
      </c>
      <c r="D299" s="3126">
        <v>0.79120000000000001</v>
      </c>
      <c r="E299" s="3126">
        <v>0.79120000000000001</v>
      </c>
      <c r="F299" s="3126">
        <v>0.79120000000000001</v>
      </c>
      <c r="G299" s="3126">
        <v>0.69299999999999995</v>
      </c>
      <c r="H299" s="3126">
        <v>0.69299999999999995</v>
      </c>
      <c r="I299" s="3126">
        <v>0.61650000000000005</v>
      </c>
      <c r="J299" s="3126">
        <v>0.61650000000000005</v>
      </c>
      <c r="K299" s="3126">
        <v>0.61650000000000005</v>
      </c>
      <c r="L299" s="3126">
        <v>0.61650000000000005</v>
      </c>
      <c r="M299" s="3127">
        <v>0.61650000000000005</v>
      </c>
    </row>
    <row r="300" spans="1:13">
      <c r="A300" s="3128">
        <v>3.1</v>
      </c>
      <c r="B300" s="3126">
        <v>0.81279999999999997</v>
      </c>
      <c r="C300" s="3126">
        <v>0.81279999999999997</v>
      </c>
      <c r="D300" s="3126">
        <v>0.78310000000000002</v>
      </c>
      <c r="E300" s="3126">
        <v>0.78310000000000002</v>
      </c>
      <c r="F300" s="3126">
        <v>0.78310000000000002</v>
      </c>
      <c r="G300" s="3126">
        <v>0.68400000000000005</v>
      </c>
      <c r="H300" s="3126">
        <v>0.68400000000000005</v>
      </c>
      <c r="I300" s="3126">
        <v>0.60709999999999997</v>
      </c>
      <c r="J300" s="3126">
        <v>0.60709999999999997</v>
      </c>
      <c r="K300" s="3126">
        <v>0.60709999999999997</v>
      </c>
      <c r="L300" s="3126">
        <v>0.60709999999999997</v>
      </c>
      <c r="M300" s="3127">
        <v>0.60709999999999997</v>
      </c>
    </row>
    <row r="301" spans="1:13">
      <c r="A301" s="3128">
        <v>3.2</v>
      </c>
      <c r="B301" s="3126">
        <v>0.80620000000000003</v>
      </c>
      <c r="C301" s="3126">
        <v>0.80620000000000003</v>
      </c>
      <c r="D301" s="3126">
        <v>0.77549999999999997</v>
      </c>
      <c r="E301" s="3126">
        <v>0.77549999999999997</v>
      </c>
      <c r="F301" s="3126">
        <v>0.77549999999999997</v>
      </c>
      <c r="G301" s="3126">
        <v>0.67559999999999998</v>
      </c>
      <c r="H301" s="3126">
        <v>0.67559999999999998</v>
      </c>
      <c r="I301" s="3126">
        <v>0.59809999999999997</v>
      </c>
      <c r="J301" s="3126">
        <v>0.59809999999999997</v>
      </c>
      <c r="K301" s="3126">
        <v>0.59809999999999997</v>
      </c>
      <c r="L301" s="3126">
        <v>0.59809999999999997</v>
      </c>
      <c r="M301" s="3127">
        <v>0.59809999999999997</v>
      </c>
    </row>
    <row r="302" spans="1:13">
      <c r="A302" s="3128">
        <v>3.3</v>
      </c>
      <c r="B302" s="3126">
        <v>0.80010000000000003</v>
      </c>
      <c r="C302" s="3126">
        <v>0.80010000000000003</v>
      </c>
      <c r="D302" s="3126">
        <v>0.76839999999999997</v>
      </c>
      <c r="E302" s="3126">
        <v>0.76839999999999997</v>
      </c>
      <c r="F302" s="3126">
        <v>0.76839999999999997</v>
      </c>
      <c r="G302" s="3126">
        <v>0.66769999999999996</v>
      </c>
      <c r="H302" s="3126">
        <v>0.66769999999999996</v>
      </c>
      <c r="I302" s="3126">
        <v>0.58979999999999999</v>
      </c>
      <c r="J302" s="3126">
        <v>0.58979999999999999</v>
      </c>
      <c r="K302" s="3126">
        <v>0.58979999999999999</v>
      </c>
      <c r="L302" s="3126">
        <v>0.58979999999999999</v>
      </c>
      <c r="M302" s="3127">
        <v>0.58979999999999999</v>
      </c>
    </row>
    <row r="303" spans="1:13">
      <c r="A303" s="3128">
        <v>3.4</v>
      </c>
      <c r="B303" s="3126">
        <v>0.7944</v>
      </c>
      <c r="C303" s="3126">
        <v>0.7944</v>
      </c>
      <c r="D303" s="3126">
        <v>0.76170000000000004</v>
      </c>
      <c r="E303" s="3126">
        <v>0.76170000000000004</v>
      </c>
      <c r="F303" s="3126">
        <v>0.76170000000000004</v>
      </c>
      <c r="G303" s="3126">
        <v>0.66020000000000001</v>
      </c>
      <c r="H303" s="3126">
        <v>0.66020000000000001</v>
      </c>
      <c r="I303" s="3126">
        <v>0.58209999999999995</v>
      </c>
      <c r="J303" s="3126">
        <v>0.58209999999999995</v>
      </c>
      <c r="K303" s="3126">
        <v>0.58209999999999995</v>
      </c>
      <c r="L303" s="3126">
        <v>0.58209999999999995</v>
      </c>
      <c r="M303" s="3127">
        <v>0.58209999999999995</v>
      </c>
    </row>
    <row r="304" spans="1:13">
      <c r="A304" s="3128">
        <v>3.5</v>
      </c>
      <c r="B304" s="3126">
        <v>0.78910000000000002</v>
      </c>
      <c r="C304" s="3126">
        <v>0.78910000000000002</v>
      </c>
      <c r="D304" s="3126">
        <v>0.75549999999999995</v>
      </c>
      <c r="E304" s="3126">
        <v>0.75549999999999995</v>
      </c>
      <c r="F304" s="3126">
        <v>0.75549999999999995</v>
      </c>
      <c r="G304" s="3126">
        <v>0.65329999999999999</v>
      </c>
      <c r="H304" s="3126">
        <v>0.65329999999999999</v>
      </c>
      <c r="I304" s="3126">
        <v>0.57479999999999998</v>
      </c>
      <c r="J304" s="3126">
        <v>0.57479999999999998</v>
      </c>
      <c r="K304" s="3126">
        <v>0.57479999999999998</v>
      </c>
      <c r="L304" s="3126">
        <v>0.57479999999999998</v>
      </c>
      <c r="M304" s="3127">
        <v>0.57479999999999998</v>
      </c>
    </row>
    <row r="305" spans="1:13">
      <c r="A305" s="3128">
        <v>3.6</v>
      </c>
      <c r="B305" s="3126">
        <v>0.78410000000000002</v>
      </c>
      <c r="C305" s="3126">
        <v>0.78410000000000002</v>
      </c>
      <c r="D305" s="3126">
        <v>0.74960000000000004</v>
      </c>
      <c r="E305" s="3126">
        <v>0.74960000000000004</v>
      </c>
      <c r="F305" s="3126">
        <v>0.74960000000000004</v>
      </c>
      <c r="G305" s="3126">
        <v>0.64680000000000004</v>
      </c>
      <c r="H305" s="3126">
        <v>0.64680000000000004</v>
      </c>
      <c r="I305" s="3126">
        <v>0.56789999999999996</v>
      </c>
      <c r="J305" s="3126">
        <v>0.56789999999999996</v>
      </c>
      <c r="K305" s="3126">
        <v>0.56789999999999996</v>
      </c>
      <c r="L305" s="3126">
        <v>0.56789999999999996</v>
      </c>
      <c r="M305" s="3127">
        <v>0.56789999999999996</v>
      </c>
    </row>
    <row r="306" spans="1:13">
      <c r="A306" s="3128">
        <v>3.7</v>
      </c>
      <c r="B306" s="3126">
        <v>0.77939999999999998</v>
      </c>
      <c r="C306" s="3126">
        <v>0.77939999999999998</v>
      </c>
      <c r="D306" s="3126">
        <v>0.74409999999999998</v>
      </c>
      <c r="E306" s="3126">
        <v>0.74409999999999998</v>
      </c>
      <c r="F306" s="3126">
        <v>0.74409999999999998</v>
      </c>
      <c r="G306" s="3126">
        <v>0.64070000000000005</v>
      </c>
      <c r="H306" s="3126">
        <v>0.64070000000000005</v>
      </c>
      <c r="I306" s="3126">
        <v>0.5615</v>
      </c>
      <c r="J306" s="3126">
        <v>0.5615</v>
      </c>
      <c r="K306" s="3126">
        <v>0.5615</v>
      </c>
      <c r="L306" s="3126">
        <v>0.5615</v>
      </c>
      <c r="M306" s="3127">
        <v>0.5615</v>
      </c>
    </row>
    <row r="307" spans="1:13">
      <c r="A307" s="3128">
        <v>3.8</v>
      </c>
      <c r="B307" s="3126">
        <v>0.77500000000000002</v>
      </c>
      <c r="C307" s="3126">
        <v>0.77500000000000002</v>
      </c>
      <c r="D307" s="3126">
        <v>0.73899999999999999</v>
      </c>
      <c r="E307" s="3126">
        <v>0.73899999999999999</v>
      </c>
      <c r="F307" s="3126">
        <v>0.73899999999999999</v>
      </c>
      <c r="G307" s="3126">
        <v>0.63490000000000002</v>
      </c>
      <c r="H307" s="3126">
        <v>0.63490000000000002</v>
      </c>
      <c r="I307" s="3126">
        <v>0.55549999999999999</v>
      </c>
      <c r="J307" s="3126">
        <v>0.55549999999999999</v>
      </c>
      <c r="K307" s="3126">
        <v>0.55549999999999999</v>
      </c>
      <c r="L307" s="3126">
        <v>0.55549999999999999</v>
      </c>
      <c r="M307" s="3127">
        <v>0.55549999999999999</v>
      </c>
    </row>
    <row r="308" spans="1:13">
      <c r="A308" s="3128">
        <v>3.9</v>
      </c>
      <c r="B308" s="3126">
        <v>0.77090000000000003</v>
      </c>
      <c r="C308" s="3126">
        <v>0.77090000000000003</v>
      </c>
      <c r="D308" s="3126">
        <v>0.73419999999999996</v>
      </c>
      <c r="E308" s="3126">
        <v>0.73419999999999996</v>
      </c>
      <c r="F308" s="3126">
        <v>0.73419999999999996</v>
      </c>
      <c r="G308" s="3126">
        <v>0.62949999999999995</v>
      </c>
      <c r="H308" s="3126">
        <v>0.62949999999999995</v>
      </c>
      <c r="I308" s="3126">
        <v>0.54990000000000006</v>
      </c>
      <c r="J308" s="3126">
        <v>0.54990000000000006</v>
      </c>
      <c r="K308" s="3126">
        <v>0.54990000000000006</v>
      </c>
      <c r="L308" s="3126">
        <v>0.54990000000000006</v>
      </c>
      <c r="M308" s="3127">
        <v>0.54990000000000006</v>
      </c>
    </row>
    <row r="309" spans="1:13">
      <c r="A309" s="3128">
        <v>4</v>
      </c>
      <c r="B309" s="3126">
        <v>0.7671</v>
      </c>
      <c r="C309" s="3126">
        <v>0.7671</v>
      </c>
      <c r="D309" s="3126">
        <v>0.72970000000000002</v>
      </c>
      <c r="E309" s="3126">
        <v>0.72970000000000002</v>
      </c>
      <c r="F309" s="3126">
        <v>0.72970000000000002</v>
      </c>
      <c r="G309" s="3126">
        <v>0.62450000000000006</v>
      </c>
      <c r="H309" s="3126">
        <v>0.62450000000000006</v>
      </c>
      <c r="I309" s="3126">
        <v>0.54449999999999998</v>
      </c>
      <c r="J309" s="3126">
        <v>0.54449999999999998</v>
      </c>
      <c r="K309" s="3126">
        <v>0.54449999999999998</v>
      </c>
      <c r="L309" s="3126">
        <v>0.54449999999999998</v>
      </c>
      <c r="M309" s="3127">
        <v>0.54449999999999998</v>
      </c>
    </row>
    <row r="310" spans="1:13">
      <c r="A310" s="3128">
        <v>4.0999999999999996</v>
      </c>
      <c r="B310" s="3126">
        <v>0.76349999999999996</v>
      </c>
      <c r="C310" s="3126">
        <v>0.76349999999999996</v>
      </c>
      <c r="D310" s="3126">
        <v>0.72540000000000004</v>
      </c>
      <c r="E310" s="3126">
        <v>0.72540000000000004</v>
      </c>
      <c r="F310" s="3126">
        <v>0.72540000000000004</v>
      </c>
      <c r="G310" s="3126">
        <v>0.61970000000000003</v>
      </c>
      <c r="H310" s="3126">
        <v>0.61970000000000003</v>
      </c>
      <c r="I310" s="3126">
        <v>0.53959999999999997</v>
      </c>
      <c r="J310" s="3126">
        <v>0.53959999999999997</v>
      </c>
      <c r="K310" s="3126">
        <v>0.53959999999999997</v>
      </c>
      <c r="L310" s="3126">
        <v>0.53959999999999997</v>
      </c>
      <c r="M310" s="3127">
        <v>0.53959999999999997</v>
      </c>
    </row>
    <row r="311" spans="1:13">
      <c r="A311" s="3128">
        <v>4.2</v>
      </c>
      <c r="B311" s="3126">
        <v>0.7601</v>
      </c>
      <c r="C311" s="3126">
        <v>0.7601</v>
      </c>
      <c r="D311" s="3126">
        <v>0.72140000000000004</v>
      </c>
      <c r="E311" s="3126">
        <v>0.72140000000000004</v>
      </c>
      <c r="F311" s="3126">
        <v>0.72140000000000004</v>
      </c>
      <c r="G311" s="3126">
        <v>0.61529999999999996</v>
      </c>
      <c r="H311" s="3126">
        <v>0.61529999999999996</v>
      </c>
      <c r="I311" s="3126">
        <v>0.53490000000000004</v>
      </c>
      <c r="J311" s="3126">
        <v>0.53490000000000004</v>
      </c>
      <c r="K311" s="3126">
        <v>0.53490000000000004</v>
      </c>
      <c r="L311" s="3126">
        <v>0.53490000000000004</v>
      </c>
      <c r="M311" s="3127">
        <v>0.53490000000000004</v>
      </c>
    </row>
    <row r="312" spans="1:13">
      <c r="A312" s="3128">
        <v>4.3</v>
      </c>
      <c r="B312" s="3126">
        <v>0.75700000000000001</v>
      </c>
      <c r="C312" s="3126">
        <v>0.75700000000000001</v>
      </c>
      <c r="D312" s="3126">
        <v>0.7177</v>
      </c>
      <c r="E312" s="3126">
        <v>0.7177</v>
      </c>
      <c r="F312" s="3126">
        <v>0.7177</v>
      </c>
      <c r="G312" s="3126">
        <v>0.61109999999999998</v>
      </c>
      <c r="H312" s="3126">
        <v>0.61109999999999998</v>
      </c>
      <c r="I312" s="3126">
        <v>0.53049999999999997</v>
      </c>
      <c r="J312" s="3126">
        <v>0.53049999999999997</v>
      </c>
      <c r="K312" s="3126">
        <v>0.53049999999999997</v>
      </c>
      <c r="L312" s="3126">
        <v>0.53049999999999997</v>
      </c>
      <c r="M312" s="3127">
        <v>0.53049999999999997</v>
      </c>
    </row>
    <row r="313" spans="1:13">
      <c r="A313" s="3128">
        <v>4.4000000000000004</v>
      </c>
      <c r="B313" s="3126">
        <v>0.754</v>
      </c>
      <c r="C313" s="3126">
        <v>0.754</v>
      </c>
      <c r="D313" s="3126">
        <v>0.71409999999999996</v>
      </c>
      <c r="E313" s="3126">
        <v>0.71409999999999996</v>
      </c>
      <c r="F313" s="3126">
        <v>0.71409999999999996</v>
      </c>
      <c r="G313" s="3126">
        <v>0.60709999999999997</v>
      </c>
      <c r="H313" s="3126">
        <v>0.60709999999999997</v>
      </c>
      <c r="I313" s="3126">
        <v>0.52639999999999998</v>
      </c>
      <c r="J313" s="3126">
        <v>0.52639999999999998</v>
      </c>
      <c r="K313" s="3126">
        <v>0.52639999999999998</v>
      </c>
      <c r="L313" s="3126">
        <v>0.52639999999999998</v>
      </c>
      <c r="M313" s="3127">
        <v>0.52639999999999998</v>
      </c>
    </row>
    <row r="314" spans="1:13">
      <c r="A314" s="3128">
        <v>4.5</v>
      </c>
      <c r="B314" s="3126">
        <v>0.75119999999999998</v>
      </c>
      <c r="C314" s="3126">
        <v>0.75119999999999998</v>
      </c>
      <c r="D314" s="3126">
        <v>0.71079999999999999</v>
      </c>
      <c r="E314" s="3126">
        <v>0.71079999999999999</v>
      </c>
      <c r="F314" s="3126">
        <v>0.71079999999999999</v>
      </c>
      <c r="G314" s="3126">
        <v>0.60329999999999995</v>
      </c>
      <c r="H314" s="3126">
        <v>0.60329999999999995</v>
      </c>
      <c r="I314" s="3126">
        <v>0.52249999999999996</v>
      </c>
      <c r="J314" s="3126">
        <v>0.52249999999999996</v>
      </c>
      <c r="K314" s="3126">
        <v>0.52249999999999996</v>
      </c>
      <c r="L314" s="3126">
        <v>0.52249999999999996</v>
      </c>
      <c r="M314" s="3127">
        <v>0.52249999999999996</v>
      </c>
    </row>
    <row r="315" spans="1:13">
      <c r="A315" s="3128">
        <v>4.5999999999999996</v>
      </c>
      <c r="B315" s="3126">
        <v>0.74860000000000004</v>
      </c>
      <c r="C315" s="3126">
        <v>0.74860000000000004</v>
      </c>
      <c r="D315" s="3126">
        <v>0.70760000000000001</v>
      </c>
      <c r="E315" s="3126">
        <v>0.70760000000000001</v>
      </c>
      <c r="F315" s="3126">
        <v>0.70760000000000001</v>
      </c>
      <c r="G315" s="3126">
        <v>0.59970000000000001</v>
      </c>
      <c r="H315" s="3126">
        <v>0.59970000000000001</v>
      </c>
      <c r="I315" s="3126">
        <v>0.51890000000000003</v>
      </c>
      <c r="J315" s="3126">
        <v>0.51890000000000003</v>
      </c>
      <c r="K315" s="3126">
        <v>0.51890000000000003</v>
      </c>
      <c r="L315" s="3126">
        <v>0.51890000000000003</v>
      </c>
      <c r="M315" s="3127">
        <v>0.51890000000000003</v>
      </c>
    </row>
    <row r="316" spans="1:13">
      <c r="A316" s="3128">
        <v>4.7</v>
      </c>
      <c r="B316" s="3126">
        <v>0.74609999999999999</v>
      </c>
      <c r="C316" s="3126">
        <v>0.74609999999999999</v>
      </c>
      <c r="D316" s="3126">
        <v>0.7046</v>
      </c>
      <c r="E316" s="3126">
        <v>0.7046</v>
      </c>
      <c r="F316" s="3126">
        <v>0.7046</v>
      </c>
      <c r="G316" s="3126">
        <v>0.59630000000000005</v>
      </c>
      <c r="H316" s="3126">
        <v>0.59630000000000005</v>
      </c>
      <c r="I316" s="3126">
        <v>0.51529999999999998</v>
      </c>
      <c r="J316" s="3126">
        <v>0.51529999999999998</v>
      </c>
      <c r="K316" s="3126">
        <v>0.51529999999999998</v>
      </c>
      <c r="L316" s="3126">
        <v>0.51529999999999998</v>
      </c>
      <c r="M316" s="3127">
        <v>0.51529999999999998</v>
      </c>
    </row>
    <row r="317" spans="1:13">
      <c r="A317" s="3128">
        <v>4.8</v>
      </c>
      <c r="B317" s="3126">
        <v>0.74380000000000002</v>
      </c>
      <c r="C317" s="3126">
        <v>0.74380000000000002</v>
      </c>
      <c r="D317" s="3126">
        <v>0.70169999999999999</v>
      </c>
      <c r="E317" s="3126">
        <v>0.70169999999999999</v>
      </c>
      <c r="F317" s="3126">
        <v>0.70169999999999999</v>
      </c>
      <c r="G317" s="3126">
        <v>0.59309999999999996</v>
      </c>
      <c r="H317" s="3126">
        <v>0.59309999999999996</v>
      </c>
      <c r="I317" s="3126">
        <v>0.5121</v>
      </c>
      <c r="J317" s="3126">
        <v>0.5121</v>
      </c>
      <c r="K317" s="3126">
        <v>0.5121</v>
      </c>
      <c r="L317" s="3126">
        <v>0.5121</v>
      </c>
      <c r="M317" s="3127">
        <v>0.5121</v>
      </c>
    </row>
    <row r="318" spans="1:13">
      <c r="A318" s="3128">
        <v>4.9000000000000004</v>
      </c>
      <c r="B318" s="3126">
        <v>0.74160000000000004</v>
      </c>
      <c r="C318" s="3126">
        <v>0.74160000000000004</v>
      </c>
      <c r="D318" s="3126">
        <v>0.69889999999999997</v>
      </c>
      <c r="E318" s="3126">
        <v>0.69889999999999997</v>
      </c>
      <c r="F318" s="3126">
        <v>0.69889999999999997</v>
      </c>
      <c r="G318" s="3126">
        <v>0.59009999999999996</v>
      </c>
      <c r="H318" s="3126">
        <v>0.59009999999999996</v>
      </c>
      <c r="I318" s="3126">
        <v>0.50900000000000001</v>
      </c>
      <c r="J318" s="3126">
        <v>0.50900000000000001</v>
      </c>
      <c r="K318" s="3126">
        <v>0.50900000000000001</v>
      </c>
      <c r="L318" s="3126">
        <v>0.50900000000000001</v>
      </c>
      <c r="M318" s="3127">
        <v>0.50900000000000001</v>
      </c>
    </row>
    <row r="319" spans="1:13">
      <c r="A319" s="3128">
        <v>5</v>
      </c>
      <c r="B319" s="3126">
        <v>0.73950000000000005</v>
      </c>
      <c r="C319" s="3126">
        <v>0.73950000000000005</v>
      </c>
      <c r="D319" s="3126">
        <v>0.69620000000000004</v>
      </c>
      <c r="E319" s="3126">
        <v>0.69620000000000004</v>
      </c>
      <c r="F319" s="3126">
        <v>0.69620000000000004</v>
      </c>
      <c r="G319" s="3126">
        <v>0.58720000000000006</v>
      </c>
      <c r="H319" s="3126">
        <v>0.58720000000000006</v>
      </c>
      <c r="I319" s="3126">
        <v>0.50609999999999999</v>
      </c>
      <c r="J319" s="3126">
        <v>0.50609999999999999</v>
      </c>
      <c r="K319" s="3126">
        <v>0.50609999999999999</v>
      </c>
      <c r="L319" s="3126">
        <v>0.50609999999999999</v>
      </c>
      <c r="M319" s="3127">
        <v>0.50609999999999999</v>
      </c>
    </row>
    <row r="320" spans="1:13">
      <c r="A320" s="3125">
        <v>5.0999999999999996</v>
      </c>
      <c r="B320" s="3126">
        <v>0.73750000000000004</v>
      </c>
      <c r="C320" s="3126">
        <v>0.73750000000000004</v>
      </c>
      <c r="D320" s="3126">
        <v>0.69359999999999999</v>
      </c>
      <c r="E320" s="3126">
        <v>0.69359999999999999</v>
      </c>
      <c r="F320" s="3126">
        <v>0.69359999999999999</v>
      </c>
      <c r="G320" s="3126">
        <v>0.58440000000000003</v>
      </c>
      <c r="H320" s="3126">
        <v>0.58440000000000003</v>
      </c>
      <c r="I320" s="3126">
        <v>0.50329999999999997</v>
      </c>
      <c r="J320" s="3126">
        <v>0.50329999999999997</v>
      </c>
      <c r="K320" s="3126">
        <v>0.50329999999999997</v>
      </c>
      <c r="L320" s="3126">
        <v>0.50329999999999997</v>
      </c>
      <c r="M320" s="3127">
        <v>0.50329999999999997</v>
      </c>
    </row>
    <row r="321" spans="1:13">
      <c r="A321" s="3125">
        <v>5.2</v>
      </c>
      <c r="B321" s="3126">
        <v>0.73560000000000003</v>
      </c>
      <c r="C321" s="3126">
        <v>0.73560000000000003</v>
      </c>
      <c r="D321" s="3126">
        <v>0.69110000000000005</v>
      </c>
      <c r="E321" s="3126">
        <v>0.69110000000000005</v>
      </c>
      <c r="F321" s="3126">
        <v>0.69110000000000005</v>
      </c>
      <c r="G321" s="3126">
        <v>0.58169999999999999</v>
      </c>
      <c r="H321" s="3126">
        <v>0.58169999999999999</v>
      </c>
      <c r="I321" s="3126">
        <v>0.50060000000000004</v>
      </c>
      <c r="J321" s="3126">
        <v>0.50060000000000004</v>
      </c>
      <c r="K321" s="3126">
        <v>0.50060000000000004</v>
      </c>
      <c r="L321" s="3126">
        <v>0.50060000000000004</v>
      </c>
      <c r="M321" s="3127">
        <v>0.50060000000000004</v>
      </c>
    </row>
    <row r="322" spans="1:13">
      <c r="A322" s="3125">
        <v>5.3</v>
      </c>
      <c r="B322" s="3126">
        <v>0.73380000000000001</v>
      </c>
      <c r="C322" s="3126">
        <v>0.73380000000000001</v>
      </c>
      <c r="D322" s="3126">
        <v>0.68869999999999998</v>
      </c>
      <c r="E322" s="3126">
        <v>0.68869999999999998</v>
      </c>
      <c r="F322" s="3126">
        <v>0.68869999999999998</v>
      </c>
      <c r="G322" s="3126">
        <v>0.57909999999999995</v>
      </c>
      <c r="H322" s="3126">
        <v>0.57909999999999995</v>
      </c>
      <c r="I322" s="3126">
        <v>0.49809999999999999</v>
      </c>
      <c r="J322" s="3126">
        <v>0.49809999999999999</v>
      </c>
      <c r="K322" s="3126">
        <v>0.49809999999999999</v>
      </c>
      <c r="L322" s="3126">
        <v>0.49809999999999999</v>
      </c>
      <c r="M322" s="3127">
        <v>0.49809999999999999</v>
      </c>
    </row>
    <row r="323" spans="1:13">
      <c r="A323" s="3125">
        <v>5.4</v>
      </c>
      <c r="B323" s="3126">
        <v>0.73199999999999998</v>
      </c>
      <c r="C323" s="3126">
        <v>0.73199999999999998</v>
      </c>
      <c r="D323" s="3126">
        <v>0.68640000000000001</v>
      </c>
      <c r="E323" s="3126">
        <v>0.68640000000000001</v>
      </c>
      <c r="F323" s="3126">
        <v>0.68640000000000001</v>
      </c>
      <c r="G323" s="3126">
        <v>0.57650000000000001</v>
      </c>
      <c r="H323" s="3126">
        <v>0.57650000000000001</v>
      </c>
      <c r="I323" s="3126">
        <v>0.49559999999999998</v>
      </c>
      <c r="J323" s="3126">
        <v>0.49559999999999998</v>
      </c>
      <c r="K323" s="3126">
        <v>0.49559999999999998</v>
      </c>
      <c r="L323" s="3126">
        <v>0.49559999999999998</v>
      </c>
      <c r="M323" s="3127">
        <v>0.49559999999999998</v>
      </c>
    </row>
    <row r="324" spans="1:13">
      <c r="A324" s="3125">
        <v>5.5</v>
      </c>
      <c r="B324" s="3126">
        <v>0.73009999999999997</v>
      </c>
      <c r="C324" s="3126">
        <v>0.73009999999999997</v>
      </c>
      <c r="D324" s="3126">
        <v>0.68420000000000003</v>
      </c>
      <c r="E324" s="3126">
        <v>0.68420000000000003</v>
      </c>
      <c r="F324" s="3126">
        <v>0.68420000000000003</v>
      </c>
      <c r="G324" s="3126">
        <v>0.57399999999999995</v>
      </c>
      <c r="H324" s="3126">
        <v>0.57399999999999995</v>
      </c>
      <c r="I324" s="3126">
        <v>0.49320000000000003</v>
      </c>
      <c r="J324" s="3126">
        <v>0.49320000000000003</v>
      </c>
      <c r="K324" s="3126">
        <v>0.49320000000000003</v>
      </c>
      <c r="L324" s="3126">
        <v>0.49320000000000003</v>
      </c>
      <c r="M324" s="3127">
        <v>0.49320000000000003</v>
      </c>
    </row>
    <row r="325" spans="1:13">
      <c r="A325" s="3125">
        <v>5.6</v>
      </c>
      <c r="B325" s="3126">
        <v>0.72819999999999996</v>
      </c>
      <c r="C325" s="3126">
        <v>0.72819999999999996</v>
      </c>
      <c r="D325" s="3126">
        <v>0.68200000000000005</v>
      </c>
      <c r="E325" s="3126">
        <v>0.68200000000000005</v>
      </c>
      <c r="F325" s="3126">
        <v>0.68200000000000005</v>
      </c>
      <c r="G325" s="3126">
        <v>0.57150000000000001</v>
      </c>
      <c r="H325" s="3126">
        <v>0.57150000000000001</v>
      </c>
      <c r="I325" s="3126">
        <v>0.49080000000000001</v>
      </c>
      <c r="J325" s="3126">
        <v>0.49080000000000001</v>
      </c>
      <c r="K325" s="3126">
        <v>0.49080000000000001</v>
      </c>
      <c r="L325" s="3126">
        <v>0.49080000000000001</v>
      </c>
      <c r="M325" s="3127">
        <v>0.49080000000000001</v>
      </c>
    </row>
    <row r="326" spans="1:13">
      <c r="A326" s="3128">
        <v>5.7</v>
      </c>
      <c r="B326" s="3126">
        <v>0.72640000000000005</v>
      </c>
      <c r="C326" s="3126">
        <v>0.72640000000000005</v>
      </c>
      <c r="D326" s="3126">
        <v>0.67989999999999995</v>
      </c>
      <c r="E326" s="3126">
        <v>0.67989999999999995</v>
      </c>
      <c r="F326" s="3126">
        <v>0.67989999999999995</v>
      </c>
      <c r="G326" s="3126">
        <v>0.56899999999999995</v>
      </c>
      <c r="H326" s="3126">
        <v>0.56899999999999995</v>
      </c>
      <c r="I326" s="3126">
        <v>0.4884</v>
      </c>
      <c r="J326" s="3126">
        <v>0.4884</v>
      </c>
      <c r="K326" s="3126">
        <v>0.4884</v>
      </c>
      <c r="L326" s="3126">
        <v>0.4884</v>
      </c>
      <c r="M326" s="3127">
        <v>0.4884</v>
      </c>
    </row>
    <row r="327" spans="1:13">
      <c r="A327" s="3125">
        <v>5.8</v>
      </c>
      <c r="B327" s="3126">
        <v>0.72460000000000002</v>
      </c>
      <c r="C327" s="3126">
        <v>0.72460000000000002</v>
      </c>
      <c r="D327" s="3126">
        <v>0.67779999999999996</v>
      </c>
      <c r="E327" s="3126">
        <v>0.67779999999999996</v>
      </c>
      <c r="F327" s="3126">
        <v>0.67779999999999996</v>
      </c>
      <c r="G327" s="3126">
        <v>0.56659999999999999</v>
      </c>
      <c r="H327" s="3126">
        <v>0.56659999999999999</v>
      </c>
      <c r="I327" s="3126">
        <v>0.48609999999999998</v>
      </c>
      <c r="J327" s="3126">
        <v>0.48609999999999998</v>
      </c>
      <c r="K327" s="3126">
        <v>0.48609999999999998</v>
      </c>
      <c r="L327" s="3126">
        <v>0.48609999999999998</v>
      </c>
      <c r="M327" s="3127">
        <v>0.48609999999999998</v>
      </c>
    </row>
    <row r="328" spans="1:13">
      <c r="A328" s="3125">
        <v>5.9</v>
      </c>
      <c r="B328" s="3126">
        <v>0.7228</v>
      </c>
      <c r="C328" s="3126">
        <v>0.7228</v>
      </c>
      <c r="D328" s="3126">
        <v>0.67569999999999997</v>
      </c>
      <c r="E328" s="3126">
        <v>0.67569999999999997</v>
      </c>
      <c r="F328" s="3126">
        <v>0.67569999999999997</v>
      </c>
      <c r="G328" s="3126">
        <v>0.56420000000000003</v>
      </c>
      <c r="H328" s="3126">
        <v>0.56420000000000003</v>
      </c>
      <c r="I328" s="3126">
        <v>0.48380000000000001</v>
      </c>
      <c r="J328" s="3126">
        <v>0.48380000000000001</v>
      </c>
      <c r="K328" s="3126">
        <v>0.48380000000000001</v>
      </c>
      <c r="L328" s="3126">
        <v>0.48380000000000001</v>
      </c>
      <c r="M328" s="3127">
        <v>0.48380000000000001</v>
      </c>
    </row>
    <row r="329" spans="1:13">
      <c r="A329" s="3125">
        <v>6</v>
      </c>
      <c r="B329" s="3126">
        <v>0.72099999999999997</v>
      </c>
      <c r="C329" s="3126">
        <v>0.72099999999999997</v>
      </c>
      <c r="D329" s="3126">
        <v>0.67359999999999998</v>
      </c>
      <c r="E329" s="3126">
        <v>0.67359999999999998</v>
      </c>
      <c r="F329" s="3126">
        <v>0.67359999999999998</v>
      </c>
      <c r="G329" s="3126">
        <v>0.56179999999999997</v>
      </c>
      <c r="H329" s="3126">
        <v>0.56179999999999997</v>
      </c>
      <c r="I329" s="3126">
        <v>0.48159999999999997</v>
      </c>
      <c r="J329" s="3126">
        <v>0.48159999999999997</v>
      </c>
      <c r="K329" s="3126">
        <v>0.48159999999999997</v>
      </c>
      <c r="L329" s="3126">
        <v>0.48159999999999997</v>
      </c>
      <c r="M329" s="3127">
        <v>0.48159999999999997</v>
      </c>
    </row>
    <row r="330" spans="1:13">
      <c r="A330" s="3125">
        <v>6.1</v>
      </c>
      <c r="B330" s="3126">
        <v>0.71930000000000005</v>
      </c>
      <c r="C330" s="3126">
        <v>0.71930000000000005</v>
      </c>
      <c r="D330" s="3126">
        <v>0.67159999999999997</v>
      </c>
      <c r="E330" s="3126">
        <v>0.67159999999999997</v>
      </c>
      <c r="F330" s="3126">
        <v>0.67159999999999997</v>
      </c>
      <c r="G330" s="3126">
        <v>0.55940000000000001</v>
      </c>
      <c r="H330" s="3126">
        <v>0.55940000000000001</v>
      </c>
      <c r="I330" s="3126">
        <v>0.4793</v>
      </c>
      <c r="J330" s="3126">
        <v>0.4793</v>
      </c>
      <c r="K330" s="3126">
        <v>0.4793</v>
      </c>
      <c r="L330" s="3126">
        <v>0.4793</v>
      </c>
      <c r="M330" s="3127">
        <v>0.4793</v>
      </c>
    </row>
    <row r="331" spans="1:13">
      <c r="A331" s="3125">
        <v>6.2</v>
      </c>
      <c r="B331" s="3126">
        <v>0.71760000000000002</v>
      </c>
      <c r="C331" s="3126">
        <v>0.71760000000000002</v>
      </c>
      <c r="D331" s="3126">
        <v>0.66959999999999997</v>
      </c>
      <c r="E331" s="3126">
        <v>0.66959999999999997</v>
      </c>
      <c r="F331" s="3126">
        <v>0.66959999999999997</v>
      </c>
      <c r="G331" s="3126">
        <v>0.55710000000000004</v>
      </c>
      <c r="H331" s="3126">
        <v>0.55710000000000004</v>
      </c>
      <c r="I331" s="3126">
        <v>0.47710000000000002</v>
      </c>
      <c r="J331" s="3126">
        <v>0.47710000000000002</v>
      </c>
      <c r="K331" s="3126">
        <v>0.47710000000000002</v>
      </c>
      <c r="L331" s="3126">
        <v>0.47710000000000002</v>
      </c>
      <c r="M331" s="3127">
        <v>0.47710000000000002</v>
      </c>
    </row>
    <row r="332" spans="1:13">
      <c r="A332" s="3125">
        <v>6.3</v>
      </c>
      <c r="B332" s="3126">
        <v>0.71589999999999998</v>
      </c>
      <c r="C332" s="3126">
        <v>0.71589999999999998</v>
      </c>
      <c r="D332" s="3126">
        <v>0.66759999999999997</v>
      </c>
      <c r="E332" s="3126">
        <v>0.66759999999999997</v>
      </c>
      <c r="F332" s="3126">
        <v>0.66759999999999997</v>
      </c>
      <c r="G332" s="3126">
        <v>0.55479999999999996</v>
      </c>
      <c r="H332" s="3126">
        <v>0.55479999999999996</v>
      </c>
      <c r="I332" s="3126">
        <v>0.47489999999999999</v>
      </c>
      <c r="J332" s="3126">
        <v>0.47489999999999999</v>
      </c>
      <c r="K332" s="3126">
        <v>0.47489999999999999</v>
      </c>
      <c r="L332" s="3126">
        <v>0.47489999999999999</v>
      </c>
      <c r="M332" s="3127">
        <v>0.47489999999999999</v>
      </c>
    </row>
    <row r="333" spans="1:13">
      <c r="A333" s="3125">
        <v>6.4</v>
      </c>
      <c r="B333" s="3126">
        <v>0.71419999999999995</v>
      </c>
      <c r="C333" s="3126">
        <v>0.71419999999999995</v>
      </c>
      <c r="D333" s="3126">
        <v>0.66559999999999997</v>
      </c>
      <c r="E333" s="3126">
        <v>0.66559999999999997</v>
      </c>
      <c r="F333" s="3126">
        <v>0.66559999999999997</v>
      </c>
      <c r="G333" s="3126">
        <v>0.55249999999999999</v>
      </c>
      <c r="H333" s="3126">
        <v>0.55249999999999999</v>
      </c>
      <c r="I333" s="3126">
        <v>0.47270000000000001</v>
      </c>
      <c r="J333" s="3126">
        <v>0.47270000000000001</v>
      </c>
      <c r="K333" s="3126">
        <v>0.47270000000000001</v>
      </c>
      <c r="L333" s="3126">
        <v>0.47270000000000001</v>
      </c>
      <c r="M333" s="3127">
        <v>0.47270000000000001</v>
      </c>
    </row>
    <row r="334" spans="1:13">
      <c r="A334" s="3125">
        <v>6.5</v>
      </c>
      <c r="B334" s="3126">
        <v>0.71250000000000002</v>
      </c>
      <c r="C334" s="3126">
        <v>0.71250000000000002</v>
      </c>
      <c r="D334" s="3126">
        <v>0.66359999999999997</v>
      </c>
      <c r="E334" s="3126">
        <v>0.66359999999999997</v>
      </c>
      <c r="F334" s="3126">
        <v>0.66359999999999997</v>
      </c>
      <c r="G334" s="3126">
        <v>0.55020000000000002</v>
      </c>
      <c r="H334" s="3126">
        <v>0.55020000000000002</v>
      </c>
      <c r="I334" s="3126">
        <v>0.47060000000000002</v>
      </c>
      <c r="J334" s="3126">
        <v>0.47060000000000002</v>
      </c>
      <c r="K334" s="3126">
        <v>0.47060000000000002</v>
      </c>
      <c r="L334" s="3126">
        <v>0.47060000000000002</v>
      </c>
      <c r="M334" s="3127">
        <v>0.47060000000000002</v>
      </c>
    </row>
    <row r="335" spans="1:13">
      <c r="A335" s="3125">
        <v>6.6</v>
      </c>
      <c r="B335" s="3126">
        <v>0.71089999999999998</v>
      </c>
      <c r="C335" s="3126">
        <v>0.71089999999999998</v>
      </c>
      <c r="D335" s="3126">
        <v>0.66159999999999997</v>
      </c>
      <c r="E335" s="3126">
        <v>0.66159999999999997</v>
      </c>
      <c r="F335" s="3126">
        <v>0.66159999999999997</v>
      </c>
      <c r="G335" s="3126">
        <v>0.54800000000000004</v>
      </c>
      <c r="H335" s="3126">
        <v>0.54800000000000004</v>
      </c>
      <c r="I335" s="3126">
        <v>0.46839999999999998</v>
      </c>
      <c r="J335" s="3126">
        <v>0.46839999999999998</v>
      </c>
      <c r="K335" s="3126">
        <v>0.46839999999999998</v>
      </c>
      <c r="L335" s="3126">
        <v>0.46839999999999998</v>
      </c>
      <c r="M335" s="3127">
        <v>0.46839999999999998</v>
      </c>
    </row>
    <row r="336" spans="1:13">
      <c r="A336" s="3125">
        <v>6.7</v>
      </c>
      <c r="B336" s="3126">
        <v>0.70930000000000004</v>
      </c>
      <c r="C336" s="3126">
        <v>0.70930000000000004</v>
      </c>
      <c r="D336" s="3126">
        <v>0.65969999999999995</v>
      </c>
      <c r="E336" s="3126">
        <v>0.65969999999999995</v>
      </c>
      <c r="F336" s="3126">
        <v>0.65969999999999995</v>
      </c>
      <c r="G336" s="3126">
        <v>0.54579999999999995</v>
      </c>
      <c r="H336" s="3126">
        <v>0.54579999999999995</v>
      </c>
      <c r="I336" s="3126">
        <v>0.46629999999999999</v>
      </c>
      <c r="J336" s="3126">
        <v>0.46629999999999999</v>
      </c>
      <c r="K336" s="3126">
        <v>0.46629999999999999</v>
      </c>
      <c r="L336" s="3126">
        <v>0.46629999999999999</v>
      </c>
      <c r="M336" s="3127">
        <v>0.46629999999999999</v>
      </c>
    </row>
    <row r="337" spans="1:13">
      <c r="A337" s="3125">
        <v>6.8</v>
      </c>
      <c r="B337" s="3126">
        <v>0.7077</v>
      </c>
      <c r="C337" s="3126">
        <v>0.7077</v>
      </c>
      <c r="D337" s="3126">
        <v>0.65780000000000005</v>
      </c>
      <c r="E337" s="3126">
        <v>0.65780000000000005</v>
      </c>
      <c r="F337" s="3126">
        <v>0.65780000000000005</v>
      </c>
      <c r="G337" s="3126">
        <v>0.54359999999999997</v>
      </c>
      <c r="H337" s="3126">
        <v>0.54359999999999997</v>
      </c>
      <c r="I337" s="3126">
        <v>0.46410000000000001</v>
      </c>
      <c r="J337" s="3126">
        <v>0.46410000000000001</v>
      </c>
      <c r="K337" s="3126">
        <v>0.46410000000000001</v>
      </c>
      <c r="L337" s="3126">
        <v>0.46410000000000001</v>
      </c>
      <c r="M337" s="3127">
        <v>0.46410000000000001</v>
      </c>
    </row>
    <row r="338" spans="1:13">
      <c r="A338" s="3125">
        <v>6.9</v>
      </c>
      <c r="B338" s="3126">
        <v>0.70609999999999995</v>
      </c>
      <c r="C338" s="3126">
        <v>0.70609999999999995</v>
      </c>
      <c r="D338" s="3126">
        <v>0.65590000000000004</v>
      </c>
      <c r="E338" s="3126">
        <v>0.65590000000000004</v>
      </c>
      <c r="F338" s="3126">
        <v>0.65590000000000004</v>
      </c>
      <c r="G338" s="3126">
        <v>0.54139999999999999</v>
      </c>
      <c r="H338" s="3126">
        <v>0.54139999999999999</v>
      </c>
      <c r="I338" s="3126">
        <v>0.46200000000000002</v>
      </c>
      <c r="J338" s="3126">
        <v>0.46200000000000002</v>
      </c>
      <c r="K338" s="3126">
        <v>0.46200000000000002</v>
      </c>
      <c r="L338" s="3126">
        <v>0.46200000000000002</v>
      </c>
      <c r="M338" s="3127">
        <v>0.46200000000000002</v>
      </c>
    </row>
    <row r="339" spans="1:13">
      <c r="A339" s="3125">
        <v>7</v>
      </c>
      <c r="B339" s="3126">
        <v>0.70450000000000002</v>
      </c>
      <c r="C339" s="3126">
        <v>0.70450000000000002</v>
      </c>
      <c r="D339" s="3126">
        <v>0.65400000000000003</v>
      </c>
      <c r="E339" s="3126">
        <v>0.65400000000000003</v>
      </c>
      <c r="F339" s="3126">
        <v>0.65400000000000003</v>
      </c>
      <c r="G339" s="3126">
        <v>0.53920000000000001</v>
      </c>
      <c r="H339" s="3126">
        <v>0.53920000000000001</v>
      </c>
      <c r="I339" s="3126">
        <v>0.45979999999999999</v>
      </c>
      <c r="J339" s="3126">
        <v>0.45979999999999999</v>
      </c>
      <c r="K339" s="3126">
        <v>0.45979999999999999</v>
      </c>
      <c r="L339" s="3126">
        <v>0.45979999999999999</v>
      </c>
      <c r="M339" s="3127">
        <v>0.45979999999999999</v>
      </c>
    </row>
    <row r="340" spans="1:13">
      <c r="A340" s="3125">
        <v>7.1</v>
      </c>
      <c r="B340" s="3126">
        <v>0.70289999999999997</v>
      </c>
      <c r="C340" s="3126">
        <v>0.70289999999999997</v>
      </c>
      <c r="D340" s="3126">
        <v>0.65210000000000001</v>
      </c>
      <c r="E340" s="3126">
        <v>0.65210000000000001</v>
      </c>
      <c r="F340" s="3126">
        <v>0.65210000000000001</v>
      </c>
      <c r="G340" s="3126">
        <v>0.53710000000000002</v>
      </c>
      <c r="H340" s="3126">
        <v>0.53710000000000002</v>
      </c>
      <c r="I340" s="3126">
        <v>0.45779999999999998</v>
      </c>
      <c r="J340" s="3126">
        <v>0.45779999999999998</v>
      </c>
      <c r="K340" s="3126">
        <v>0.45779999999999998</v>
      </c>
      <c r="L340" s="3126">
        <v>0.45779999999999998</v>
      </c>
      <c r="M340" s="3127">
        <v>0.45779999999999998</v>
      </c>
    </row>
    <row r="341" spans="1:13">
      <c r="A341" s="3125">
        <v>7.2</v>
      </c>
      <c r="B341" s="3126">
        <v>0.70140000000000002</v>
      </c>
      <c r="C341" s="3126">
        <v>0.70140000000000002</v>
      </c>
      <c r="D341" s="3126">
        <v>0.6502</v>
      </c>
      <c r="E341" s="3126">
        <v>0.6502</v>
      </c>
      <c r="F341" s="3126">
        <v>0.6502</v>
      </c>
      <c r="G341" s="3126">
        <v>0.53500000000000003</v>
      </c>
      <c r="H341" s="3126">
        <v>0.53500000000000003</v>
      </c>
      <c r="I341" s="3126">
        <v>0.45569999999999999</v>
      </c>
      <c r="J341" s="3126">
        <v>0.45569999999999999</v>
      </c>
      <c r="K341" s="3126">
        <v>0.45569999999999999</v>
      </c>
      <c r="L341" s="3126">
        <v>0.45569999999999999</v>
      </c>
      <c r="M341" s="3127">
        <v>0.45569999999999999</v>
      </c>
    </row>
    <row r="342" spans="1:13">
      <c r="A342" s="3125">
        <v>7.3</v>
      </c>
      <c r="B342" s="3126">
        <v>0.69989999999999997</v>
      </c>
      <c r="C342" s="3126">
        <v>0.69989999999999997</v>
      </c>
      <c r="D342" s="3126">
        <v>0.64829999999999999</v>
      </c>
      <c r="E342" s="3126">
        <v>0.64829999999999999</v>
      </c>
      <c r="F342" s="3126">
        <v>0.64829999999999999</v>
      </c>
      <c r="G342" s="3126">
        <v>0.53290000000000004</v>
      </c>
      <c r="H342" s="3126">
        <v>0.53290000000000004</v>
      </c>
      <c r="I342" s="3126">
        <v>0.45369999999999999</v>
      </c>
      <c r="J342" s="3126">
        <v>0.45369999999999999</v>
      </c>
      <c r="K342" s="3126">
        <v>0.45369999999999999</v>
      </c>
      <c r="L342" s="3126">
        <v>0.45369999999999999</v>
      </c>
      <c r="M342" s="3127">
        <v>0.45369999999999999</v>
      </c>
    </row>
    <row r="343" spans="1:13">
      <c r="A343" s="3125">
        <v>7.4</v>
      </c>
      <c r="B343" s="3126">
        <v>0.69840000000000002</v>
      </c>
      <c r="C343" s="3126">
        <v>0.69840000000000002</v>
      </c>
      <c r="D343" s="3126">
        <v>0.64649999999999996</v>
      </c>
      <c r="E343" s="3126">
        <v>0.64649999999999996</v>
      </c>
      <c r="F343" s="3126">
        <v>0.64649999999999996</v>
      </c>
      <c r="G343" s="3126">
        <v>0.53080000000000005</v>
      </c>
      <c r="H343" s="3126">
        <v>0.53080000000000005</v>
      </c>
      <c r="I343" s="3126">
        <v>0.4516</v>
      </c>
      <c r="J343" s="3126">
        <v>0.4516</v>
      </c>
      <c r="K343" s="3126">
        <v>0.4516</v>
      </c>
      <c r="L343" s="3126">
        <v>0.4516</v>
      </c>
      <c r="M343" s="3127">
        <v>0.4516</v>
      </c>
    </row>
    <row r="344" spans="1:13">
      <c r="A344" s="3125">
        <v>7.5</v>
      </c>
      <c r="B344" s="3126">
        <v>0.69689999999999996</v>
      </c>
      <c r="C344" s="3126">
        <v>0.69689999999999996</v>
      </c>
      <c r="D344" s="3126">
        <v>0.64470000000000005</v>
      </c>
      <c r="E344" s="3126">
        <v>0.64470000000000005</v>
      </c>
      <c r="F344" s="3126">
        <v>0.64470000000000005</v>
      </c>
      <c r="G344" s="3126">
        <v>0.52869999999999995</v>
      </c>
      <c r="H344" s="3126">
        <v>0.52869999999999995</v>
      </c>
      <c r="I344" s="3126">
        <v>0.44950000000000001</v>
      </c>
      <c r="J344" s="3126">
        <v>0.44950000000000001</v>
      </c>
      <c r="K344" s="3126">
        <v>0.44950000000000001</v>
      </c>
      <c r="L344" s="3126">
        <v>0.44950000000000001</v>
      </c>
      <c r="M344" s="3127">
        <v>0.44950000000000001</v>
      </c>
    </row>
    <row r="345" spans="1:13">
      <c r="A345" s="3125">
        <v>7.6</v>
      </c>
      <c r="B345" s="3126">
        <v>0.69540000000000002</v>
      </c>
      <c r="C345" s="3126">
        <v>0.69540000000000002</v>
      </c>
      <c r="D345" s="3126">
        <v>0.64290000000000003</v>
      </c>
      <c r="E345" s="3126">
        <v>0.64290000000000003</v>
      </c>
      <c r="F345" s="3126">
        <v>0.64290000000000003</v>
      </c>
      <c r="G345" s="3126">
        <v>0.52659999999999996</v>
      </c>
      <c r="H345" s="3126">
        <v>0.52659999999999996</v>
      </c>
      <c r="I345" s="3126">
        <v>0.44750000000000001</v>
      </c>
      <c r="J345" s="3126">
        <v>0.44750000000000001</v>
      </c>
      <c r="K345" s="3126">
        <v>0.44750000000000001</v>
      </c>
      <c r="L345" s="3126">
        <v>0.44750000000000001</v>
      </c>
      <c r="M345" s="3127">
        <v>0.44750000000000001</v>
      </c>
    </row>
    <row r="346" spans="1:13">
      <c r="A346" s="3125">
        <v>7.7</v>
      </c>
      <c r="B346" s="3126">
        <v>0.69389999999999996</v>
      </c>
      <c r="C346" s="3126">
        <v>0.69389999999999996</v>
      </c>
      <c r="D346" s="3126">
        <v>0.6411</v>
      </c>
      <c r="E346" s="3126">
        <v>0.6411</v>
      </c>
      <c r="F346" s="3126">
        <v>0.6411</v>
      </c>
      <c r="G346" s="3126">
        <v>0.52459999999999996</v>
      </c>
      <c r="H346" s="3126">
        <v>0.52459999999999996</v>
      </c>
      <c r="I346" s="3126">
        <v>0.44540000000000002</v>
      </c>
      <c r="J346" s="3126">
        <v>0.44540000000000002</v>
      </c>
      <c r="K346" s="3126">
        <v>0.44540000000000002</v>
      </c>
      <c r="L346" s="3126">
        <v>0.44540000000000002</v>
      </c>
      <c r="M346" s="3127">
        <v>0.44540000000000002</v>
      </c>
    </row>
    <row r="347" spans="1:13">
      <c r="A347" s="3125">
        <v>7.8</v>
      </c>
      <c r="B347" s="3126">
        <v>0.69240000000000002</v>
      </c>
      <c r="C347" s="3126">
        <v>0.69240000000000002</v>
      </c>
      <c r="D347" s="3126">
        <v>0.63929999999999998</v>
      </c>
      <c r="E347" s="3126">
        <v>0.63929999999999998</v>
      </c>
      <c r="F347" s="3126">
        <v>0.63929999999999998</v>
      </c>
      <c r="G347" s="3126">
        <v>0.52259999999999995</v>
      </c>
      <c r="H347" s="3126">
        <v>0.52259999999999995</v>
      </c>
      <c r="I347" s="3126">
        <v>0.44340000000000002</v>
      </c>
      <c r="J347" s="3126">
        <v>0.44340000000000002</v>
      </c>
      <c r="K347" s="3126">
        <v>0.44340000000000002</v>
      </c>
      <c r="L347" s="3126">
        <v>0.44340000000000002</v>
      </c>
      <c r="M347" s="3127">
        <v>0.44340000000000002</v>
      </c>
    </row>
    <row r="348" spans="1:13">
      <c r="A348" s="3125">
        <v>7.9</v>
      </c>
      <c r="B348" s="3126">
        <v>0.69099999999999995</v>
      </c>
      <c r="C348" s="3126">
        <v>0.69099999999999995</v>
      </c>
      <c r="D348" s="3126">
        <v>0.63749999999999996</v>
      </c>
      <c r="E348" s="3126">
        <v>0.63749999999999996</v>
      </c>
      <c r="F348" s="3126">
        <v>0.63749999999999996</v>
      </c>
      <c r="G348" s="3126">
        <v>0.52059999999999995</v>
      </c>
      <c r="H348" s="3126">
        <v>0.52059999999999995</v>
      </c>
      <c r="I348" s="3126">
        <v>0.44130000000000003</v>
      </c>
      <c r="J348" s="3126">
        <v>0.44130000000000003</v>
      </c>
      <c r="K348" s="3126">
        <v>0.44130000000000003</v>
      </c>
      <c r="L348" s="3126">
        <v>0.44130000000000003</v>
      </c>
      <c r="M348" s="3127">
        <v>0.44130000000000003</v>
      </c>
    </row>
    <row r="349" spans="1:13">
      <c r="A349" s="3125">
        <v>8</v>
      </c>
      <c r="B349" s="3126">
        <v>0.68959999999999999</v>
      </c>
      <c r="C349" s="3126">
        <v>0.68959999999999999</v>
      </c>
      <c r="D349" s="3126">
        <v>0.63570000000000004</v>
      </c>
      <c r="E349" s="3126">
        <v>0.63570000000000004</v>
      </c>
      <c r="F349" s="3126">
        <v>0.63570000000000004</v>
      </c>
      <c r="G349" s="3126">
        <v>0.51859999999999995</v>
      </c>
      <c r="H349" s="3126">
        <v>0.51859999999999995</v>
      </c>
      <c r="I349" s="3126">
        <v>0.43919999999999998</v>
      </c>
      <c r="J349" s="3126">
        <v>0.43919999999999998</v>
      </c>
      <c r="K349" s="3126">
        <v>0.43919999999999998</v>
      </c>
      <c r="L349" s="3126">
        <v>0.43919999999999998</v>
      </c>
      <c r="M349" s="3127">
        <v>0.43919999999999998</v>
      </c>
    </row>
    <row r="350" spans="1:13">
      <c r="A350" s="3125">
        <v>8.1</v>
      </c>
      <c r="B350" s="3126">
        <v>0.68820000000000003</v>
      </c>
      <c r="C350" s="3126">
        <v>0.68820000000000003</v>
      </c>
      <c r="D350" s="3126">
        <v>0.63390000000000002</v>
      </c>
      <c r="E350" s="3126">
        <v>0.63390000000000002</v>
      </c>
      <c r="F350" s="3126">
        <v>0.63390000000000002</v>
      </c>
      <c r="G350" s="3126">
        <v>0.51659999999999995</v>
      </c>
      <c r="H350" s="3126">
        <v>0.51659999999999995</v>
      </c>
      <c r="I350" s="3126">
        <v>0.43730000000000002</v>
      </c>
      <c r="J350" s="3126">
        <v>0.43730000000000002</v>
      </c>
      <c r="K350" s="3126">
        <v>0.43730000000000002</v>
      </c>
      <c r="L350" s="3126">
        <v>0.43730000000000002</v>
      </c>
      <c r="M350" s="3127">
        <v>0.43730000000000002</v>
      </c>
    </row>
    <row r="351" spans="1:13">
      <c r="A351" s="3125">
        <v>8.1999999999999993</v>
      </c>
      <c r="B351" s="3126">
        <v>0.68679999999999997</v>
      </c>
      <c r="C351" s="3126">
        <v>0.68679999999999997</v>
      </c>
      <c r="D351" s="3126">
        <v>0.63219999999999998</v>
      </c>
      <c r="E351" s="3126">
        <v>0.63219999999999998</v>
      </c>
      <c r="F351" s="3126">
        <v>0.63219999999999998</v>
      </c>
      <c r="G351" s="3126">
        <v>0.51459999999999995</v>
      </c>
      <c r="H351" s="3126">
        <v>0.51459999999999995</v>
      </c>
      <c r="I351" s="3126">
        <v>0.43530000000000002</v>
      </c>
      <c r="J351" s="3126">
        <v>0.43530000000000002</v>
      </c>
      <c r="K351" s="3126">
        <v>0.43530000000000002</v>
      </c>
      <c r="L351" s="3126">
        <v>0.43530000000000002</v>
      </c>
      <c r="M351" s="3127">
        <v>0.43530000000000002</v>
      </c>
    </row>
    <row r="352" spans="1:13">
      <c r="A352" s="3125">
        <v>8.3000000000000007</v>
      </c>
      <c r="B352" s="3126">
        <v>0.68540000000000001</v>
      </c>
      <c r="C352" s="3126">
        <v>0.68540000000000001</v>
      </c>
      <c r="D352" s="3126">
        <v>0.63049999999999995</v>
      </c>
      <c r="E352" s="3126">
        <v>0.63049999999999995</v>
      </c>
      <c r="F352" s="3126">
        <v>0.63049999999999995</v>
      </c>
      <c r="G352" s="3126">
        <v>0.51259999999999994</v>
      </c>
      <c r="H352" s="3126">
        <v>0.51259999999999994</v>
      </c>
      <c r="I352" s="3126">
        <v>0.43330000000000002</v>
      </c>
      <c r="J352" s="3126">
        <v>0.43330000000000002</v>
      </c>
      <c r="K352" s="3126">
        <v>0.43330000000000002</v>
      </c>
      <c r="L352" s="3126">
        <v>0.43330000000000002</v>
      </c>
      <c r="M352" s="3127">
        <v>0.43330000000000002</v>
      </c>
    </row>
    <row r="353" spans="1:13">
      <c r="A353" s="3125">
        <v>8.4</v>
      </c>
      <c r="B353" s="3126">
        <v>0.68400000000000005</v>
      </c>
      <c r="C353" s="3126">
        <v>0.68400000000000005</v>
      </c>
      <c r="D353" s="3126">
        <v>0.62880000000000003</v>
      </c>
      <c r="E353" s="3126">
        <v>0.62880000000000003</v>
      </c>
      <c r="F353" s="3126">
        <v>0.62880000000000003</v>
      </c>
      <c r="G353" s="3126">
        <v>0.51070000000000004</v>
      </c>
      <c r="H353" s="3126">
        <v>0.51070000000000004</v>
      </c>
      <c r="I353" s="3126">
        <v>0.43130000000000002</v>
      </c>
      <c r="J353" s="3126">
        <v>0.43130000000000002</v>
      </c>
      <c r="K353" s="3126">
        <v>0.43130000000000002</v>
      </c>
      <c r="L353" s="3126">
        <v>0.43130000000000002</v>
      </c>
      <c r="M353" s="3127">
        <v>0.43130000000000002</v>
      </c>
    </row>
    <row r="354" spans="1:13">
      <c r="A354" s="3125">
        <v>8.5</v>
      </c>
      <c r="B354" s="3126">
        <v>0.68259999999999998</v>
      </c>
      <c r="C354" s="3126">
        <v>0.68259999999999998</v>
      </c>
      <c r="D354" s="3126">
        <v>0.62709999999999999</v>
      </c>
      <c r="E354" s="3126">
        <v>0.62709999999999999</v>
      </c>
      <c r="F354" s="3126">
        <v>0.62709999999999999</v>
      </c>
      <c r="G354" s="3126">
        <v>0.50880000000000003</v>
      </c>
      <c r="H354" s="3126">
        <v>0.50880000000000003</v>
      </c>
      <c r="I354" s="3126">
        <v>0.4294</v>
      </c>
      <c r="J354" s="3126">
        <v>0.4294</v>
      </c>
      <c r="K354" s="3126">
        <v>0.4294</v>
      </c>
      <c r="L354" s="3126">
        <v>0.4294</v>
      </c>
      <c r="M354" s="3127">
        <v>0.4294</v>
      </c>
    </row>
    <row r="355" spans="1:13">
      <c r="A355" s="3125">
        <v>8.6</v>
      </c>
      <c r="B355" s="3126">
        <v>0.68120000000000003</v>
      </c>
      <c r="C355" s="3126">
        <v>0.68120000000000003</v>
      </c>
      <c r="D355" s="3126">
        <v>0.62539999999999996</v>
      </c>
      <c r="E355" s="3126">
        <v>0.62539999999999996</v>
      </c>
      <c r="F355" s="3126">
        <v>0.62539999999999996</v>
      </c>
      <c r="G355" s="3126">
        <v>0.50690000000000002</v>
      </c>
      <c r="H355" s="3126">
        <v>0.50690000000000002</v>
      </c>
      <c r="I355" s="3126">
        <v>0.4274</v>
      </c>
      <c r="J355" s="3126">
        <v>0.4274</v>
      </c>
      <c r="K355" s="3126">
        <v>0.4274</v>
      </c>
      <c r="L355" s="3126">
        <v>0.4274</v>
      </c>
      <c r="M355" s="3127">
        <v>0.4274</v>
      </c>
    </row>
    <row r="356" spans="1:13">
      <c r="A356" s="3125">
        <v>8.6999999999999993</v>
      </c>
      <c r="B356" s="3126">
        <v>0.67989999999999995</v>
      </c>
      <c r="C356" s="3126">
        <v>0.67989999999999995</v>
      </c>
      <c r="D356" s="3126">
        <v>0.62370000000000003</v>
      </c>
      <c r="E356" s="3126">
        <v>0.62370000000000003</v>
      </c>
      <c r="F356" s="3126">
        <v>0.62370000000000003</v>
      </c>
      <c r="G356" s="3126">
        <v>0.505</v>
      </c>
      <c r="H356" s="3126">
        <v>0.505</v>
      </c>
      <c r="I356" s="3126">
        <v>0.4254</v>
      </c>
      <c r="J356" s="3126">
        <v>0.4254</v>
      </c>
      <c r="K356" s="3126">
        <v>0.4254</v>
      </c>
      <c r="L356" s="3126">
        <v>0.4254</v>
      </c>
      <c r="M356" s="3127">
        <v>0.4254</v>
      </c>
    </row>
    <row r="357" spans="1:13">
      <c r="A357" s="3125">
        <v>8.8000000000000007</v>
      </c>
      <c r="B357" s="3126">
        <v>0.67859999999999998</v>
      </c>
      <c r="C357" s="3126">
        <v>0.67859999999999998</v>
      </c>
      <c r="D357" s="3126">
        <v>0.622</v>
      </c>
      <c r="E357" s="3126">
        <v>0.622</v>
      </c>
      <c r="F357" s="3126">
        <v>0.622</v>
      </c>
      <c r="G357" s="3126">
        <v>0.50309999999999999</v>
      </c>
      <c r="H357" s="3126">
        <v>0.50309999999999999</v>
      </c>
      <c r="I357" s="3126">
        <v>0.4234</v>
      </c>
      <c r="J357" s="3126">
        <v>0.4234</v>
      </c>
      <c r="K357" s="3126">
        <v>0.4234</v>
      </c>
      <c r="L357" s="3126">
        <v>0.4234</v>
      </c>
      <c r="M357" s="3127">
        <v>0.4234</v>
      </c>
    </row>
    <row r="358" spans="1:13">
      <c r="A358" s="3125">
        <v>8.9</v>
      </c>
      <c r="B358" s="3126">
        <v>0.67730000000000001</v>
      </c>
      <c r="C358" s="3126">
        <v>0.67730000000000001</v>
      </c>
      <c r="D358" s="3126">
        <v>0.62029999999999996</v>
      </c>
      <c r="E358" s="3126">
        <v>0.62029999999999996</v>
      </c>
      <c r="F358" s="3126">
        <v>0.62029999999999996</v>
      </c>
      <c r="G358" s="3126">
        <v>0.50119999999999998</v>
      </c>
      <c r="H358" s="3126">
        <v>0.50119999999999998</v>
      </c>
      <c r="I358" s="3126">
        <v>0.42149999999999999</v>
      </c>
      <c r="J358" s="3126">
        <v>0.42149999999999999</v>
      </c>
      <c r="K358" s="3126">
        <v>0.42149999999999999</v>
      </c>
      <c r="L358" s="3126">
        <v>0.42149999999999999</v>
      </c>
      <c r="M358" s="3127">
        <v>0.42149999999999999</v>
      </c>
    </row>
    <row r="359" spans="1:13">
      <c r="A359" s="3128">
        <v>9</v>
      </c>
      <c r="B359" s="3126">
        <v>0.67600000000000005</v>
      </c>
      <c r="C359" s="3126">
        <v>0.67600000000000005</v>
      </c>
      <c r="D359" s="3126">
        <v>0.61870000000000003</v>
      </c>
      <c r="E359" s="3126">
        <v>0.61870000000000003</v>
      </c>
      <c r="F359" s="3126">
        <v>0.61870000000000003</v>
      </c>
      <c r="G359" s="3126">
        <v>0.49930000000000002</v>
      </c>
      <c r="H359" s="3126">
        <v>0.49930000000000002</v>
      </c>
      <c r="I359" s="3126">
        <v>0.41949999999999998</v>
      </c>
      <c r="J359" s="3126">
        <v>0.41949999999999998</v>
      </c>
      <c r="K359" s="3126">
        <v>0.41949999999999998</v>
      </c>
      <c r="L359" s="3126">
        <v>0.41949999999999998</v>
      </c>
      <c r="M359" s="3127">
        <v>0.41949999999999998</v>
      </c>
    </row>
    <row r="360" spans="1:13">
      <c r="A360" s="3128">
        <v>9.1</v>
      </c>
      <c r="B360" s="3126">
        <v>0.67469999999999997</v>
      </c>
      <c r="C360" s="3126">
        <v>0.67469999999999997</v>
      </c>
      <c r="D360" s="3126">
        <v>0.61709999999999998</v>
      </c>
      <c r="E360" s="3126">
        <v>0.61709999999999998</v>
      </c>
      <c r="F360" s="3126">
        <v>0.61709999999999998</v>
      </c>
      <c r="G360" s="3126">
        <v>0.49740000000000001</v>
      </c>
      <c r="H360" s="3126">
        <v>0.49740000000000001</v>
      </c>
      <c r="I360" s="3126">
        <v>0.41760000000000003</v>
      </c>
      <c r="J360" s="3126">
        <v>0.41760000000000003</v>
      </c>
      <c r="K360" s="3126">
        <v>0.41760000000000003</v>
      </c>
      <c r="L360" s="3126">
        <v>0.41760000000000003</v>
      </c>
      <c r="M360" s="3127">
        <v>0.41760000000000003</v>
      </c>
    </row>
    <row r="361" spans="1:13">
      <c r="A361" s="3128">
        <v>9.1999999999999993</v>
      </c>
      <c r="B361" s="3126">
        <v>0.6734</v>
      </c>
      <c r="C361" s="3126">
        <v>0.6734</v>
      </c>
      <c r="D361" s="3126">
        <v>0.61550000000000005</v>
      </c>
      <c r="E361" s="3126">
        <v>0.61550000000000005</v>
      </c>
      <c r="F361" s="3126">
        <v>0.61550000000000005</v>
      </c>
      <c r="G361" s="3126">
        <v>0.49559999999999998</v>
      </c>
      <c r="H361" s="3126">
        <v>0.49559999999999998</v>
      </c>
      <c r="I361" s="3126">
        <v>0.41570000000000001</v>
      </c>
      <c r="J361" s="3126">
        <v>0.41570000000000001</v>
      </c>
      <c r="K361" s="3126">
        <v>0.41570000000000001</v>
      </c>
      <c r="L361" s="3126">
        <v>0.41570000000000001</v>
      </c>
      <c r="M361" s="3127">
        <v>0.41570000000000001</v>
      </c>
    </row>
    <row r="362" spans="1:13">
      <c r="A362" s="3128">
        <v>9.3000000000000007</v>
      </c>
      <c r="B362" s="3126">
        <v>0.67210000000000003</v>
      </c>
      <c r="C362" s="3126">
        <v>0.67210000000000003</v>
      </c>
      <c r="D362" s="3126">
        <v>0.6139</v>
      </c>
      <c r="E362" s="3126">
        <v>0.6139</v>
      </c>
      <c r="F362" s="3126">
        <v>0.6139</v>
      </c>
      <c r="G362" s="3126">
        <v>0.49380000000000002</v>
      </c>
      <c r="H362" s="3126">
        <v>0.49380000000000002</v>
      </c>
      <c r="I362" s="3126">
        <v>0.4138</v>
      </c>
      <c r="J362" s="3126">
        <v>0.4138</v>
      </c>
      <c r="K362" s="3126">
        <v>0.4138</v>
      </c>
      <c r="L362" s="3126">
        <v>0.4138</v>
      </c>
      <c r="M362" s="3127">
        <v>0.4138</v>
      </c>
    </row>
    <row r="363" spans="1:13">
      <c r="A363" s="3128">
        <v>9.4</v>
      </c>
      <c r="B363" s="3126">
        <v>0.67079999999999995</v>
      </c>
      <c r="C363" s="3126">
        <v>0.67079999999999995</v>
      </c>
      <c r="D363" s="3126">
        <v>0.61229999999999996</v>
      </c>
      <c r="E363" s="3126">
        <v>0.61229999999999996</v>
      </c>
      <c r="F363" s="3126">
        <v>0.61229999999999996</v>
      </c>
      <c r="G363" s="3126">
        <v>0.49199999999999999</v>
      </c>
      <c r="H363" s="3126">
        <v>0.49199999999999999</v>
      </c>
      <c r="I363" s="3126">
        <v>0.41189999999999999</v>
      </c>
      <c r="J363" s="3126">
        <v>0.41189999999999999</v>
      </c>
      <c r="K363" s="3126">
        <v>0.41189999999999999</v>
      </c>
      <c r="L363" s="3126">
        <v>0.41189999999999999</v>
      </c>
      <c r="M363" s="3127">
        <v>0.41189999999999999</v>
      </c>
    </row>
    <row r="364" spans="1:13">
      <c r="A364" s="3128">
        <v>9.5</v>
      </c>
      <c r="B364" s="3126">
        <v>0.66959999999999997</v>
      </c>
      <c r="C364" s="3126">
        <v>0.66959999999999997</v>
      </c>
      <c r="D364" s="3126">
        <v>0.61070000000000002</v>
      </c>
      <c r="E364" s="3126">
        <v>0.61070000000000002</v>
      </c>
      <c r="F364" s="3126">
        <v>0.61070000000000002</v>
      </c>
      <c r="G364" s="3126">
        <v>0.49020000000000002</v>
      </c>
      <c r="H364" s="3126">
        <v>0.49020000000000002</v>
      </c>
      <c r="I364" s="3126">
        <v>0.41</v>
      </c>
      <c r="J364" s="3126">
        <v>0.41</v>
      </c>
      <c r="K364" s="3126">
        <v>0.41</v>
      </c>
      <c r="L364" s="3126">
        <v>0.41</v>
      </c>
      <c r="M364" s="3127">
        <v>0.41</v>
      </c>
    </row>
    <row r="365" spans="1:13">
      <c r="A365" s="3128">
        <v>9.6</v>
      </c>
      <c r="B365" s="3126">
        <v>0.66839999999999999</v>
      </c>
      <c r="C365" s="3126">
        <v>0.66839999999999999</v>
      </c>
      <c r="D365" s="3126">
        <v>0.60909999999999997</v>
      </c>
      <c r="E365" s="3126">
        <v>0.60909999999999997</v>
      </c>
      <c r="F365" s="3126">
        <v>0.60909999999999997</v>
      </c>
      <c r="G365" s="3126">
        <v>0.4884</v>
      </c>
      <c r="H365" s="3126">
        <v>0.4884</v>
      </c>
      <c r="I365" s="3126">
        <v>0.40810000000000002</v>
      </c>
      <c r="J365" s="3126">
        <v>0.40810000000000002</v>
      </c>
      <c r="K365" s="3126">
        <v>0.40810000000000002</v>
      </c>
      <c r="L365" s="3126">
        <v>0.40810000000000002</v>
      </c>
      <c r="M365" s="3127">
        <v>0.40810000000000002</v>
      </c>
    </row>
    <row r="366" spans="1:13">
      <c r="A366" s="3128">
        <v>9.6999999999999993</v>
      </c>
      <c r="B366" s="3126">
        <v>0.66720000000000002</v>
      </c>
      <c r="C366" s="3126">
        <v>0.66720000000000002</v>
      </c>
      <c r="D366" s="3126">
        <v>0.60750000000000004</v>
      </c>
      <c r="E366" s="3126">
        <v>0.60750000000000004</v>
      </c>
      <c r="F366" s="3126">
        <v>0.60750000000000004</v>
      </c>
      <c r="G366" s="3126">
        <v>0.48659999999999998</v>
      </c>
      <c r="H366" s="3126">
        <v>0.48659999999999998</v>
      </c>
      <c r="I366" s="3126">
        <v>0.40620000000000001</v>
      </c>
      <c r="J366" s="3126">
        <v>0.40620000000000001</v>
      </c>
      <c r="K366" s="3126">
        <v>0.40620000000000001</v>
      </c>
      <c r="L366" s="3126">
        <v>0.40620000000000001</v>
      </c>
      <c r="M366" s="3127">
        <v>0.40620000000000001</v>
      </c>
    </row>
    <row r="367" spans="1:13">
      <c r="A367" s="3128">
        <v>9.8000000000000007</v>
      </c>
      <c r="B367" s="3126">
        <v>0.66600000000000004</v>
      </c>
      <c r="C367" s="3126">
        <v>0.66600000000000004</v>
      </c>
      <c r="D367" s="3126">
        <v>0.60599999999999998</v>
      </c>
      <c r="E367" s="3126">
        <v>0.60599999999999998</v>
      </c>
      <c r="F367" s="3126">
        <v>0.60599999999999998</v>
      </c>
      <c r="G367" s="3126">
        <v>0.48480000000000001</v>
      </c>
      <c r="H367" s="3126">
        <v>0.48480000000000001</v>
      </c>
      <c r="I367" s="3126">
        <v>0.40429999999999999</v>
      </c>
      <c r="J367" s="3126">
        <v>0.40429999999999999</v>
      </c>
      <c r="K367" s="3126">
        <v>0.40429999999999999</v>
      </c>
      <c r="L367" s="3126">
        <v>0.40429999999999999</v>
      </c>
      <c r="M367" s="3127">
        <v>0.40429999999999999</v>
      </c>
    </row>
    <row r="368" spans="1:13" ht="15" thickBot="1">
      <c r="A368" s="3129">
        <v>9.9</v>
      </c>
      <c r="B368" s="3130">
        <v>0.66479999999999995</v>
      </c>
      <c r="C368" s="3130">
        <v>0.66479999999999995</v>
      </c>
      <c r="D368" s="3130">
        <v>0.60450000000000004</v>
      </c>
      <c r="E368" s="3130">
        <v>0.60450000000000004</v>
      </c>
      <c r="F368" s="3130">
        <v>0.60450000000000004</v>
      </c>
      <c r="G368" s="3130">
        <v>0.48299999999999998</v>
      </c>
      <c r="H368" s="3130">
        <v>0.48299999999999998</v>
      </c>
      <c r="I368" s="3130">
        <v>0.40239999999999998</v>
      </c>
      <c r="J368" s="3130">
        <v>0.40239999999999998</v>
      </c>
      <c r="K368" s="3130">
        <v>0.40239999999999998</v>
      </c>
      <c r="L368" s="3130">
        <v>0.40239999999999998</v>
      </c>
      <c r="M368" s="3131">
        <v>0.40239999999999998</v>
      </c>
    </row>
    <row r="369" spans="1:20" ht="16.5" thickBot="1">
      <c r="A369" s="3119" t="s">
        <v>2803</v>
      </c>
      <c r="B369" s="3132"/>
      <c r="C369" s="3132"/>
      <c r="D369" s="3132"/>
      <c r="E369" s="3132"/>
      <c r="F369" s="3132"/>
      <c r="G369" s="3132"/>
      <c r="H369" s="3132"/>
      <c r="I369" s="3132"/>
      <c r="J369" s="3132"/>
      <c r="K369" s="3132"/>
      <c r="L369" s="3132"/>
      <c r="M369" s="3132"/>
    </row>
    <row r="370" spans="1:20">
      <c r="A370" s="3120" t="s">
        <v>2799</v>
      </c>
      <c r="B370" s="3121" t="s">
        <v>2595</v>
      </c>
      <c r="C370" s="3121" t="s">
        <v>2596</v>
      </c>
      <c r="D370" s="3121" t="s">
        <v>2597</v>
      </c>
      <c r="E370" s="3121" t="s">
        <v>2598</v>
      </c>
      <c r="F370" s="3121" t="s">
        <v>2599</v>
      </c>
      <c r="G370" s="3121" t="s">
        <v>2600</v>
      </c>
      <c r="H370" s="3122" t="s">
        <v>2601</v>
      </c>
      <c r="I370" s="3122" t="s">
        <v>2602</v>
      </c>
      <c r="J370" s="3123" t="s">
        <v>2603</v>
      </c>
      <c r="K370" s="3123" t="s">
        <v>2604</v>
      </c>
      <c r="L370" s="3123" t="s">
        <v>2605</v>
      </c>
      <c r="M370" s="3124" t="s">
        <v>2606</v>
      </c>
      <c r="N370" s="746">
        <f>SUMPRODUCT((A371:A460=ROUNDDOWN(基准地价修正!G3,1))*(B370:M370=基准地价修正!G2)*(B371:M460))</f>
        <v>0</v>
      </c>
      <c r="Q370" s="3134" t="s">
        <v>2804</v>
      </c>
      <c r="R370" s="3134" t="s">
        <v>2805</v>
      </c>
      <c r="S370" s="3134" t="s">
        <v>2806</v>
      </c>
      <c r="T370" s="3134" t="s">
        <v>2807</v>
      </c>
    </row>
    <row r="371" spans="1:20">
      <c r="A371" s="3125">
        <v>1</v>
      </c>
      <c r="B371" s="3126">
        <v>1.1839999999999999</v>
      </c>
      <c r="C371" s="3126">
        <v>1.1839999999999999</v>
      </c>
      <c r="D371" s="3126">
        <v>1.1565000000000001</v>
      </c>
      <c r="E371" s="3126">
        <v>1.1565000000000001</v>
      </c>
      <c r="F371" s="3126">
        <v>1.1565000000000001</v>
      </c>
      <c r="G371" s="3126">
        <v>1.1565000000000001</v>
      </c>
      <c r="H371" s="3126">
        <v>1.1565000000000001</v>
      </c>
      <c r="I371" s="3126">
        <v>1.1198999999999999</v>
      </c>
      <c r="J371" s="3126">
        <v>1.1198999999999999</v>
      </c>
      <c r="K371" s="3126">
        <v>1.1198999999999999</v>
      </c>
      <c r="L371" s="3126">
        <v>1.1198999999999999</v>
      </c>
      <c r="M371" s="3127">
        <v>1.1198999999999999</v>
      </c>
      <c r="Q371" s="3134">
        <v>10</v>
      </c>
      <c r="R371" s="3134">
        <f>ROUND(0.9404-0.0106*Q371,4)</f>
        <v>0.83440000000000003</v>
      </c>
      <c r="S371" s="3134">
        <f>ROUND(0.8955-0.0135*Q371,4)</f>
        <v>0.76049999999999995</v>
      </c>
      <c r="T371" s="3134">
        <f>ROUND(0.7632-0.0166*Q371,4)</f>
        <v>0.59719999999999995</v>
      </c>
    </row>
    <row r="372" spans="1:20">
      <c r="A372" s="3125">
        <v>1.1000000000000001</v>
      </c>
      <c r="B372" s="3126">
        <v>1.1658999999999999</v>
      </c>
      <c r="C372" s="3126">
        <v>1.1658999999999999</v>
      </c>
      <c r="D372" s="3126">
        <v>1.1364000000000001</v>
      </c>
      <c r="E372" s="3126">
        <v>1.1364000000000001</v>
      </c>
      <c r="F372" s="3126">
        <v>1.1364000000000001</v>
      </c>
      <c r="G372" s="3126">
        <v>1.1364000000000001</v>
      </c>
      <c r="H372" s="3126">
        <v>1.1364000000000001</v>
      </c>
      <c r="I372" s="3126">
        <v>1.0931</v>
      </c>
      <c r="J372" s="3126">
        <v>1.0931</v>
      </c>
      <c r="K372" s="3126">
        <v>1.0931</v>
      </c>
      <c r="L372" s="3126">
        <v>1.0931</v>
      </c>
      <c r="M372" s="3127">
        <v>1.0931</v>
      </c>
    </row>
    <row r="373" spans="1:20">
      <c r="A373" s="3125">
        <v>1.2</v>
      </c>
      <c r="B373" s="3126">
        <v>1.1489</v>
      </c>
      <c r="C373" s="3126">
        <v>1.1489</v>
      </c>
      <c r="D373" s="3126">
        <v>1.1174999999999999</v>
      </c>
      <c r="E373" s="3126">
        <v>1.1174999999999999</v>
      </c>
      <c r="F373" s="3126">
        <v>1.1174999999999999</v>
      </c>
      <c r="G373" s="3126">
        <v>1.1174999999999999</v>
      </c>
      <c r="H373" s="3126">
        <v>1.1174999999999999</v>
      </c>
      <c r="I373" s="3126">
        <v>1.0678000000000001</v>
      </c>
      <c r="J373" s="3126">
        <v>1.0678000000000001</v>
      </c>
      <c r="K373" s="3126">
        <v>1.0678000000000001</v>
      </c>
      <c r="L373" s="3126">
        <v>1.0678000000000001</v>
      </c>
      <c r="M373" s="3127">
        <v>1.0678000000000001</v>
      </c>
    </row>
    <row r="374" spans="1:20">
      <c r="A374" s="3125">
        <v>1.3</v>
      </c>
      <c r="B374" s="3126">
        <v>1.1328</v>
      </c>
      <c r="C374" s="3126">
        <v>1.1328</v>
      </c>
      <c r="D374" s="3126">
        <v>1.0995999999999999</v>
      </c>
      <c r="E374" s="3126">
        <v>1.0995999999999999</v>
      </c>
      <c r="F374" s="3126">
        <v>1.0995999999999999</v>
      </c>
      <c r="G374" s="3126">
        <v>1.0995999999999999</v>
      </c>
      <c r="H374" s="3126">
        <v>1.0995999999999999</v>
      </c>
      <c r="I374" s="3126">
        <v>1.044</v>
      </c>
      <c r="J374" s="3126">
        <v>1.044</v>
      </c>
      <c r="K374" s="3126">
        <v>1.044</v>
      </c>
      <c r="L374" s="3126">
        <v>1.044</v>
      </c>
      <c r="M374" s="3127">
        <v>1.044</v>
      </c>
    </row>
    <row r="375" spans="1:20">
      <c r="A375" s="3125">
        <v>1.4</v>
      </c>
      <c r="B375" s="3126">
        <v>1.1175999999999999</v>
      </c>
      <c r="C375" s="3126">
        <v>1.1175999999999999</v>
      </c>
      <c r="D375" s="3126">
        <v>1.0827</v>
      </c>
      <c r="E375" s="3126">
        <v>1.0827</v>
      </c>
      <c r="F375" s="3126">
        <v>1.0827</v>
      </c>
      <c r="G375" s="3126">
        <v>1.0827</v>
      </c>
      <c r="H375" s="3126">
        <v>1.0827</v>
      </c>
      <c r="I375" s="3126">
        <v>1.0214000000000001</v>
      </c>
      <c r="J375" s="3126">
        <v>1.0214000000000001</v>
      </c>
      <c r="K375" s="3126">
        <v>1.0214000000000001</v>
      </c>
      <c r="L375" s="3126">
        <v>1.0214000000000001</v>
      </c>
      <c r="M375" s="3127">
        <v>1.0214000000000001</v>
      </c>
    </row>
    <row r="376" spans="1:20">
      <c r="A376" s="3125">
        <v>1.5</v>
      </c>
      <c r="B376" s="3126">
        <v>1.1032999999999999</v>
      </c>
      <c r="C376" s="3126">
        <v>1.1032999999999999</v>
      </c>
      <c r="D376" s="3126">
        <v>1.0668</v>
      </c>
      <c r="E376" s="3126">
        <v>1.0668</v>
      </c>
      <c r="F376" s="3126">
        <v>1.0668</v>
      </c>
      <c r="G376" s="3126">
        <v>1.0668</v>
      </c>
      <c r="H376" s="3126">
        <v>1.0668</v>
      </c>
      <c r="I376" s="3126">
        <v>1</v>
      </c>
      <c r="J376" s="3126">
        <v>1</v>
      </c>
      <c r="K376" s="3126">
        <v>1</v>
      </c>
      <c r="L376" s="3126">
        <v>1</v>
      </c>
      <c r="M376" s="3127">
        <v>1</v>
      </c>
    </row>
    <row r="377" spans="1:20">
      <c r="A377" s="3125">
        <v>1.6</v>
      </c>
      <c r="B377" s="3126">
        <v>1.0899000000000001</v>
      </c>
      <c r="C377" s="3126">
        <v>1.0899000000000001</v>
      </c>
      <c r="D377" s="3126">
        <v>1.0517000000000001</v>
      </c>
      <c r="E377" s="3126">
        <v>1.0517000000000001</v>
      </c>
      <c r="F377" s="3126">
        <v>1.0517000000000001</v>
      </c>
      <c r="G377" s="3126">
        <v>1.0517000000000001</v>
      </c>
      <c r="H377" s="3126">
        <v>1.0517000000000001</v>
      </c>
      <c r="I377" s="3126">
        <v>0.97989999999999999</v>
      </c>
      <c r="J377" s="3126">
        <v>0.97989999999999999</v>
      </c>
      <c r="K377" s="3126">
        <v>0.97989999999999999</v>
      </c>
      <c r="L377" s="3126">
        <v>0.97989999999999999</v>
      </c>
      <c r="M377" s="3127">
        <v>0.97989999999999999</v>
      </c>
    </row>
    <row r="378" spans="1:20">
      <c r="A378" s="3125">
        <v>1.7</v>
      </c>
      <c r="B378" s="3126">
        <v>1.0771999999999999</v>
      </c>
      <c r="C378" s="3126">
        <v>1.0771999999999999</v>
      </c>
      <c r="D378" s="3126">
        <v>1.0376000000000001</v>
      </c>
      <c r="E378" s="3126">
        <v>1.0376000000000001</v>
      </c>
      <c r="F378" s="3126">
        <v>1.0376000000000001</v>
      </c>
      <c r="G378" s="3126">
        <v>1.0376000000000001</v>
      </c>
      <c r="H378" s="3126">
        <v>1.0376000000000001</v>
      </c>
      <c r="I378" s="3126">
        <v>0.96089999999999998</v>
      </c>
      <c r="J378" s="3126">
        <v>0.96089999999999998</v>
      </c>
      <c r="K378" s="3126">
        <v>0.96089999999999998</v>
      </c>
      <c r="L378" s="3126">
        <v>0.96089999999999998</v>
      </c>
      <c r="M378" s="3127">
        <v>0.96089999999999998</v>
      </c>
    </row>
    <row r="379" spans="1:20">
      <c r="A379" s="3125">
        <v>1.8</v>
      </c>
      <c r="B379" s="3126">
        <v>1.0652999999999999</v>
      </c>
      <c r="C379" s="3126">
        <v>1.0652999999999999</v>
      </c>
      <c r="D379" s="3126">
        <v>1.0243</v>
      </c>
      <c r="E379" s="3126">
        <v>1.0243</v>
      </c>
      <c r="F379" s="3126">
        <v>1.0243</v>
      </c>
      <c r="G379" s="3126">
        <v>1.0243</v>
      </c>
      <c r="H379" s="3126">
        <v>1.0243</v>
      </c>
      <c r="I379" s="3126">
        <v>0.94299999999999995</v>
      </c>
      <c r="J379" s="3126">
        <v>0.94299999999999995</v>
      </c>
      <c r="K379" s="3126">
        <v>0.94299999999999995</v>
      </c>
      <c r="L379" s="3126">
        <v>0.94299999999999995</v>
      </c>
      <c r="M379" s="3127">
        <v>0.94299999999999995</v>
      </c>
    </row>
    <row r="380" spans="1:20">
      <c r="A380" s="3125">
        <v>1.9</v>
      </c>
      <c r="B380" s="3126">
        <v>1.054</v>
      </c>
      <c r="C380" s="3126">
        <v>1.054</v>
      </c>
      <c r="D380" s="3126">
        <v>1.0118</v>
      </c>
      <c r="E380" s="3126">
        <v>1.0118</v>
      </c>
      <c r="F380" s="3126">
        <v>1.0118</v>
      </c>
      <c r="G380" s="3126">
        <v>1.0118</v>
      </c>
      <c r="H380" s="3126">
        <v>1.0118</v>
      </c>
      <c r="I380" s="3126">
        <v>0.92620000000000002</v>
      </c>
      <c r="J380" s="3126">
        <v>0.92620000000000002</v>
      </c>
      <c r="K380" s="3126">
        <v>0.92620000000000002</v>
      </c>
      <c r="L380" s="3126">
        <v>0.92620000000000002</v>
      </c>
      <c r="M380" s="3127">
        <v>0.92620000000000002</v>
      </c>
    </row>
    <row r="381" spans="1:20">
      <c r="A381" s="3125">
        <v>2</v>
      </c>
      <c r="B381" s="3126">
        <v>1.0435000000000001</v>
      </c>
      <c r="C381" s="3126">
        <v>1.0435000000000001</v>
      </c>
      <c r="D381" s="3126">
        <v>1</v>
      </c>
      <c r="E381" s="3126">
        <v>1</v>
      </c>
      <c r="F381" s="3126">
        <v>1</v>
      </c>
      <c r="G381" s="3126">
        <v>1</v>
      </c>
      <c r="H381" s="3126">
        <v>1</v>
      </c>
      <c r="I381" s="3126">
        <v>0.9103</v>
      </c>
      <c r="J381" s="3126">
        <v>0.9103</v>
      </c>
      <c r="K381" s="3126">
        <v>0.9103</v>
      </c>
      <c r="L381" s="3126">
        <v>0.9103</v>
      </c>
      <c r="M381" s="3127">
        <v>0.9103</v>
      </c>
    </row>
    <row r="382" spans="1:20">
      <c r="A382" s="3128">
        <v>2.1</v>
      </c>
      <c r="B382" s="3126">
        <v>1.0336000000000001</v>
      </c>
      <c r="C382" s="3126">
        <v>1.0336000000000001</v>
      </c>
      <c r="D382" s="3126">
        <v>0.98899999999999999</v>
      </c>
      <c r="E382" s="3126">
        <v>0.98899999999999999</v>
      </c>
      <c r="F382" s="3126">
        <v>0.98899999999999999</v>
      </c>
      <c r="G382" s="3126">
        <v>0.98899999999999999</v>
      </c>
      <c r="H382" s="3126">
        <v>0.98899999999999999</v>
      </c>
      <c r="I382" s="3126">
        <v>0.89539999999999997</v>
      </c>
      <c r="J382" s="3126">
        <v>0.89539999999999997</v>
      </c>
      <c r="K382" s="3126">
        <v>0.89539999999999997</v>
      </c>
      <c r="L382" s="3126">
        <v>0.89539999999999997</v>
      </c>
      <c r="M382" s="3127">
        <v>0.89539999999999997</v>
      </c>
    </row>
    <row r="383" spans="1:20">
      <c r="A383" s="3128">
        <v>2.2000000000000002</v>
      </c>
      <c r="B383" s="3126">
        <v>1.0243</v>
      </c>
      <c r="C383" s="3126">
        <v>1.0243</v>
      </c>
      <c r="D383" s="3126">
        <v>0.97860000000000003</v>
      </c>
      <c r="E383" s="3126">
        <v>0.97860000000000003</v>
      </c>
      <c r="F383" s="3126">
        <v>0.97860000000000003</v>
      </c>
      <c r="G383" s="3126">
        <v>0.97860000000000003</v>
      </c>
      <c r="H383" s="3126">
        <v>0.97860000000000003</v>
      </c>
      <c r="I383" s="3126">
        <v>0.88139999999999996</v>
      </c>
      <c r="J383" s="3126">
        <v>0.88139999999999996</v>
      </c>
      <c r="K383" s="3126">
        <v>0.88139999999999996</v>
      </c>
      <c r="L383" s="3126">
        <v>0.88139999999999996</v>
      </c>
      <c r="M383" s="3127">
        <v>0.88139999999999996</v>
      </c>
    </row>
    <row r="384" spans="1:20">
      <c r="A384" s="3128">
        <v>2.2999999999999998</v>
      </c>
      <c r="B384" s="3126">
        <v>1.0157</v>
      </c>
      <c r="C384" s="3126">
        <v>1.0157</v>
      </c>
      <c r="D384" s="3126">
        <v>0.96889999999999998</v>
      </c>
      <c r="E384" s="3126">
        <v>0.96889999999999998</v>
      </c>
      <c r="F384" s="3126">
        <v>0.96889999999999998</v>
      </c>
      <c r="G384" s="3126">
        <v>0.96889999999999998</v>
      </c>
      <c r="H384" s="3126">
        <v>0.96889999999999998</v>
      </c>
      <c r="I384" s="3126">
        <v>0.86819999999999997</v>
      </c>
      <c r="J384" s="3126">
        <v>0.86819999999999997</v>
      </c>
      <c r="K384" s="3126">
        <v>0.86819999999999997</v>
      </c>
      <c r="L384" s="3126">
        <v>0.86819999999999997</v>
      </c>
      <c r="M384" s="3127">
        <v>0.86819999999999997</v>
      </c>
    </row>
    <row r="385" spans="1:13">
      <c r="A385" s="3128">
        <v>2.4</v>
      </c>
      <c r="B385" s="3126">
        <v>1.0076000000000001</v>
      </c>
      <c r="C385" s="3126">
        <v>1.0076000000000001</v>
      </c>
      <c r="D385" s="3126">
        <v>0.95979999999999999</v>
      </c>
      <c r="E385" s="3126">
        <v>0.95979999999999999</v>
      </c>
      <c r="F385" s="3126">
        <v>0.95979999999999999</v>
      </c>
      <c r="G385" s="3126">
        <v>0.95979999999999999</v>
      </c>
      <c r="H385" s="3126">
        <v>0.95979999999999999</v>
      </c>
      <c r="I385" s="3126">
        <v>0.85580000000000001</v>
      </c>
      <c r="J385" s="3126">
        <v>0.85580000000000001</v>
      </c>
      <c r="K385" s="3126">
        <v>0.85580000000000001</v>
      </c>
      <c r="L385" s="3126">
        <v>0.85580000000000001</v>
      </c>
      <c r="M385" s="3127">
        <v>0.85580000000000001</v>
      </c>
    </row>
    <row r="386" spans="1:13">
      <c r="A386" s="3128">
        <v>2.5</v>
      </c>
      <c r="B386" s="3126">
        <v>1</v>
      </c>
      <c r="C386" s="3126">
        <v>1</v>
      </c>
      <c r="D386" s="3126">
        <v>0.95120000000000005</v>
      </c>
      <c r="E386" s="3126">
        <v>0.95120000000000005</v>
      </c>
      <c r="F386" s="3126">
        <v>0.95120000000000005</v>
      </c>
      <c r="G386" s="3126">
        <v>0.95120000000000005</v>
      </c>
      <c r="H386" s="3126">
        <v>0.95120000000000005</v>
      </c>
      <c r="I386" s="3126">
        <v>0.84419999999999995</v>
      </c>
      <c r="J386" s="3126">
        <v>0.84419999999999995</v>
      </c>
      <c r="K386" s="3126">
        <v>0.84419999999999995</v>
      </c>
      <c r="L386" s="3126">
        <v>0.84419999999999995</v>
      </c>
      <c r="M386" s="3127">
        <v>0.84419999999999995</v>
      </c>
    </row>
    <row r="387" spans="1:13">
      <c r="A387" s="3128">
        <v>2.6</v>
      </c>
      <c r="B387" s="3126">
        <v>0.9929</v>
      </c>
      <c r="C387" s="3126">
        <v>0.9929</v>
      </c>
      <c r="D387" s="3126">
        <v>0.94320000000000004</v>
      </c>
      <c r="E387" s="3126">
        <v>0.94320000000000004</v>
      </c>
      <c r="F387" s="3126">
        <v>0.94320000000000004</v>
      </c>
      <c r="G387" s="3126">
        <v>0.94320000000000004</v>
      </c>
      <c r="H387" s="3126">
        <v>0.94320000000000004</v>
      </c>
      <c r="I387" s="3126">
        <v>0.83330000000000004</v>
      </c>
      <c r="J387" s="3126">
        <v>0.83330000000000004</v>
      </c>
      <c r="K387" s="3126">
        <v>0.83330000000000004</v>
      </c>
      <c r="L387" s="3126">
        <v>0.83330000000000004</v>
      </c>
      <c r="M387" s="3127">
        <v>0.83330000000000004</v>
      </c>
    </row>
    <row r="388" spans="1:13">
      <c r="A388" s="3128">
        <v>2.7</v>
      </c>
      <c r="B388" s="3126">
        <v>0.98629999999999995</v>
      </c>
      <c r="C388" s="3126">
        <v>0.98629999999999995</v>
      </c>
      <c r="D388" s="3126">
        <v>0.93569999999999998</v>
      </c>
      <c r="E388" s="3126">
        <v>0.93569999999999998</v>
      </c>
      <c r="F388" s="3126">
        <v>0.93569999999999998</v>
      </c>
      <c r="G388" s="3126">
        <v>0.93569999999999998</v>
      </c>
      <c r="H388" s="3126">
        <v>0.93569999999999998</v>
      </c>
      <c r="I388" s="3126">
        <v>0.82320000000000004</v>
      </c>
      <c r="J388" s="3126">
        <v>0.82320000000000004</v>
      </c>
      <c r="K388" s="3126">
        <v>0.82320000000000004</v>
      </c>
      <c r="L388" s="3126">
        <v>0.82320000000000004</v>
      </c>
      <c r="M388" s="3127">
        <v>0.82320000000000004</v>
      </c>
    </row>
    <row r="389" spans="1:13">
      <c r="A389" s="3128">
        <v>2.8</v>
      </c>
      <c r="B389" s="3126">
        <v>0.98009999999999997</v>
      </c>
      <c r="C389" s="3126">
        <v>0.98009999999999997</v>
      </c>
      <c r="D389" s="3126">
        <v>0.92879999999999996</v>
      </c>
      <c r="E389" s="3126">
        <v>0.92879999999999996</v>
      </c>
      <c r="F389" s="3126">
        <v>0.92879999999999996</v>
      </c>
      <c r="G389" s="3126">
        <v>0.92879999999999996</v>
      </c>
      <c r="H389" s="3126">
        <v>0.92879999999999996</v>
      </c>
      <c r="I389" s="3126">
        <v>0.81359999999999999</v>
      </c>
      <c r="J389" s="3126">
        <v>0.81359999999999999</v>
      </c>
      <c r="K389" s="3126">
        <v>0.81359999999999999</v>
      </c>
      <c r="L389" s="3126">
        <v>0.81359999999999999</v>
      </c>
      <c r="M389" s="3127">
        <v>0.81359999999999999</v>
      </c>
    </row>
    <row r="390" spans="1:13">
      <c r="A390" s="3128">
        <v>2.9</v>
      </c>
      <c r="B390" s="3126">
        <v>0.97430000000000005</v>
      </c>
      <c r="C390" s="3126">
        <v>0.97430000000000005</v>
      </c>
      <c r="D390" s="3126">
        <v>0.92220000000000002</v>
      </c>
      <c r="E390" s="3126">
        <v>0.92220000000000002</v>
      </c>
      <c r="F390" s="3126">
        <v>0.92220000000000002</v>
      </c>
      <c r="G390" s="3126">
        <v>0.92220000000000002</v>
      </c>
      <c r="H390" s="3126">
        <v>0.92220000000000002</v>
      </c>
      <c r="I390" s="3126">
        <v>0.80459999999999998</v>
      </c>
      <c r="J390" s="3126">
        <v>0.80459999999999998</v>
      </c>
      <c r="K390" s="3126">
        <v>0.80459999999999998</v>
      </c>
      <c r="L390" s="3126">
        <v>0.80459999999999998</v>
      </c>
      <c r="M390" s="3127">
        <v>0.80459999999999998</v>
      </c>
    </row>
    <row r="391" spans="1:13">
      <c r="A391" s="3128">
        <v>3</v>
      </c>
      <c r="B391" s="3126">
        <v>0.96889999999999998</v>
      </c>
      <c r="C391" s="3126">
        <v>0.96889999999999998</v>
      </c>
      <c r="D391" s="3126">
        <v>0.91610000000000003</v>
      </c>
      <c r="E391" s="3126">
        <v>0.91610000000000003</v>
      </c>
      <c r="F391" s="3126">
        <v>0.91610000000000003</v>
      </c>
      <c r="G391" s="3126">
        <v>0.91610000000000003</v>
      </c>
      <c r="H391" s="3126">
        <v>0.91610000000000003</v>
      </c>
      <c r="I391" s="3126">
        <v>0.79620000000000002</v>
      </c>
      <c r="J391" s="3126">
        <v>0.79620000000000002</v>
      </c>
      <c r="K391" s="3126">
        <v>0.79620000000000002</v>
      </c>
      <c r="L391" s="3126">
        <v>0.79620000000000002</v>
      </c>
      <c r="M391" s="3127">
        <v>0.79620000000000002</v>
      </c>
    </row>
    <row r="392" spans="1:13">
      <c r="A392" s="3128">
        <v>3.1</v>
      </c>
      <c r="B392" s="3126">
        <v>0.96389999999999998</v>
      </c>
      <c r="C392" s="3126">
        <v>0.96389999999999998</v>
      </c>
      <c r="D392" s="3126">
        <v>0.91039999999999999</v>
      </c>
      <c r="E392" s="3126">
        <v>0.91039999999999999</v>
      </c>
      <c r="F392" s="3126">
        <v>0.91039999999999999</v>
      </c>
      <c r="G392" s="3126">
        <v>0.91039999999999999</v>
      </c>
      <c r="H392" s="3126">
        <v>0.91039999999999999</v>
      </c>
      <c r="I392" s="3126">
        <v>0.7883</v>
      </c>
      <c r="J392" s="3126">
        <v>0.7883</v>
      </c>
      <c r="K392" s="3126">
        <v>0.7883</v>
      </c>
      <c r="L392" s="3126">
        <v>0.7883</v>
      </c>
      <c r="M392" s="3127">
        <v>0.7883</v>
      </c>
    </row>
    <row r="393" spans="1:13">
      <c r="A393" s="3128">
        <v>3.2</v>
      </c>
      <c r="B393" s="3126">
        <v>0.95930000000000004</v>
      </c>
      <c r="C393" s="3126">
        <v>0.95930000000000004</v>
      </c>
      <c r="D393" s="3126">
        <v>0.9052</v>
      </c>
      <c r="E393" s="3126">
        <v>0.9052</v>
      </c>
      <c r="F393" s="3126">
        <v>0.9052</v>
      </c>
      <c r="G393" s="3126">
        <v>0.9052</v>
      </c>
      <c r="H393" s="3126">
        <v>0.9052</v>
      </c>
      <c r="I393" s="3126">
        <v>0.78090000000000004</v>
      </c>
      <c r="J393" s="3126">
        <v>0.78090000000000004</v>
      </c>
      <c r="K393" s="3126">
        <v>0.78090000000000004</v>
      </c>
      <c r="L393" s="3126">
        <v>0.78090000000000004</v>
      </c>
      <c r="M393" s="3127">
        <v>0.78090000000000004</v>
      </c>
    </row>
    <row r="394" spans="1:13">
      <c r="A394" s="3128">
        <v>3.3</v>
      </c>
      <c r="B394" s="3126">
        <v>0.95489999999999997</v>
      </c>
      <c r="C394" s="3126">
        <v>0.95489999999999997</v>
      </c>
      <c r="D394" s="3126">
        <v>0.9002</v>
      </c>
      <c r="E394" s="3126">
        <v>0.9002</v>
      </c>
      <c r="F394" s="3126">
        <v>0.9002</v>
      </c>
      <c r="G394" s="3126">
        <v>0.9002</v>
      </c>
      <c r="H394" s="3126">
        <v>0.9002</v>
      </c>
      <c r="I394" s="3126">
        <v>0.77410000000000001</v>
      </c>
      <c r="J394" s="3126">
        <v>0.77410000000000001</v>
      </c>
      <c r="K394" s="3126">
        <v>0.77410000000000001</v>
      </c>
      <c r="L394" s="3126">
        <v>0.77410000000000001</v>
      </c>
      <c r="M394" s="3127">
        <v>0.77410000000000001</v>
      </c>
    </row>
    <row r="395" spans="1:13">
      <c r="A395" s="3128">
        <v>3.4</v>
      </c>
      <c r="B395" s="3126">
        <v>0.95089999999999997</v>
      </c>
      <c r="C395" s="3126">
        <v>0.95089999999999997</v>
      </c>
      <c r="D395" s="3126">
        <v>0.89559999999999995</v>
      </c>
      <c r="E395" s="3126">
        <v>0.89559999999999995</v>
      </c>
      <c r="F395" s="3126">
        <v>0.89559999999999995</v>
      </c>
      <c r="G395" s="3126">
        <v>0.89559999999999995</v>
      </c>
      <c r="H395" s="3126">
        <v>0.89559999999999995</v>
      </c>
      <c r="I395" s="3126">
        <v>0.76759999999999995</v>
      </c>
      <c r="J395" s="3126">
        <v>0.76759999999999995</v>
      </c>
      <c r="K395" s="3126">
        <v>0.76759999999999995</v>
      </c>
      <c r="L395" s="3126">
        <v>0.76759999999999995</v>
      </c>
      <c r="M395" s="3127">
        <v>0.76759999999999995</v>
      </c>
    </row>
    <row r="396" spans="1:13">
      <c r="A396" s="3128">
        <v>3.5</v>
      </c>
      <c r="B396" s="3126">
        <v>0.94710000000000005</v>
      </c>
      <c r="C396" s="3126">
        <v>0.94710000000000005</v>
      </c>
      <c r="D396" s="3126">
        <v>0.89129999999999998</v>
      </c>
      <c r="E396" s="3126">
        <v>0.89129999999999998</v>
      </c>
      <c r="F396" s="3126">
        <v>0.89129999999999998</v>
      </c>
      <c r="G396" s="3126">
        <v>0.89129999999999998</v>
      </c>
      <c r="H396" s="3126">
        <v>0.89129999999999998</v>
      </c>
      <c r="I396" s="3126">
        <v>0.76160000000000005</v>
      </c>
      <c r="J396" s="3126">
        <v>0.76160000000000005</v>
      </c>
      <c r="K396" s="3126">
        <v>0.76160000000000005</v>
      </c>
      <c r="L396" s="3126">
        <v>0.76160000000000005</v>
      </c>
      <c r="M396" s="3127">
        <v>0.76160000000000005</v>
      </c>
    </row>
    <row r="397" spans="1:13">
      <c r="A397" s="3128">
        <v>3.6</v>
      </c>
      <c r="B397" s="3126">
        <v>0.94359999999999999</v>
      </c>
      <c r="C397" s="3126">
        <v>0.94359999999999999</v>
      </c>
      <c r="D397" s="3126">
        <v>0.88729999999999998</v>
      </c>
      <c r="E397" s="3126">
        <v>0.88729999999999998</v>
      </c>
      <c r="F397" s="3126">
        <v>0.88729999999999998</v>
      </c>
      <c r="G397" s="3126">
        <v>0.88729999999999998</v>
      </c>
      <c r="H397" s="3126">
        <v>0.88729999999999998</v>
      </c>
      <c r="I397" s="3126">
        <v>0.75590000000000002</v>
      </c>
      <c r="J397" s="3126">
        <v>0.75590000000000002</v>
      </c>
      <c r="K397" s="3126">
        <v>0.75590000000000002</v>
      </c>
      <c r="L397" s="3126">
        <v>0.75590000000000002</v>
      </c>
      <c r="M397" s="3127">
        <v>0.75590000000000002</v>
      </c>
    </row>
    <row r="398" spans="1:13">
      <c r="A398" s="3128">
        <v>3.7</v>
      </c>
      <c r="B398" s="3126">
        <v>0.94040000000000001</v>
      </c>
      <c r="C398" s="3126">
        <v>0.94040000000000001</v>
      </c>
      <c r="D398" s="3126">
        <v>0.88349999999999995</v>
      </c>
      <c r="E398" s="3126">
        <v>0.88349999999999995</v>
      </c>
      <c r="F398" s="3126">
        <v>0.88349999999999995</v>
      </c>
      <c r="G398" s="3126">
        <v>0.88349999999999995</v>
      </c>
      <c r="H398" s="3126">
        <v>0.88349999999999995</v>
      </c>
      <c r="I398" s="3126">
        <v>0.75070000000000003</v>
      </c>
      <c r="J398" s="3126">
        <v>0.75070000000000003</v>
      </c>
      <c r="K398" s="3126">
        <v>0.75070000000000003</v>
      </c>
      <c r="L398" s="3126">
        <v>0.75070000000000003</v>
      </c>
      <c r="M398" s="3127">
        <v>0.75070000000000003</v>
      </c>
    </row>
    <row r="399" spans="1:13">
      <c r="A399" s="3128">
        <v>3.8</v>
      </c>
      <c r="B399" s="3126">
        <v>0.93740000000000001</v>
      </c>
      <c r="C399" s="3126">
        <v>0.93740000000000001</v>
      </c>
      <c r="D399" s="3126">
        <v>0.88009999999999999</v>
      </c>
      <c r="E399" s="3126">
        <v>0.88009999999999999</v>
      </c>
      <c r="F399" s="3126">
        <v>0.88009999999999999</v>
      </c>
      <c r="G399" s="3126">
        <v>0.88009999999999999</v>
      </c>
      <c r="H399" s="3126">
        <v>0.88009999999999999</v>
      </c>
      <c r="I399" s="3126">
        <v>0.74570000000000003</v>
      </c>
      <c r="J399" s="3126">
        <v>0.74570000000000003</v>
      </c>
      <c r="K399" s="3126">
        <v>0.74570000000000003</v>
      </c>
      <c r="L399" s="3126">
        <v>0.74570000000000003</v>
      </c>
      <c r="M399" s="3127">
        <v>0.74570000000000003</v>
      </c>
    </row>
    <row r="400" spans="1:13">
      <c r="A400" s="3128">
        <v>3.9</v>
      </c>
      <c r="B400" s="3126">
        <v>0.93459999999999999</v>
      </c>
      <c r="C400" s="3126">
        <v>0.93459999999999999</v>
      </c>
      <c r="D400" s="3126">
        <v>0.87680000000000002</v>
      </c>
      <c r="E400" s="3126">
        <v>0.87680000000000002</v>
      </c>
      <c r="F400" s="3126">
        <v>0.87680000000000002</v>
      </c>
      <c r="G400" s="3126">
        <v>0.87680000000000002</v>
      </c>
      <c r="H400" s="3126">
        <v>0.87680000000000002</v>
      </c>
      <c r="I400" s="3126">
        <v>0.74109999999999998</v>
      </c>
      <c r="J400" s="3126">
        <v>0.74109999999999998</v>
      </c>
      <c r="K400" s="3126">
        <v>0.74109999999999998</v>
      </c>
      <c r="L400" s="3126">
        <v>0.74109999999999998</v>
      </c>
      <c r="M400" s="3127">
        <v>0.74109999999999998</v>
      </c>
    </row>
    <row r="401" spans="1:13">
      <c r="A401" s="3128">
        <v>4</v>
      </c>
      <c r="B401" s="3126">
        <v>0.93179999999999996</v>
      </c>
      <c r="C401" s="3126">
        <v>0.93179999999999996</v>
      </c>
      <c r="D401" s="3126">
        <v>0.87380000000000002</v>
      </c>
      <c r="E401" s="3126">
        <v>0.87380000000000002</v>
      </c>
      <c r="F401" s="3126">
        <v>0.87380000000000002</v>
      </c>
      <c r="G401" s="3126">
        <v>0.87380000000000002</v>
      </c>
      <c r="H401" s="3126">
        <v>0.87380000000000002</v>
      </c>
      <c r="I401" s="3126">
        <v>0.73680000000000001</v>
      </c>
      <c r="J401" s="3126">
        <v>0.73680000000000001</v>
      </c>
      <c r="K401" s="3126">
        <v>0.73680000000000001</v>
      </c>
      <c r="L401" s="3126">
        <v>0.73680000000000001</v>
      </c>
      <c r="M401" s="3127">
        <v>0.73680000000000001</v>
      </c>
    </row>
    <row r="402" spans="1:13">
      <c r="A402" s="3128">
        <v>4.0999999999999996</v>
      </c>
      <c r="B402" s="3126">
        <v>0.92920000000000003</v>
      </c>
      <c r="C402" s="3126">
        <v>0.92920000000000003</v>
      </c>
      <c r="D402" s="3126">
        <v>0.87090000000000001</v>
      </c>
      <c r="E402" s="3126">
        <v>0.87090000000000001</v>
      </c>
      <c r="F402" s="3126">
        <v>0.87090000000000001</v>
      </c>
      <c r="G402" s="3126">
        <v>0.87090000000000001</v>
      </c>
      <c r="H402" s="3126">
        <v>0.87090000000000001</v>
      </c>
      <c r="I402" s="3126">
        <v>0.73270000000000002</v>
      </c>
      <c r="J402" s="3126">
        <v>0.73270000000000002</v>
      </c>
      <c r="K402" s="3126">
        <v>0.73270000000000002</v>
      </c>
      <c r="L402" s="3126">
        <v>0.73270000000000002</v>
      </c>
      <c r="M402" s="3127">
        <v>0.73270000000000002</v>
      </c>
    </row>
    <row r="403" spans="1:13">
      <c r="A403" s="3128">
        <v>4.2</v>
      </c>
      <c r="B403" s="3126">
        <v>0.92659999999999998</v>
      </c>
      <c r="C403" s="3126">
        <v>0.92659999999999998</v>
      </c>
      <c r="D403" s="3126">
        <v>0.86819999999999997</v>
      </c>
      <c r="E403" s="3126">
        <v>0.86819999999999997</v>
      </c>
      <c r="F403" s="3126">
        <v>0.86819999999999997</v>
      </c>
      <c r="G403" s="3126">
        <v>0.86819999999999997</v>
      </c>
      <c r="H403" s="3126">
        <v>0.86819999999999997</v>
      </c>
      <c r="I403" s="3126">
        <v>0.7288</v>
      </c>
      <c r="J403" s="3126">
        <v>0.7288</v>
      </c>
      <c r="K403" s="3126">
        <v>0.7288</v>
      </c>
      <c r="L403" s="3126">
        <v>0.7288</v>
      </c>
      <c r="M403" s="3127">
        <v>0.7288</v>
      </c>
    </row>
    <row r="404" spans="1:13">
      <c r="A404" s="3128">
        <v>4.3</v>
      </c>
      <c r="B404" s="3126">
        <v>0.92410000000000003</v>
      </c>
      <c r="C404" s="3126">
        <v>0.92410000000000003</v>
      </c>
      <c r="D404" s="3126">
        <v>0.86550000000000005</v>
      </c>
      <c r="E404" s="3126">
        <v>0.86550000000000005</v>
      </c>
      <c r="F404" s="3126">
        <v>0.86550000000000005</v>
      </c>
      <c r="G404" s="3126">
        <v>0.86550000000000005</v>
      </c>
      <c r="H404" s="3126">
        <v>0.86550000000000005</v>
      </c>
      <c r="I404" s="3126">
        <v>0.72509999999999997</v>
      </c>
      <c r="J404" s="3126">
        <v>0.72509999999999997</v>
      </c>
      <c r="K404" s="3126">
        <v>0.72509999999999997</v>
      </c>
      <c r="L404" s="3126">
        <v>0.72509999999999997</v>
      </c>
      <c r="M404" s="3127">
        <v>0.72509999999999997</v>
      </c>
    </row>
    <row r="405" spans="1:13">
      <c r="A405" s="3128">
        <v>4.4000000000000004</v>
      </c>
      <c r="B405" s="3126">
        <v>0.92179999999999995</v>
      </c>
      <c r="C405" s="3126">
        <v>0.92179999999999995</v>
      </c>
      <c r="D405" s="3126">
        <v>0.8629</v>
      </c>
      <c r="E405" s="3126">
        <v>0.8629</v>
      </c>
      <c r="F405" s="3126">
        <v>0.8629</v>
      </c>
      <c r="G405" s="3126">
        <v>0.8629</v>
      </c>
      <c r="H405" s="3126">
        <v>0.8629</v>
      </c>
      <c r="I405" s="3126">
        <v>0.72150000000000003</v>
      </c>
      <c r="J405" s="3126">
        <v>0.72150000000000003</v>
      </c>
      <c r="K405" s="3126">
        <v>0.72150000000000003</v>
      </c>
      <c r="L405" s="3126">
        <v>0.72150000000000003</v>
      </c>
      <c r="M405" s="3127">
        <v>0.72150000000000003</v>
      </c>
    </row>
    <row r="406" spans="1:13">
      <c r="A406" s="3128">
        <v>4.5</v>
      </c>
      <c r="B406" s="3126">
        <v>0.91949999999999998</v>
      </c>
      <c r="C406" s="3126">
        <v>0.91949999999999998</v>
      </c>
      <c r="D406" s="3126">
        <v>0.86050000000000004</v>
      </c>
      <c r="E406" s="3126">
        <v>0.86050000000000004</v>
      </c>
      <c r="F406" s="3126">
        <v>0.86050000000000004</v>
      </c>
      <c r="G406" s="3126">
        <v>0.86050000000000004</v>
      </c>
      <c r="H406" s="3126">
        <v>0.86050000000000004</v>
      </c>
      <c r="I406" s="3126">
        <v>0.71819999999999995</v>
      </c>
      <c r="J406" s="3126">
        <v>0.71819999999999995</v>
      </c>
      <c r="K406" s="3126">
        <v>0.71819999999999995</v>
      </c>
      <c r="L406" s="3126">
        <v>0.71819999999999995</v>
      </c>
      <c r="M406" s="3127">
        <v>0.71819999999999995</v>
      </c>
    </row>
    <row r="407" spans="1:13">
      <c r="A407" s="3128">
        <v>4.5999999999999996</v>
      </c>
      <c r="B407" s="3126">
        <v>0.9173</v>
      </c>
      <c r="C407" s="3126">
        <v>0.9173</v>
      </c>
      <c r="D407" s="3126">
        <v>0.85809999999999997</v>
      </c>
      <c r="E407" s="3126">
        <v>0.85809999999999997</v>
      </c>
      <c r="F407" s="3126">
        <v>0.85809999999999997</v>
      </c>
      <c r="G407" s="3126">
        <v>0.85809999999999997</v>
      </c>
      <c r="H407" s="3126">
        <v>0.85809999999999997</v>
      </c>
      <c r="I407" s="3126">
        <v>0.71499999999999997</v>
      </c>
      <c r="J407" s="3126">
        <v>0.71499999999999997</v>
      </c>
      <c r="K407" s="3126">
        <v>0.71499999999999997</v>
      </c>
      <c r="L407" s="3126">
        <v>0.71499999999999997</v>
      </c>
      <c r="M407" s="3127">
        <v>0.71499999999999997</v>
      </c>
    </row>
    <row r="408" spans="1:13">
      <c r="A408" s="3128">
        <v>4.7</v>
      </c>
      <c r="B408" s="3126">
        <v>0.91520000000000001</v>
      </c>
      <c r="C408" s="3126">
        <v>0.91520000000000001</v>
      </c>
      <c r="D408" s="3126">
        <v>0.85570000000000002</v>
      </c>
      <c r="E408" s="3126">
        <v>0.85570000000000002</v>
      </c>
      <c r="F408" s="3126">
        <v>0.85570000000000002</v>
      </c>
      <c r="G408" s="3126">
        <v>0.85570000000000002</v>
      </c>
      <c r="H408" s="3126">
        <v>0.85570000000000002</v>
      </c>
      <c r="I408" s="3126">
        <v>0.71199999999999997</v>
      </c>
      <c r="J408" s="3126">
        <v>0.71199999999999997</v>
      </c>
      <c r="K408" s="3126">
        <v>0.71199999999999997</v>
      </c>
      <c r="L408" s="3126">
        <v>0.71199999999999997</v>
      </c>
      <c r="M408" s="3127">
        <v>0.71199999999999997</v>
      </c>
    </row>
    <row r="409" spans="1:13">
      <c r="A409" s="3128">
        <v>4.8</v>
      </c>
      <c r="B409" s="3126">
        <v>0.91310000000000002</v>
      </c>
      <c r="C409" s="3126">
        <v>0.91310000000000002</v>
      </c>
      <c r="D409" s="3126">
        <v>0.85340000000000005</v>
      </c>
      <c r="E409" s="3126">
        <v>0.85340000000000005</v>
      </c>
      <c r="F409" s="3126">
        <v>0.85340000000000005</v>
      </c>
      <c r="G409" s="3126">
        <v>0.85340000000000005</v>
      </c>
      <c r="H409" s="3126">
        <v>0.85340000000000005</v>
      </c>
      <c r="I409" s="3126">
        <v>0.70909999999999995</v>
      </c>
      <c r="J409" s="3126">
        <v>0.70909999999999995</v>
      </c>
      <c r="K409" s="3126">
        <v>0.70909999999999995</v>
      </c>
      <c r="L409" s="3126">
        <v>0.70909999999999995</v>
      </c>
      <c r="M409" s="3127">
        <v>0.70909999999999995</v>
      </c>
    </row>
    <row r="410" spans="1:13">
      <c r="A410" s="3128">
        <v>4.9000000000000004</v>
      </c>
      <c r="B410" s="3126">
        <v>0.91120000000000001</v>
      </c>
      <c r="C410" s="3126">
        <v>0.91120000000000001</v>
      </c>
      <c r="D410" s="3126">
        <v>0.85109999999999997</v>
      </c>
      <c r="E410" s="3126">
        <v>0.85109999999999997</v>
      </c>
      <c r="F410" s="3126">
        <v>0.85109999999999997</v>
      </c>
      <c r="G410" s="3126">
        <v>0.85109999999999997</v>
      </c>
      <c r="H410" s="3126">
        <v>0.85109999999999997</v>
      </c>
      <c r="I410" s="3126">
        <v>0.70620000000000005</v>
      </c>
      <c r="J410" s="3126">
        <v>0.70620000000000005</v>
      </c>
      <c r="K410" s="3126">
        <v>0.70620000000000005</v>
      </c>
      <c r="L410" s="3126">
        <v>0.70620000000000005</v>
      </c>
      <c r="M410" s="3127">
        <v>0.70620000000000005</v>
      </c>
    </row>
    <row r="411" spans="1:13">
      <c r="A411" s="3128">
        <v>5</v>
      </c>
      <c r="B411" s="3126">
        <v>0.90920000000000001</v>
      </c>
      <c r="C411" s="3126">
        <v>0.90920000000000001</v>
      </c>
      <c r="D411" s="3126">
        <v>0.84889999999999999</v>
      </c>
      <c r="E411" s="3126">
        <v>0.84889999999999999</v>
      </c>
      <c r="F411" s="3126">
        <v>0.84889999999999999</v>
      </c>
      <c r="G411" s="3126">
        <v>0.84889999999999999</v>
      </c>
      <c r="H411" s="3126">
        <v>0.84889999999999999</v>
      </c>
      <c r="I411" s="3126">
        <v>0.70350000000000001</v>
      </c>
      <c r="J411" s="3126">
        <v>0.70350000000000001</v>
      </c>
      <c r="K411" s="3126">
        <v>0.70350000000000001</v>
      </c>
      <c r="L411" s="3126">
        <v>0.70350000000000001</v>
      </c>
      <c r="M411" s="3127">
        <v>0.70350000000000001</v>
      </c>
    </row>
    <row r="412" spans="1:13">
      <c r="A412" s="3125">
        <v>5.0999999999999996</v>
      </c>
      <c r="B412" s="3126">
        <v>0.90720000000000001</v>
      </c>
      <c r="C412" s="3126">
        <v>0.90720000000000001</v>
      </c>
      <c r="D412" s="3126">
        <v>0.84670000000000001</v>
      </c>
      <c r="E412" s="3126">
        <v>0.84670000000000001</v>
      </c>
      <c r="F412" s="3126">
        <v>0.84670000000000001</v>
      </c>
      <c r="G412" s="3126">
        <v>0.84670000000000001</v>
      </c>
      <c r="H412" s="3126">
        <v>0.84670000000000001</v>
      </c>
      <c r="I412" s="3126">
        <v>0.70089999999999997</v>
      </c>
      <c r="J412" s="3126">
        <v>0.70089999999999997</v>
      </c>
      <c r="K412" s="3126">
        <v>0.70089999999999997</v>
      </c>
      <c r="L412" s="3126">
        <v>0.70089999999999997</v>
      </c>
      <c r="M412" s="3127">
        <v>0.70089999999999997</v>
      </c>
    </row>
    <row r="413" spans="1:13">
      <c r="A413" s="3125">
        <v>5.2</v>
      </c>
      <c r="B413" s="3126">
        <v>0.90529999999999999</v>
      </c>
      <c r="C413" s="3126">
        <v>0.90529999999999999</v>
      </c>
      <c r="D413" s="3126">
        <v>0.84450000000000003</v>
      </c>
      <c r="E413" s="3126">
        <v>0.84450000000000003</v>
      </c>
      <c r="F413" s="3126">
        <v>0.84450000000000003</v>
      </c>
      <c r="G413" s="3126">
        <v>0.84450000000000003</v>
      </c>
      <c r="H413" s="3126">
        <v>0.84450000000000003</v>
      </c>
      <c r="I413" s="3126">
        <v>0.69820000000000004</v>
      </c>
      <c r="J413" s="3126">
        <v>0.69820000000000004</v>
      </c>
      <c r="K413" s="3126">
        <v>0.69820000000000004</v>
      </c>
      <c r="L413" s="3126">
        <v>0.69820000000000004</v>
      </c>
      <c r="M413" s="3127">
        <v>0.69820000000000004</v>
      </c>
    </row>
    <row r="414" spans="1:13">
      <c r="A414" s="3125">
        <v>5.3</v>
      </c>
      <c r="B414" s="3126">
        <v>0.90339999999999998</v>
      </c>
      <c r="C414" s="3126">
        <v>0.90339999999999998</v>
      </c>
      <c r="D414" s="3126">
        <v>0.84230000000000005</v>
      </c>
      <c r="E414" s="3126">
        <v>0.84230000000000005</v>
      </c>
      <c r="F414" s="3126">
        <v>0.84230000000000005</v>
      </c>
      <c r="G414" s="3126">
        <v>0.84230000000000005</v>
      </c>
      <c r="H414" s="3126">
        <v>0.84230000000000005</v>
      </c>
      <c r="I414" s="3126">
        <v>0.69569999999999999</v>
      </c>
      <c r="J414" s="3126">
        <v>0.69569999999999999</v>
      </c>
      <c r="K414" s="3126">
        <v>0.69569999999999999</v>
      </c>
      <c r="L414" s="3126">
        <v>0.69569999999999999</v>
      </c>
      <c r="M414" s="3127">
        <v>0.69569999999999999</v>
      </c>
    </row>
    <row r="415" spans="1:13">
      <c r="A415" s="3125">
        <v>5.4</v>
      </c>
      <c r="B415" s="3126">
        <v>0.90149999999999997</v>
      </c>
      <c r="C415" s="3126">
        <v>0.90149999999999997</v>
      </c>
      <c r="D415" s="3126">
        <v>0.84019999999999995</v>
      </c>
      <c r="E415" s="3126">
        <v>0.84019999999999995</v>
      </c>
      <c r="F415" s="3126">
        <v>0.84019999999999995</v>
      </c>
      <c r="G415" s="3126">
        <v>0.84019999999999995</v>
      </c>
      <c r="H415" s="3126">
        <v>0.84019999999999995</v>
      </c>
      <c r="I415" s="3126">
        <v>0.69310000000000005</v>
      </c>
      <c r="J415" s="3126">
        <v>0.69310000000000005</v>
      </c>
      <c r="K415" s="3126">
        <v>0.69310000000000005</v>
      </c>
      <c r="L415" s="3126">
        <v>0.69310000000000005</v>
      </c>
      <c r="M415" s="3127">
        <v>0.69310000000000005</v>
      </c>
    </row>
    <row r="416" spans="1:13">
      <c r="A416" s="3125">
        <v>5.5</v>
      </c>
      <c r="B416" s="3126">
        <v>0.89959999999999996</v>
      </c>
      <c r="C416" s="3126">
        <v>0.89959999999999996</v>
      </c>
      <c r="D416" s="3126">
        <v>0.83809999999999996</v>
      </c>
      <c r="E416" s="3126">
        <v>0.83809999999999996</v>
      </c>
      <c r="F416" s="3126">
        <v>0.83809999999999996</v>
      </c>
      <c r="G416" s="3126">
        <v>0.83809999999999996</v>
      </c>
      <c r="H416" s="3126">
        <v>0.83809999999999996</v>
      </c>
      <c r="I416" s="3126">
        <v>0.69059999999999999</v>
      </c>
      <c r="J416" s="3126">
        <v>0.69059999999999999</v>
      </c>
      <c r="K416" s="3126">
        <v>0.69059999999999999</v>
      </c>
      <c r="L416" s="3126">
        <v>0.69059999999999999</v>
      </c>
      <c r="M416" s="3127">
        <v>0.69059999999999999</v>
      </c>
    </row>
    <row r="417" spans="1:13">
      <c r="A417" s="3125">
        <v>5.6</v>
      </c>
      <c r="B417" s="3126">
        <v>0.89780000000000004</v>
      </c>
      <c r="C417" s="3126">
        <v>0.89780000000000004</v>
      </c>
      <c r="D417" s="3126">
        <v>0.83599999999999997</v>
      </c>
      <c r="E417" s="3126">
        <v>0.83599999999999997</v>
      </c>
      <c r="F417" s="3126">
        <v>0.83599999999999997</v>
      </c>
      <c r="G417" s="3126">
        <v>0.83599999999999997</v>
      </c>
      <c r="H417" s="3126">
        <v>0.83599999999999997</v>
      </c>
      <c r="I417" s="3126">
        <v>0.68810000000000004</v>
      </c>
      <c r="J417" s="3126">
        <v>0.68810000000000004</v>
      </c>
      <c r="K417" s="3126">
        <v>0.68810000000000004</v>
      </c>
      <c r="L417" s="3126">
        <v>0.68810000000000004</v>
      </c>
      <c r="M417" s="3127">
        <v>0.68810000000000004</v>
      </c>
    </row>
    <row r="418" spans="1:13">
      <c r="A418" s="3128">
        <v>5.7</v>
      </c>
      <c r="B418" s="3126">
        <v>0.89600000000000002</v>
      </c>
      <c r="C418" s="3126">
        <v>0.89600000000000002</v>
      </c>
      <c r="D418" s="3126">
        <v>0.83389999999999997</v>
      </c>
      <c r="E418" s="3126">
        <v>0.83389999999999997</v>
      </c>
      <c r="F418" s="3126">
        <v>0.83389999999999997</v>
      </c>
      <c r="G418" s="3126">
        <v>0.83389999999999997</v>
      </c>
      <c r="H418" s="3126">
        <v>0.83389999999999997</v>
      </c>
      <c r="I418" s="3126">
        <v>0.68569999999999998</v>
      </c>
      <c r="J418" s="3126">
        <v>0.68569999999999998</v>
      </c>
      <c r="K418" s="3126">
        <v>0.68569999999999998</v>
      </c>
      <c r="L418" s="3126">
        <v>0.68569999999999998</v>
      </c>
      <c r="M418" s="3127">
        <v>0.68569999999999998</v>
      </c>
    </row>
    <row r="419" spans="1:13">
      <c r="A419" s="3125">
        <v>5.8</v>
      </c>
      <c r="B419" s="3126">
        <v>0.89419999999999999</v>
      </c>
      <c r="C419" s="3126">
        <v>0.89419999999999999</v>
      </c>
      <c r="D419" s="3126">
        <v>0.83189999999999997</v>
      </c>
      <c r="E419" s="3126">
        <v>0.83189999999999997</v>
      </c>
      <c r="F419" s="3126">
        <v>0.83189999999999997</v>
      </c>
      <c r="G419" s="3126">
        <v>0.83189999999999997</v>
      </c>
      <c r="H419" s="3126">
        <v>0.83189999999999997</v>
      </c>
      <c r="I419" s="3126">
        <v>0.68320000000000003</v>
      </c>
      <c r="J419" s="3126">
        <v>0.68320000000000003</v>
      </c>
      <c r="K419" s="3126">
        <v>0.68320000000000003</v>
      </c>
      <c r="L419" s="3126">
        <v>0.68320000000000003</v>
      </c>
      <c r="M419" s="3127">
        <v>0.68320000000000003</v>
      </c>
    </row>
    <row r="420" spans="1:13">
      <c r="A420" s="3125">
        <v>5.9</v>
      </c>
      <c r="B420" s="3126">
        <v>0.89239999999999997</v>
      </c>
      <c r="C420" s="3126">
        <v>0.89239999999999997</v>
      </c>
      <c r="D420" s="3126">
        <v>0.82989999999999997</v>
      </c>
      <c r="E420" s="3126">
        <v>0.82989999999999997</v>
      </c>
      <c r="F420" s="3126">
        <v>0.82989999999999997</v>
      </c>
      <c r="G420" s="3126">
        <v>0.82989999999999997</v>
      </c>
      <c r="H420" s="3126">
        <v>0.82989999999999997</v>
      </c>
      <c r="I420" s="3126">
        <v>0.68069999999999997</v>
      </c>
      <c r="J420" s="3126">
        <v>0.68069999999999997</v>
      </c>
      <c r="K420" s="3126">
        <v>0.68069999999999997</v>
      </c>
      <c r="L420" s="3126">
        <v>0.68069999999999997</v>
      </c>
      <c r="M420" s="3127">
        <v>0.68069999999999997</v>
      </c>
    </row>
    <row r="421" spans="1:13">
      <c r="A421" s="3125">
        <v>6</v>
      </c>
      <c r="B421" s="3126">
        <v>0.89070000000000005</v>
      </c>
      <c r="C421" s="3126">
        <v>0.89070000000000005</v>
      </c>
      <c r="D421" s="3126">
        <v>0.82789999999999997</v>
      </c>
      <c r="E421" s="3126">
        <v>0.82789999999999997</v>
      </c>
      <c r="F421" s="3126">
        <v>0.82789999999999997</v>
      </c>
      <c r="G421" s="3126">
        <v>0.82789999999999997</v>
      </c>
      <c r="H421" s="3126">
        <v>0.82789999999999997</v>
      </c>
      <c r="I421" s="3126">
        <v>0.6784</v>
      </c>
      <c r="J421" s="3126">
        <v>0.6784</v>
      </c>
      <c r="K421" s="3126">
        <v>0.6784</v>
      </c>
      <c r="L421" s="3126">
        <v>0.6784</v>
      </c>
      <c r="M421" s="3127">
        <v>0.6784</v>
      </c>
    </row>
    <row r="422" spans="1:13">
      <c r="A422" s="3125">
        <v>6.1</v>
      </c>
      <c r="B422" s="3126">
        <v>0.88900000000000001</v>
      </c>
      <c r="C422" s="3126">
        <v>0.88900000000000001</v>
      </c>
      <c r="D422" s="3126">
        <v>0.82589999999999997</v>
      </c>
      <c r="E422" s="3126">
        <v>0.82589999999999997</v>
      </c>
      <c r="F422" s="3126">
        <v>0.82589999999999997</v>
      </c>
      <c r="G422" s="3126">
        <v>0.82589999999999997</v>
      </c>
      <c r="H422" s="3126">
        <v>0.82589999999999997</v>
      </c>
      <c r="I422" s="3126">
        <v>0.67600000000000005</v>
      </c>
      <c r="J422" s="3126">
        <v>0.67600000000000005</v>
      </c>
      <c r="K422" s="3126">
        <v>0.67600000000000005</v>
      </c>
      <c r="L422" s="3126">
        <v>0.67600000000000005</v>
      </c>
      <c r="M422" s="3127">
        <v>0.67600000000000005</v>
      </c>
    </row>
    <row r="423" spans="1:13">
      <c r="A423" s="3125">
        <v>6.2</v>
      </c>
      <c r="B423" s="3126">
        <v>0.88729999999999998</v>
      </c>
      <c r="C423" s="3126">
        <v>0.88729999999999998</v>
      </c>
      <c r="D423" s="3126">
        <v>0.82389999999999997</v>
      </c>
      <c r="E423" s="3126">
        <v>0.82389999999999997</v>
      </c>
      <c r="F423" s="3126">
        <v>0.82389999999999997</v>
      </c>
      <c r="G423" s="3126">
        <v>0.82389999999999997</v>
      </c>
      <c r="H423" s="3126">
        <v>0.82389999999999997</v>
      </c>
      <c r="I423" s="3126">
        <v>0.67359999999999998</v>
      </c>
      <c r="J423" s="3126">
        <v>0.67359999999999998</v>
      </c>
      <c r="K423" s="3126">
        <v>0.67359999999999998</v>
      </c>
      <c r="L423" s="3126">
        <v>0.67359999999999998</v>
      </c>
      <c r="M423" s="3127">
        <v>0.67359999999999998</v>
      </c>
    </row>
    <row r="424" spans="1:13">
      <c r="A424" s="3125">
        <v>6.3</v>
      </c>
      <c r="B424" s="3126">
        <v>0.88560000000000005</v>
      </c>
      <c r="C424" s="3126">
        <v>0.88560000000000005</v>
      </c>
      <c r="D424" s="3126">
        <v>0.82189999999999996</v>
      </c>
      <c r="E424" s="3126">
        <v>0.82189999999999996</v>
      </c>
      <c r="F424" s="3126">
        <v>0.82189999999999996</v>
      </c>
      <c r="G424" s="3126">
        <v>0.82189999999999996</v>
      </c>
      <c r="H424" s="3126">
        <v>0.82189999999999996</v>
      </c>
      <c r="I424" s="3126">
        <v>0.67130000000000001</v>
      </c>
      <c r="J424" s="3126">
        <v>0.67130000000000001</v>
      </c>
      <c r="K424" s="3126">
        <v>0.67130000000000001</v>
      </c>
      <c r="L424" s="3126">
        <v>0.67130000000000001</v>
      </c>
      <c r="M424" s="3127">
        <v>0.67130000000000001</v>
      </c>
    </row>
    <row r="425" spans="1:13">
      <c r="A425" s="3125">
        <v>6.4</v>
      </c>
      <c r="B425" s="3126">
        <v>0.88390000000000002</v>
      </c>
      <c r="C425" s="3126">
        <v>0.88390000000000002</v>
      </c>
      <c r="D425" s="3126">
        <v>0.82</v>
      </c>
      <c r="E425" s="3126">
        <v>0.82</v>
      </c>
      <c r="F425" s="3126">
        <v>0.82</v>
      </c>
      <c r="G425" s="3126">
        <v>0.82</v>
      </c>
      <c r="H425" s="3126">
        <v>0.82</v>
      </c>
      <c r="I425" s="3126">
        <v>0.66890000000000005</v>
      </c>
      <c r="J425" s="3126">
        <v>0.66890000000000005</v>
      </c>
      <c r="K425" s="3126">
        <v>0.66890000000000005</v>
      </c>
      <c r="L425" s="3126">
        <v>0.66890000000000005</v>
      </c>
      <c r="M425" s="3127">
        <v>0.66890000000000005</v>
      </c>
    </row>
    <row r="426" spans="1:13">
      <c r="A426" s="3125">
        <v>6.5</v>
      </c>
      <c r="B426" s="3126">
        <v>0.88229999999999997</v>
      </c>
      <c r="C426" s="3126">
        <v>0.88229999999999997</v>
      </c>
      <c r="D426" s="3126">
        <v>0.81810000000000005</v>
      </c>
      <c r="E426" s="3126">
        <v>0.81810000000000005</v>
      </c>
      <c r="F426" s="3126">
        <v>0.81810000000000005</v>
      </c>
      <c r="G426" s="3126">
        <v>0.81810000000000005</v>
      </c>
      <c r="H426" s="3126">
        <v>0.81810000000000005</v>
      </c>
      <c r="I426" s="3126">
        <v>0.66659999999999997</v>
      </c>
      <c r="J426" s="3126">
        <v>0.66659999999999997</v>
      </c>
      <c r="K426" s="3126">
        <v>0.66659999999999997</v>
      </c>
      <c r="L426" s="3126">
        <v>0.66659999999999997</v>
      </c>
      <c r="M426" s="3127">
        <v>0.66659999999999997</v>
      </c>
    </row>
    <row r="427" spans="1:13">
      <c r="A427" s="3125">
        <v>6.6</v>
      </c>
      <c r="B427" s="3126">
        <v>0.88070000000000004</v>
      </c>
      <c r="C427" s="3126">
        <v>0.88070000000000004</v>
      </c>
      <c r="D427" s="3126">
        <v>0.81620000000000004</v>
      </c>
      <c r="E427" s="3126">
        <v>0.81620000000000004</v>
      </c>
      <c r="F427" s="3126">
        <v>0.81620000000000004</v>
      </c>
      <c r="G427" s="3126">
        <v>0.81620000000000004</v>
      </c>
      <c r="H427" s="3126">
        <v>0.81620000000000004</v>
      </c>
      <c r="I427" s="3126">
        <v>0.66439999999999999</v>
      </c>
      <c r="J427" s="3126">
        <v>0.66439999999999999</v>
      </c>
      <c r="K427" s="3126">
        <v>0.66439999999999999</v>
      </c>
      <c r="L427" s="3126">
        <v>0.66439999999999999</v>
      </c>
      <c r="M427" s="3127">
        <v>0.66439999999999999</v>
      </c>
    </row>
    <row r="428" spans="1:13">
      <c r="A428" s="3125">
        <v>6.7</v>
      </c>
      <c r="B428" s="3126">
        <v>0.879</v>
      </c>
      <c r="C428" s="3126">
        <v>0.879</v>
      </c>
      <c r="D428" s="3126">
        <v>0.81430000000000002</v>
      </c>
      <c r="E428" s="3126">
        <v>0.81430000000000002</v>
      </c>
      <c r="F428" s="3126">
        <v>0.81430000000000002</v>
      </c>
      <c r="G428" s="3126">
        <v>0.81430000000000002</v>
      </c>
      <c r="H428" s="3126">
        <v>0.81430000000000002</v>
      </c>
      <c r="I428" s="3126">
        <v>0.66210000000000002</v>
      </c>
      <c r="J428" s="3126">
        <v>0.66210000000000002</v>
      </c>
      <c r="K428" s="3126">
        <v>0.66210000000000002</v>
      </c>
      <c r="L428" s="3126">
        <v>0.66210000000000002</v>
      </c>
      <c r="M428" s="3127">
        <v>0.66210000000000002</v>
      </c>
    </row>
    <row r="429" spans="1:13">
      <c r="A429" s="3125">
        <v>6.8</v>
      </c>
      <c r="B429" s="3126">
        <v>0.87739999999999996</v>
      </c>
      <c r="C429" s="3126">
        <v>0.87739999999999996</v>
      </c>
      <c r="D429" s="3126">
        <v>0.81240000000000001</v>
      </c>
      <c r="E429" s="3126">
        <v>0.81240000000000001</v>
      </c>
      <c r="F429" s="3126">
        <v>0.81240000000000001</v>
      </c>
      <c r="G429" s="3126">
        <v>0.81240000000000001</v>
      </c>
      <c r="H429" s="3126">
        <v>0.81240000000000001</v>
      </c>
      <c r="I429" s="3126">
        <v>0.65980000000000005</v>
      </c>
      <c r="J429" s="3126">
        <v>0.65980000000000005</v>
      </c>
      <c r="K429" s="3126">
        <v>0.65980000000000005</v>
      </c>
      <c r="L429" s="3126">
        <v>0.65980000000000005</v>
      </c>
      <c r="M429" s="3127">
        <v>0.65980000000000005</v>
      </c>
    </row>
    <row r="430" spans="1:13">
      <c r="A430" s="3125">
        <v>6.9</v>
      </c>
      <c r="B430" s="3126">
        <v>0.87580000000000002</v>
      </c>
      <c r="C430" s="3126">
        <v>0.87580000000000002</v>
      </c>
      <c r="D430" s="3126">
        <v>0.8105</v>
      </c>
      <c r="E430" s="3126">
        <v>0.8105</v>
      </c>
      <c r="F430" s="3126">
        <v>0.8105</v>
      </c>
      <c r="G430" s="3126">
        <v>0.8105</v>
      </c>
      <c r="H430" s="3126">
        <v>0.8105</v>
      </c>
      <c r="I430" s="3126">
        <v>0.65749999999999997</v>
      </c>
      <c r="J430" s="3126">
        <v>0.65749999999999997</v>
      </c>
      <c r="K430" s="3126">
        <v>0.65749999999999997</v>
      </c>
      <c r="L430" s="3126">
        <v>0.65749999999999997</v>
      </c>
      <c r="M430" s="3127">
        <v>0.65749999999999997</v>
      </c>
    </row>
    <row r="431" spans="1:13">
      <c r="A431" s="3125">
        <v>7</v>
      </c>
      <c r="B431" s="3126">
        <v>0.87419999999999998</v>
      </c>
      <c r="C431" s="3126">
        <v>0.87419999999999998</v>
      </c>
      <c r="D431" s="3126">
        <v>0.80869999999999997</v>
      </c>
      <c r="E431" s="3126">
        <v>0.80869999999999997</v>
      </c>
      <c r="F431" s="3126">
        <v>0.80869999999999997</v>
      </c>
      <c r="G431" s="3126">
        <v>0.80869999999999997</v>
      </c>
      <c r="H431" s="3126">
        <v>0.80869999999999997</v>
      </c>
      <c r="I431" s="3126">
        <v>0.65529999999999999</v>
      </c>
      <c r="J431" s="3126">
        <v>0.65529999999999999</v>
      </c>
      <c r="K431" s="3126">
        <v>0.65529999999999999</v>
      </c>
      <c r="L431" s="3126">
        <v>0.65529999999999999</v>
      </c>
      <c r="M431" s="3127">
        <v>0.65529999999999999</v>
      </c>
    </row>
    <row r="432" spans="1:13">
      <c r="A432" s="3125">
        <v>7.1</v>
      </c>
      <c r="B432" s="3126">
        <v>0.87270000000000003</v>
      </c>
      <c r="C432" s="3126">
        <v>0.87270000000000003</v>
      </c>
      <c r="D432" s="3126">
        <v>0.80689999999999995</v>
      </c>
      <c r="E432" s="3126">
        <v>0.80689999999999995</v>
      </c>
      <c r="F432" s="3126">
        <v>0.80689999999999995</v>
      </c>
      <c r="G432" s="3126">
        <v>0.80689999999999995</v>
      </c>
      <c r="H432" s="3126">
        <v>0.80689999999999995</v>
      </c>
      <c r="I432" s="3126">
        <v>0.6532</v>
      </c>
      <c r="J432" s="3126">
        <v>0.6532</v>
      </c>
      <c r="K432" s="3126">
        <v>0.6532</v>
      </c>
      <c r="L432" s="3126">
        <v>0.6532</v>
      </c>
      <c r="M432" s="3127">
        <v>0.6532</v>
      </c>
    </row>
    <row r="433" spans="1:13">
      <c r="A433" s="3125">
        <v>7.2</v>
      </c>
      <c r="B433" s="3126">
        <v>0.87119999999999997</v>
      </c>
      <c r="C433" s="3126">
        <v>0.87119999999999997</v>
      </c>
      <c r="D433" s="3126">
        <v>0.80510000000000004</v>
      </c>
      <c r="E433" s="3126">
        <v>0.80510000000000004</v>
      </c>
      <c r="F433" s="3126">
        <v>0.80510000000000004</v>
      </c>
      <c r="G433" s="3126">
        <v>0.80510000000000004</v>
      </c>
      <c r="H433" s="3126">
        <v>0.80510000000000004</v>
      </c>
      <c r="I433" s="3126">
        <v>0.65100000000000002</v>
      </c>
      <c r="J433" s="3126">
        <v>0.65100000000000002</v>
      </c>
      <c r="K433" s="3126">
        <v>0.65100000000000002</v>
      </c>
      <c r="L433" s="3126">
        <v>0.65100000000000002</v>
      </c>
      <c r="M433" s="3127">
        <v>0.65100000000000002</v>
      </c>
    </row>
    <row r="434" spans="1:13">
      <c r="A434" s="3125">
        <v>7.3</v>
      </c>
      <c r="B434" s="3126">
        <v>0.86970000000000003</v>
      </c>
      <c r="C434" s="3126">
        <v>0.86970000000000003</v>
      </c>
      <c r="D434" s="3126">
        <v>0.80330000000000001</v>
      </c>
      <c r="E434" s="3126">
        <v>0.80330000000000001</v>
      </c>
      <c r="F434" s="3126">
        <v>0.80330000000000001</v>
      </c>
      <c r="G434" s="3126">
        <v>0.80330000000000001</v>
      </c>
      <c r="H434" s="3126">
        <v>0.80330000000000001</v>
      </c>
      <c r="I434" s="3126">
        <v>0.64880000000000004</v>
      </c>
      <c r="J434" s="3126">
        <v>0.64880000000000004</v>
      </c>
      <c r="K434" s="3126">
        <v>0.64880000000000004</v>
      </c>
      <c r="L434" s="3126">
        <v>0.64880000000000004</v>
      </c>
      <c r="M434" s="3127">
        <v>0.64880000000000004</v>
      </c>
    </row>
    <row r="435" spans="1:13">
      <c r="A435" s="3125">
        <v>7.4</v>
      </c>
      <c r="B435" s="3126">
        <v>0.86819999999999997</v>
      </c>
      <c r="C435" s="3126">
        <v>0.86819999999999997</v>
      </c>
      <c r="D435" s="3126">
        <v>0.80149999999999999</v>
      </c>
      <c r="E435" s="3126">
        <v>0.80149999999999999</v>
      </c>
      <c r="F435" s="3126">
        <v>0.80149999999999999</v>
      </c>
      <c r="G435" s="3126">
        <v>0.80149999999999999</v>
      </c>
      <c r="H435" s="3126">
        <v>0.80149999999999999</v>
      </c>
      <c r="I435" s="3126">
        <v>0.64659999999999995</v>
      </c>
      <c r="J435" s="3126">
        <v>0.64659999999999995</v>
      </c>
      <c r="K435" s="3126">
        <v>0.64659999999999995</v>
      </c>
      <c r="L435" s="3126">
        <v>0.64659999999999995</v>
      </c>
      <c r="M435" s="3127">
        <v>0.64659999999999995</v>
      </c>
    </row>
    <row r="436" spans="1:13">
      <c r="A436" s="3125">
        <v>7.5</v>
      </c>
      <c r="B436" s="3126">
        <v>0.86660000000000004</v>
      </c>
      <c r="C436" s="3126">
        <v>0.86660000000000004</v>
      </c>
      <c r="D436" s="3126">
        <v>0.79969999999999997</v>
      </c>
      <c r="E436" s="3126">
        <v>0.79969999999999997</v>
      </c>
      <c r="F436" s="3126">
        <v>0.79969999999999997</v>
      </c>
      <c r="G436" s="3126">
        <v>0.79969999999999997</v>
      </c>
      <c r="H436" s="3126">
        <v>0.79969999999999997</v>
      </c>
      <c r="I436" s="3126">
        <v>0.64449999999999996</v>
      </c>
      <c r="J436" s="3126">
        <v>0.64449999999999996</v>
      </c>
      <c r="K436" s="3126">
        <v>0.64449999999999996</v>
      </c>
      <c r="L436" s="3126">
        <v>0.64449999999999996</v>
      </c>
      <c r="M436" s="3127">
        <v>0.64449999999999996</v>
      </c>
    </row>
    <row r="437" spans="1:13">
      <c r="A437" s="3125">
        <v>7.6</v>
      </c>
      <c r="B437" s="3126">
        <v>0.86509999999999998</v>
      </c>
      <c r="C437" s="3126">
        <v>0.86509999999999998</v>
      </c>
      <c r="D437" s="3126">
        <v>0.79800000000000004</v>
      </c>
      <c r="E437" s="3126">
        <v>0.79800000000000004</v>
      </c>
      <c r="F437" s="3126">
        <v>0.79800000000000004</v>
      </c>
      <c r="G437" s="3126">
        <v>0.79800000000000004</v>
      </c>
      <c r="H437" s="3126">
        <v>0.79800000000000004</v>
      </c>
      <c r="I437" s="3126">
        <v>0.64239999999999997</v>
      </c>
      <c r="J437" s="3126">
        <v>0.64239999999999997</v>
      </c>
      <c r="K437" s="3126">
        <v>0.64239999999999997</v>
      </c>
      <c r="L437" s="3126">
        <v>0.64239999999999997</v>
      </c>
      <c r="M437" s="3127">
        <v>0.64239999999999997</v>
      </c>
    </row>
    <row r="438" spans="1:13">
      <c r="A438" s="3125">
        <v>7.7</v>
      </c>
      <c r="B438" s="3126">
        <v>0.86370000000000002</v>
      </c>
      <c r="C438" s="3126">
        <v>0.86370000000000002</v>
      </c>
      <c r="D438" s="3126">
        <v>0.79630000000000001</v>
      </c>
      <c r="E438" s="3126">
        <v>0.79630000000000001</v>
      </c>
      <c r="F438" s="3126">
        <v>0.79630000000000001</v>
      </c>
      <c r="G438" s="3126">
        <v>0.79630000000000001</v>
      </c>
      <c r="H438" s="3126">
        <v>0.79630000000000001</v>
      </c>
      <c r="I438" s="3126">
        <v>0.64029999999999998</v>
      </c>
      <c r="J438" s="3126">
        <v>0.64029999999999998</v>
      </c>
      <c r="K438" s="3126">
        <v>0.64029999999999998</v>
      </c>
      <c r="L438" s="3126">
        <v>0.64029999999999998</v>
      </c>
      <c r="M438" s="3127">
        <v>0.64029999999999998</v>
      </c>
    </row>
    <row r="439" spans="1:13">
      <c r="A439" s="3125">
        <v>7.8</v>
      </c>
      <c r="B439" s="3126">
        <v>0.86229999999999996</v>
      </c>
      <c r="C439" s="3126">
        <v>0.86229999999999996</v>
      </c>
      <c r="D439" s="3126">
        <v>0.79449999999999998</v>
      </c>
      <c r="E439" s="3126">
        <v>0.79449999999999998</v>
      </c>
      <c r="F439" s="3126">
        <v>0.79449999999999998</v>
      </c>
      <c r="G439" s="3126">
        <v>0.79449999999999998</v>
      </c>
      <c r="H439" s="3126">
        <v>0.79449999999999998</v>
      </c>
      <c r="I439" s="3126">
        <v>0.63819999999999999</v>
      </c>
      <c r="J439" s="3126">
        <v>0.63819999999999999</v>
      </c>
      <c r="K439" s="3126">
        <v>0.63819999999999999</v>
      </c>
      <c r="L439" s="3126">
        <v>0.63819999999999999</v>
      </c>
      <c r="M439" s="3127">
        <v>0.63819999999999999</v>
      </c>
    </row>
    <row r="440" spans="1:13">
      <c r="A440" s="3125">
        <v>7.9</v>
      </c>
      <c r="B440" s="3126">
        <v>0.8609</v>
      </c>
      <c r="C440" s="3126">
        <v>0.8609</v>
      </c>
      <c r="D440" s="3126">
        <v>0.79279999999999995</v>
      </c>
      <c r="E440" s="3126">
        <v>0.79279999999999995</v>
      </c>
      <c r="F440" s="3126">
        <v>0.79279999999999995</v>
      </c>
      <c r="G440" s="3126">
        <v>0.79279999999999995</v>
      </c>
      <c r="H440" s="3126">
        <v>0.79279999999999995</v>
      </c>
      <c r="I440" s="3126">
        <v>0.6361</v>
      </c>
      <c r="J440" s="3126">
        <v>0.6361</v>
      </c>
      <c r="K440" s="3126">
        <v>0.6361</v>
      </c>
      <c r="L440" s="3126">
        <v>0.6361</v>
      </c>
      <c r="M440" s="3127">
        <v>0.6361</v>
      </c>
    </row>
    <row r="441" spans="1:13">
      <c r="A441" s="3125">
        <v>8</v>
      </c>
      <c r="B441" s="3126">
        <v>0.85940000000000005</v>
      </c>
      <c r="C441" s="3126">
        <v>0.85940000000000005</v>
      </c>
      <c r="D441" s="3126">
        <v>0.79110000000000003</v>
      </c>
      <c r="E441" s="3126">
        <v>0.79110000000000003</v>
      </c>
      <c r="F441" s="3126">
        <v>0.79110000000000003</v>
      </c>
      <c r="G441" s="3126">
        <v>0.79110000000000003</v>
      </c>
      <c r="H441" s="3126">
        <v>0.79110000000000003</v>
      </c>
      <c r="I441" s="3126">
        <v>0.6341</v>
      </c>
      <c r="J441" s="3126">
        <v>0.6341</v>
      </c>
      <c r="K441" s="3126">
        <v>0.6341</v>
      </c>
      <c r="L441" s="3126">
        <v>0.6341</v>
      </c>
      <c r="M441" s="3127">
        <v>0.6341</v>
      </c>
    </row>
    <row r="442" spans="1:13">
      <c r="A442" s="3125">
        <v>8.1</v>
      </c>
      <c r="B442" s="3126">
        <v>0.85799999999999998</v>
      </c>
      <c r="C442" s="3126">
        <v>0.85799999999999998</v>
      </c>
      <c r="D442" s="3126">
        <v>0.78939999999999999</v>
      </c>
      <c r="E442" s="3126">
        <v>0.78939999999999999</v>
      </c>
      <c r="F442" s="3126">
        <v>0.78939999999999999</v>
      </c>
      <c r="G442" s="3126">
        <v>0.78939999999999999</v>
      </c>
      <c r="H442" s="3126">
        <v>0.78939999999999999</v>
      </c>
      <c r="I442" s="3126">
        <v>0.6321</v>
      </c>
      <c r="J442" s="3126">
        <v>0.6321</v>
      </c>
      <c r="K442" s="3126">
        <v>0.6321</v>
      </c>
      <c r="L442" s="3126">
        <v>0.6321</v>
      </c>
      <c r="M442" s="3127">
        <v>0.6321</v>
      </c>
    </row>
    <row r="443" spans="1:13">
      <c r="A443" s="3125">
        <v>8.1999999999999993</v>
      </c>
      <c r="B443" s="3126">
        <v>0.85660000000000003</v>
      </c>
      <c r="C443" s="3126">
        <v>0.85660000000000003</v>
      </c>
      <c r="D443" s="3126">
        <v>0.78779999999999994</v>
      </c>
      <c r="E443" s="3126">
        <v>0.78779999999999994</v>
      </c>
      <c r="F443" s="3126">
        <v>0.78779999999999994</v>
      </c>
      <c r="G443" s="3126">
        <v>0.78779999999999994</v>
      </c>
      <c r="H443" s="3126">
        <v>0.78779999999999994</v>
      </c>
      <c r="I443" s="3126">
        <v>0.63009999999999999</v>
      </c>
      <c r="J443" s="3126">
        <v>0.63009999999999999</v>
      </c>
      <c r="K443" s="3126">
        <v>0.63009999999999999</v>
      </c>
      <c r="L443" s="3126">
        <v>0.63009999999999999</v>
      </c>
      <c r="M443" s="3127">
        <v>0.63009999999999999</v>
      </c>
    </row>
    <row r="444" spans="1:13">
      <c r="A444" s="3125">
        <v>8.3000000000000007</v>
      </c>
      <c r="B444" s="3126">
        <v>0.85529999999999995</v>
      </c>
      <c r="C444" s="3126">
        <v>0.85529999999999995</v>
      </c>
      <c r="D444" s="3126">
        <v>0.78620000000000001</v>
      </c>
      <c r="E444" s="3126">
        <v>0.78620000000000001</v>
      </c>
      <c r="F444" s="3126">
        <v>0.78620000000000001</v>
      </c>
      <c r="G444" s="3126">
        <v>0.78620000000000001</v>
      </c>
      <c r="H444" s="3126">
        <v>0.78620000000000001</v>
      </c>
      <c r="I444" s="3126">
        <v>0.62809999999999999</v>
      </c>
      <c r="J444" s="3126">
        <v>0.62809999999999999</v>
      </c>
      <c r="K444" s="3126">
        <v>0.62809999999999999</v>
      </c>
      <c r="L444" s="3126">
        <v>0.62809999999999999</v>
      </c>
      <c r="M444" s="3127">
        <v>0.62809999999999999</v>
      </c>
    </row>
    <row r="445" spans="1:13">
      <c r="A445" s="3125">
        <v>8.4</v>
      </c>
      <c r="B445" s="3126">
        <v>0.85389999999999999</v>
      </c>
      <c r="C445" s="3126">
        <v>0.85389999999999999</v>
      </c>
      <c r="D445" s="3126">
        <v>0.78459999999999996</v>
      </c>
      <c r="E445" s="3126">
        <v>0.78459999999999996</v>
      </c>
      <c r="F445" s="3126">
        <v>0.78459999999999996</v>
      </c>
      <c r="G445" s="3126">
        <v>0.78459999999999996</v>
      </c>
      <c r="H445" s="3126">
        <v>0.78459999999999996</v>
      </c>
      <c r="I445" s="3126">
        <v>0.62609999999999999</v>
      </c>
      <c r="J445" s="3126">
        <v>0.62609999999999999</v>
      </c>
      <c r="K445" s="3126">
        <v>0.62609999999999999</v>
      </c>
      <c r="L445" s="3126">
        <v>0.62609999999999999</v>
      </c>
      <c r="M445" s="3127">
        <v>0.62609999999999999</v>
      </c>
    </row>
    <row r="446" spans="1:13">
      <c r="A446" s="3125">
        <v>8.5</v>
      </c>
      <c r="B446" s="3126">
        <v>0.85260000000000002</v>
      </c>
      <c r="C446" s="3126">
        <v>0.85260000000000002</v>
      </c>
      <c r="D446" s="3126">
        <v>0.78290000000000004</v>
      </c>
      <c r="E446" s="3126">
        <v>0.78290000000000004</v>
      </c>
      <c r="F446" s="3126">
        <v>0.78290000000000004</v>
      </c>
      <c r="G446" s="3126">
        <v>0.78290000000000004</v>
      </c>
      <c r="H446" s="3126">
        <v>0.78290000000000004</v>
      </c>
      <c r="I446" s="3126">
        <v>0.62419999999999998</v>
      </c>
      <c r="J446" s="3126">
        <v>0.62419999999999998</v>
      </c>
      <c r="K446" s="3126">
        <v>0.62419999999999998</v>
      </c>
      <c r="L446" s="3126">
        <v>0.62419999999999998</v>
      </c>
      <c r="M446" s="3127">
        <v>0.62419999999999998</v>
      </c>
    </row>
    <row r="447" spans="1:13">
      <c r="A447" s="3125">
        <v>8.6</v>
      </c>
      <c r="B447" s="3126">
        <v>0.85129999999999995</v>
      </c>
      <c r="C447" s="3126">
        <v>0.85129999999999995</v>
      </c>
      <c r="D447" s="3126">
        <v>0.78129999999999999</v>
      </c>
      <c r="E447" s="3126">
        <v>0.78129999999999999</v>
      </c>
      <c r="F447" s="3126">
        <v>0.78129999999999999</v>
      </c>
      <c r="G447" s="3126">
        <v>0.78129999999999999</v>
      </c>
      <c r="H447" s="3126">
        <v>0.78129999999999999</v>
      </c>
      <c r="I447" s="3126">
        <v>0.62229999999999996</v>
      </c>
      <c r="J447" s="3126">
        <v>0.62229999999999996</v>
      </c>
      <c r="K447" s="3126">
        <v>0.62229999999999996</v>
      </c>
      <c r="L447" s="3126">
        <v>0.62229999999999996</v>
      </c>
      <c r="M447" s="3127">
        <v>0.62229999999999996</v>
      </c>
    </row>
    <row r="448" spans="1:13">
      <c r="A448" s="3125">
        <v>8.6999999999999993</v>
      </c>
      <c r="B448" s="3126">
        <v>0.85</v>
      </c>
      <c r="C448" s="3126">
        <v>0.85</v>
      </c>
      <c r="D448" s="3126">
        <v>0.77969999999999995</v>
      </c>
      <c r="E448" s="3126">
        <v>0.77969999999999995</v>
      </c>
      <c r="F448" s="3126">
        <v>0.77969999999999995</v>
      </c>
      <c r="G448" s="3126">
        <v>0.77969999999999995</v>
      </c>
      <c r="H448" s="3126">
        <v>0.77969999999999995</v>
      </c>
      <c r="I448" s="3126">
        <v>0.62039999999999995</v>
      </c>
      <c r="J448" s="3126">
        <v>0.62039999999999995</v>
      </c>
      <c r="K448" s="3126">
        <v>0.62039999999999995</v>
      </c>
      <c r="L448" s="3126">
        <v>0.62039999999999995</v>
      </c>
      <c r="M448" s="3127">
        <v>0.62039999999999995</v>
      </c>
    </row>
    <row r="449" spans="1:13">
      <c r="A449" s="3125">
        <v>8.8000000000000007</v>
      </c>
      <c r="B449" s="3126">
        <v>0.84860000000000002</v>
      </c>
      <c r="C449" s="3126">
        <v>0.84860000000000002</v>
      </c>
      <c r="D449" s="3126">
        <v>0.7782</v>
      </c>
      <c r="E449" s="3126">
        <v>0.7782</v>
      </c>
      <c r="F449" s="3126">
        <v>0.7782</v>
      </c>
      <c r="G449" s="3126">
        <v>0.7782</v>
      </c>
      <c r="H449" s="3126">
        <v>0.7782</v>
      </c>
      <c r="I449" s="3126">
        <v>0.61850000000000005</v>
      </c>
      <c r="J449" s="3126">
        <v>0.61850000000000005</v>
      </c>
      <c r="K449" s="3126">
        <v>0.61850000000000005</v>
      </c>
      <c r="L449" s="3126">
        <v>0.61850000000000005</v>
      </c>
      <c r="M449" s="3127">
        <v>0.61850000000000005</v>
      </c>
    </row>
    <row r="450" spans="1:13">
      <c r="A450" s="3125">
        <v>8.9</v>
      </c>
      <c r="B450" s="3126">
        <v>0.84740000000000004</v>
      </c>
      <c r="C450" s="3126">
        <v>0.84740000000000004</v>
      </c>
      <c r="D450" s="3126">
        <v>0.77669999999999995</v>
      </c>
      <c r="E450" s="3126">
        <v>0.77669999999999995</v>
      </c>
      <c r="F450" s="3126">
        <v>0.77669999999999995</v>
      </c>
      <c r="G450" s="3126">
        <v>0.77669999999999995</v>
      </c>
      <c r="H450" s="3126">
        <v>0.77669999999999995</v>
      </c>
      <c r="I450" s="3126">
        <v>0.61670000000000003</v>
      </c>
      <c r="J450" s="3126">
        <v>0.61670000000000003</v>
      </c>
      <c r="K450" s="3126">
        <v>0.61670000000000003</v>
      </c>
      <c r="L450" s="3126">
        <v>0.61670000000000003</v>
      </c>
      <c r="M450" s="3127">
        <v>0.61670000000000003</v>
      </c>
    </row>
    <row r="451" spans="1:13">
      <c r="A451" s="3128">
        <v>9</v>
      </c>
      <c r="B451" s="3126">
        <v>0.84619999999999995</v>
      </c>
      <c r="C451" s="3126">
        <v>0.84619999999999995</v>
      </c>
      <c r="D451" s="3126">
        <v>0.77510000000000001</v>
      </c>
      <c r="E451" s="3126">
        <v>0.77510000000000001</v>
      </c>
      <c r="F451" s="3126">
        <v>0.77510000000000001</v>
      </c>
      <c r="G451" s="3126">
        <v>0.77510000000000001</v>
      </c>
      <c r="H451" s="3126">
        <v>0.77510000000000001</v>
      </c>
      <c r="I451" s="3126">
        <v>0.61480000000000001</v>
      </c>
      <c r="J451" s="3126">
        <v>0.61480000000000001</v>
      </c>
      <c r="K451" s="3126">
        <v>0.61480000000000001</v>
      </c>
      <c r="L451" s="3126">
        <v>0.61480000000000001</v>
      </c>
      <c r="M451" s="3127">
        <v>0.61480000000000001</v>
      </c>
    </row>
    <row r="452" spans="1:13">
      <c r="A452" s="3128">
        <v>9.1</v>
      </c>
      <c r="B452" s="3126">
        <v>0.84499999999999997</v>
      </c>
      <c r="C452" s="3126">
        <v>0.84499999999999997</v>
      </c>
      <c r="D452" s="3126">
        <v>0.77359999999999995</v>
      </c>
      <c r="E452" s="3126">
        <v>0.77359999999999995</v>
      </c>
      <c r="F452" s="3126">
        <v>0.77359999999999995</v>
      </c>
      <c r="G452" s="3126">
        <v>0.77359999999999995</v>
      </c>
      <c r="H452" s="3126">
        <v>0.77359999999999995</v>
      </c>
      <c r="I452" s="3126">
        <v>0.61299999999999999</v>
      </c>
      <c r="J452" s="3126">
        <v>0.61299999999999999</v>
      </c>
      <c r="K452" s="3126">
        <v>0.61299999999999999</v>
      </c>
      <c r="L452" s="3126">
        <v>0.61299999999999999</v>
      </c>
      <c r="M452" s="3127">
        <v>0.61299999999999999</v>
      </c>
    </row>
    <row r="453" spans="1:13">
      <c r="A453" s="3128">
        <v>9.1999999999999993</v>
      </c>
      <c r="B453" s="3126">
        <v>0.84370000000000001</v>
      </c>
      <c r="C453" s="3126">
        <v>0.84370000000000001</v>
      </c>
      <c r="D453" s="3126">
        <v>0.77210000000000001</v>
      </c>
      <c r="E453" s="3126">
        <v>0.77210000000000001</v>
      </c>
      <c r="F453" s="3126">
        <v>0.77210000000000001</v>
      </c>
      <c r="G453" s="3126">
        <v>0.77210000000000001</v>
      </c>
      <c r="H453" s="3126">
        <v>0.77210000000000001</v>
      </c>
      <c r="I453" s="3126">
        <v>0.61119999999999997</v>
      </c>
      <c r="J453" s="3126">
        <v>0.61119999999999997</v>
      </c>
      <c r="K453" s="3126">
        <v>0.61119999999999997</v>
      </c>
      <c r="L453" s="3126">
        <v>0.61119999999999997</v>
      </c>
      <c r="M453" s="3127">
        <v>0.61119999999999997</v>
      </c>
    </row>
    <row r="454" spans="1:13">
      <c r="A454" s="3128">
        <v>9.3000000000000007</v>
      </c>
      <c r="B454" s="3126">
        <v>0.84250000000000003</v>
      </c>
      <c r="C454" s="3126">
        <v>0.84250000000000003</v>
      </c>
      <c r="D454" s="3126">
        <v>0.77059999999999995</v>
      </c>
      <c r="E454" s="3126">
        <v>0.77059999999999995</v>
      </c>
      <c r="F454" s="3126">
        <v>0.77059999999999995</v>
      </c>
      <c r="G454" s="3126">
        <v>0.77059999999999995</v>
      </c>
      <c r="H454" s="3126">
        <v>0.77059999999999995</v>
      </c>
      <c r="I454" s="3126">
        <v>0.60940000000000005</v>
      </c>
      <c r="J454" s="3126">
        <v>0.60940000000000005</v>
      </c>
      <c r="K454" s="3126">
        <v>0.60940000000000005</v>
      </c>
      <c r="L454" s="3126">
        <v>0.60940000000000005</v>
      </c>
      <c r="M454" s="3127">
        <v>0.60940000000000005</v>
      </c>
    </row>
    <row r="455" spans="1:13">
      <c r="A455" s="3128">
        <v>9.4</v>
      </c>
      <c r="B455" s="3126">
        <v>0.84130000000000005</v>
      </c>
      <c r="C455" s="3126">
        <v>0.84130000000000005</v>
      </c>
      <c r="D455" s="3126">
        <v>0.76900000000000002</v>
      </c>
      <c r="E455" s="3126">
        <v>0.76900000000000002</v>
      </c>
      <c r="F455" s="3126">
        <v>0.76900000000000002</v>
      </c>
      <c r="G455" s="3126">
        <v>0.76900000000000002</v>
      </c>
      <c r="H455" s="3126">
        <v>0.76900000000000002</v>
      </c>
      <c r="I455" s="3126">
        <v>0.60760000000000003</v>
      </c>
      <c r="J455" s="3126">
        <v>0.60760000000000003</v>
      </c>
      <c r="K455" s="3126">
        <v>0.60760000000000003</v>
      </c>
      <c r="L455" s="3126">
        <v>0.60760000000000003</v>
      </c>
      <c r="M455" s="3127">
        <v>0.60760000000000003</v>
      </c>
    </row>
    <row r="456" spans="1:13">
      <c r="A456" s="3128">
        <v>9.5</v>
      </c>
      <c r="B456" s="3126">
        <v>0.84009999999999996</v>
      </c>
      <c r="C456" s="3126">
        <v>0.84009999999999996</v>
      </c>
      <c r="D456" s="3126">
        <v>0.76759999999999995</v>
      </c>
      <c r="E456" s="3126">
        <v>0.76759999999999995</v>
      </c>
      <c r="F456" s="3126">
        <v>0.76759999999999995</v>
      </c>
      <c r="G456" s="3126">
        <v>0.76759999999999995</v>
      </c>
      <c r="H456" s="3126">
        <v>0.76759999999999995</v>
      </c>
      <c r="I456" s="3126">
        <v>0.60580000000000001</v>
      </c>
      <c r="J456" s="3126">
        <v>0.60580000000000001</v>
      </c>
      <c r="K456" s="3126">
        <v>0.60580000000000001</v>
      </c>
      <c r="L456" s="3126">
        <v>0.60580000000000001</v>
      </c>
      <c r="M456" s="3127">
        <v>0.60580000000000001</v>
      </c>
    </row>
    <row r="457" spans="1:13">
      <c r="A457" s="3128">
        <v>9.6</v>
      </c>
      <c r="B457" s="3126">
        <v>0.83899999999999997</v>
      </c>
      <c r="C457" s="3126">
        <v>0.83899999999999997</v>
      </c>
      <c r="D457" s="3126">
        <v>0.76619999999999999</v>
      </c>
      <c r="E457" s="3126">
        <v>0.76619999999999999</v>
      </c>
      <c r="F457" s="3126">
        <v>0.76619999999999999</v>
      </c>
      <c r="G457" s="3126">
        <v>0.76619999999999999</v>
      </c>
      <c r="H457" s="3126">
        <v>0.76619999999999999</v>
      </c>
      <c r="I457" s="3126">
        <v>0.60409999999999997</v>
      </c>
      <c r="J457" s="3126">
        <v>0.60409999999999997</v>
      </c>
      <c r="K457" s="3126">
        <v>0.60409999999999997</v>
      </c>
      <c r="L457" s="3126">
        <v>0.60409999999999997</v>
      </c>
      <c r="M457" s="3127">
        <v>0.60409999999999997</v>
      </c>
    </row>
    <row r="458" spans="1:13">
      <c r="A458" s="3128">
        <v>9.6999999999999993</v>
      </c>
      <c r="B458" s="3126">
        <v>0.83779999999999999</v>
      </c>
      <c r="C458" s="3126">
        <v>0.83779999999999999</v>
      </c>
      <c r="D458" s="3126">
        <v>0.76480000000000004</v>
      </c>
      <c r="E458" s="3126">
        <v>0.76480000000000004</v>
      </c>
      <c r="F458" s="3126">
        <v>0.76480000000000004</v>
      </c>
      <c r="G458" s="3126">
        <v>0.76480000000000004</v>
      </c>
      <c r="H458" s="3126">
        <v>0.76480000000000004</v>
      </c>
      <c r="I458" s="3126">
        <v>0.60240000000000005</v>
      </c>
      <c r="J458" s="3126">
        <v>0.60240000000000005</v>
      </c>
      <c r="K458" s="3126">
        <v>0.60240000000000005</v>
      </c>
      <c r="L458" s="3126">
        <v>0.60240000000000005</v>
      </c>
      <c r="M458" s="3127">
        <v>0.60240000000000005</v>
      </c>
    </row>
    <row r="459" spans="1:13">
      <c r="A459" s="3128">
        <v>9.8000000000000007</v>
      </c>
      <c r="B459" s="3126">
        <v>0.8367</v>
      </c>
      <c r="C459" s="3126">
        <v>0.8367</v>
      </c>
      <c r="D459" s="3126">
        <v>0.76329999999999998</v>
      </c>
      <c r="E459" s="3126">
        <v>0.76329999999999998</v>
      </c>
      <c r="F459" s="3126">
        <v>0.76329999999999998</v>
      </c>
      <c r="G459" s="3126">
        <v>0.76329999999999998</v>
      </c>
      <c r="H459" s="3126">
        <v>0.76329999999999998</v>
      </c>
      <c r="I459" s="3126">
        <v>0.60060000000000002</v>
      </c>
      <c r="J459" s="3126">
        <v>0.60060000000000002</v>
      </c>
      <c r="K459" s="3126">
        <v>0.60060000000000002</v>
      </c>
      <c r="L459" s="3126">
        <v>0.60060000000000002</v>
      </c>
      <c r="M459" s="3127">
        <v>0.60060000000000002</v>
      </c>
    </row>
    <row r="460" spans="1:13" ht="15" thickBot="1">
      <c r="A460" s="3129">
        <v>9.9</v>
      </c>
      <c r="B460" s="3130">
        <v>0.83560000000000001</v>
      </c>
      <c r="C460" s="3130">
        <v>0.83560000000000001</v>
      </c>
      <c r="D460" s="3130">
        <v>0.76190000000000002</v>
      </c>
      <c r="E460" s="3130">
        <v>0.76190000000000002</v>
      </c>
      <c r="F460" s="3130">
        <v>0.76190000000000002</v>
      </c>
      <c r="G460" s="3130">
        <v>0.76190000000000002</v>
      </c>
      <c r="H460" s="3130">
        <v>0.76190000000000002</v>
      </c>
      <c r="I460" s="3130">
        <v>0.59889999999999999</v>
      </c>
      <c r="J460" s="3130">
        <v>0.59889999999999999</v>
      </c>
      <c r="K460" s="3130">
        <v>0.59889999999999999</v>
      </c>
      <c r="L460" s="3130">
        <v>0.59889999999999999</v>
      </c>
      <c r="M460" s="3131">
        <v>0.59889999999999999</v>
      </c>
    </row>
  </sheetData>
  <sheetProtection password="CEE9" sheet="1" objects="1" scenarios="1" formatCells="0" formatColumns="0" formatRows="0"/>
  <phoneticPr fontId="76" type="noConversion"/>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66" customWidth="1"/>
    <col min="2" max="2" width="29.125" style="248" customWidth="1"/>
    <col min="3" max="3" width="12.125" style="248" customWidth="1"/>
    <col min="4" max="5" width="11.125" style="269" customWidth="1"/>
    <col min="6" max="6" width="9.5" style="248" customWidth="1"/>
    <col min="7" max="7" width="31.875" style="248" customWidth="1"/>
    <col min="8" max="254" width="9" style="248" customWidth="1"/>
    <col min="255" max="16384" width="8.375" style="248"/>
  </cols>
  <sheetData>
    <row r="1" spans="1:7" s="197" customFormat="1" ht="20.25">
      <c r="A1" s="193" t="s">
        <v>56</v>
      </c>
      <c r="B1" s="194"/>
      <c r="C1" s="195"/>
      <c r="D1" s="195"/>
      <c r="E1" s="195"/>
      <c r="F1" s="195"/>
      <c r="G1" s="196"/>
    </row>
    <row r="2" spans="1:7" s="197" customFormat="1" ht="18" customHeight="1">
      <c r="A2" s="198" t="s">
        <v>57</v>
      </c>
      <c r="B2" s="199">
        <f ca="1">C52</f>
        <v>27799</v>
      </c>
      <c r="C2" s="2" t="s">
        <v>106</v>
      </c>
      <c r="D2" s="196"/>
      <c r="E2" s="196"/>
      <c r="F2" s="196"/>
      <c r="G2" s="196"/>
    </row>
    <row r="3" spans="1:7" s="197" customFormat="1" ht="18" customHeight="1" thickBot="1">
      <c r="A3" s="200" t="s">
        <v>58</v>
      </c>
      <c r="B3" s="201">
        <f ca="1">ROUND(B2*10000/'数据-汇总表'!E3,0)</f>
        <v>277990000</v>
      </c>
      <c r="C3" s="2" t="s">
        <v>107</v>
      </c>
      <c r="D3" s="196"/>
      <c r="E3" s="196"/>
      <c r="F3" s="196"/>
      <c r="G3" s="196"/>
    </row>
    <row r="4" spans="1:7" s="205" customFormat="1" ht="15.75">
      <c r="A4" s="202" t="s">
        <v>59</v>
      </c>
      <c r="B4" s="203"/>
      <c r="C4" s="203"/>
      <c r="D4" s="203"/>
      <c r="E4" s="203"/>
      <c r="F4" s="203"/>
      <c r="G4" s="204"/>
    </row>
    <row r="5" spans="1:7" s="211" customFormat="1" ht="13.5" customHeight="1">
      <c r="A5" s="252" t="s">
        <v>416</v>
      </c>
      <c r="B5" s="207" t="s">
        <v>60</v>
      </c>
      <c r="C5" s="208">
        <f>C6+C7+C8</f>
        <v>20000</v>
      </c>
      <c r="D5" s="208" t="s">
        <v>61</v>
      </c>
      <c r="E5" s="209" t="s">
        <v>62</v>
      </c>
      <c r="F5" s="209" t="s">
        <v>63</v>
      </c>
      <c r="G5" s="210"/>
    </row>
    <row r="6" spans="1:7" s="211" customFormat="1" ht="13.5" customHeight="1">
      <c r="A6" s="774" t="s">
        <v>346</v>
      </c>
      <c r="B6" s="212" t="s">
        <v>64</v>
      </c>
      <c r="C6" s="213">
        <v>20000</v>
      </c>
      <c r="D6" s="214"/>
      <c r="E6" s="215"/>
      <c r="F6" s="215"/>
      <c r="G6" s="216"/>
    </row>
    <row r="7" spans="1:7" s="211" customFormat="1" ht="13.5" customHeight="1">
      <c r="A7" s="774" t="s">
        <v>347</v>
      </c>
      <c r="B7" s="212" t="s">
        <v>30</v>
      </c>
      <c r="C7" s="217">
        <f>ROUND(C6*F7,0)</f>
        <v>0</v>
      </c>
      <c r="D7" s="217"/>
      <c r="E7" s="215"/>
      <c r="F7" s="218">
        <f>'数据-取费表'!B48+'数据-取费表'!B49</f>
        <v>0</v>
      </c>
      <c r="G7" s="216"/>
    </row>
    <row r="8" spans="1:7" s="220" customFormat="1">
      <c r="A8" s="774" t="s">
        <v>348</v>
      </c>
      <c r="B8" s="212" t="s">
        <v>65</v>
      </c>
      <c r="C8" s="217" t="str">
        <f>IF(G8="已包含在土地购买价格中","0",'数据-取费表'!B29)</f>
        <v>0</v>
      </c>
      <c r="D8" s="219"/>
      <c r="E8" s="217"/>
      <c r="F8" s="218"/>
      <c r="G8" s="1" t="s">
        <v>451</v>
      </c>
    </row>
    <row r="9" spans="1:7" s="211" customFormat="1" ht="13.5" customHeight="1">
      <c r="A9" s="775" t="s">
        <v>355</v>
      </c>
      <c r="B9" s="221" t="s">
        <v>66</v>
      </c>
      <c r="C9" s="222">
        <f>ROUND(D9*E9/10000,0)</f>
        <v>0</v>
      </c>
      <c r="D9" s="841">
        <f>'数据-汇总表'!E5</f>
        <v>1</v>
      </c>
      <c r="E9" s="222">
        <f>'数据-取费表'!B27</f>
        <v>160</v>
      </c>
      <c r="F9" s="218"/>
      <c r="G9" s="223"/>
    </row>
    <row r="10" spans="1:7" s="211" customFormat="1" ht="13.5" customHeight="1">
      <c r="A10" s="775" t="s">
        <v>356</v>
      </c>
      <c r="B10" s="221" t="s">
        <v>67</v>
      </c>
      <c r="C10" s="222">
        <f>ROUND(D10*E10/10000,0)</f>
        <v>0</v>
      </c>
      <c r="D10" s="841">
        <f>'数据-汇总表'!E6</f>
        <v>0</v>
      </c>
      <c r="E10" s="222">
        <f>'数据-取费表'!B28</f>
        <v>0</v>
      </c>
      <c r="F10" s="218"/>
      <c r="G10" s="223"/>
    </row>
    <row r="11" spans="1:7" s="211" customFormat="1" ht="13.5" hidden="1" customHeight="1">
      <c r="A11" s="224" t="s">
        <v>4</v>
      </c>
      <c r="B11" s="212" t="s">
        <v>68</v>
      </c>
      <c r="C11" s="208"/>
      <c r="D11" s="843"/>
      <c r="E11" s="215"/>
      <c r="F11" s="215"/>
      <c r="G11" s="216"/>
    </row>
    <row r="12" spans="1:7" s="211" customFormat="1" ht="13.5" hidden="1" customHeight="1">
      <c r="A12" s="224" t="s">
        <v>5</v>
      </c>
      <c r="B12" s="212" t="s">
        <v>69</v>
      </c>
      <c r="C12" s="208">
        <v>0</v>
      </c>
      <c r="D12" s="843"/>
      <c r="E12" s="225"/>
      <c r="F12" s="218">
        <v>3.0499999999999999E-2</v>
      </c>
      <c r="G12" s="216"/>
    </row>
    <row r="13" spans="1:7" s="211" customFormat="1" ht="13.5" hidden="1" customHeight="1">
      <c r="A13" s="224" t="s">
        <v>6</v>
      </c>
      <c r="B13" s="212" t="s">
        <v>70</v>
      </c>
      <c r="C13" s="208"/>
      <c r="D13" s="843"/>
      <c r="E13" s="215"/>
      <c r="F13" s="215"/>
      <c r="G13" s="216"/>
    </row>
    <row r="14" spans="1:7" s="211" customFormat="1" ht="13.5" hidden="1" customHeight="1">
      <c r="A14" s="224" t="s">
        <v>7</v>
      </c>
      <c r="B14" s="212" t="s">
        <v>65</v>
      </c>
      <c r="C14" s="208"/>
      <c r="D14" s="843"/>
      <c r="E14" s="215"/>
      <c r="F14" s="215"/>
      <c r="G14" s="216" t="s">
        <v>71</v>
      </c>
    </row>
    <row r="15" spans="1:7" s="211" customFormat="1" ht="13.5" hidden="1" customHeight="1">
      <c r="A15" s="224" t="s">
        <v>8</v>
      </c>
      <c r="B15" s="212" t="s">
        <v>72</v>
      </c>
      <c r="C15" s="217"/>
      <c r="D15" s="843"/>
      <c r="E15" s="215"/>
      <c r="F15" s="215"/>
      <c r="G15" s="216" t="s">
        <v>73</v>
      </c>
    </row>
    <row r="16" spans="1:7" s="211" customFormat="1" ht="13.5" hidden="1" customHeight="1">
      <c r="A16" s="224" t="s">
        <v>9</v>
      </c>
      <c r="B16" s="212" t="s">
        <v>65</v>
      </c>
      <c r="C16" s="217"/>
      <c r="D16" s="843"/>
      <c r="E16" s="215"/>
      <c r="F16" s="215"/>
      <c r="G16" s="216"/>
    </row>
    <row r="17" spans="1:7" s="211" customFormat="1" ht="13.5" hidden="1" customHeight="1">
      <c r="A17" s="224" t="s">
        <v>10</v>
      </c>
      <c r="B17" s="212" t="s">
        <v>74</v>
      </c>
      <c r="C17" s="226"/>
      <c r="D17" s="844"/>
      <c r="E17" s="226"/>
      <c r="F17" s="226"/>
      <c r="G17" s="216" t="s">
        <v>73</v>
      </c>
    </row>
    <row r="18" spans="1:7" s="211" customFormat="1" ht="13.5" hidden="1" customHeight="1">
      <c r="A18" s="224" t="s">
        <v>11</v>
      </c>
      <c r="B18" s="212" t="s">
        <v>75</v>
      </c>
      <c r="C18" s="217">
        <v>0</v>
      </c>
      <c r="D18" s="843"/>
      <c r="E18" s="215"/>
      <c r="F18" s="218">
        <v>3.0499999999999999E-2</v>
      </c>
      <c r="G18" s="216" t="s">
        <v>76</v>
      </c>
    </row>
    <row r="19" spans="1:7" s="220" customFormat="1" ht="13.5" customHeight="1">
      <c r="A19" s="773" t="s">
        <v>417</v>
      </c>
      <c r="B19" s="207" t="s">
        <v>84</v>
      </c>
      <c r="C19" s="208">
        <f>IF(G19="已包含在土地取得成本中","0",ROUND(D19*E19/10000,0))</f>
        <v>0</v>
      </c>
      <c r="D19" s="845">
        <f>'数据-汇总表'!E3</f>
        <v>1</v>
      </c>
      <c r="E19" s="208">
        <f>'数据-取费表'!B31</f>
        <v>200</v>
      </c>
      <c r="F19" s="228"/>
      <c r="G19" s="1" t="s">
        <v>436</v>
      </c>
    </row>
    <row r="20" spans="1:7" s="211" customFormat="1" ht="13.5" customHeight="1">
      <c r="A20" s="773" t="s">
        <v>419</v>
      </c>
      <c r="B20" s="207" t="s">
        <v>77</v>
      </c>
      <c r="C20" s="229">
        <f>ROUND((C5+C19)*F20,0)</f>
        <v>600</v>
      </c>
      <c r="D20" s="229"/>
      <c r="E20" s="229"/>
      <c r="F20" s="230">
        <f>'数据-取费表'!B37</f>
        <v>0.03</v>
      </c>
      <c r="G20" s="1063" t="s">
        <v>430</v>
      </c>
    </row>
    <row r="21" spans="1:7" s="211" customFormat="1" ht="13.5" customHeight="1">
      <c r="A21" s="773" t="s">
        <v>421</v>
      </c>
      <c r="B21" s="207" t="s">
        <v>78</v>
      </c>
      <c r="C21" s="232">
        <f>F21</f>
        <v>0.02</v>
      </c>
      <c r="D21" s="233" t="s">
        <v>99</v>
      </c>
      <c r="E21" s="229"/>
      <c r="F21" s="230">
        <f>'数据-取费表'!B38</f>
        <v>0.02</v>
      </c>
      <c r="G21" s="231" t="s">
        <v>79</v>
      </c>
    </row>
    <row r="22" spans="1:7" s="211" customFormat="1" ht="13.5" customHeight="1">
      <c r="A22" s="773" t="s">
        <v>341</v>
      </c>
      <c r="B22" s="207" t="s">
        <v>80</v>
      </c>
      <c r="C22" s="1100">
        <f ca="1">ROUND(SUM(C23:C25),0)</f>
        <v>3031</v>
      </c>
      <c r="D22" s="232">
        <f ca="1">C26</f>
        <v>1.4E-3</v>
      </c>
      <c r="E22" s="233" t="s">
        <v>99</v>
      </c>
      <c r="F22" s="234">
        <f ca="1">'数据-取费表'!B40</f>
        <v>4.7500000000000001E-2</v>
      </c>
      <c r="G22" s="1063" t="str">
        <f>IF('数据-取费表'!B22&lt;=1,"单利计息","复利计息")</f>
        <v>复利计息</v>
      </c>
    </row>
    <row r="23" spans="1:7" s="211" customFormat="1" ht="13.5" customHeight="1">
      <c r="A23" s="776" t="s">
        <v>349</v>
      </c>
      <c r="B23" s="212" t="s">
        <v>423</v>
      </c>
      <c r="C23" s="1101">
        <f ca="1">ROUND(IF('数据-取费表'!B22&lt;=1,C5*F22*'数据-取费表'!B23,C5*(POWER((1+F22),'数据-取费表'!B23)-1)),0)</f>
        <v>2988</v>
      </c>
      <c r="D23" s="235"/>
      <c r="E23" s="235"/>
      <c r="F23" s="236"/>
      <c r="G23" s="237" t="s">
        <v>81</v>
      </c>
    </row>
    <row r="24" spans="1:7" s="211" customFormat="1" ht="13.5" customHeight="1">
      <c r="A24" s="776" t="s">
        <v>347</v>
      </c>
      <c r="B24" s="212" t="s">
        <v>418</v>
      </c>
      <c r="C24" s="1101">
        <f ca="1">ROUND(IF('数据-取费表'!B22&lt;=1,C19*F22*('数据-取费表'!B19/2+'数据-取费表'!B21),C19*(POWER((1+F22),('数据-取费表'!B19/2+'数据-取费表'!B21))-1)),0)</f>
        <v>0</v>
      </c>
      <c r="D24" s="235"/>
      <c r="E24" s="235"/>
      <c r="F24" s="236"/>
      <c r="G24" s="237" t="s">
        <v>82</v>
      </c>
    </row>
    <row r="25" spans="1:7" s="211" customFormat="1" ht="24">
      <c r="A25" s="776" t="s">
        <v>348</v>
      </c>
      <c r="B25" s="212" t="s">
        <v>420</v>
      </c>
      <c r="C25" s="1101">
        <f ca="1">ROUND(IF('数据-取费表'!B22&lt;=1,C20*F22*'数据-取费表'!B23/2,C20*(POWER((1+F22),'数据-取费表'!B23/2)-1)),0)</f>
        <v>43</v>
      </c>
      <c r="D25" s="235"/>
      <c r="E25" s="238"/>
      <c r="F25" s="236"/>
      <c r="G25" s="239" t="s">
        <v>83</v>
      </c>
    </row>
    <row r="26" spans="1:7" s="211" customFormat="1">
      <c r="A26" s="776" t="s">
        <v>350</v>
      </c>
      <c r="B26" s="212" t="s">
        <v>422</v>
      </c>
      <c r="C26" s="235">
        <f ca="1">ROUND(IF('数据-取费表'!B22&lt;=1,F21*F22*'数据-取费表'!B23/2,F21*(POWER((1+F22),'数据-取费表'!B23/2)-1)),4)</f>
        <v>1.4E-3</v>
      </c>
      <c r="D26" s="235"/>
      <c r="E26" s="238"/>
      <c r="F26" s="236"/>
      <c r="G26" s="240"/>
    </row>
    <row r="27" spans="1:7" s="211" customFormat="1" ht="24.75">
      <c r="A27" s="773" t="s">
        <v>342</v>
      </c>
      <c r="B27" s="241" t="s">
        <v>85</v>
      </c>
      <c r="C27" s="242">
        <f>C28</f>
        <v>2060</v>
      </c>
      <c r="D27" s="232">
        <f>C29</f>
        <v>2E-3</v>
      </c>
      <c r="E27" s="233" t="s">
        <v>99</v>
      </c>
      <c r="F27" s="243">
        <f>'数据-取费表'!Q16</f>
        <v>0.1</v>
      </c>
      <c r="G27" s="244" t="s">
        <v>431</v>
      </c>
    </row>
    <row r="28" spans="1:7" s="211" customFormat="1" ht="13.5" customHeight="1">
      <c r="A28" s="776" t="s">
        <v>349</v>
      </c>
      <c r="B28" s="245" t="s">
        <v>424</v>
      </c>
      <c r="C28" s="246">
        <f>ROUND((C5+C19+C20)*F27*'数据-取费表'!B21/'数据-取费表'!B20,0)</f>
        <v>2060</v>
      </c>
      <c r="D28" s="232"/>
      <c r="E28" s="233"/>
      <c r="F28" s="243"/>
      <c r="G28" s="244"/>
    </row>
    <row r="29" spans="1:7" s="211" customFormat="1" ht="13.5" customHeight="1">
      <c r="A29" s="776" t="s">
        <v>347</v>
      </c>
      <c r="B29" s="245" t="s">
        <v>425</v>
      </c>
      <c r="C29" s="235">
        <f>ROUND(C21*F27*'数据-取费表'!B21/'数据-取费表'!B20,4)</f>
        <v>2E-3</v>
      </c>
      <c r="D29" s="232"/>
      <c r="E29" s="233"/>
      <c r="F29" s="243"/>
      <c r="G29" s="244"/>
    </row>
    <row r="30" spans="1:7" s="211" customFormat="1" ht="13.5" customHeight="1">
      <c r="A30" s="773" t="s">
        <v>343</v>
      </c>
      <c r="B30" s="207" t="s">
        <v>31</v>
      </c>
      <c r="C30" s="232">
        <f>F30</f>
        <v>5.5000000000000007E-2</v>
      </c>
      <c r="D30" s="233" t="s">
        <v>100</v>
      </c>
      <c r="E30" s="238"/>
      <c r="F30" s="234">
        <f>'数据-取费表'!B41</f>
        <v>5.5000000000000007E-2</v>
      </c>
      <c r="G30" s="231" t="s">
        <v>86</v>
      </c>
    </row>
    <row r="31" spans="1:7" ht="16.5" customHeight="1">
      <c r="A31" s="206">
        <v>1</v>
      </c>
      <c r="B31" s="207" t="s">
        <v>101</v>
      </c>
      <c r="C31" s="208">
        <f ca="1">ROUND((C5+C19+C20+C22+C27)/(1-C21-D22-D27-C30/(1+'数据-取费表'!B42)),0)</f>
        <v>27798</v>
      </c>
      <c r="D31" s="227"/>
      <c r="E31" s="208"/>
      <c r="F31" s="247"/>
      <c r="G31" s="231" t="s">
        <v>432</v>
      </c>
    </row>
    <row r="32" spans="1:7" s="205" customFormat="1" ht="15.75">
      <c r="A32" s="249" t="s">
        <v>87</v>
      </c>
      <c r="B32" s="250"/>
      <c r="C32" s="250"/>
      <c r="D32" s="250"/>
      <c r="E32" s="250"/>
      <c r="F32" s="250"/>
      <c r="G32" s="251"/>
    </row>
    <row r="33" spans="1:7" s="211" customFormat="1" ht="13.5" customHeight="1">
      <c r="A33" s="252" t="s">
        <v>337</v>
      </c>
      <c r="B33" s="207" t="s">
        <v>88</v>
      </c>
      <c r="C33" s="253">
        <f>SUM(C34:C38)</f>
        <v>1</v>
      </c>
      <c r="D33" s="229"/>
      <c r="E33" s="209"/>
      <c r="F33" s="238"/>
      <c r="G33" s="231"/>
    </row>
    <row r="34" spans="1:7" s="255" customFormat="1" ht="13.5" customHeight="1">
      <c r="A34" s="776" t="s">
        <v>349</v>
      </c>
      <c r="B34" s="212" t="s">
        <v>32</v>
      </c>
      <c r="C34" s="217">
        <f>IF(F34=100%,'数据-取费表'!M16-SUMIF('数据-取费表'!C:C,"公共配套",'数据-取费表'!M:M),'数据-取费表'!O16-SUMIF('数据-取费表'!C:C,"公共配套",'数据-取费表'!O:O))</f>
        <v>1</v>
      </c>
      <c r="D34" s="214"/>
      <c r="E34" s="217"/>
      <c r="F34" s="254">
        <f>IF('数据-取费表'!B24=0,1,'数据-取费表'!N16)</f>
        <v>1</v>
      </c>
      <c r="G34" s="216" t="s">
        <v>89</v>
      </c>
    </row>
    <row r="35" spans="1:7" ht="13.5" customHeight="1">
      <c r="A35" s="776" t="s">
        <v>351</v>
      </c>
      <c r="B35" s="212" t="s">
        <v>33</v>
      </c>
      <c r="C35" s="217">
        <f>ROUND(C34*F35,0)</f>
        <v>0</v>
      </c>
      <c r="D35" s="217"/>
      <c r="E35" s="217"/>
      <c r="F35" s="256">
        <f>'数据-取费表'!B33</f>
        <v>0.06</v>
      </c>
      <c r="G35" s="216" t="s">
        <v>90</v>
      </c>
    </row>
    <row r="36" spans="1:7" ht="24">
      <c r="A36" s="776" t="s">
        <v>352</v>
      </c>
      <c r="B36" s="212" t="s">
        <v>34</v>
      </c>
      <c r="C36" s="217">
        <f>ROUND(IF(SUMIF('数据-取费表'!C:C,"住宅",IF(F34=100%,'数据-取费表'!M:M,'数据-取费表'!O:O))=0,0,IF(F36=0,SUMIF('数据-取费表'!C:C,"公共配套",IF(F34=100%,'数据-取费表'!M:M,'数据-取费表'!O:O)),SUMIF('数据-取费表'!C:C,"住宅",IF(F34=100%,'数据-取费表'!M:M,'数据-取费表'!O:O))*F36)),0)</f>
        <v>0</v>
      </c>
      <c r="D36" s="217"/>
      <c r="E36" s="217"/>
      <c r="F36" s="256">
        <f>'数据-取费表'!B34</f>
        <v>0.06</v>
      </c>
      <c r="G36" s="257" t="s">
        <v>35</v>
      </c>
    </row>
    <row r="37" spans="1:7" s="255" customFormat="1" ht="13.5" customHeight="1">
      <c r="A37" s="776" t="s">
        <v>353</v>
      </c>
      <c r="B37" s="212" t="s">
        <v>91</v>
      </c>
      <c r="C37" s="246">
        <f>ROUND(E37*D37*F34/10000,0)</f>
        <v>0</v>
      </c>
      <c r="D37" s="214">
        <f>'数据-汇总表'!E3</f>
        <v>1</v>
      </c>
      <c r="E37" s="246">
        <f>'数据-取费表'!B35</f>
        <v>456</v>
      </c>
      <c r="F37" s="256"/>
      <c r="G37" s="258" t="s">
        <v>92</v>
      </c>
    </row>
    <row r="38" spans="1:7" ht="13.5" customHeight="1">
      <c r="A38" s="776" t="s">
        <v>354</v>
      </c>
      <c r="B38" s="212" t="s">
        <v>36</v>
      </c>
      <c r="C38" s="217">
        <f>ROUND(C34*F38,0)</f>
        <v>0</v>
      </c>
      <c r="D38" s="217"/>
      <c r="E38" s="217"/>
      <c r="F38" s="256">
        <f>'数据-取费表'!B36</f>
        <v>0.03</v>
      </c>
      <c r="G38" s="216" t="s">
        <v>90</v>
      </c>
    </row>
    <row r="39" spans="1:7" s="211" customFormat="1" ht="13.5" customHeight="1">
      <c r="A39" s="773" t="s">
        <v>338</v>
      </c>
      <c r="B39" s="207" t="s">
        <v>77</v>
      </c>
      <c r="C39" s="229">
        <f>ROUND(C33*F20,0)</f>
        <v>0</v>
      </c>
      <c r="D39" s="229"/>
      <c r="E39" s="229"/>
      <c r="F39" s="230"/>
      <c r="G39" s="1063" t="s">
        <v>433</v>
      </c>
    </row>
    <row r="40" spans="1:7" s="211" customFormat="1" ht="13.5" customHeight="1">
      <c r="A40" s="773" t="s">
        <v>339</v>
      </c>
      <c r="B40" s="207" t="s">
        <v>78</v>
      </c>
      <c r="C40" s="259">
        <f>F21</f>
        <v>0.02</v>
      </c>
      <c r="D40" s="233" t="s">
        <v>102</v>
      </c>
      <c r="E40" s="229"/>
      <c r="F40" s="230"/>
      <c r="G40" s="231" t="s">
        <v>93</v>
      </c>
    </row>
    <row r="41" spans="1:7" s="211" customFormat="1" ht="13.5" customHeight="1">
      <c r="A41" s="773" t="s">
        <v>340</v>
      </c>
      <c r="B41" s="207" t="s">
        <v>80</v>
      </c>
      <c r="C41" s="229">
        <f ca="1">ROUND(SUM(C42:C43),0)</f>
        <v>0</v>
      </c>
      <c r="D41" s="232">
        <f ca="1">C44</f>
        <v>1.4E-3</v>
      </c>
      <c r="E41" s="233" t="s">
        <v>102</v>
      </c>
      <c r="F41" s="234"/>
      <c r="G41" s="1063" t="str">
        <f>IF('数据-取费表'!B22&lt;=1,"单利计息","复利计息")</f>
        <v>复利计息</v>
      </c>
    </row>
    <row r="42" spans="1:7" ht="13.5" customHeight="1">
      <c r="A42" s="776" t="s">
        <v>349</v>
      </c>
      <c r="B42" s="212" t="s">
        <v>423</v>
      </c>
      <c r="C42" s="235">
        <f ca="1">ROUND(IF('数据-取费表'!B22&lt;=1,C33*F22*'数据-取费表'!B21/2,C33*(POWER((1+F22),'数据-取费表'!B21/2)-1)),0)</f>
        <v>0</v>
      </c>
      <c r="D42" s="235"/>
      <c r="E42" s="235"/>
      <c r="F42" s="236"/>
      <c r="G42" s="3709" t="s">
        <v>94</v>
      </c>
    </row>
    <row r="43" spans="1:7" ht="13.5" customHeight="1">
      <c r="A43" s="776" t="s">
        <v>347</v>
      </c>
      <c r="B43" s="212" t="s">
        <v>426</v>
      </c>
      <c r="C43" s="235">
        <f ca="1">ROUND(IF('数据-取费表'!B22&lt;=1,C39*F22*'数据-取费表'!B21/2,C39*(POWER((1+F22),'数据-取费表'!B21/2)-1)),0)</f>
        <v>0</v>
      </c>
      <c r="D43" s="235"/>
      <c r="E43" s="235"/>
      <c r="F43" s="236"/>
      <c r="G43" s="3710"/>
    </row>
    <row r="44" spans="1:7" ht="13.5" customHeight="1">
      <c r="A44" s="776" t="s">
        <v>348</v>
      </c>
      <c r="B44" s="212" t="s">
        <v>428</v>
      </c>
      <c r="C44" s="235">
        <f ca="1">ROUND(IF('数据-取费表'!B22&lt;=1,C40*F22*'数据-取费表'!B21/2,C40*(POWER((1+F22),'数据-取费表'!B21/2)-1)),4)</f>
        <v>1.4E-3</v>
      </c>
      <c r="D44" s="235"/>
      <c r="E44" s="235"/>
      <c r="F44" s="236"/>
      <c r="G44" s="3711"/>
    </row>
    <row r="45" spans="1:7" s="211" customFormat="1" ht="13.5" customHeight="1">
      <c r="A45" s="773" t="s">
        <v>341</v>
      </c>
      <c r="B45" s="241" t="s">
        <v>85</v>
      </c>
      <c r="C45" s="242">
        <f>C46</f>
        <v>0</v>
      </c>
      <c r="D45" s="232">
        <f>C47</f>
        <v>2E-3</v>
      </c>
      <c r="E45" s="233" t="s">
        <v>102</v>
      </c>
      <c r="F45" s="243"/>
      <c r="G45" s="244" t="s">
        <v>434</v>
      </c>
    </row>
    <row r="46" spans="1:7" s="211" customFormat="1" ht="13.5" customHeight="1">
      <c r="A46" s="776" t="s">
        <v>349</v>
      </c>
      <c r="B46" s="245" t="s">
        <v>427</v>
      </c>
      <c r="C46" s="246">
        <f>ROUND((C33+C39)*F27,0)</f>
        <v>0</v>
      </c>
      <c r="D46" s="260"/>
      <c r="E46" s="233"/>
      <c r="F46" s="243"/>
      <c r="G46" s="244"/>
    </row>
    <row r="47" spans="1:7" s="211" customFormat="1" ht="13.5" customHeight="1">
      <c r="A47" s="776" t="s">
        <v>347</v>
      </c>
      <c r="B47" s="245" t="s">
        <v>429</v>
      </c>
      <c r="C47" s="235">
        <f>ROUND(C40*F27,4)</f>
        <v>2E-3</v>
      </c>
      <c r="D47" s="260"/>
      <c r="E47" s="233"/>
      <c r="F47" s="243"/>
      <c r="G47" s="244"/>
    </row>
    <row r="48" spans="1:7" s="211" customFormat="1" ht="13.5" customHeight="1">
      <c r="A48" s="773" t="s">
        <v>342</v>
      </c>
      <c r="B48" s="207" t="s">
        <v>95</v>
      </c>
      <c r="C48" s="259">
        <f>F30</f>
        <v>5.5000000000000007E-2</v>
      </c>
      <c r="D48" s="233" t="s">
        <v>103</v>
      </c>
      <c r="E48" s="229"/>
      <c r="F48" s="234"/>
      <c r="G48" s="231" t="s">
        <v>96</v>
      </c>
    </row>
    <row r="49" spans="1:7" ht="16.5" customHeight="1">
      <c r="A49" s="773" t="s">
        <v>343</v>
      </c>
      <c r="B49" s="207" t="s">
        <v>104</v>
      </c>
      <c r="C49" s="229">
        <f ca="1">ROUND((C33+C39+C41+C45)/(1-C40-D41-D45-C48/(1+'数据-取费表'!B42)),0)</f>
        <v>1</v>
      </c>
      <c r="D49" s="229"/>
      <c r="E49" s="229"/>
      <c r="F49" s="261"/>
      <c r="G49" s="231" t="s">
        <v>435</v>
      </c>
    </row>
    <row r="50" spans="1:7" s="255" customFormat="1" ht="24">
      <c r="A50" s="773" t="s">
        <v>344</v>
      </c>
      <c r="B50" s="207" t="s">
        <v>97</v>
      </c>
      <c r="C50" s="229"/>
      <c r="D50" s="229"/>
      <c r="E50" s="229"/>
      <c r="F50" s="261">
        <f>IF('数据-取费表'!B24=0,'数据-取费表'!N16,1)</f>
        <v>1</v>
      </c>
      <c r="G50" s="244" t="s">
        <v>98</v>
      </c>
    </row>
    <row r="51" spans="1:7" ht="16.5" customHeight="1">
      <c r="A51" s="773" t="s">
        <v>345</v>
      </c>
      <c r="B51" s="207" t="s">
        <v>105</v>
      </c>
      <c r="C51" s="229">
        <f ca="1">ROUND(C49*F50,0)</f>
        <v>1</v>
      </c>
      <c r="D51" s="229"/>
      <c r="E51" s="229"/>
      <c r="F51" s="261"/>
      <c r="G51" s="231" t="s">
        <v>37</v>
      </c>
    </row>
    <row r="52" spans="1:7" s="205" customFormat="1" ht="16.5" thickBot="1">
      <c r="A52" s="262" t="s">
        <v>38</v>
      </c>
      <c r="B52" s="263"/>
      <c r="C52" s="264">
        <f ca="1">C31+C51</f>
        <v>27799</v>
      </c>
      <c r="D52" s="263"/>
      <c r="E52" s="263"/>
      <c r="F52" s="263"/>
      <c r="G52" s="265"/>
    </row>
    <row r="55" spans="1:7" ht="15">
      <c r="B55" s="267" t="s">
        <v>39</v>
      </c>
      <c r="C55" s="268"/>
    </row>
    <row r="56" spans="1:7">
      <c r="B56" s="270" t="s">
        <v>40</v>
      </c>
      <c r="C56" s="271">
        <f ca="1">ROUND(C51/C52,3)</f>
        <v>0</v>
      </c>
    </row>
    <row r="57" spans="1:7">
      <c r="B57" s="270" t="s">
        <v>41</v>
      </c>
      <c r="C57" s="272">
        <f ca="1">1-C56</f>
        <v>1</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PageLayoutView="90" workbookViewId="0">
      <selection sqref="A1:XFD1048576"/>
    </sheetView>
  </sheetViews>
  <sheetFormatPr defaultColWidth="9" defaultRowHeight="14.25"/>
  <cols>
    <col min="1" max="1" width="27.625" style="1473" customWidth="1"/>
    <col min="2" max="9" width="12.125" style="1473" customWidth="1"/>
    <col min="10" max="16384" width="9" style="1473"/>
  </cols>
  <sheetData>
    <row r="1" spans="1:9" ht="18.75" thickBot="1">
      <c r="A1" s="3535" t="str">
        <f>IF(项目基本情况!B9="房地产市场价值","估价结果一览表","结果表-2")</f>
        <v>估价结果一览表</v>
      </c>
      <c r="B1" s="3535"/>
      <c r="C1" s="3535"/>
      <c r="D1" s="3535"/>
      <c r="E1" s="3535"/>
      <c r="F1" s="3535"/>
      <c r="G1" s="3535"/>
      <c r="H1" s="3535"/>
      <c r="I1" s="3535"/>
    </row>
    <row r="2" spans="1:9" ht="30" customHeight="1" thickTop="1">
      <c r="A2" s="3536" t="s">
        <v>928</v>
      </c>
      <c r="B2" s="3536" t="s">
        <v>929</v>
      </c>
      <c r="C2" s="3536" t="s">
        <v>930</v>
      </c>
      <c r="D2" s="3536" t="str">
        <f>结果表!D116</f>
        <v>出让国有建设用地使用权价值</v>
      </c>
      <c r="E2" s="3536"/>
      <c r="F2" s="3536" t="str">
        <f>结果表!F116</f>
        <v>在建建筑物价值</v>
      </c>
      <c r="G2" s="3536"/>
      <c r="H2" s="3536" t="str">
        <f>IF(项目基本情况!B9="房地产市场价值","房地产市场价值","房地产价值")</f>
        <v>房地产市场价值</v>
      </c>
      <c r="I2" s="3536"/>
    </row>
    <row r="3" spans="1:9" ht="15">
      <c r="A3" s="3537"/>
      <c r="B3" s="3537"/>
      <c r="C3" s="3537"/>
      <c r="D3" s="850" t="s">
        <v>925</v>
      </c>
      <c r="E3" s="850" t="s">
        <v>931</v>
      </c>
      <c r="F3" s="850" t="s">
        <v>925</v>
      </c>
      <c r="G3" s="850" t="s">
        <v>926</v>
      </c>
      <c r="H3" s="850" t="s">
        <v>925</v>
      </c>
      <c r="I3" s="850" t="s">
        <v>926</v>
      </c>
    </row>
    <row r="4" spans="1:9" ht="15">
      <c r="A4" s="1501" t="str">
        <f>项目基本情况!S2</f>
        <v>北京市房地产</v>
      </c>
      <c r="B4" s="850">
        <f>项目基本情况!C17</f>
        <v>1</v>
      </c>
      <c r="C4" s="850">
        <f>项目基本情况!C18</f>
        <v>0.45</v>
      </c>
      <c r="D4" s="850" t="e">
        <f ca="1">结果表!D118</f>
        <v>#REF!</v>
      </c>
      <c r="E4" s="850" t="e">
        <f ca="1">结果表!E118</f>
        <v>#REF!</v>
      </c>
      <c r="F4" s="850" t="e">
        <f ca="1">结果表!F118</f>
        <v>#REF!</v>
      </c>
      <c r="G4" s="850" t="e">
        <f ca="1">结果表!G118</f>
        <v>#REF!</v>
      </c>
      <c r="H4" s="850">
        <f ca="1">结果表!H118</f>
        <v>3</v>
      </c>
      <c r="I4" s="850">
        <f ca="1">结果表!I118</f>
        <v>30039</v>
      </c>
    </row>
    <row r="5" spans="1:9" ht="30" customHeight="1">
      <c r="A5" s="3537" t="s">
        <v>927</v>
      </c>
      <c r="B5" s="3537"/>
      <c r="C5" s="3537"/>
      <c r="D5" s="3537" t="e">
        <f ca="1">结果表!D119</f>
        <v>#REF!</v>
      </c>
      <c r="E5" s="3537"/>
      <c r="F5" s="3537" t="e">
        <f ca="1">结果表!F119</f>
        <v>#REF!</v>
      </c>
      <c r="G5" s="3537"/>
      <c r="H5" s="3537" t="str">
        <f ca="1">结果表!H119</f>
        <v>叁万元整</v>
      </c>
      <c r="I5" s="3537"/>
    </row>
    <row r="6" spans="1:9" ht="15.75">
      <c r="A6" s="3538" t="str">
        <f>结果表!A120</f>
        <v/>
      </c>
      <c r="B6" s="3538"/>
      <c r="C6" s="3538"/>
      <c r="D6" s="3538">
        <f>结果表!D120</f>
        <v>0</v>
      </c>
      <c r="E6" s="3538"/>
      <c r="F6" s="3538"/>
      <c r="G6" s="3538"/>
      <c r="H6" s="3538"/>
      <c r="I6" s="3538"/>
    </row>
    <row r="7" spans="1:9" ht="15">
      <c r="A7" s="3537" t="s">
        <v>927</v>
      </c>
      <c r="B7" s="3537"/>
      <c r="C7" s="3537"/>
      <c r="D7" s="3539" t="str">
        <f>结果表!D121</f>
        <v>零元整</v>
      </c>
      <c r="E7" s="3540"/>
      <c r="F7" s="3540"/>
      <c r="G7" s="3540"/>
      <c r="H7" s="3540"/>
      <c r="I7" s="3541"/>
    </row>
    <row r="8" spans="1:9" ht="15.75">
      <c r="A8" s="3538" t="str">
        <f>结果表!A122</f>
        <v/>
      </c>
      <c r="B8" s="3538"/>
      <c r="C8" s="3538"/>
      <c r="D8" s="3538">
        <f ca="1">结果表!D122</f>
        <v>3</v>
      </c>
      <c r="E8" s="3538"/>
      <c r="F8" s="3538"/>
      <c r="G8" s="3538"/>
      <c r="H8" s="3538"/>
      <c r="I8" s="3538"/>
    </row>
    <row r="9" spans="1:9" ht="15">
      <c r="A9" s="3537" t="s">
        <v>927</v>
      </c>
      <c r="B9" s="3537"/>
      <c r="C9" s="3537"/>
      <c r="D9" s="3537" t="str">
        <f ca="1">结果表!D123</f>
        <v>叁万元整</v>
      </c>
      <c r="E9" s="3537"/>
      <c r="F9" s="3537"/>
      <c r="G9" s="3537"/>
      <c r="H9" s="3537"/>
      <c r="I9" s="3537"/>
    </row>
    <row r="10" spans="1:9" ht="15.75">
      <c r="A10" s="3538" t="str">
        <f>结果表!A124</f>
        <v/>
      </c>
      <c r="B10" s="3538"/>
      <c r="C10" s="3538"/>
      <c r="D10" s="3538" t="str">
        <f>结果表!D124</f>
        <v>——</v>
      </c>
      <c r="E10" s="3538"/>
      <c r="F10" s="3538"/>
      <c r="G10" s="3538"/>
      <c r="H10" s="3538"/>
      <c r="I10" s="3538"/>
    </row>
    <row r="11" spans="1:9" ht="15">
      <c r="A11" s="3537" t="s">
        <v>927</v>
      </c>
      <c r="B11" s="3537"/>
      <c r="C11" s="3537"/>
      <c r="D11" s="3537" t="e">
        <f>结果表!D125</f>
        <v>#VALUE!</v>
      </c>
      <c r="E11" s="3537"/>
      <c r="F11" s="3537"/>
      <c r="G11" s="3537"/>
      <c r="H11" s="3537"/>
      <c r="I11" s="3537"/>
    </row>
    <row r="12" spans="1:9" ht="15.75">
      <c r="A12" s="3538" t="str">
        <f>结果表!A126</f>
        <v/>
      </c>
      <c r="B12" s="3538"/>
      <c r="C12" s="3538"/>
      <c r="D12" s="3538" t="str">
        <f>结果表!D126</f>
        <v>——</v>
      </c>
      <c r="E12" s="3538"/>
      <c r="F12" s="3538"/>
      <c r="G12" s="3538"/>
      <c r="H12" s="3538"/>
      <c r="I12" s="3538"/>
    </row>
    <row r="13" spans="1:9" ht="15.75" thickBot="1">
      <c r="A13" s="3542" t="s">
        <v>927</v>
      </c>
      <c r="B13" s="3542"/>
      <c r="C13" s="3542"/>
      <c r="D13" s="3542" t="e">
        <f>结果表!D127</f>
        <v>#VALUE!</v>
      </c>
      <c r="E13" s="3542"/>
      <c r="F13" s="3542"/>
      <c r="G13" s="3542"/>
      <c r="H13" s="3542"/>
      <c r="I13" s="3542"/>
    </row>
    <row r="14" spans="1:9" ht="15" thickTop="1">
      <c r="A14" s="3543" t="s">
        <v>932</v>
      </c>
      <c r="B14" s="3543"/>
      <c r="C14" s="3543"/>
      <c r="D14" s="3543"/>
      <c r="E14" s="3543"/>
      <c r="F14" s="3543"/>
      <c r="G14" s="3543"/>
      <c r="H14" s="3543"/>
      <c r="I14" s="3543"/>
    </row>
    <row r="16" spans="1:9" ht="18.75">
      <c r="A16" s="1502" t="s">
        <v>915</v>
      </c>
      <c r="B16" s="1485"/>
      <c r="C16" s="1485"/>
      <c r="D16" s="1485"/>
      <c r="E16" s="1485"/>
      <c r="F16" s="1485"/>
      <c r="G16" s="1485"/>
      <c r="H16" s="1485"/>
      <c r="I16" s="1485"/>
    </row>
    <row r="17" spans="1:9">
      <c r="A17" s="1485"/>
      <c r="B17" s="1485"/>
      <c r="C17" s="1485"/>
      <c r="D17" s="1485"/>
      <c r="E17" s="1485"/>
      <c r="F17" s="1485"/>
      <c r="G17" s="1485"/>
      <c r="H17" s="1485"/>
      <c r="I17" s="1485"/>
    </row>
    <row r="18" spans="1:9">
      <c r="A18" s="1485"/>
      <c r="B18" s="1485"/>
      <c r="C18" s="1485"/>
      <c r="D18" s="1485"/>
      <c r="E18" s="1485"/>
      <c r="F18" s="1485"/>
      <c r="G18" s="1485"/>
      <c r="H18" s="1485"/>
      <c r="I18" s="1485"/>
    </row>
    <row r="19" spans="1:9">
      <c r="A19" s="1485"/>
      <c r="B19" s="1485"/>
      <c r="C19" s="1485"/>
      <c r="D19" s="1485"/>
      <c r="E19" s="1485"/>
      <c r="F19" s="1485"/>
      <c r="G19" s="1485"/>
      <c r="H19" s="1485"/>
      <c r="I19" s="1485"/>
    </row>
    <row r="20" spans="1:9">
      <c r="A20" s="1485"/>
      <c r="B20" s="1485"/>
      <c r="C20" s="1485"/>
      <c r="D20" s="1485"/>
      <c r="E20" s="1485"/>
      <c r="F20" s="1485"/>
      <c r="G20" s="1485"/>
      <c r="H20" s="1485"/>
      <c r="I20" s="1485"/>
    </row>
    <row r="21" spans="1:9">
      <c r="A21" s="1485"/>
      <c r="B21" s="1485"/>
      <c r="C21" s="1485"/>
      <c r="D21" s="1485"/>
      <c r="E21" s="1485"/>
      <c r="F21" s="1485"/>
      <c r="G21" s="1485"/>
      <c r="H21" s="1485"/>
      <c r="I21" s="1485"/>
    </row>
    <row r="22" spans="1:9">
      <c r="A22" s="1485"/>
      <c r="B22" s="1485"/>
      <c r="C22" s="1485"/>
      <c r="D22" s="1485"/>
      <c r="E22" s="1485"/>
      <c r="F22" s="1485"/>
      <c r="G22" s="1485"/>
      <c r="H22" s="1485"/>
      <c r="I22" s="1485"/>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extLst>
    <ext xmlns:mx="http://schemas.microsoft.com/office/mac/excel/2008/main" uri="{64002731-A6B0-56B0-2670-7721B7C09600}">
      <mx:PLV Mode="1" OnePage="0" WScale="100"/>
    </ext>
  </extLs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4"/>
  <sheetViews>
    <sheetView zoomScale="80" zoomScaleNormal="80" workbookViewId="0">
      <selection activeCell="T47" sqref="T47:T48"/>
    </sheetView>
  </sheetViews>
  <sheetFormatPr defaultColWidth="8.875" defaultRowHeight="12"/>
  <cols>
    <col min="1" max="1" width="9.625" style="3218" customWidth="1"/>
    <col min="2" max="2" width="18.625" style="3218" customWidth="1"/>
    <col min="3" max="6" width="10.125" style="3218" customWidth="1"/>
    <col min="7" max="7" width="10.5" style="3218" bestFit="1" customWidth="1"/>
    <col min="8" max="8" width="8.875" style="3214"/>
    <col min="9" max="9" width="13.375" style="3214" customWidth="1"/>
    <col min="10" max="13" width="13.375" style="3218" customWidth="1"/>
    <col min="14" max="14" width="18.125" style="3218" customWidth="1"/>
    <col min="15" max="17" width="15.125" style="3218" customWidth="1"/>
    <col min="18" max="20" width="11.5" style="3218" customWidth="1"/>
    <col min="21" max="16384" width="8.875" style="3218"/>
  </cols>
  <sheetData>
    <row r="1" spans="1:20" ht="12.75" thickBot="1">
      <c r="A1" s="3883" t="s">
        <v>2843</v>
      </c>
      <c r="B1" s="3883"/>
      <c r="C1" s="3883"/>
      <c r="D1" s="3883"/>
      <c r="E1" s="3883"/>
      <c r="F1" s="3883"/>
      <c r="G1" s="3884"/>
      <c r="I1" s="3215" t="s">
        <v>2844</v>
      </c>
      <c r="J1" s="3216" t="s">
        <v>2845</v>
      </c>
      <c r="K1" s="3216" t="s">
        <v>2846</v>
      </c>
      <c r="L1" s="3216" t="s">
        <v>2847</v>
      </c>
      <c r="M1" s="3216" t="s">
        <v>2848</v>
      </c>
      <c r="N1" s="3216" t="s">
        <v>2849</v>
      </c>
      <c r="O1" s="3216" t="s">
        <v>2850</v>
      </c>
      <c r="P1" s="3216" t="s">
        <v>2851</v>
      </c>
      <c r="Q1" s="3216" t="s">
        <v>2852</v>
      </c>
      <c r="R1" s="3216" t="s">
        <v>2853</v>
      </c>
      <c r="S1" s="3216" t="s">
        <v>2854</v>
      </c>
      <c r="T1" s="3217" t="s">
        <v>2855</v>
      </c>
    </row>
    <row r="2" spans="1:20" ht="12.75" thickBot="1">
      <c r="A2" s="3219" t="s">
        <v>2856</v>
      </c>
      <c r="B2" s="3219"/>
      <c r="C2" s="3219"/>
      <c r="D2" s="3219"/>
      <c r="E2" s="3219"/>
      <c r="F2" s="3219"/>
      <c r="G2" s="3220" t="s">
        <v>2857</v>
      </c>
      <c r="I2" s="3221" t="s">
        <v>2858</v>
      </c>
      <c r="J2" s="3221" t="s">
        <v>2859</v>
      </c>
      <c r="K2" s="3221" t="s">
        <v>2860</v>
      </c>
      <c r="L2" s="3221" t="s">
        <v>2861</v>
      </c>
      <c r="M2" s="3221" t="s">
        <v>2862</v>
      </c>
      <c r="N2" s="3221" t="s">
        <v>2863</v>
      </c>
      <c r="O2" s="3221" t="s">
        <v>2864</v>
      </c>
      <c r="P2" s="3221" t="s">
        <v>2865</v>
      </c>
      <c r="Q2" s="3221" t="s">
        <v>2866</v>
      </c>
      <c r="R2" s="3221" t="s">
        <v>2867</v>
      </c>
      <c r="S2" s="3221" t="s">
        <v>2868</v>
      </c>
      <c r="T2" s="3221" t="s">
        <v>2869</v>
      </c>
    </row>
    <row r="3" spans="1:20" s="3227" customFormat="1">
      <c r="A3" s="3881" t="s">
        <v>2870</v>
      </c>
      <c r="B3" s="3222"/>
      <c r="C3" s="3223" t="s">
        <v>2811</v>
      </c>
      <c r="D3" s="3223" t="s">
        <v>2871</v>
      </c>
      <c r="E3" s="3223" t="s">
        <v>2813</v>
      </c>
      <c r="F3" s="3223" t="s">
        <v>2872</v>
      </c>
      <c r="G3" s="3223" t="s">
        <v>2631</v>
      </c>
      <c r="H3" s="3224"/>
      <c r="I3" s="3225" t="s">
        <v>2873</v>
      </c>
      <c r="J3" s="3226" t="s">
        <v>128</v>
      </c>
      <c r="K3" s="3226" t="s">
        <v>129</v>
      </c>
      <c r="L3" s="3225" t="s">
        <v>130</v>
      </c>
      <c r="M3" s="3225" t="s">
        <v>131</v>
      </c>
      <c r="N3" s="3225" t="s">
        <v>132</v>
      </c>
      <c r="O3" s="3225" t="s">
        <v>133</v>
      </c>
      <c r="P3" s="3225" t="s">
        <v>134</v>
      </c>
      <c r="Q3" s="3225" t="s">
        <v>135</v>
      </c>
      <c r="R3" s="3225" t="s">
        <v>136</v>
      </c>
      <c r="S3" s="3225" t="s">
        <v>2874</v>
      </c>
      <c r="T3" s="3225" t="s">
        <v>2875</v>
      </c>
    </row>
    <row r="4" spans="1:20" s="3227" customFormat="1" ht="12.75" thickBot="1">
      <c r="A4" s="3882"/>
      <c r="B4" s="3228" t="s">
        <v>2876</v>
      </c>
      <c r="C4" s="3228" t="s">
        <v>2877</v>
      </c>
      <c r="D4" s="3228" t="s">
        <v>2877</v>
      </c>
      <c r="E4" s="3228" t="s">
        <v>2877</v>
      </c>
      <c r="F4" s="3229" t="s">
        <v>2877</v>
      </c>
      <c r="G4" s="3229" t="s">
        <v>2877</v>
      </c>
      <c r="H4" s="3224"/>
      <c r="I4" s="3226" t="s">
        <v>137</v>
      </c>
      <c r="J4" s="3226" t="s">
        <v>111</v>
      </c>
      <c r="K4" s="3226" t="s">
        <v>138</v>
      </c>
      <c r="L4" s="3225" t="s">
        <v>139</v>
      </c>
      <c r="M4" s="3225" t="s">
        <v>140</v>
      </c>
      <c r="N4" s="3225" t="s">
        <v>141</v>
      </c>
      <c r="O4" s="3225" t="s">
        <v>142</v>
      </c>
      <c r="P4" s="3225" t="s">
        <v>143</v>
      </c>
      <c r="Q4" s="3225" t="s">
        <v>2878</v>
      </c>
      <c r="R4" s="3225" t="s">
        <v>2879</v>
      </c>
      <c r="S4" s="3225" t="s">
        <v>2880</v>
      </c>
      <c r="T4" s="3225" t="s">
        <v>2881</v>
      </c>
    </row>
    <row r="5" spans="1:20">
      <c r="A5" s="3230" t="s">
        <v>2844</v>
      </c>
      <c r="B5" s="3221" t="s">
        <v>2858</v>
      </c>
      <c r="C5" s="3221">
        <v>34550</v>
      </c>
      <c r="D5" s="3221">
        <v>34470</v>
      </c>
      <c r="E5" s="3221">
        <v>34330</v>
      </c>
      <c r="F5" s="3221">
        <v>13400</v>
      </c>
      <c r="G5" s="3221">
        <v>25450</v>
      </c>
      <c r="H5" s="3224"/>
      <c r="I5" s="3225" t="s">
        <v>145</v>
      </c>
      <c r="J5" s="3226" t="s">
        <v>146</v>
      </c>
      <c r="K5" s="3226" t="s">
        <v>147</v>
      </c>
      <c r="L5" s="3225" t="s">
        <v>148</v>
      </c>
      <c r="M5" s="3225" t="s">
        <v>149</v>
      </c>
      <c r="N5" s="3225" t="s">
        <v>150</v>
      </c>
      <c r="O5" s="3225" t="s">
        <v>151</v>
      </c>
      <c r="P5" s="3225" t="s">
        <v>152</v>
      </c>
      <c r="Q5" s="3225" t="s">
        <v>2882</v>
      </c>
      <c r="R5" s="3225" t="s">
        <v>2883</v>
      </c>
      <c r="S5" s="3225" t="s">
        <v>153</v>
      </c>
      <c r="T5" s="3225" t="s">
        <v>2884</v>
      </c>
    </row>
    <row r="6" spans="1:20" ht="12.75" thickBot="1">
      <c r="A6" s="3225" t="s">
        <v>144</v>
      </c>
      <c r="B6" s="3225" t="s">
        <v>2873</v>
      </c>
      <c r="C6" s="3225">
        <v>36990</v>
      </c>
      <c r="D6" s="3225">
        <v>36850</v>
      </c>
      <c r="E6" s="3225">
        <v>36700</v>
      </c>
      <c r="F6" s="3225">
        <v>14590</v>
      </c>
      <c r="G6" s="3225">
        <v>27450</v>
      </c>
      <c r="H6" s="3224"/>
      <c r="I6" s="3231" t="s">
        <v>154</v>
      </c>
      <c r="J6" s="3226" t="s">
        <v>155</v>
      </c>
      <c r="K6" s="3226" t="s">
        <v>156</v>
      </c>
      <c r="L6" s="3225" t="s">
        <v>157</v>
      </c>
      <c r="M6" s="3225" t="s">
        <v>158</v>
      </c>
      <c r="N6" s="3225" t="s">
        <v>159</v>
      </c>
      <c r="O6" s="3225" t="s">
        <v>160</v>
      </c>
      <c r="P6" s="3225" t="s">
        <v>2885</v>
      </c>
      <c r="Q6" s="3225" t="s">
        <v>2886</v>
      </c>
      <c r="R6" s="3225" t="s">
        <v>161</v>
      </c>
      <c r="S6" s="3225" t="s">
        <v>2887</v>
      </c>
      <c r="T6" s="3225" t="s">
        <v>2888</v>
      </c>
    </row>
    <row r="7" spans="1:20">
      <c r="A7" s="3225" t="s">
        <v>144</v>
      </c>
      <c r="B7" s="3226" t="s">
        <v>137</v>
      </c>
      <c r="C7" s="3225">
        <v>34850</v>
      </c>
      <c r="D7" s="3225">
        <v>34690</v>
      </c>
      <c r="E7" s="3225">
        <v>34550</v>
      </c>
      <c r="F7" s="3225">
        <v>14360</v>
      </c>
      <c r="G7" s="3225">
        <v>25620</v>
      </c>
      <c r="H7" s="3224"/>
      <c r="J7" s="3226" t="s">
        <v>162</v>
      </c>
      <c r="K7" s="3226" t="s">
        <v>163</v>
      </c>
      <c r="L7" s="3225" t="s">
        <v>164</v>
      </c>
      <c r="M7" s="3225" t="s">
        <v>165</v>
      </c>
      <c r="N7" s="3225" t="s">
        <v>166</v>
      </c>
      <c r="O7" s="3225" t="s">
        <v>167</v>
      </c>
      <c r="P7" s="3225" t="s">
        <v>2889</v>
      </c>
      <c r="Q7" s="3225" t="s">
        <v>2890</v>
      </c>
      <c r="R7" s="3225" t="s">
        <v>2891</v>
      </c>
      <c r="S7" s="3225" t="s">
        <v>2892</v>
      </c>
      <c r="T7" s="3225" t="s">
        <v>2893</v>
      </c>
    </row>
    <row r="8" spans="1:20" ht="12.75" thickBot="1">
      <c r="A8" s="3225" t="s">
        <v>144</v>
      </c>
      <c r="B8" s="3225" t="s">
        <v>145</v>
      </c>
      <c r="C8" s="3225">
        <v>32630</v>
      </c>
      <c r="D8" s="3225">
        <v>32510</v>
      </c>
      <c r="E8" s="3225">
        <v>32420</v>
      </c>
      <c r="F8" s="3225">
        <v>13300</v>
      </c>
      <c r="G8" s="3225">
        <v>24010</v>
      </c>
      <c r="H8" s="3224"/>
      <c r="J8" s="3226" t="s">
        <v>168</v>
      </c>
      <c r="K8" s="3226" t="s">
        <v>169</v>
      </c>
      <c r="L8" s="3225" t="s">
        <v>170</v>
      </c>
      <c r="M8" s="3225" t="s">
        <v>171</v>
      </c>
      <c r="N8" s="3225" t="s">
        <v>172</v>
      </c>
      <c r="O8" s="3225" t="s">
        <v>173</v>
      </c>
      <c r="P8" s="3225" t="s">
        <v>2894</v>
      </c>
      <c r="Q8" s="3225" t="s">
        <v>174</v>
      </c>
      <c r="R8" s="3225" t="s">
        <v>2895</v>
      </c>
      <c r="S8" s="3225" t="s">
        <v>2896</v>
      </c>
      <c r="T8" s="3232" t="s">
        <v>2897</v>
      </c>
    </row>
    <row r="9" spans="1:20" ht="12.75" thickBot="1">
      <c r="A9" s="3233" t="s">
        <v>144</v>
      </c>
      <c r="B9" s="3231" t="s">
        <v>154</v>
      </c>
      <c r="C9" s="3232">
        <v>36370</v>
      </c>
      <c r="D9" s="3232">
        <v>36210</v>
      </c>
      <c r="E9" s="3232">
        <v>36050</v>
      </c>
      <c r="F9" s="3232"/>
      <c r="G9" s="3232">
        <v>26740</v>
      </c>
      <c r="H9" s="3224"/>
      <c r="J9" s="3226" t="s">
        <v>175</v>
      </c>
      <c r="K9" s="3226" t="s">
        <v>176</v>
      </c>
      <c r="L9" s="3225" t="s">
        <v>177</v>
      </c>
      <c r="M9" s="3225" t="s">
        <v>178</v>
      </c>
      <c r="N9" s="3225" t="s">
        <v>179</v>
      </c>
      <c r="O9" s="3225" t="s">
        <v>180</v>
      </c>
      <c r="P9" s="3225" t="s">
        <v>2898</v>
      </c>
      <c r="Q9" s="3225" t="s">
        <v>182</v>
      </c>
      <c r="R9" s="3225" t="s">
        <v>183</v>
      </c>
      <c r="S9" s="3225" t="s">
        <v>200</v>
      </c>
    </row>
    <row r="10" spans="1:20">
      <c r="A10" s="3230" t="s">
        <v>184</v>
      </c>
      <c r="B10" s="3221" t="s">
        <v>2859</v>
      </c>
      <c r="C10" s="3225">
        <v>32350</v>
      </c>
      <c r="D10" s="3225">
        <v>31430</v>
      </c>
      <c r="E10" s="3225">
        <v>31320</v>
      </c>
      <c r="F10" s="3225">
        <v>10850</v>
      </c>
      <c r="G10" s="3225">
        <v>22860</v>
      </c>
      <c r="H10" s="3224"/>
      <c r="J10" s="3226" t="s">
        <v>185</v>
      </c>
      <c r="K10" s="3226" t="s">
        <v>186</v>
      </c>
      <c r="L10" s="3225" t="s">
        <v>187</v>
      </c>
      <c r="M10" s="3225" t="s">
        <v>188</v>
      </c>
      <c r="N10" s="3225" t="s">
        <v>189</v>
      </c>
      <c r="O10" s="3225" t="s">
        <v>190</v>
      </c>
      <c r="P10" s="3225" t="s">
        <v>181</v>
      </c>
      <c r="Q10" s="3225" t="s">
        <v>192</v>
      </c>
      <c r="R10" s="3225" t="s">
        <v>193</v>
      </c>
      <c r="S10" s="3225" t="s">
        <v>2899</v>
      </c>
    </row>
    <row r="11" spans="1:20">
      <c r="A11" s="3225" t="s">
        <v>184</v>
      </c>
      <c r="B11" s="3226" t="s">
        <v>128</v>
      </c>
      <c r="C11" s="3225">
        <v>31590</v>
      </c>
      <c r="D11" s="3225">
        <v>29490</v>
      </c>
      <c r="E11" s="3225">
        <v>28700</v>
      </c>
      <c r="F11" s="3225">
        <v>10410</v>
      </c>
      <c r="G11" s="3225">
        <v>21460</v>
      </c>
      <c r="H11" s="3224"/>
      <c r="J11" s="3226" t="s">
        <v>194</v>
      </c>
      <c r="K11" s="3226" t="s">
        <v>195</v>
      </c>
      <c r="L11" s="3225" t="s">
        <v>196</v>
      </c>
      <c r="M11" s="3225" t="s">
        <v>197</v>
      </c>
      <c r="N11" s="3225" t="s">
        <v>198</v>
      </c>
      <c r="O11" s="3225" t="s">
        <v>2900</v>
      </c>
      <c r="P11" s="3225" t="s">
        <v>191</v>
      </c>
      <c r="Q11" s="3225" t="s">
        <v>199</v>
      </c>
      <c r="R11" s="3225" t="s">
        <v>2901</v>
      </c>
      <c r="S11" s="3225" t="s">
        <v>2902</v>
      </c>
    </row>
    <row r="12" spans="1:20">
      <c r="A12" s="3225" t="s">
        <v>184</v>
      </c>
      <c r="B12" s="3226" t="s">
        <v>111</v>
      </c>
      <c r="C12" s="3225">
        <v>29640</v>
      </c>
      <c r="D12" s="3225">
        <v>27550</v>
      </c>
      <c r="E12" s="3225">
        <v>28010</v>
      </c>
      <c r="F12" s="3225">
        <v>8730</v>
      </c>
      <c r="G12" s="3225">
        <v>20050</v>
      </c>
      <c r="H12" s="3224"/>
      <c r="J12" s="3226" t="s">
        <v>201</v>
      </c>
      <c r="K12" s="3226" t="s">
        <v>202</v>
      </c>
      <c r="L12" s="3225" t="s">
        <v>203</v>
      </c>
      <c r="M12" s="3225" t="s">
        <v>204</v>
      </c>
      <c r="N12" s="3225" t="s">
        <v>205</v>
      </c>
      <c r="O12" s="3225" t="s">
        <v>2903</v>
      </c>
      <c r="P12" s="3225" t="s">
        <v>2904</v>
      </c>
      <c r="Q12" s="3225" t="s">
        <v>2905</v>
      </c>
      <c r="R12" s="3225" t="s">
        <v>2906</v>
      </c>
      <c r="S12" s="3225" t="s">
        <v>2907</v>
      </c>
    </row>
    <row r="13" spans="1:20">
      <c r="A13" s="3225" t="s">
        <v>184</v>
      </c>
      <c r="B13" s="3226" t="s">
        <v>146</v>
      </c>
      <c r="C13" s="3225">
        <v>29680</v>
      </c>
      <c r="D13" s="3225">
        <v>27660</v>
      </c>
      <c r="E13" s="3225">
        <v>28210</v>
      </c>
      <c r="F13" s="3225">
        <v>9590</v>
      </c>
      <c r="G13" s="3225">
        <v>20120</v>
      </c>
      <c r="H13" s="3224"/>
      <c r="J13" s="3226" t="s">
        <v>208</v>
      </c>
      <c r="K13" s="3226" t="s">
        <v>209</v>
      </c>
      <c r="L13" s="3225" t="s">
        <v>210</v>
      </c>
      <c r="M13" s="3225" t="s">
        <v>211</v>
      </c>
      <c r="N13" s="3225" t="s">
        <v>212</v>
      </c>
      <c r="O13" s="3225" t="s">
        <v>2908</v>
      </c>
      <c r="P13" s="3225" t="s">
        <v>206</v>
      </c>
      <c r="Q13" s="3225" t="s">
        <v>219</v>
      </c>
      <c r="R13" s="3225" t="s">
        <v>220</v>
      </c>
      <c r="S13" s="3225" t="s">
        <v>214</v>
      </c>
    </row>
    <row r="14" spans="1:20">
      <c r="A14" s="3225" t="s">
        <v>184</v>
      </c>
      <c r="B14" s="3226" t="s">
        <v>155</v>
      </c>
      <c r="C14" s="3225">
        <v>30520</v>
      </c>
      <c r="D14" s="3225">
        <v>29510</v>
      </c>
      <c r="E14" s="3225">
        <v>29400</v>
      </c>
      <c r="F14" s="3225">
        <v>9630</v>
      </c>
      <c r="G14" s="3225">
        <v>21480</v>
      </c>
      <c r="H14" s="3224"/>
      <c r="J14" s="3226" t="s">
        <v>2909</v>
      </c>
      <c r="K14" s="3226" t="s">
        <v>215</v>
      </c>
      <c r="L14" s="3225" t="s">
        <v>216</v>
      </c>
      <c r="M14" s="3225" t="s">
        <v>217</v>
      </c>
      <c r="N14" s="3225" t="s">
        <v>218</v>
      </c>
      <c r="O14" s="3225" t="s">
        <v>240</v>
      </c>
      <c r="P14" s="3225" t="s">
        <v>213</v>
      </c>
      <c r="Q14" s="3225" t="s">
        <v>2910</v>
      </c>
      <c r="R14" s="3225" t="s">
        <v>228</v>
      </c>
      <c r="S14" s="3225" t="s">
        <v>221</v>
      </c>
    </row>
    <row r="15" spans="1:20">
      <c r="A15" s="3225" t="s">
        <v>184</v>
      </c>
      <c r="B15" s="3226" t="s">
        <v>162</v>
      </c>
      <c r="C15" s="3225">
        <v>29090</v>
      </c>
      <c r="D15" s="3225">
        <v>27590</v>
      </c>
      <c r="E15" s="3225">
        <v>28120</v>
      </c>
      <c r="F15" s="3225">
        <v>9110</v>
      </c>
      <c r="G15" s="3225">
        <v>20070</v>
      </c>
      <c r="H15" s="3224"/>
      <c r="J15" s="3226" t="s">
        <v>222</v>
      </c>
      <c r="K15" s="3226" t="s">
        <v>223</v>
      </c>
      <c r="L15" s="3225" t="s">
        <v>224</v>
      </c>
      <c r="M15" s="3225" t="s">
        <v>225</v>
      </c>
      <c r="N15" s="3225" t="s">
        <v>226</v>
      </c>
      <c r="O15" s="3225" t="s">
        <v>2911</v>
      </c>
      <c r="P15" s="3225" t="s">
        <v>2912</v>
      </c>
      <c r="Q15" s="3225" t="s">
        <v>242</v>
      </c>
      <c r="R15" s="3225" t="s">
        <v>2913</v>
      </c>
      <c r="S15" s="3225" t="s">
        <v>229</v>
      </c>
    </row>
    <row r="16" spans="1:20">
      <c r="A16" s="3225" t="s">
        <v>184</v>
      </c>
      <c r="B16" s="3226" t="s">
        <v>168</v>
      </c>
      <c r="C16" s="3225">
        <v>26790</v>
      </c>
      <c r="D16" s="3225">
        <v>30370</v>
      </c>
      <c r="E16" s="3225">
        <v>30240</v>
      </c>
      <c r="F16" s="3225">
        <v>11590</v>
      </c>
      <c r="G16" s="3225">
        <v>22090</v>
      </c>
      <c r="H16" s="3224"/>
      <c r="J16" s="3226" t="s">
        <v>230</v>
      </c>
      <c r="K16" s="3226" t="s">
        <v>231</v>
      </c>
      <c r="L16" s="3225" t="s">
        <v>232</v>
      </c>
      <c r="M16" s="3225" t="s">
        <v>233</v>
      </c>
      <c r="N16" s="3225" t="s">
        <v>234</v>
      </c>
      <c r="O16" s="3225" t="s">
        <v>2914</v>
      </c>
      <c r="P16" s="3225" t="s">
        <v>227</v>
      </c>
      <c r="Q16" s="3225" t="s">
        <v>250</v>
      </c>
      <c r="R16" s="3225" t="s">
        <v>207</v>
      </c>
      <c r="S16" s="3225" t="s">
        <v>2915</v>
      </c>
    </row>
    <row r="17" spans="1:19" ht="14.25" customHeight="1">
      <c r="A17" s="3225" t="s">
        <v>184</v>
      </c>
      <c r="B17" s="3226" t="s">
        <v>175</v>
      </c>
      <c r="C17" s="3225">
        <v>29180</v>
      </c>
      <c r="D17" s="3225">
        <v>27620</v>
      </c>
      <c r="E17" s="3225">
        <v>28180</v>
      </c>
      <c r="F17" s="3225">
        <v>10790</v>
      </c>
      <c r="G17" s="3225">
        <v>20090</v>
      </c>
      <c r="H17" s="3224"/>
      <c r="J17" s="3226" t="s">
        <v>235</v>
      </c>
      <c r="K17" s="3226" t="s">
        <v>236</v>
      </c>
      <c r="L17" s="3225" t="s">
        <v>237</v>
      </c>
      <c r="M17" s="3225" t="s">
        <v>238</v>
      </c>
      <c r="N17" s="3225" t="s">
        <v>239</v>
      </c>
      <c r="O17" s="3225" t="s">
        <v>2916</v>
      </c>
      <c r="P17" s="3225" t="s">
        <v>2917</v>
      </c>
      <c r="Q17" s="3225" t="s">
        <v>256</v>
      </c>
      <c r="R17" s="3225" t="s">
        <v>2918</v>
      </c>
      <c r="S17" s="3225" t="s">
        <v>258</v>
      </c>
    </row>
    <row r="18" spans="1:19" ht="14.25" customHeight="1">
      <c r="A18" s="3225" t="s">
        <v>184</v>
      </c>
      <c r="B18" s="3226" t="s">
        <v>185</v>
      </c>
      <c r="C18" s="3225">
        <v>26840</v>
      </c>
      <c r="D18" s="3225">
        <v>28930</v>
      </c>
      <c r="E18" s="3225">
        <v>28820</v>
      </c>
      <c r="F18" s="3225"/>
      <c r="G18" s="3225">
        <v>21050</v>
      </c>
      <c r="H18" s="3224"/>
      <c r="J18" s="3226" t="s">
        <v>244</v>
      </c>
      <c r="K18" s="3226" t="s">
        <v>245</v>
      </c>
      <c r="L18" s="3225" t="s">
        <v>246</v>
      </c>
      <c r="M18" s="3225" t="s">
        <v>247</v>
      </c>
      <c r="N18" s="3225" t="s">
        <v>248</v>
      </c>
      <c r="O18" s="3225" t="s">
        <v>2919</v>
      </c>
      <c r="P18" s="3225" t="s">
        <v>241</v>
      </c>
      <c r="Q18" s="3225" t="s">
        <v>2920</v>
      </c>
      <c r="R18" s="3225" t="s">
        <v>257</v>
      </c>
      <c r="S18" s="3225" t="s">
        <v>266</v>
      </c>
    </row>
    <row r="19" spans="1:19" ht="14.25" customHeight="1">
      <c r="A19" s="3225" t="s">
        <v>184</v>
      </c>
      <c r="B19" s="3226" t="s">
        <v>194</v>
      </c>
      <c r="C19" s="3225">
        <v>27750</v>
      </c>
      <c r="D19" s="3225">
        <v>26680</v>
      </c>
      <c r="E19" s="3225">
        <v>26590</v>
      </c>
      <c r="F19" s="3225"/>
      <c r="G19" s="3225">
        <v>19420</v>
      </c>
      <c r="H19" s="3224"/>
      <c r="J19" s="3226" t="s">
        <v>251</v>
      </c>
      <c r="K19" s="3226" t="s">
        <v>252</v>
      </c>
      <c r="L19" s="3225" t="s">
        <v>253</v>
      </c>
      <c r="M19" s="3225" t="s">
        <v>254</v>
      </c>
      <c r="N19" s="3225" t="s">
        <v>255</v>
      </c>
      <c r="O19" s="3225" t="s">
        <v>2921</v>
      </c>
      <c r="P19" s="3225" t="s">
        <v>249</v>
      </c>
      <c r="Q19" s="3225" t="s">
        <v>2922</v>
      </c>
      <c r="R19" s="3225" t="s">
        <v>265</v>
      </c>
      <c r="S19" s="3225" t="s">
        <v>2923</v>
      </c>
    </row>
    <row r="20" spans="1:19" ht="14.25" customHeight="1">
      <c r="A20" s="3225" t="s">
        <v>184</v>
      </c>
      <c r="B20" s="3226" t="s">
        <v>201</v>
      </c>
      <c r="C20" s="3225">
        <v>27050</v>
      </c>
      <c r="D20" s="3225">
        <v>29010</v>
      </c>
      <c r="E20" s="3225">
        <v>28910</v>
      </c>
      <c r="F20" s="3225"/>
      <c r="G20" s="3225">
        <v>21110</v>
      </c>
      <c r="J20" s="3226" t="s">
        <v>259</v>
      </c>
      <c r="K20" s="3226" t="s">
        <v>260</v>
      </c>
      <c r="L20" s="3225" t="s">
        <v>261</v>
      </c>
      <c r="M20" s="3225" t="s">
        <v>262</v>
      </c>
      <c r="N20" s="3225" t="s">
        <v>263</v>
      </c>
      <c r="O20" s="3225" t="s">
        <v>2924</v>
      </c>
      <c r="P20" s="3225" t="s">
        <v>2925</v>
      </c>
      <c r="Q20" s="3225" t="s">
        <v>290</v>
      </c>
      <c r="R20" s="3225" t="s">
        <v>2926</v>
      </c>
      <c r="S20" s="3225" t="s">
        <v>277</v>
      </c>
    </row>
    <row r="21" spans="1:19" ht="14.25" customHeight="1" thickBot="1">
      <c r="A21" s="3225" t="s">
        <v>184</v>
      </c>
      <c r="B21" s="3226" t="s">
        <v>208</v>
      </c>
      <c r="C21" s="3225">
        <v>32370</v>
      </c>
      <c r="D21" s="3225">
        <v>26730</v>
      </c>
      <c r="E21" s="3225">
        <v>26640</v>
      </c>
      <c r="F21" s="3225"/>
      <c r="G21" s="3225">
        <v>19440</v>
      </c>
      <c r="J21" s="3232" t="s">
        <v>2927</v>
      </c>
      <c r="K21" s="3226" t="s">
        <v>267</v>
      </c>
      <c r="L21" s="3225" t="s">
        <v>268</v>
      </c>
      <c r="M21" s="3225" t="s">
        <v>269</v>
      </c>
      <c r="N21" s="3225" t="s">
        <v>270</v>
      </c>
      <c r="O21" s="3225" t="s">
        <v>264</v>
      </c>
      <c r="P21" s="3225" t="s">
        <v>283</v>
      </c>
      <c r="Q21" s="3225" t="s">
        <v>293</v>
      </c>
      <c r="R21" s="3225" t="s">
        <v>2928</v>
      </c>
      <c r="S21" s="3232" t="s">
        <v>2929</v>
      </c>
    </row>
    <row r="22" spans="1:19" ht="14.25" customHeight="1">
      <c r="A22" s="3225" t="s">
        <v>184</v>
      </c>
      <c r="B22" s="3226" t="s">
        <v>2909</v>
      </c>
      <c r="C22" s="3225">
        <v>29830</v>
      </c>
      <c r="D22" s="3225">
        <v>27600</v>
      </c>
      <c r="E22" s="3225">
        <v>28150</v>
      </c>
      <c r="F22" s="3225"/>
      <c r="G22" s="3225">
        <v>20080</v>
      </c>
      <c r="K22" s="3226" t="s">
        <v>2930</v>
      </c>
      <c r="L22" s="3225" t="s">
        <v>272</v>
      </c>
      <c r="M22" s="3225" t="s">
        <v>273</v>
      </c>
      <c r="N22" s="3225" t="s">
        <v>274</v>
      </c>
      <c r="O22" s="3225" t="s">
        <v>2931</v>
      </c>
      <c r="P22" s="3225" t="s">
        <v>286</v>
      </c>
      <c r="Q22" s="3225" t="s">
        <v>295</v>
      </c>
      <c r="R22" s="3225" t="s">
        <v>243</v>
      </c>
    </row>
    <row r="23" spans="1:19" ht="14.25" customHeight="1">
      <c r="A23" s="3225" t="s">
        <v>184</v>
      </c>
      <c r="B23" s="3226" t="s">
        <v>222</v>
      </c>
      <c r="C23" s="3225">
        <v>27800</v>
      </c>
      <c r="D23" s="3225">
        <v>26900</v>
      </c>
      <c r="E23" s="3225">
        <v>27170</v>
      </c>
      <c r="F23" s="3225"/>
      <c r="G23" s="3225">
        <v>19570</v>
      </c>
      <c r="K23" s="3226" t="s">
        <v>2932</v>
      </c>
      <c r="L23" s="3225" t="s">
        <v>278</v>
      </c>
      <c r="M23" s="3225" t="s">
        <v>279</v>
      </c>
      <c r="N23" s="3225" t="s">
        <v>2933</v>
      </c>
      <c r="O23" s="3225" t="s">
        <v>2934</v>
      </c>
      <c r="P23" s="3225" t="s">
        <v>289</v>
      </c>
      <c r="Q23" s="3225" t="s">
        <v>298</v>
      </c>
      <c r="R23" s="3225" t="s">
        <v>2935</v>
      </c>
    </row>
    <row r="24" spans="1:19" ht="14.25" customHeight="1">
      <c r="A24" s="3225" t="s">
        <v>184</v>
      </c>
      <c r="B24" s="3226" t="s">
        <v>230</v>
      </c>
      <c r="C24" s="3225">
        <v>27930</v>
      </c>
      <c r="D24" s="3225">
        <v>32260</v>
      </c>
      <c r="E24" s="3225">
        <v>32120</v>
      </c>
      <c r="F24" s="3225"/>
      <c r="G24" s="3225">
        <v>23470</v>
      </c>
      <c r="K24" s="3226" t="s">
        <v>2936</v>
      </c>
      <c r="L24" s="3225" t="s">
        <v>281</v>
      </c>
      <c r="M24" s="3225" t="s">
        <v>282</v>
      </c>
      <c r="N24" s="3225" t="s">
        <v>2937</v>
      </c>
      <c r="O24" s="3225" t="s">
        <v>285</v>
      </c>
      <c r="P24" s="3225" t="s">
        <v>2938</v>
      </c>
      <c r="Q24" s="3234" t="s">
        <v>2939</v>
      </c>
      <c r="R24" s="3225" t="s">
        <v>2940</v>
      </c>
    </row>
    <row r="25" spans="1:19" ht="14.25" customHeight="1">
      <c r="A25" s="3225" t="s">
        <v>184</v>
      </c>
      <c r="B25" s="3226" t="s">
        <v>235</v>
      </c>
      <c r="C25" s="3225">
        <v>32230</v>
      </c>
      <c r="D25" s="3225">
        <v>29640</v>
      </c>
      <c r="E25" s="3225">
        <v>29510</v>
      </c>
      <c r="F25" s="3225"/>
      <c r="G25" s="3225">
        <v>21560</v>
      </c>
      <c r="K25" s="3226" t="s">
        <v>2941</v>
      </c>
      <c r="L25" s="3225" t="s">
        <v>2942</v>
      </c>
      <c r="M25" s="3225" t="s">
        <v>284</v>
      </c>
      <c r="N25" s="3225" t="s">
        <v>292</v>
      </c>
      <c r="O25" s="3225" t="s">
        <v>288</v>
      </c>
      <c r="P25" s="3225" t="s">
        <v>275</v>
      </c>
      <c r="Q25" s="3234" t="s">
        <v>271</v>
      </c>
      <c r="R25" s="3225" t="s">
        <v>2943</v>
      </c>
    </row>
    <row r="26" spans="1:19" ht="14.25" customHeight="1" thickBot="1">
      <c r="A26" s="3225" t="s">
        <v>184</v>
      </c>
      <c r="B26" s="3226" t="s">
        <v>244</v>
      </c>
      <c r="C26" s="3225">
        <v>31690</v>
      </c>
      <c r="D26" s="3225">
        <v>27650</v>
      </c>
      <c r="E26" s="3225">
        <v>28200</v>
      </c>
      <c r="F26" s="3225"/>
      <c r="G26" s="3225">
        <v>20110</v>
      </c>
      <c r="K26" s="3231" t="s">
        <v>2944</v>
      </c>
      <c r="L26" s="3225" t="s">
        <v>2945</v>
      </c>
      <c r="M26" s="3225" t="s">
        <v>287</v>
      </c>
      <c r="N26" s="3225" t="s">
        <v>294</v>
      </c>
      <c r="O26" s="3225" t="s">
        <v>2946</v>
      </c>
      <c r="P26" s="3225" t="s">
        <v>2947</v>
      </c>
      <c r="Q26" s="3234" t="s">
        <v>276</v>
      </c>
      <c r="R26" s="3225" t="s">
        <v>2948</v>
      </c>
    </row>
    <row r="27" spans="1:19" ht="14.25" customHeight="1">
      <c r="A27" s="3225" t="s">
        <v>184</v>
      </c>
      <c r="B27" s="3226" t="s">
        <v>251</v>
      </c>
      <c r="C27" s="3225">
        <v>29610</v>
      </c>
      <c r="D27" s="3225">
        <v>27770</v>
      </c>
      <c r="E27" s="3225">
        <v>28300</v>
      </c>
      <c r="F27" s="3225"/>
      <c r="G27" s="3225">
        <v>20210</v>
      </c>
      <c r="L27" s="3225" t="s">
        <v>2949</v>
      </c>
      <c r="M27" s="3225" t="s">
        <v>291</v>
      </c>
      <c r="N27" s="3225" t="s">
        <v>297</v>
      </c>
      <c r="O27" s="3225" t="s">
        <v>2950</v>
      </c>
      <c r="P27" s="3225" t="s">
        <v>2951</v>
      </c>
      <c r="Q27" s="3225" t="s">
        <v>2952</v>
      </c>
      <c r="R27" s="3225" t="s">
        <v>2953</v>
      </c>
    </row>
    <row r="28" spans="1:19" ht="14.25" customHeight="1">
      <c r="A28" s="3225" t="s">
        <v>184</v>
      </c>
      <c r="B28" s="3226" t="s">
        <v>259</v>
      </c>
      <c r="C28" s="3225"/>
      <c r="D28" s="3225">
        <v>31520</v>
      </c>
      <c r="E28" s="3225">
        <v>31410</v>
      </c>
      <c r="F28" s="3225"/>
      <c r="G28" s="3225">
        <v>22940</v>
      </c>
      <c r="L28" s="3225" t="s">
        <v>2954</v>
      </c>
      <c r="M28" s="3225" t="s">
        <v>2955</v>
      </c>
      <c r="N28" s="3225" t="s">
        <v>2956</v>
      </c>
      <c r="O28" s="3225" t="s">
        <v>2957</v>
      </c>
      <c r="P28" s="3225" t="s">
        <v>2958</v>
      </c>
      <c r="Q28" s="3225" t="s">
        <v>2959</v>
      </c>
      <c r="R28" s="3225" t="s">
        <v>2960</v>
      </c>
    </row>
    <row r="29" spans="1:19" ht="14.25" customHeight="1" thickBot="1">
      <c r="A29" s="3233" t="s">
        <v>184</v>
      </c>
      <c r="B29" s="3235" t="s">
        <v>2927</v>
      </c>
      <c r="C29" s="3236"/>
      <c r="D29" s="3236">
        <v>29460</v>
      </c>
      <c r="E29" s="3236">
        <v>28640</v>
      </c>
      <c r="F29" s="3236"/>
      <c r="G29" s="3236">
        <v>21430</v>
      </c>
      <c r="L29" s="3225" t="s">
        <v>2961</v>
      </c>
      <c r="M29" s="3225" t="s">
        <v>2962</v>
      </c>
      <c r="N29" s="3225" t="s">
        <v>2963</v>
      </c>
      <c r="O29" s="3225" t="s">
        <v>2964</v>
      </c>
      <c r="P29" s="3225" t="s">
        <v>2965</v>
      </c>
      <c r="Q29" s="3225" t="s">
        <v>2966</v>
      </c>
      <c r="R29" s="3225" t="s">
        <v>280</v>
      </c>
    </row>
    <row r="30" spans="1:19" ht="14.25" customHeight="1">
      <c r="A30" s="3230" t="s">
        <v>296</v>
      </c>
      <c r="B30" s="3221" t="s">
        <v>2860</v>
      </c>
      <c r="C30" s="3221">
        <v>26890</v>
      </c>
      <c r="D30" s="3221">
        <v>26770</v>
      </c>
      <c r="E30" s="3221">
        <v>25700</v>
      </c>
      <c r="F30" s="3221">
        <v>8180</v>
      </c>
      <c r="G30" s="3237">
        <v>18740</v>
      </c>
      <c r="L30" s="3225" t="s">
        <v>2967</v>
      </c>
      <c r="M30" s="3225" t="s">
        <v>2968</v>
      </c>
      <c r="N30" s="3225" t="s">
        <v>2969</v>
      </c>
      <c r="O30" s="3225" t="s">
        <v>2970</v>
      </c>
      <c r="P30" s="3225" t="s">
        <v>2971</v>
      </c>
      <c r="Q30" s="3225" t="s">
        <v>2972</v>
      </c>
      <c r="R30" s="3225" t="s">
        <v>2973</v>
      </c>
    </row>
    <row r="31" spans="1:19" ht="14.25" customHeight="1">
      <c r="A31" s="3225" t="s">
        <v>296</v>
      </c>
      <c r="B31" s="3226" t="s">
        <v>129</v>
      </c>
      <c r="C31" s="3225">
        <v>24550</v>
      </c>
      <c r="D31" s="3225">
        <v>23990</v>
      </c>
      <c r="E31" s="3225">
        <v>22930</v>
      </c>
      <c r="F31" s="3225">
        <v>7470</v>
      </c>
      <c r="G31" s="3238">
        <v>16790</v>
      </c>
      <c r="L31" s="3225" t="s">
        <v>2974</v>
      </c>
      <c r="M31" s="3225" t="s">
        <v>2975</v>
      </c>
      <c r="N31" s="3225" t="s">
        <v>2976</v>
      </c>
      <c r="O31" s="3225" t="s">
        <v>2977</v>
      </c>
      <c r="P31" s="3225" t="s">
        <v>2978</v>
      </c>
      <c r="Q31" s="3225" t="s">
        <v>2979</v>
      </c>
      <c r="R31" s="3225" t="s">
        <v>2980</v>
      </c>
    </row>
    <row r="32" spans="1:19" ht="14.25" customHeight="1" thickBot="1">
      <c r="A32" s="3225" t="s">
        <v>296</v>
      </c>
      <c r="B32" s="3226" t="s">
        <v>138</v>
      </c>
      <c r="C32" s="3225">
        <v>27210</v>
      </c>
      <c r="D32" s="3225">
        <v>23240</v>
      </c>
      <c r="E32" s="3225">
        <v>23260</v>
      </c>
      <c r="F32" s="3225">
        <v>7130</v>
      </c>
      <c r="G32" s="3238">
        <v>16270</v>
      </c>
      <c r="L32" s="3225" t="s">
        <v>2981</v>
      </c>
      <c r="M32" s="3225" t="s">
        <v>2982</v>
      </c>
      <c r="N32" s="3225" t="s">
        <v>300</v>
      </c>
      <c r="O32" s="3225" t="s">
        <v>2983</v>
      </c>
      <c r="P32" s="3225" t="s">
        <v>299</v>
      </c>
      <c r="Q32" s="3225" t="s">
        <v>2984</v>
      </c>
      <c r="R32" s="3232" t="s">
        <v>2985</v>
      </c>
    </row>
    <row r="33" spans="1:17" ht="14.25" customHeight="1" thickBot="1">
      <c r="A33" s="3225" t="s">
        <v>296</v>
      </c>
      <c r="B33" s="3226" t="s">
        <v>147</v>
      </c>
      <c r="C33" s="3225">
        <v>27300</v>
      </c>
      <c r="D33" s="3225">
        <v>22980</v>
      </c>
      <c r="E33" s="3225">
        <v>24260</v>
      </c>
      <c r="F33" s="3225">
        <v>5860</v>
      </c>
      <c r="G33" s="3238">
        <v>16090</v>
      </c>
      <c r="L33" s="3232" t="s">
        <v>2986</v>
      </c>
      <c r="M33" s="3225" t="s">
        <v>2987</v>
      </c>
      <c r="N33" s="3225" t="s">
        <v>301</v>
      </c>
      <c r="O33" s="3225" t="s">
        <v>2988</v>
      </c>
      <c r="P33" s="3225" t="s">
        <v>2989</v>
      </c>
      <c r="Q33" s="3225" t="s">
        <v>2990</v>
      </c>
    </row>
    <row r="34" spans="1:17" ht="14.25" customHeight="1">
      <c r="A34" s="3225" t="s">
        <v>296</v>
      </c>
      <c r="B34" s="3226" t="s">
        <v>156</v>
      </c>
      <c r="C34" s="3225">
        <v>23090</v>
      </c>
      <c r="D34" s="3225">
        <v>23390</v>
      </c>
      <c r="E34" s="3225">
        <v>23510</v>
      </c>
      <c r="F34" s="3225">
        <v>6700</v>
      </c>
      <c r="G34" s="3238">
        <v>16370</v>
      </c>
      <c r="M34" s="3225" t="s">
        <v>2991</v>
      </c>
      <c r="N34" s="3225" t="s">
        <v>302</v>
      </c>
      <c r="O34" s="3225" t="s">
        <v>2992</v>
      </c>
      <c r="P34" s="3225" t="s">
        <v>2993</v>
      </c>
      <c r="Q34" s="3225" t="s">
        <v>2994</v>
      </c>
    </row>
    <row r="35" spans="1:17" ht="14.25" customHeight="1">
      <c r="A35" s="3225" t="s">
        <v>296</v>
      </c>
      <c r="B35" s="3226" t="s">
        <v>163</v>
      </c>
      <c r="C35" s="3225">
        <v>27270</v>
      </c>
      <c r="D35" s="3225">
        <v>24270</v>
      </c>
      <c r="E35" s="3225">
        <v>24950</v>
      </c>
      <c r="F35" s="3225">
        <v>6600</v>
      </c>
      <c r="G35" s="3238">
        <v>16990</v>
      </c>
      <c r="M35" s="3225" t="s">
        <v>2995</v>
      </c>
      <c r="N35" s="3225" t="s">
        <v>2996</v>
      </c>
      <c r="O35" s="3225" t="s">
        <v>2997</v>
      </c>
      <c r="P35" s="3225" t="s">
        <v>2998</v>
      </c>
      <c r="Q35" s="3225" t="s">
        <v>2999</v>
      </c>
    </row>
    <row r="36" spans="1:17" ht="14.25" customHeight="1">
      <c r="A36" s="3225" t="s">
        <v>296</v>
      </c>
      <c r="B36" s="3226" t="s">
        <v>169</v>
      </c>
      <c r="C36" s="3225">
        <v>23490</v>
      </c>
      <c r="D36" s="3225">
        <v>23020</v>
      </c>
      <c r="E36" s="3225">
        <v>25230</v>
      </c>
      <c r="F36" s="3225">
        <v>6780</v>
      </c>
      <c r="G36" s="3238">
        <v>16120</v>
      </c>
      <c r="M36" s="3225" t="s">
        <v>3000</v>
      </c>
      <c r="N36" s="3225" t="s">
        <v>3001</v>
      </c>
      <c r="O36" s="3225" t="s">
        <v>3002</v>
      </c>
      <c r="P36" s="3225" t="s">
        <v>3003</v>
      </c>
      <c r="Q36" s="3225" t="s">
        <v>3004</v>
      </c>
    </row>
    <row r="37" spans="1:17" ht="14.25" customHeight="1">
      <c r="A37" s="3225" t="s">
        <v>296</v>
      </c>
      <c r="B37" s="3226" t="s">
        <v>176</v>
      </c>
      <c r="C37" s="3225">
        <v>24380</v>
      </c>
      <c r="D37" s="3225">
        <v>22240</v>
      </c>
      <c r="E37" s="3225">
        <v>25980</v>
      </c>
      <c r="F37" s="3225">
        <v>8160</v>
      </c>
      <c r="G37" s="3238">
        <v>15570</v>
      </c>
      <c r="M37" s="3225" t="s">
        <v>3005</v>
      </c>
      <c r="N37" s="3225" t="s">
        <v>3006</v>
      </c>
      <c r="O37" s="3225" t="s">
        <v>3007</v>
      </c>
      <c r="P37" s="3225" t="s">
        <v>3008</v>
      </c>
      <c r="Q37" s="3225" t="s">
        <v>3009</v>
      </c>
    </row>
    <row r="38" spans="1:17" ht="14.25" customHeight="1">
      <c r="A38" s="3225" t="s">
        <v>296</v>
      </c>
      <c r="B38" s="3226" t="s">
        <v>186</v>
      </c>
      <c r="C38" s="3225">
        <v>23120</v>
      </c>
      <c r="D38" s="3225">
        <v>24630</v>
      </c>
      <c r="E38" s="3225">
        <v>25030</v>
      </c>
      <c r="F38" s="3225">
        <v>7710</v>
      </c>
      <c r="G38" s="3238">
        <v>17240</v>
      </c>
      <c r="M38" s="3225" t="s">
        <v>3010</v>
      </c>
      <c r="N38" s="3225" t="s">
        <v>3011</v>
      </c>
      <c r="O38" s="3225" t="s">
        <v>3012</v>
      </c>
      <c r="P38" s="3225" t="s">
        <v>3013</v>
      </c>
      <c r="Q38" s="3225" t="s">
        <v>3014</v>
      </c>
    </row>
    <row r="39" spans="1:17" ht="14.25" customHeight="1">
      <c r="A39" s="3225" t="s">
        <v>296</v>
      </c>
      <c r="B39" s="3226" t="s">
        <v>195</v>
      </c>
      <c r="C39" s="3225">
        <v>22330</v>
      </c>
      <c r="D39" s="3225">
        <v>21140</v>
      </c>
      <c r="E39" s="3225">
        <v>23970</v>
      </c>
      <c r="F39" s="3225">
        <v>7940</v>
      </c>
      <c r="G39" s="3238">
        <v>14790</v>
      </c>
      <c r="M39" s="3225" t="s">
        <v>3015</v>
      </c>
      <c r="N39" s="3225" t="s">
        <v>3016</v>
      </c>
      <c r="O39" s="3225" t="s">
        <v>3017</v>
      </c>
      <c r="P39" s="3225" t="s">
        <v>3018</v>
      </c>
      <c r="Q39" s="3225" t="s">
        <v>3019</v>
      </c>
    </row>
    <row r="40" spans="1:17" ht="14.25" customHeight="1">
      <c r="A40" s="3225" t="s">
        <v>296</v>
      </c>
      <c r="B40" s="3226" t="s">
        <v>202</v>
      </c>
      <c r="C40" s="3225">
        <v>24740</v>
      </c>
      <c r="D40" s="3225">
        <v>24690</v>
      </c>
      <c r="E40" s="3225">
        <v>22610</v>
      </c>
      <c r="F40" s="3225"/>
      <c r="G40" s="3238">
        <v>17280</v>
      </c>
      <c r="M40" s="3225" t="s">
        <v>3020</v>
      </c>
      <c r="N40" s="3225" t="s">
        <v>3021</v>
      </c>
      <c r="O40" s="3225" t="s">
        <v>3022</v>
      </c>
      <c r="P40" s="3225" t="s">
        <v>3023</v>
      </c>
      <c r="Q40" s="3225" t="s">
        <v>3024</v>
      </c>
    </row>
    <row r="41" spans="1:17" ht="14.25" customHeight="1" thickBot="1">
      <c r="A41" s="3225" t="s">
        <v>296</v>
      </c>
      <c r="B41" s="3226" t="s">
        <v>209</v>
      </c>
      <c r="C41" s="3225">
        <v>21220</v>
      </c>
      <c r="D41" s="3225">
        <v>21120</v>
      </c>
      <c r="E41" s="3225">
        <v>22590</v>
      </c>
      <c r="F41" s="3225"/>
      <c r="G41" s="3238">
        <v>14780</v>
      </c>
      <c r="M41" s="3232" t="s">
        <v>3025</v>
      </c>
      <c r="N41" s="3225" t="s">
        <v>3026</v>
      </c>
      <c r="O41" s="3225" t="s">
        <v>3027</v>
      </c>
      <c r="P41" s="3225" t="s">
        <v>3028</v>
      </c>
      <c r="Q41" s="3225" t="s">
        <v>3029</v>
      </c>
    </row>
    <row r="42" spans="1:17" ht="14.25" customHeight="1">
      <c r="A42" s="3225" t="s">
        <v>296</v>
      </c>
      <c r="B42" s="3226" t="s">
        <v>215</v>
      </c>
      <c r="C42" s="3225">
        <v>24800</v>
      </c>
      <c r="D42" s="3225">
        <v>22280</v>
      </c>
      <c r="E42" s="3225">
        <v>24350</v>
      </c>
      <c r="F42" s="3225"/>
      <c r="G42" s="3238">
        <v>15590</v>
      </c>
      <c r="N42" s="3225" t="s">
        <v>3030</v>
      </c>
      <c r="O42" s="3225" t="s">
        <v>3031</v>
      </c>
      <c r="P42" s="3225" t="s">
        <v>3032</v>
      </c>
      <c r="Q42" s="3225" t="s">
        <v>3033</v>
      </c>
    </row>
    <row r="43" spans="1:17" ht="14.25" customHeight="1">
      <c r="A43" s="3225" t="s">
        <v>3034</v>
      </c>
      <c r="B43" s="3226" t="s">
        <v>223</v>
      </c>
      <c r="C43" s="3225">
        <v>21210</v>
      </c>
      <c r="D43" s="3225">
        <v>21160</v>
      </c>
      <c r="E43" s="3225">
        <v>22650</v>
      </c>
      <c r="F43" s="3225"/>
      <c r="G43" s="3238">
        <v>14800</v>
      </c>
      <c r="N43" s="3225" t="s">
        <v>3035</v>
      </c>
      <c r="O43" s="3225" t="s">
        <v>3036</v>
      </c>
      <c r="P43" s="3225" t="s">
        <v>3037</v>
      </c>
      <c r="Q43" s="3225" t="s">
        <v>3038</v>
      </c>
    </row>
    <row r="44" spans="1:17" ht="14.25" customHeight="1" thickBot="1">
      <c r="A44" s="3225" t="s">
        <v>296</v>
      </c>
      <c r="B44" s="3226" t="s">
        <v>231</v>
      </c>
      <c r="C44" s="3225">
        <v>22370</v>
      </c>
      <c r="D44" s="3225">
        <v>23140</v>
      </c>
      <c r="E44" s="3225">
        <v>25090</v>
      </c>
      <c r="F44" s="3225"/>
      <c r="G44" s="3238">
        <v>16190</v>
      </c>
      <c r="N44" s="3225" t="s">
        <v>3039</v>
      </c>
      <c r="O44" s="3225" t="s">
        <v>3040</v>
      </c>
      <c r="P44" s="3232" t="s">
        <v>3041</v>
      </c>
      <c r="Q44" s="3225" t="s">
        <v>3042</v>
      </c>
    </row>
    <row r="45" spans="1:17" ht="14.25" customHeight="1" thickBot="1">
      <c r="A45" s="3225" t="s">
        <v>296</v>
      </c>
      <c r="B45" s="3226" t="s">
        <v>236</v>
      </c>
      <c r="C45" s="3225">
        <v>21240</v>
      </c>
      <c r="D45" s="3225">
        <v>27050</v>
      </c>
      <c r="E45" s="3225">
        <v>28000</v>
      </c>
      <c r="F45" s="3225"/>
      <c r="G45" s="3238">
        <v>18940</v>
      </c>
      <c r="N45" s="3225" t="s">
        <v>3043</v>
      </c>
      <c r="O45" s="3232" t="s">
        <v>3044</v>
      </c>
      <c r="Q45" s="3225" t="s">
        <v>3045</v>
      </c>
    </row>
    <row r="46" spans="1:17" ht="14.25" customHeight="1">
      <c r="A46" s="3225" t="s">
        <v>296</v>
      </c>
      <c r="B46" s="3226" t="s">
        <v>245</v>
      </c>
      <c r="C46" s="3225">
        <v>23240</v>
      </c>
      <c r="D46" s="3225">
        <v>23000</v>
      </c>
      <c r="E46" s="3225">
        <v>24980</v>
      </c>
      <c r="F46" s="3225"/>
      <c r="G46" s="3238">
        <v>16100</v>
      </c>
      <c r="N46" s="3225" t="s">
        <v>3046</v>
      </c>
      <c r="Q46" s="3225" t="s">
        <v>3047</v>
      </c>
    </row>
    <row r="47" spans="1:17" ht="14.25" customHeight="1">
      <c r="A47" s="3225" t="s">
        <v>296</v>
      </c>
      <c r="B47" s="3226" t="s">
        <v>252</v>
      </c>
      <c r="C47" s="3225">
        <v>27150</v>
      </c>
      <c r="D47" s="3225">
        <v>23310</v>
      </c>
      <c r="E47" s="3225">
        <v>25150</v>
      </c>
      <c r="F47" s="3225"/>
      <c r="G47" s="3238">
        <v>16310</v>
      </c>
      <c r="N47" s="3225" t="s">
        <v>3048</v>
      </c>
      <c r="Q47" s="3225" t="s">
        <v>3049</v>
      </c>
    </row>
    <row r="48" spans="1:17" ht="14.25" customHeight="1">
      <c r="A48" s="3225" t="s">
        <v>296</v>
      </c>
      <c r="B48" s="3226" t="s">
        <v>260</v>
      </c>
      <c r="C48" s="3225">
        <v>23100</v>
      </c>
      <c r="D48" s="3225">
        <v>21110</v>
      </c>
      <c r="E48" s="3225">
        <v>23080</v>
      </c>
      <c r="F48" s="3225"/>
      <c r="G48" s="3238">
        <v>14780</v>
      </c>
      <c r="N48" s="3225" t="s">
        <v>3050</v>
      </c>
      <c r="Q48" s="3225" t="s">
        <v>3051</v>
      </c>
    </row>
    <row r="49" spans="1:17" ht="14.25" customHeight="1">
      <c r="A49" s="3225" t="s">
        <v>296</v>
      </c>
      <c r="B49" s="3226" t="s">
        <v>267</v>
      </c>
      <c r="C49" s="3225">
        <v>23400</v>
      </c>
      <c r="D49" s="3225">
        <v>22920</v>
      </c>
      <c r="E49" s="3225">
        <v>24900</v>
      </c>
      <c r="F49" s="3225"/>
      <c r="G49" s="3238">
        <v>16040</v>
      </c>
      <c r="N49" s="3225" t="s">
        <v>3052</v>
      </c>
      <c r="Q49" s="3225" t="s">
        <v>3053</v>
      </c>
    </row>
    <row r="50" spans="1:17" ht="14.25" customHeight="1">
      <c r="A50" s="3225" t="s">
        <v>296</v>
      </c>
      <c r="B50" s="3226" t="s">
        <v>2930</v>
      </c>
      <c r="C50" s="3225">
        <v>21200</v>
      </c>
      <c r="D50" s="3225">
        <v>26540</v>
      </c>
      <c r="E50" s="3225">
        <v>23200</v>
      </c>
      <c r="F50" s="3225"/>
      <c r="G50" s="3238">
        <v>18580</v>
      </c>
      <c r="N50" s="3225" t="s">
        <v>3054</v>
      </c>
      <c r="Q50" s="3226" t="s">
        <v>3055</v>
      </c>
    </row>
    <row r="51" spans="1:17" ht="14.25" customHeight="1" thickBot="1">
      <c r="A51" s="3225" t="s">
        <v>296</v>
      </c>
      <c r="B51" s="3226" t="s">
        <v>2932</v>
      </c>
      <c r="C51" s="3225">
        <v>23000</v>
      </c>
      <c r="D51" s="3225">
        <v>23460</v>
      </c>
      <c r="E51" s="3225">
        <v>25290</v>
      </c>
      <c r="F51" s="3225"/>
      <c r="G51" s="3238">
        <v>16420</v>
      </c>
      <c r="N51" s="3225" t="s">
        <v>3056</v>
      </c>
      <c r="Q51" s="3232" t="s">
        <v>3057</v>
      </c>
    </row>
    <row r="52" spans="1:17" ht="14.25" customHeight="1">
      <c r="A52" s="3225" t="s">
        <v>296</v>
      </c>
      <c r="B52" s="3226" t="s">
        <v>2936</v>
      </c>
      <c r="C52" s="3225">
        <v>26660</v>
      </c>
      <c r="D52" s="3225">
        <v>22350</v>
      </c>
      <c r="E52" s="3225">
        <v>22920</v>
      </c>
      <c r="F52" s="3225"/>
      <c r="G52" s="3238">
        <v>15640</v>
      </c>
      <c r="N52" s="3225" t="s">
        <v>3058</v>
      </c>
    </row>
    <row r="53" spans="1:17" ht="14.25" customHeight="1">
      <c r="A53" s="3225" t="s">
        <v>296</v>
      </c>
      <c r="B53" s="3226" t="s">
        <v>2941</v>
      </c>
      <c r="C53" s="3225">
        <v>23580</v>
      </c>
      <c r="D53" s="3225"/>
      <c r="E53" s="3225">
        <v>24280</v>
      </c>
      <c r="F53" s="3225"/>
      <c r="G53" s="3238"/>
      <c r="N53" s="3225" t="s">
        <v>3059</v>
      </c>
    </row>
    <row r="54" spans="1:17" ht="14.25" customHeight="1" thickBot="1">
      <c r="A54" s="3239" t="s">
        <v>296</v>
      </c>
      <c r="B54" s="3231" t="s">
        <v>2944</v>
      </c>
      <c r="C54" s="3232">
        <v>22460</v>
      </c>
      <c r="D54" s="3232"/>
      <c r="E54" s="3232"/>
      <c r="F54" s="3232"/>
      <c r="G54" s="3240"/>
      <c r="N54" s="3225" t="s">
        <v>3060</v>
      </c>
    </row>
    <row r="55" spans="1:17" ht="14.25" customHeight="1">
      <c r="A55" s="3230" t="s">
        <v>110</v>
      </c>
      <c r="B55" s="3221" t="s">
        <v>3061</v>
      </c>
      <c r="C55" s="3225">
        <v>21970</v>
      </c>
      <c r="D55" s="3225">
        <v>20370</v>
      </c>
      <c r="E55" s="3225">
        <v>20180</v>
      </c>
      <c r="F55" s="3225">
        <v>5730</v>
      </c>
      <c r="G55" s="3225">
        <v>13820</v>
      </c>
      <c r="N55" s="3225" t="s">
        <v>3062</v>
      </c>
    </row>
    <row r="56" spans="1:17" ht="14.25" customHeight="1">
      <c r="A56" s="3225" t="s">
        <v>110</v>
      </c>
      <c r="B56" s="3225" t="s">
        <v>130</v>
      </c>
      <c r="C56" s="3225">
        <v>20470</v>
      </c>
      <c r="D56" s="3225">
        <v>20700</v>
      </c>
      <c r="E56" s="3225">
        <v>20380</v>
      </c>
      <c r="F56" s="3225">
        <v>4760</v>
      </c>
      <c r="G56" s="3225">
        <v>14050</v>
      </c>
      <c r="N56" s="3225" t="s">
        <v>3063</v>
      </c>
    </row>
    <row r="57" spans="1:17" ht="14.25" customHeight="1">
      <c r="A57" s="3225" t="s">
        <v>110</v>
      </c>
      <c r="B57" s="3225" t="s">
        <v>139</v>
      </c>
      <c r="C57" s="3225">
        <v>20790</v>
      </c>
      <c r="D57" s="3225">
        <v>21370</v>
      </c>
      <c r="E57" s="3225">
        <v>20890</v>
      </c>
      <c r="F57" s="3225">
        <v>4910</v>
      </c>
      <c r="G57" s="3225">
        <v>14510</v>
      </c>
      <c r="N57" s="3225" t="s">
        <v>3064</v>
      </c>
    </row>
    <row r="58" spans="1:17" ht="14.25" customHeight="1">
      <c r="A58" s="3225" t="s">
        <v>110</v>
      </c>
      <c r="B58" s="3225" t="s">
        <v>148</v>
      </c>
      <c r="C58" s="3225">
        <v>21460</v>
      </c>
      <c r="D58" s="3225">
        <v>20920</v>
      </c>
      <c r="E58" s="3225">
        <v>23410</v>
      </c>
      <c r="F58" s="3225">
        <v>5100</v>
      </c>
      <c r="G58" s="3225">
        <v>14200</v>
      </c>
      <c r="N58" s="3225" t="s">
        <v>3065</v>
      </c>
    </row>
    <row r="59" spans="1:17" ht="14.25" customHeight="1">
      <c r="A59" s="3225" t="s">
        <v>110</v>
      </c>
      <c r="B59" s="3225" t="s">
        <v>157</v>
      </c>
      <c r="C59" s="3225">
        <v>21000</v>
      </c>
      <c r="D59" s="3225">
        <v>21550</v>
      </c>
      <c r="E59" s="3225">
        <v>21150</v>
      </c>
      <c r="F59" s="3225">
        <v>5250</v>
      </c>
      <c r="G59" s="3225">
        <v>14630</v>
      </c>
      <c r="N59" s="3225" t="s">
        <v>3066</v>
      </c>
    </row>
    <row r="60" spans="1:17" ht="14.25" customHeight="1">
      <c r="A60" s="3225" t="s">
        <v>110</v>
      </c>
      <c r="B60" s="3225" t="s">
        <v>164</v>
      </c>
      <c r="C60" s="3225">
        <v>21640</v>
      </c>
      <c r="D60" s="3225">
        <v>21260</v>
      </c>
      <c r="E60" s="3225">
        <v>24040</v>
      </c>
      <c r="F60" s="3225">
        <v>4470</v>
      </c>
      <c r="G60" s="3225">
        <v>14430</v>
      </c>
      <c r="N60" s="3225" t="s">
        <v>3067</v>
      </c>
    </row>
    <row r="61" spans="1:17" ht="14.25" customHeight="1">
      <c r="A61" s="3225" t="s">
        <v>110</v>
      </c>
      <c r="B61" s="3225" t="s">
        <v>170</v>
      </c>
      <c r="C61" s="3225">
        <v>21330</v>
      </c>
      <c r="D61" s="3225">
        <v>18640</v>
      </c>
      <c r="E61" s="3225">
        <v>21190</v>
      </c>
      <c r="F61" s="3225">
        <v>4180</v>
      </c>
      <c r="G61" s="3225">
        <v>12650</v>
      </c>
      <c r="N61" s="3225" t="s">
        <v>3068</v>
      </c>
    </row>
    <row r="62" spans="1:17" ht="14.25" customHeight="1">
      <c r="A62" s="3225" t="s">
        <v>110</v>
      </c>
      <c r="B62" s="3225" t="s">
        <v>177</v>
      </c>
      <c r="C62" s="3225">
        <v>18710</v>
      </c>
      <c r="D62" s="3225">
        <v>19400</v>
      </c>
      <c r="E62" s="3225">
        <v>23750</v>
      </c>
      <c r="F62" s="3225">
        <v>4860</v>
      </c>
      <c r="G62" s="3225">
        <v>13170</v>
      </c>
      <c r="N62" s="3225" t="s">
        <v>3069</v>
      </c>
    </row>
    <row r="63" spans="1:17" ht="14.25" customHeight="1">
      <c r="A63" s="3225" t="s">
        <v>110</v>
      </c>
      <c r="B63" s="3225" t="s">
        <v>187</v>
      </c>
      <c r="C63" s="3225">
        <v>19480</v>
      </c>
      <c r="D63" s="3225">
        <v>16830</v>
      </c>
      <c r="E63" s="3225">
        <v>21590</v>
      </c>
      <c r="F63" s="3225">
        <v>4560</v>
      </c>
      <c r="G63" s="3225">
        <v>11420</v>
      </c>
      <c r="N63" s="3225" t="s">
        <v>3070</v>
      </c>
    </row>
    <row r="64" spans="1:17" ht="14.25" customHeight="1" thickBot="1">
      <c r="A64" s="3225" t="s">
        <v>110</v>
      </c>
      <c r="B64" s="3225" t="s">
        <v>196</v>
      </c>
      <c r="C64" s="3225">
        <v>16920</v>
      </c>
      <c r="D64" s="3225">
        <v>19190</v>
      </c>
      <c r="E64" s="3225">
        <v>22200</v>
      </c>
      <c r="F64" s="3225">
        <v>4390</v>
      </c>
      <c r="G64" s="3225">
        <v>13030</v>
      </c>
      <c r="N64" s="3232" t="s">
        <v>3071</v>
      </c>
    </row>
    <row r="65" spans="1:7" s="3214" customFormat="1" ht="14.25" customHeight="1">
      <c r="A65" s="3225" t="s">
        <v>110</v>
      </c>
      <c r="B65" s="3225" t="s">
        <v>203</v>
      </c>
      <c r="C65" s="3225">
        <v>19290</v>
      </c>
      <c r="D65" s="3225">
        <v>17020</v>
      </c>
      <c r="E65" s="3225">
        <v>19880</v>
      </c>
      <c r="F65" s="3225">
        <v>4070</v>
      </c>
      <c r="G65" s="3225">
        <v>11550</v>
      </c>
    </row>
    <row r="66" spans="1:7" s="3214" customFormat="1" ht="14.25" customHeight="1">
      <c r="A66" s="3225" t="s">
        <v>110</v>
      </c>
      <c r="B66" s="3225" t="s">
        <v>210</v>
      </c>
      <c r="C66" s="3225">
        <v>17090</v>
      </c>
      <c r="D66" s="3225">
        <v>18340</v>
      </c>
      <c r="E66" s="3225">
        <v>21830</v>
      </c>
      <c r="F66" s="3225">
        <v>4690</v>
      </c>
      <c r="G66" s="3225">
        <v>12450</v>
      </c>
    </row>
    <row r="67" spans="1:7" s="3214" customFormat="1" ht="14.25" customHeight="1">
      <c r="A67" s="3225" t="s">
        <v>110</v>
      </c>
      <c r="B67" s="3225" t="s">
        <v>216</v>
      </c>
      <c r="C67" s="3225">
        <v>18420</v>
      </c>
      <c r="D67" s="3225">
        <v>16360</v>
      </c>
      <c r="E67" s="3225">
        <v>20020</v>
      </c>
      <c r="F67" s="3225">
        <v>5150</v>
      </c>
      <c r="G67" s="3225">
        <v>11110</v>
      </c>
    </row>
    <row r="68" spans="1:7" s="3214" customFormat="1" ht="14.25" customHeight="1">
      <c r="A68" s="3225" t="s">
        <v>110</v>
      </c>
      <c r="B68" s="3225" t="s">
        <v>224</v>
      </c>
      <c r="C68" s="3225">
        <v>16450</v>
      </c>
      <c r="D68" s="3225">
        <v>18430</v>
      </c>
      <c r="E68" s="3225">
        <v>21010</v>
      </c>
      <c r="F68" s="3225">
        <v>4720</v>
      </c>
      <c r="G68" s="3225">
        <v>12510</v>
      </c>
    </row>
    <row r="69" spans="1:7" s="3214" customFormat="1" ht="14.25" customHeight="1">
      <c r="A69" s="3225" t="s">
        <v>110</v>
      </c>
      <c r="B69" s="3225" t="s">
        <v>232</v>
      </c>
      <c r="C69" s="3225">
        <v>18510</v>
      </c>
      <c r="D69" s="3225">
        <v>16300</v>
      </c>
      <c r="E69" s="3225">
        <v>18830</v>
      </c>
      <c r="F69" s="3225">
        <v>5400</v>
      </c>
      <c r="G69" s="3225">
        <v>11070</v>
      </c>
    </row>
    <row r="70" spans="1:7" s="3214" customFormat="1" ht="14.25" customHeight="1">
      <c r="A70" s="3225" t="s">
        <v>110</v>
      </c>
      <c r="B70" s="3225" t="s">
        <v>237</v>
      </c>
      <c r="C70" s="3225">
        <v>16370</v>
      </c>
      <c r="D70" s="3225">
        <v>18620</v>
      </c>
      <c r="E70" s="3225">
        <v>21100</v>
      </c>
      <c r="F70" s="3225">
        <v>5700</v>
      </c>
      <c r="G70" s="3225">
        <v>12640</v>
      </c>
    </row>
    <row r="71" spans="1:7" s="3214" customFormat="1" ht="14.25" customHeight="1">
      <c r="A71" s="3225" t="s">
        <v>110</v>
      </c>
      <c r="B71" s="3225" t="s">
        <v>246</v>
      </c>
      <c r="C71" s="3225">
        <v>18700</v>
      </c>
      <c r="D71" s="3225">
        <v>16290</v>
      </c>
      <c r="E71" s="3225">
        <v>18760</v>
      </c>
      <c r="F71" s="3225">
        <v>4780</v>
      </c>
      <c r="G71" s="3225">
        <v>11050</v>
      </c>
    </row>
    <row r="72" spans="1:7" s="3214" customFormat="1" ht="14.25" customHeight="1">
      <c r="A72" s="3225" t="s">
        <v>110</v>
      </c>
      <c r="B72" s="3225" t="s">
        <v>253</v>
      </c>
      <c r="C72" s="3225">
        <v>16340</v>
      </c>
      <c r="D72" s="3225">
        <v>17520</v>
      </c>
      <c r="E72" s="3225">
        <v>21170</v>
      </c>
      <c r="F72" s="3225"/>
      <c r="G72" s="3225">
        <v>11900</v>
      </c>
    </row>
    <row r="73" spans="1:7" s="3214" customFormat="1" ht="14.25" customHeight="1">
      <c r="A73" s="3225" t="s">
        <v>110</v>
      </c>
      <c r="B73" s="3225" t="s">
        <v>261</v>
      </c>
      <c r="C73" s="3225">
        <v>17610</v>
      </c>
      <c r="D73" s="3225">
        <v>18520</v>
      </c>
      <c r="E73" s="3225">
        <v>18720</v>
      </c>
      <c r="F73" s="3225"/>
      <c r="G73" s="3225">
        <v>12570</v>
      </c>
    </row>
    <row r="74" spans="1:7" s="3214" customFormat="1" ht="14.25" customHeight="1">
      <c r="A74" s="3225" t="s">
        <v>110</v>
      </c>
      <c r="B74" s="3225" t="s">
        <v>268</v>
      </c>
      <c r="C74" s="3225">
        <v>18600</v>
      </c>
      <c r="D74" s="3225">
        <v>16480</v>
      </c>
      <c r="E74" s="3225">
        <v>20100</v>
      </c>
      <c r="F74" s="3225"/>
      <c r="G74" s="3225">
        <v>11190</v>
      </c>
    </row>
    <row r="75" spans="1:7" s="3214" customFormat="1" ht="14.25" customHeight="1">
      <c r="A75" s="3225" t="s">
        <v>110</v>
      </c>
      <c r="B75" s="3225" t="s">
        <v>272</v>
      </c>
      <c r="C75" s="3225">
        <v>16570</v>
      </c>
      <c r="D75" s="3225">
        <v>17530</v>
      </c>
      <c r="E75" s="3225">
        <v>21030</v>
      </c>
      <c r="F75" s="3225"/>
      <c r="G75" s="3225">
        <v>11900</v>
      </c>
    </row>
    <row r="76" spans="1:7" s="3214" customFormat="1" ht="14.25" customHeight="1">
      <c r="A76" s="3225" t="s">
        <v>110</v>
      </c>
      <c r="B76" s="3225" t="s">
        <v>278</v>
      </c>
      <c r="C76" s="3225">
        <v>17610</v>
      </c>
      <c r="D76" s="3225">
        <v>20800</v>
      </c>
      <c r="E76" s="3225">
        <v>18920</v>
      </c>
      <c r="F76" s="3225"/>
      <c r="G76" s="3225">
        <v>14120</v>
      </c>
    </row>
    <row r="77" spans="1:7" s="3214" customFormat="1" ht="14.25" customHeight="1">
      <c r="A77" s="3225" t="s">
        <v>110</v>
      </c>
      <c r="B77" s="3225" t="s">
        <v>281</v>
      </c>
      <c r="C77" s="3225">
        <v>20890</v>
      </c>
      <c r="D77" s="3225">
        <v>19740</v>
      </c>
      <c r="E77" s="3225">
        <v>20110</v>
      </c>
      <c r="F77" s="3225"/>
      <c r="G77" s="3225">
        <v>13400</v>
      </c>
    </row>
    <row r="78" spans="1:7" s="3214" customFormat="1" ht="14.25" customHeight="1">
      <c r="A78" s="3225" t="s">
        <v>110</v>
      </c>
      <c r="B78" s="3225" t="s">
        <v>2942</v>
      </c>
      <c r="C78" s="3225">
        <v>19820</v>
      </c>
      <c r="D78" s="3225">
        <v>19780</v>
      </c>
      <c r="E78" s="3225">
        <v>18560</v>
      </c>
      <c r="F78" s="3225"/>
      <c r="G78" s="3225">
        <v>13430</v>
      </c>
    </row>
    <row r="79" spans="1:7" s="3214" customFormat="1" ht="14.25" customHeight="1">
      <c r="A79" s="3225" t="s">
        <v>110</v>
      </c>
      <c r="B79" s="3225" t="s">
        <v>2945</v>
      </c>
      <c r="C79" s="3225">
        <v>21660</v>
      </c>
      <c r="D79" s="3225">
        <v>18000</v>
      </c>
      <c r="E79" s="3225">
        <v>22570</v>
      </c>
      <c r="F79" s="3225"/>
      <c r="G79" s="3225">
        <v>12220</v>
      </c>
    </row>
    <row r="80" spans="1:7" s="3214" customFormat="1" ht="14.25" customHeight="1">
      <c r="A80" s="3225" t="s">
        <v>110</v>
      </c>
      <c r="B80" s="3225" t="s">
        <v>2949</v>
      </c>
      <c r="C80" s="3225">
        <v>19850</v>
      </c>
      <c r="D80" s="3225"/>
      <c r="E80" s="3225">
        <v>21700</v>
      </c>
      <c r="F80" s="3225"/>
      <c r="G80" s="3225"/>
    </row>
    <row r="81" spans="1:7" s="3214" customFormat="1" ht="14.25" customHeight="1">
      <c r="A81" s="3225" t="s">
        <v>110</v>
      </c>
      <c r="B81" s="3225" t="s">
        <v>2954</v>
      </c>
      <c r="C81" s="3225">
        <v>18080</v>
      </c>
      <c r="D81" s="3225"/>
      <c r="E81" s="3225">
        <v>20900</v>
      </c>
      <c r="F81" s="3225"/>
      <c r="G81" s="3225"/>
    </row>
    <row r="82" spans="1:7" s="3214" customFormat="1" ht="14.25" customHeight="1">
      <c r="A82" s="3225" t="s">
        <v>110</v>
      </c>
      <c r="B82" s="3225" t="s">
        <v>2961</v>
      </c>
      <c r="C82" s="3225"/>
      <c r="D82" s="3225"/>
      <c r="E82" s="3225">
        <v>20840</v>
      </c>
      <c r="F82" s="3225"/>
      <c r="G82" s="3225"/>
    </row>
    <row r="83" spans="1:7" s="3214" customFormat="1" ht="14.25" customHeight="1">
      <c r="A83" s="3225" t="s">
        <v>110</v>
      </c>
      <c r="B83" s="3225" t="s">
        <v>3072</v>
      </c>
      <c r="C83" s="3225"/>
      <c r="D83" s="3225"/>
      <c r="E83" s="3225"/>
      <c r="F83" s="3225">
        <v>4770</v>
      </c>
      <c r="G83" s="3225"/>
    </row>
    <row r="84" spans="1:7" s="3214" customFormat="1" ht="14.25" customHeight="1">
      <c r="A84" s="3225" t="s">
        <v>110</v>
      </c>
      <c r="B84" s="3225" t="s">
        <v>3073</v>
      </c>
      <c r="C84" s="3225"/>
      <c r="D84" s="3225"/>
      <c r="E84" s="3225"/>
      <c r="F84" s="3225">
        <v>4600</v>
      </c>
      <c r="G84" s="3225"/>
    </row>
    <row r="85" spans="1:7" s="3214" customFormat="1" ht="14.25" customHeight="1">
      <c r="A85" s="3225" t="s">
        <v>110</v>
      </c>
      <c r="B85" s="3225" t="s">
        <v>3074</v>
      </c>
      <c r="C85" s="3225"/>
      <c r="D85" s="3225"/>
      <c r="E85" s="3225"/>
      <c r="F85" s="3225">
        <v>4680</v>
      </c>
      <c r="G85" s="3225"/>
    </row>
    <row r="86" spans="1:7" s="3214" customFormat="1" ht="14.25" customHeight="1" thickBot="1">
      <c r="A86" s="3233" t="s">
        <v>110</v>
      </c>
      <c r="B86" s="3235" t="s">
        <v>3075</v>
      </c>
      <c r="C86" s="3236">
        <v>16610</v>
      </c>
      <c r="D86" s="3236">
        <v>16540</v>
      </c>
      <c r="E86" s="3236">
        <v>18850</v>
      </c>
      <c r="F86" s="3236"/>
      <c r="G86" s="3236">
        <v>11220</v>
      </c>
    </row>
    <row r="87" spans="1:7" s="3214" customFormat="1" ht="14.25" customHeight="1">
      <c r="A87" s="3230" t="s">
        <v>303</v>
      </c>
      <c r="B87" s="3221" t="s">
        <v>3076</v>
      </c>
      <c r="C87" s="3221">
        <v>15240</v>
      </c>
      <c r="D87" s="3221">
        <v>15170</v>
      </c>
      <c r="E87" s="3221">
        <v>18260</v>
      </c>
      <c r="F87" s="3221">
        <v>3830</v>
      </c>
      <c r="G87" s="3237">
        <v>10020</v>
      </c>
    </row>
    <row r="88" spans="1:7" s="3214" customFormat="1" ht="14.25" customHeight="1">
      <c r="A88" s="3225" t="s">
        <v>303</v>
      </c>
      <c r="B88" s="3225" t="s">
        <v>131</v>
      </c>
      <c r="C88" s="3225">
        <v>17310</v>
      </c>
      <c r="D88" s="3225">
        <v>17220</v>
      </c>
      <c r="E88" s="3225">
        <v>18610</v>
      </c>
      <c r="F88" s="3225">
        <v>3990</v>
      </c>
      <c r="G88" s="3238">
        <v>11380</v>
      </c>
    </row>
    <row r="89" spans="1:7" s="3214" customFormat="1" ht="14.25" customHeight="1">
      <c r="A89" s="3225" t="s">
        <v>303</v>
      </c>
      <c r="B89" s="3225" t="s">
        <v>140</v>
      </c>
      <c r="C89" s="3225">
        <v>15600</v>
      </c>
      <c r="D89" s="3225">
        <v>15550</v>
      </c>
      <c r="E89" s="3225">
        <v>19200</v>
      </c>
      <c r="F89" s="3225">
        <v>4110</v>
      </c>
      <c r="G89" s="3238">
        <v>10270</v>
      </c>
    </row>
    <row r="90" spans="1:7" s="3214" customFormat="1" ht="14.25" customHeight="1">
      <c r="A90" s="3225" t="s">
        <v>303</v>
      </c>
      <c r="B90" s="3225" t="s">
        <v>149</v>
      </c>
      <c r="C90" s="3225">
        <v>17330</v>
      </c>
      <c r="D90" s="3225">
        <v>17240</v>
      </c>
      <c r="E90" s="3225">
        <v>18570</v>
      </c>
      <c r="F90" s="3225">
        <v>4070</v>
      </c>
      <c r="G90" s="3238">
        <v>11390</v>
      </c>
    </row>
    <row r="91" spans="1:7" s="3214" customFormat="1" ht="14.25" customHeight="1">
      <c r="A91" s="3225" t="s">
        <v>303</v>
      </c>
      <c r="B91" s="3225" t="s">
        <v>158</v>
      </c>
      <c r="C91" s="3225">
        <v>16330</v>
      </c>
      <c r="D91" s="3225">
        <v>16260</v>
      </c>
      <c r="E91" s="3225">
        <v>16800</v>
      </c>
      <c r="F91" s="3225">
        <v>3410</v>
      </c>
      <c r="G91" s="3238">
        <v>10740</v>
      </c>
    </row>
    <row r="92" spans="1:7" s="3214" customFormat="1" ht="14.25" customHeight="1">
      <c r="A92" s="3225" t="s">
        <v>303</v>
      </c>
      <c r="B92" s="3225" t="s">
        <v>165</v>
      </c>
      <c r="C92" s="3225">
        <v>15570</v>
      </c>
      <c r="D92" s="3225">
        <v>15500</v>
      </c>
      <c r="E92" s="3225">
        <v>17360</v>
      </c>
      <c r="F92" s="3225">
        <v>3510</v>
      </c>
      <c r="G92" s="3238">
        <v>10240</v>
      </c>
    </row>
    <row r="93" spans="1:7" s="3214" customFormat="1" ht="14.25" customHeight="1">
      <c r="A93" s="3225" t="s">
        <v>303</v>
      </c>
      <c r="B93" s="3225" t="s">
        <v>171</v>
      </c>
      <c r="C93" s="3225">
        <v>14000</v>
      </c>
      <c r="D93" s="3225">
        <v>13930</v>
      </c>
      <c r="E93" s="3225">
        <v>18200</v>
      </c>
      <c r="F93" s="3225">
        <v>3640</v>
      </c>
      <c r="G93" s="3238">
        <v>9210</v>
      </c>
    </row>
    <row r="94" spans="1:7" s="3214" customFormat="1" ht="14.25" customHeight="1">
      <c r="A94" s="3225" t="s">
        <v>303</v>
      </c>
      <c r="B94" s="3225" t="s">
        <v>178</v>
      </c>
      <c r="C94" s="3225">
        <v>14530</v>
      </c>
      <c r="D94" s="3225">
        <v>14470</v>
      </c>
      <c r="E94" s="3225">
        <v>18240</v>
      </c>
      <c r="F94" s="3225">
        <v>3180</v>
      </c>
      <c r="G94" s="3238">
        <v>9560</v>
      </c>
    </row>
    <row r="95" spans="1:7" s="3214" customFormat="1" ht="14.25" customHeight="1">
      <c r="A95" s="3225" t="s">
        <v>303</v>
      </c>
      <c r="B95" s="3225" t="s">
        <v>188</v>
      </c>
      <c r="C95" s="3225">
        <v>17330</v>
      </c>
      <c r="D95" s="3225">
        <v>17260</v>
      </c>
      <c r="E95" s="3225">
        <v>18420</v>
      </c>
      <c r="F95" s="3225">
        <v>3060</v>
      </c>
      <c r="G95" s="3238">
        <v>11410</v>
      </c>
    </row>
    <row r="96" spans="1:7" s="3214" customFormat="1" ht="14.25" customHeight="1">
      <c r="A96" s="3225" t="s">
        <v>303</v>
      </c>
      <c r="B96" s="3225" t="s">
        <v>197</v>
      </c>
      <c r="C96" s="3225">
        <v>15030</v>
      </c>
      <c r="D96" s="3225">
        <v>14970</v>
      </c>
      <c r="E96" s="3225">
        <v>17580</v>
      </c>
      <c r="F96" s="3225">
        <v>2970</v>
      </c>
      <c r="G96" s="3238">
        <v>9890</v>
      </c>
    </row>
    <row r="97" spans="1:7" s="3214" customFormat="1" ht="14.25" customHeight="1">
      <c r="A97" s="3225" t="s">
        <v>303</v>
      </c>
      <c r="B97" s="3225" t="s">
        <v>204</v>
      </c>
      <c r="C97" s="3225">
        <v>17400</v>
      </c>
      <c r="D97" s="3225">
        <v>17330</v>
      </c>
      <c r="E97" s="3225">
        <v>16430</v>
      </c>
      <c r="F97" s="3225">
        <v>2950</v>
      </c>
      <c r="G97" s="3238">
        <v>11450</v>
      </c>
    </row>
    <row r="98" spans="1:7" s="3214" customFormat="1" ht="14.25" customHeight="1">
      <c r="A98" s="3225" t="s">
        <v>303</v>
      </c>
      <c r="B98" s="3225" t="s">
        <v>211</v>
      </c>
      <c r="C98" s="3225">
        <v>15200</v>
      </c>
      <c r="D98" s="3225">
        <v>15120</v>
      </c>
      <c r="E98" s="3225">
        <v>17550</v>
      </c>
      <c r="F98" s="3225">
        <v>3080</v>
      </c>
      <c r="G98" s="3238">
        <v>9990</v>
      </c>
    </row>
    <row r="99" spans="1:7" s="3214" customFormat="1" ht="14.25" customHeight="1">
      <c r="A99" s="3225" t="s">
        <v>303</v>
      </c>
      <c r="B99" s="3225" t="s">
        <v>217</v>
      </c>
      <c r="C99" s="3225">
        <v>17520</v>
      </c>
      <c r="D99" s="3225">
        <v>17430</v>
      </c>
      <c r="E99" s="3225">
        <v>16350</v>
      </c>
      <c r="F99" s="3225">
        <v>3260</v>
      </c>
      <c r="G99" s="3238">
        <v>11510</v>
      </c>
    </row>
    <row r="100" spans="1:7" s="3214" customFormat="1" ht="14.25" customHeight="1">
      <c r="A100" s="3225" t="s">
        <v>303</v>
      </c>
      <c r="B100" s="3225" t="s">
        <v>225</v>
      </c>
      <c r="C100" s="3225">
        <v>15340</v>
      </c>
      <c r="D100" s="3225">
        <v>15260</v>
      </c>
      <c r="E100" s="3225">
        <v>15930</v>
      </c>
      <c r="F100" s="3225">
        <v>2740</v>
      </c>
      <c r="G100" s="3238">
        <v>10080</v>
      </c>
    </row>
    <row r="101" spans="1:7" s="3214" customFormat="1" ht="14.25" customHeight="1">
      <c r="A101" s="3225" t="s">
        <v>303</v>
      </c>
      <c r="B101" s="3225" t="s">
        <v>233</v>
      </c>
      <c r="C101" s="3225">
        <v>14620</v>
      </c>
      <c r="D101" s="3225">
        <v>14560</v>
      </c>
      <c r="E101" s="3225">
        <v>15570</v>
      </c>
      <c r="F101" s="3225">
        <v>3500</v>
      </c>
      <c r="G101" s="3238">
        <v>9630</v>
      </c>
    </row>
    <row r="102" spans="1:7" s="3214" customFormat="1" ht="14.25" customHeight="1">
      <c r="A102" s="3225" t="s">
        <v>303</v>
      </c>
      <c r="B102" s="3225" t="s">
        <v>238</v>
      </c>
      <c r="C102" s="3225">
        <v>13680</v>
      </c>
      <c r="D102" s="3225">
        <v>13610</v>
      </c>
      <c r="E102" s="3225">
        <v>15690</v>
      </c>
      <c r="F102" s="3225">
        <v>2870</v>
      </c>
      <c r="G102" s="3238">
        <v>8990</v>
      </c>
    </row>
    <row r="103" spans="1:7" s="3214" customFormat="1" ht="14.25" customHeight="1">
      <c r="A103" s="3225" t="s">
        <v>303</v>
      </c>
      <c r="B103" s="3225" t="s">
        <v>247</v>
      </c>
      <c r="C103" s="3225">
        <v>14620</v>
      </c>
      <c r="D103" s="3225">
        <v>14540</v>
      </c>
      <c r="E103" s="3225">
        <v>15240</v>
      </c>
      <c r="F103" s="3225">
        <v>2840</v>
      </c>
      <c r="G103" s="3238">
        <v>9610</v>
      </c>
    </row>
    <row r="104" spans="1:7" s="3214" customFormat="1" ht="14.25" customHeight="1">
      <c r="A104" s="3225" t="s">
        <v>303</v>
      </c>
      <c r="B104" s="3225" t="s">
        <v>254</v>
      </c>
      <c r="C104" s="3225">
        <v>13610</v>
      </c>
      <c r="D104" s="3225">
        <v>13540</v>
      </c>
      <c r="E104" s="3225">
        <v>15750</v>
      </c>
      <c r="F104" s="3225">
        <v>2770</v>
      </c>
      <c r="G104" s="3238">
        <v>8940</v>
      </c>
    </row>
    <row r="105" spans="1:7" s="3214" customFormat="1" ht="14.25" customHeight="1">
      <c r="A105" s="3225" t="s">
        <v>303</v>
      </c>
      <c r="B105" s="3225" t="s">
        <v>262</v>
      </c>
      <c r="C105" s="3225">
        <v>13310</v>
      </c>
      <c r="D105" s="3225">
        <v>13240</v>
      </c>
      <c r="E105" s="3225">
        <v>16280</v>
      </c>
      <c r="F105" s="3225">
        <v>3210</v>
      </c>
      <c r="G105" s="3238">
        <v>8750</v>
      </c>
    </row>
    <row r="106" spans="1:7" s="3214" customFormat="1" ht="14.25" customHeight="1">
      <c r="A106" s="3225" t="s">
        <v>303</v>
      </c>
      <c r="B106" s="3225" t="s">
        <v>269</v>
      </c>
      <c r="C106" s="3225">
        <v>13010</v>
      </c>
      <c r="D106" s="3225">
        <v>12930</v>
      </c>
      <c r="E106" s="3225">
        <v>14960</v>
      </c>
      <c r="F106" s="3225">
        <v>3530</v>
      </c>
      <c r="G106" s="3238">
        <v>8550</v>
      </c>
    </row>
    <row r="107" spans="1:7" s="3214" customFormat="1" ht="14.25" customHeight="1">
      <c r="A107" s="3225" t="s">
        <v>303</v>
      </c>
      <c r="B107" s="3225" t="s">
        <v>273</v>
      </c>
      <c r="C107" s="3225">
        <v>13070</v>
      </c>
      <c r="D107" s="3225">
        <v>13000</v>
      </c>
      <c r="E107" s="3225">
        <v>15910</v>
      </c>
      <c r="F107" s="3225">
        <v>3990</v>
      </c>
      <c r="G107" s="3238">
        <v>8580</v>
      </c>
    </row>
    <row r="108" spans="1:7" s="3214" customFormat="1" ht="14.25" customHeight="1">
      <c r="A108" s="3225" t="s">
        <v>303</v>
      </c>
      <c r="B108" s="3225" t="s">
        <v>279</v>
      </c>
      <c r="C108" s="3225">
        <v>12640</v>
      </c>
      <c r="D108" s="3225">
        <v>12580</v>
      </c>
      <c r="E108" s="3225">
        <v>15730</v>
      </c>
      <c r="F108" s="3225"/>
      <c r="G108" s="3238">
        <v>8310</v>
      </c>
    </row>
    <row r="109" spans="1:7" s="3214" customFormat="1" ht="14.25" customHeight="1">
      <c r="A109" s="3225" t="s">
        <v>303</v>
      </c>
      <c r="B109" s="3225" t="s">
        <v>282</v>
      </c>
      <c r="C109" s="3225">
        <v>13130</v>
      </c>
      <c r="D109" s="3225">
        <v>13070</v>
      </c>
      <c r="E109" s="3225">
        <v>15000</v>
      </c>
      <c r="F109" s="3225"/>
      <c r="G109" s="3238">
        <v>8630</v>
      </c>
    </row>
    <row r="110" spans="1:7" s="3214" customFormat="1" ht="14.25" customHeight="1">
      <c r="A110" s="3225" t="s">
        <v>303</v>
      </c>
      <c r="B110" s="3225" t="s">
        <v>284</v>
      </c>
      <c r="C110" s="3225">
        <v>13560</v>
      </c>
      <c r="D110" s="3225">
        <v>13490</v>
      </c>
      <c r="E110" s="3225">
        <v>16300</v>
      </c>
      <c r="F110" s="3225"/>
      <c r="G110" s="3238">
        <v>8920</v>
      </c>
    </row>
    <row r="111" spans="1:7" s="3214" customFormat="1" ht="14.25" customHeight="1">
      <c r="A111" s="3225" t="s">
        <v>303</v>
      </c>
      <c r="B111" s="3225" t="s">
        <v>287</v>
      </c>
      <c r="C111" s="3225">
        <v>12440</v>
      </c>
      <c r="D111" s="3225">
        <v>12380</v>
      </c>
      <c r="E111" s="3225">
        <v>17850</v>
      </c>
      <c r="F111" s="3225"/>
      <c r="G111" s="3238">
        <v>8180</v>
      </c>
    </row>
    <row r="112" spans="1:7" s="3214" customFormat="1" ht="14.25" customHeight="1">
      <c r="A112" s="3225" t="s">
        <v>303</v>
      </c>
      <c r="B112" s="3225" t="s">
        <v>291</v>
      </c>
      <c r="C112" s="3225">
        <v>13260</v>
      </c>
      <c r="D112" s="3225">
        <v>13180</v>
      </c>
      <c r="E112" s="3225">
        <v>19740</v>
      </c>
      <c r="F112" s="3225"/>
      <c r="G112" s="3238">
        <v>8710</v>
      </c>
    </row>
    <row r="113" spans="1:7" s="3214" customFormat="1" ht="14.25" customHeight="1">
      <c r="A113" s="3225" t="s">
        <v>303</v>
      </c>
      <c r="B113" s="3225" t="s">
        <v>2955</v>
      </c>
      <c r="C113" s="3225">
        <v>15520</v>
      </c>
      <c r="D113" s="3225">
        <v>15450</v>
      </c>
      <c r="E113" s="3225"/>
      <c r="F113" s="3225"/>
      <c r="G113" s="3238">
        <v>10210</v>
      </c>
    </row>
    <row r="114" spans="1:7" s="3214" customFormat="1" ht="14.25" customHeight="1">
      <c r="A114" s="3225" t="s">
        <v>303</v>
      </c>
      <c r="B114" s="3225" t="s">
        <v>2962</v>
      </c>
      <c r="C114" s="3225">
        <v>13110</v>
      </c>
      <c r="D114" s="3225">
        <v>13050</v>
      </c>
      <c r="E114" s="3225"/>
      <c r="F114" s="3225"/>
      <c r="G114" s="3238">
        <v>8620</v>
      </c>
    </row>
    <row r="115" spans="1:7" s="3214" customFormat="1" ht="14.25" customHeight="1">
      <c r="A115" s="3225" t="s">
        <v>303</v>
      </c>
      <c r="B115" s="3225" t="s">
        <v>2968</v>
      </c>
      <c r="C115" s="3225">
        <v>12460</v>
      </c>
      <c r="D115" s="3225">
        <v>12390</v>
      </c>
      <c r="E115" s="3225"/>
      <c r="F115" s="3225"/>
      <c r="G115" s="3238">
        <v>8190</v>
      </c>
    </row>
    <row r="116" spans="1:7" s="3214" customFormat="1" ht="14.25" customHeight="1">
      <c r="A116" s="3225" t="s">
        <v>303</v>
      </c>
      <c r="B116" s="3225" t="s">
        <v>2975</v>
      </c>
      <c r="C116" s="3225">
        <v>13580</v>
      </c>
      <c r="D116" s="3225">
        <v>13520</v>
      </c>
      <c r="E116" s="3225"/>
      <c r="F116" s="3225"/>
      <c r="G116" s="3238">
        <v>8930</v>
      </c>
    </row>
    <row r="117" spans="1:7" s="3214" customFormat="1" ht="14.25" customHeight="1">
      <c r="A117" s="3225" t="s">
        <v>303</v>
      </c>
      <c r="B117" s="3225" t="s">
        <v>2982</v>
      </c>
      <c r="C117" s="3225">
        <v>17120</v>
      </c>
      <c r="D117" s="3225">
        <v>17040</v>
      </c>
      <c r="E117" s="3225"/>
      <c r="F117" s="3225"/>
      <c r="G117" s="3238">
        <v>11260</v>
      </c>
    </row>
    <row r="118" spans="1:7" s="3214" customFormat="1" ht="14.25" customHeight="1">
      <c r="A118" s="3225" t="s">
        <v>303</v>
      </c>
      <c r="B118" s="3225" t="s">
        <v>2987</v>
      </c>
      <c r="C118" s="3225">
        <v>14860</v>
      </c>
      <c r="D118" s="3225">
        <v>14790</v>
      </c>
      <c r="E118" s="3225"/>
      <c r="F118" s="3225"/>
      <c r="G118" s="3238">
        <v>9780</v>
      </c>
    </row>
    <row r="119" spans="1:7" s="3214" customFormat="1" ht="14.25" customHeight="1">
      <c r="A119" s="3225" t="s">
        <v>303</v>
      </c>
      <c r="B119" s="3225" t="s">
        <v>2991</v>
      </c>
      <c r="C119" s="3225">
        <v>16470</v>
      </c>
      <c r="D119" s="3225">
        <v>16400</v>
      </c>
      <c r="E119" s="3225"/>
      <c r="F119" s="3225"/>
      <c r="G119" s="3238">
        <v>10840</v>
      </c>
    </row>
    <row r="120" spans="1:7" s="3214" customFormat="1" ht="14.25" customHeight="1">
      <c r="A120" s="3225" t="s">
        <v>303</v>
      </c>
      <c r="B120" s="3225" t="s">
        <v>3077</v>
      </c>
      <c r="C120" s="3225"/>
      <c r="D120" s="3225"/>
      <c r="E120" s="3225"/>
      <c r="F120" s="3225">
        <v>4160</v>
      </c>
      <c r="G120" s="3238"/>
    </row>
    <row r="121" spans="1:7" s="3214" customFormat="1" ht="14.25" customHeight="1">
      <c r="A121" s="3225" t="s">
        <v>303</v>
      </c>
      <c r="B121" s="3225" t="s">
        <v>3078</v>
      </c>
      <c r="C121" s="3225"/>
      <c r="D121" s="3225"/>
      <c r="E121" s="3225"/>
      <c r="F121" s="3225">
        <v>3880</v>
      </c>
      <c r="G121" s="3238"/>
    </row>
    <row r="122" spans="1:7" s="3214" customFormat="1" ht="14.25" customHeight="1">
      <c r="A122" s="3225" t="s">
        <v>303</v>
      </c>
      <c r="B122" s="3225" t="s">
        <v>3079</v>
      </c>
      <c r="C122" s="3225">
        <v>13750</v>
      </c>
      <c r="D122" s="3225">
        <v>13680</v>
      </c>
      <c r="E122" s="3225">
        <v>16460</v>
      </c>
      <c r="F122" s="3225">
        <v>2880</v>
      </c>
      <c r="G122" s="3238">
        <v>9040</v>
      </c>
    </row>
    <row r="123" spans="1:7" s="3214" customFormat="1" ht="14.25" customHeight="1">
      <c r="A123" s="3225" t="s">
        <v>303</v>
      </c>
      <c r="B123" s="3225" t="s">
        <v>3010</v>
      </c>
      <c r="C123" s="3225">
        <v>13590</v>
      </c>
      <c r="D123" s="3225">
        <v>13520</v>
      </c>
      <c r="E123" s="3225">
        <v>16290</v>
      </c>
      <c r="F123" s="3225">
        <v>2790</v>
      </c>
      <c r="G123" s="3238">
        <v>8930</v>
      </c>
    </row>
    <row r="124" spans="1:7" s="3214" customFormat="1" ht="14.25" customHeight="1">
      <c r="A124" s="3225" t="s">
        <v>303</v>
      </c>
      <c r="B124" s="3225" t="s">
        <v>3015</v>
      </c>
      <c r="C124" s="3225">
        <v>13400</v>
      </c>
      <c r="D124" s="3225">
        <v>13320</v>
      </c>
      <c r="E124" s="3225">
        <v>16100</v>
      </c>
      <c r="F124" s="3225">
        <v>2320</v>
      </c>
      <c r="G124" s="3238">
        <v>8800</v>
      </c>
    </row>
    <row r="125" spans="1:7" s="3214" customFormat="1" ht="14.25" customHeight="1">
      <c r="A125" s="3225" t="s">
        <v>303</v>
      </c>
      <c r="B125" s="3225" t="s">
        <v>3020</v>
      </c>
      <c r="C125" s="3225">
        <v>12860</v>
      </c>
      <c r="D125" s="3225">
        <v>12790</v>
      </c>
      <c r="E125" s="3225">
        <v>15370</v>
      </c>
      <c r="F125" s="3225">
        <v>2280</v>
      </c>
      <c r="G125" s="3238">
        <v>8450</v>
      </c>
    </row>
    <row r="126" spans="1:7" s="3214" customFormat="1" ht="14.25" customHeight="1" thickBot="1">
      <c r="A126" s="3239" t="s">
        <v>303</v>
      </c>
      <c r="B126" s="3232" t="s">
        <v>3025</v>
      </c>
      <c r="C126" s="3232">
        <v>12960</v>
      </c>
      <c r="D126" s="3232">
        <v>12890</v>
      </c>
      <c r="E126" s="3232">
        <v>15530</v>
      </c>
      <c r="F126" s="3232">
        <v>2910</v>
      </c>
      <c r="G126" s="3240">
        <v>8520</v>
      </c>
    </row>
    <row r="127" spans="1:7" s="3214" customFormat="1" ht="14.25" customHeight="1">
      <c r="A127" s="3230" t="s">
        <v>29</v>
      </c>
      <c r="B127" s="3221" t="s">
        <v>3080</v>
      </c>
      <c r="C127" s="3225">
        <v>12280</v>
      </c>
      <c r="D127" s="3225">
        <v>12250</v>
      </c>
      <c r="E127" s="3225">
        <v>15130</v>
      </c>
      <c r="F127" s="3225">
        <v>2710</v>
      </c>
      <c r="G127" s="3225">
        <v>7870</v>
      </c>
    </row>
    <row r="128" spans="1:7" s="3214" customFormat="1" ht="14.25" customHeight="1">
      <c r="A128" s="3225" t="s">
        <v>29</v>
      </c>
      <c r="B128" s="3225" t="s">
        <v>132</v>
      </c>
      <c r="C128" s="3225">
        <v>13180</v>
      </c>
      <c r="D128" s="3225">
        <v>13150</v>
      </c>
      <c r="E128" s="3225">
        <v>16190</v>
      </c>
      <c r="F128" s="3225">
        <v>2820</v>
      </c>
      <c r="G128" s="3225">
        <v>8460</v>
      </c>
    </row>
    <row r="129" spans="1:7" s="3214" customFormat="1" ht="14.25" customHeight="1">
      <c r="A129" s="3225" t="s">
        <v>29</v>
      </c>
      <c r="B129" s="3225" t="s">
        <v>141</v>
      </c>
      <c r="C129" s="3225">
        <v>10950</v>
      </c>
      <c r="D129" s="3225">
        <v>10920</v>
      </c>
      <c r="E129" s="3225">
        <v>13820</v>
      </c>
      <c r="F129" s="3225">
        <v>2500</v>
      </c>
      <c r="G129" s="3225">
        <v>7020</v>
      </c>
    </row>
    <row r="130" spans="1:7" s="3214" customFormat="1" ht="14.25" customHeight="1">
      <c r="A130" s="3225" t="s">
        <v>29</v>
      </c>
      <c r="B130" s="3225" t="s">
        <v>150</v>
      </c>
      <c r="C130" s="3225">
        <v>10910</v>
      </c>
      <c r="D130" s="3225">
        <v>10860</v>
      </c>
      <c r="E130" s="3225">
        <v>13730</v>
      </c>
      <c r="F130" s="3225">
        <v>2760</v>
      </c>
      <c r="G130" s="3225">
        <v>6990</v>
      </c>
    </row>
    <row r="131" spans="1:7" s="3214" customFormat="1" ht="14.25" customHeight="1">
      <c r="A131" s="3225" t="s">
        <v>29</v>
      </c>
      <c r="B131" s="3225" t="s">
        <v>159</v>
      </c>
      <c r="C131" s="3225">
        <v>12910</v>
      </c>
      <c r="D131" s="3225">
        <v>12870</v>
      </c>
      <c r="E131" s="3225">
        <v>15720</v>
      </c>
      <c r="F131" s="3225">
        <v>2750</v>
      </c>
      <c r="G131" s="3225">
        <v>8280</v>
      </c>
    </row>
    <row r="132" spans="1:7" s="3214" customFormat="1" ht="14.25" customHeight="1">
      <c r="A132" s="3225" t="s">
        <v>29</v>
      </c>
      <c r="B132" s="3225" t="s">
        <v>166</v>
      </c>
      <c r="C132" s="3225">
        <v>11910</v>
      </c>
      <c r="D132" s="3225">
        <v>11860</v>
      </c>
      <c r="E132" s="3225">
        <v>14730</v>
      </c>
      <c r="F132" s="3225">
        <v>2360</v>
      </c>
      <c r="G132" s="3225">
        <v>7630</v>
      </c>
    </row>
    <row r="133" spans="1:7" s="3214" customFormat="1" ht="14.25" customHeight="1">
      <c r="A133" s="3225" t="s">
        <v>29</v>
      </c>
      <c r="B133" s="3225" t="s">
        <v>172</v>
      </c>
      <c r="C133" s="3225">
        <v>12270</v>
      </c>
      <c r="D133" s="3225">
        <v>12210</v>
      </c>
      <c r="E133" s="3225">
        <v>15010</v>
      </c>
      <c r="F133" s="3225">
        <v>2580</v>
      </c>
      <c r="G133" s="3225">
        <v>7860</v>
      </c>
    </row>
    <row r="134" spans="1:7" s="3214" customFormat="1" ht="14.25" customHeight="1">
      <c r="A134" s="3225" t="s">
        <v>29</v>
      </c>
      <c r="B134" s="3225" t="s">
        <v>179</v>
      </c>
      <c r="C134" s="3225">
        <v>10800</v>
      </c>
      <c r="D134" s="3225">
        <v>10780</v>
      </c>
      <c r="E134" s="3225">
        <v>13640</v>
      </c>
      <c r="F134" s="3225">
        <v>2110</v>
      </c>
      <c r="G134" s="3225">
        <v>6930</v>
      </c>
    </row>
    <row r="135" spans="1:7" s="3214" customFormat="1" ht="14.25" customHeight="1">
      <c r="A135" s="3225" t="s">
        <v>29</v>
      </c>
      <c r="B135" s="3225" t="s">
        <v>189</v>
      </c>
      <c r="C135" s="3225">
        <v>10430</v>
      </c>
      <c r="D135" s="3225">
        <v>10390</v>
      </c>
      <c r="E135" s="3225">
        <v>13140</v>
      </c>
      <c r="F135" s="3225">
        <v>2240</v>
      </c>
      <c r="G135" s="3225">
        <v>6680</v>
      </c>
    </row>
    <row r="136" spans="1:7" s="3214" customFormat="1" ht="14.25" customHeight="1">
      <c r="A136" s="3225" t="s">
        <v>29</v>
      </c>
      <c r="B136" s="3225" t="s">
        <v>198</v>
      </c>
      <c r="C136" s="3225">
        <v>11930</v>
      </c>
      <c r="D136" s="3225">
        <v>11880</v>
      </c>
      <c r="E136" s="3225">
        <v>14770</v>
      </c>
      <c r="F136" s="3225">
        <v>1970</v>
      </c>
      <c r="G136" s="3225">
        <v>7640</v>
      </c>
    </row>
    <row r="137" spans="1:7" s="3214" customFormat="1" ht="14.25" customHeight="1">
      <c r="A137" s="3225" t="s">
        <v>29</v>
      </c>
      <c r="B137" s="3225" t="s">
        <v>205</v>
      </c>
      <c r="C137" s="3225">
        <v>10470</v>
      </c>
      <c r="D137" s="3225">
        <v>10430</v>
      </c>
      <c r="E137" s="3225">
        <v>13190</v>
      </c>
      <c r="F137" s="3225">
        <v>1990</v>
      </c>
      <c r="G137" s="3225">
        <v>6710</v>
      </c>
    </row>
    <row r="138" spans="1:7" s="3214" customFormat="1" ht="14.25" customHeight="1">
      <c r="A138" s="3225" t="s">
        <v>29</v>
      </c>
      <c r="B138" s="3225" t="s">
        <v>212</v>
      </c>
      <c r="C138" s="3225">
        <v>10410</v>
      </c>
      <c r="D138" s="3225">
        <v>10380</v>
      </c>
      <c r="E138" s="3225">
        <v>13130</v>
      </c>
      <c r="F138" s="3225">
        <v>2030</v>
      </c>
      <c r="G138" s="3225">
        <v>6680</v>
      </c>
    </row>
    <row r="139" spans="1:7" s="3214" customFormat="1" ht="14.25" customHeight="1">
      <c r="A139" s="3225" t="s">
        <v>29</v>
      </c>
      <c r="B139" s="3225" t="s">
        <v>218</v>
      </c>
      <c r="C139" s="3225">
        <v>9460</v>
      </c>
      <c r="D139" s="3225">
        <v>9410</v>
      </c>
      <c r="E139" s="3225">
        <v>12050</v>
      </c>
      <c r="F139" s="3225">
        <v>2140</v>
      </c>
      <c r="G139" s="3225">
        <v>6050</v>
      </c>
    </row>
    <row r="140" spans="1:7" s="3214" customFormat="1" ht="14.25" customHeight="1">
      <c r="A140" s="3225" t="s">
        <v>29</v>
      </c>
      <c r="B140" s="3225" t="s">
        <v>226</v>
      </c>
      <c r="C140" s="3225">
        <v>11030</v>
      </c>
      <c r="D140" s="3225">
        <v>10980</v>
      </c>
      <c r="E140" s="3225">
        <v>13880</v>
      </c>
      <c r="F140" s="3225">
        <v>2210</v>
      </c>
      <c r="G140" s="3225">
        <v>7060</v>
      </c>
    </row>
    <row r="141" spans="1:7" s="3214" customFormat="1" ht="14.25" customHeight="1">
      <c r="A141" s="3225" t="s">
        <v>29</v>
      </c>
      <c r="B141" s="3225" t="s">
        <v>234</v>
      </c>
      <c r="C141" s="3225">
        <v>11200</v>
      </c>
      <c r="D141" s="3225">
        <v>11150</v>
      </c>
      <c r="E141" s="3225">
        <v>14100</v>
      </c>
      <c r="F141" s="3225">
        <v>2470</v>
      </c>
      <c r="G141" s="3225">
        <v>7170</v>
      </c>
    </row>
    <row r="142" spans="1:7" s="3214" customFormat="1" ht="14.25" customHeight="1">
      <c r="A142" s="3225" t="s">
        <v>29</v>
      </c>
      <c r="B142" s="3225" t="s">
        <v>239</v>
      </c>
      <c r="C142" s="3225">
        <v>10780</v>
      </c>
      <c r="D142" s="3225">
        <v>10730</v>
      </c>
      <c r="E142" s="3225">
        <v>13540</v>
      </c>
      <c r="F142" s="3225">
        <v>2280</v>
      </c>
      <c r="G142" s="3225">
        <v>6900</v>
      </c>
    </row>
    <row r="143" spans="1:7" s="3214" customFormat="1" ht="14.25" customHeight="1">
      <c r="A143" s="3225" t="s">
        <v>29</v>
      </c>
      <c r="B143" s="3225" t="s">
        <v>248</v>
      </c>
      <c r="C143" s="3225">
        <v>11550</v>
      </c>
      <c r="D143" s="3225">
        <v>11490</v>
      </c>
      <c r="E143" s="3225">
        <v>14480</v>
      </c>
      <c r="F143" s="3225">
        <v>2070</v>
      </c>
      <c r="G143" s="3225">
        <v>7390</v>
      </c>
    </row>
    <row r="144" spans="1:7" s="3214" customFormat="1" ht="14.25" customHeight="1">
      <c r="A144" s="3225" t="s">
        <v>29</v>
      </c>
      <c r="B144" s="3225" t="s">
        <v>255</v>
      </c>
      <c r="C144" s="3225">
        <v>10720</v>
      </c>
      <c r="D144" s="3225">
        <v>10680</v>
      </c>
      <c r="E144" s="3225">
        <v>13480</v>
      </c>
      <c r="F144" s="3225">
        <v>2440</v>
      </c>
      <c r="G144" s="3225">
        <v>6870</v>
      </c>
    </row>
    <row r="145" spans="1:7" s="3214" customFormat="1" ht="14.25" customHeight="1">
      <c r="A145" s="3225" t="s">
        <v>29</v>
      </c>
      <c r="B145" s="3225" t="s">
        <v>263</v>
      </c>
      <c r="C145" s="3225">
        <v>10340</v>
      </c>
      <c r="D145" s="3225">
        <v>10290</v>
      </c>
      <c r="E145" s="3225">
        <v>12880</v>
      </c>
      <c r="F145" s="3225">
        <v>2650</v>
      </c>
      <c r="G145" s="3225">
        <v>6620</v>
      </c>
    </row>
    <row r="146" spans="1:7" s="3214" customFormat="1" ht="14.25" customHeight="1">
      <c r="A146" s="3225" t="s">
        <v>29</v>
      </c>
      <c r="B146" s="3225" t="s">
        <v>270</v>
      </c>
      <c r="C146" s="3225">
        <v>11890</v>
      </c>
      <c r="D146" s="3225">
        <v>11830</v>
      </c>
      <c r="E146" s="3225">
        <v>14670</v>
      </c>
      <c r="F146" s="3225"/>
      <c r="G146" s="3225">
        <v>7610</v>
      </c>
    </row>
    <row r="147" spans="1:7" s="3214" customFormat="1" ht="14.25" customHeight="1">
      <c r="A147" s="3225" t="s">
        <v>29</v>
      </c>
      <c r="B147" s="3225" t="s">
        <v>274</v>
      </c>
      <c r="C147" s="3225">
        <v>12650</v>
      </c>
      <c r="D147" s="3225">
        <v>12600</v>
      </c>
      <c r="E147" s="3225">
        <v>15440</v>
      </c>
      <c r="F147" s="3225"/>
      <c r="G147" s="3225">
        <v>8110</v>
      </c>
    </row>
    <row r="148" spans="1:7" s="3214" customFormat="1" ht="14.25" customHeight="1">
      <c r="A148" s="3225" t="s">
        <v>29</v>
      </c>
      <c r="B148" s="3225" t="s">
        <v>3081</v>
      </c>
      <c r="C148" s="3225">
        <v>10370</v>
      </c>
      <c r="D148" s="3225">
        <v>10310</v>
      </c>
      <c r="E148" s="3225">
        <v>12970</v>
      </c>
      <c r="F148" s="3225"/>
      <c r="G148" s="3225">
        <v>6630</v>
      </c>
    </row>
    <row r="149" spans="1:7" s="3214" customFormat="1" ht="14.25" customHeight="1">
      <c r="A149" s="3225" t="s">
        <v>29</v>
      </c>
      <c r="B149" s="3225" t="s">
        <v>3082</v>
      </c>
      <c r="C149" s="3225">
        <v>11600</v>
      </c>
      <c r="D149" s="3225">
        <v>11560</v>
      </c>
      <c r="E149" s="3225">
        <v>14540</v>
      </c>
      <c r="F149" s="3225">
        <v>2390</v>
      </c>
      <c r="G149" s="3225">
        <v>7430</v>
      </c>
    </row>
    <row r="150" spans="1:7" s="3214" customFormat="1" ht="14.25" customHeight="1">
      <c r="A150" s="3225" t="s">
        <v>29</v>
      </c>
      <c r="B150" s="3225" t="s">
        <v>292</v>
      </c>
      <c r="C150" s="3225">
        <v>9950</v>
      </c>
      <c r="D150" s="3225">
        <v>9890</v>
      </c>
      <c r="E150" s="3225">
        <v>12590</v>
      </c>
      <c r="F150" s="3225">
        <v>1970</v>
      </c>
      <c r="G150" s="3225">
        <v>6360</v>
      </c>
    </row>
    <row r="151" spans="1:7" s="3214" customFormat="1" ht="14.25" customHeight="1">
      <c r="A151" s="3225" t="s">
        <v>29</v>
      </c>
      <c r="B151" s="3225" t="s">
        <v>294</v>
      </c>
      <c r="C151" s="3225">
        <v>10700</v>
      </c>
      <c r="D151" s="3225">
        <v>10650</v>
      </c>
      <c r="E151" s="3225">
        <v>13420</v>
      </c>
      <c r="F151" s="3225">
        <v>2020</v>
      </c>
      <c r="G151" s="3225">
        <v>6850</v>
      </c>
    </row>
    <row r="152" spans="1:7" s="3214" customFormat="1" ht="14.25" customHeight="1">
      <c r="A152" s="3225" t="s">
        <v>29</v>
      </c>
      <c r="B152" s="3225" t="s">
        <v>297</v>
      </c>
      <c r="C152" s="3225">
        <v>10310</v>
      </c>
      <c r="D152" s="3225">
        <v>10260</v>
      </c>
      <c r="E152" s="3225">
        <v>12820</v>
      </c>
      <c r="F152" s="3225">
        <v>1980</v>
      </c>
      <c r="G152" s="3225">
        <v>6600</v>
      </c>
    </row>
    <row r="153" spans="1:7" s="3214" customFormat="1" ht="14.25" customHeight="1">
      <c r="A153" s="3225" t="s">
        <v>29</v>
      </c>
      <c r="B153" s="3225" t="s">
        <v>2956</v>
      </c>
      <c r="C153" s="3225">
        <v>10880</v>
      </c>
      <c r="D153" s="3225">
        <v>10820</v>
      </c>
      <c r="E153" s="3225">
        <v>13660</v>
      </c>
      <c r="F153" s="3225">
        <v>2260</v>
      </c>
      <c r="G153" s="3225">
        <v>6970</v>
      </c>
    </row>
    <row r="154" spans="1:7" s="3214" customFormat="1" ht="14.25" customHeight="1">
      <c r="A154" s="3225" t="s">
        <v>29</v>
      </c>
      <c r="B154" s="3225" t="s">
        <v>3083</v>
      </c>
      <c r="C154" s="3225">
        <v>11220</v>
      </c>
      <c r="D154" s="3225">
        <v>11160</v>
      </c>
      <c r="E154" s="3225">
        <v>14130</v>
      </c>
      <c r="F154" s="3225">
        <v>2230</v>
      </c>
      <c r="G154" s="3225">
        <v>7180</v>
      </c>
    </row>
    <row r="155" spans="1:7" s="3214" customFormat="1" ht="14.25" customHeight="1">
      <c r="A155" s="3225" t="s">
        <v>29</v>
      </c>
      <c r="B155" s="3225" t="s">
        <v>2969</v>
      </c>
      <c r="C155" s="3225">
        <v>10430</v>
      </c>
      <c r="D155" s="3225">
        <v>10380</v>
      </c>
      <c r="E155" s="3225">
        <v>13140</v>
      </c>
      <c r="F155" s="3225">
        <v>2080</v>
      </c>
      <c r="G155" s="3225">
        <v>6650</v>
      </c>
    </row>
    <row r="156" spans="1:7" s="3214" customFormat="1" ht="14.25" customHeight="1">
      <c r="A156" s="3225" t="s">
        <v>29</v>
      </c>
      <c r="B156" s="3225" t="s">
        <v>3084</v>
      </c>
      <c r="C156" s="3225">
        <v>10440</v>
      </c>
      <c r="D156" s="3225">
        <v>10400</v>
      </c>
      <c r="E156" s="3225">
        <v>13150</v>
      </c>
      <c r="F156" s="3225">
        <v>2490</v>
      </c>
      <c r="G156" s="3225">
        <v>6690</v>
      </c>
    </row>
    <row r="157" spans="1:7" s="3214" customFormat="1" ht="14.25" customHeight="1">
      <c r="A157" s="3225" t="s">
        <v>29</v>
      </c>
      <c r="B157" s="3225" t="s">
        <v>300</v>
      </c>
      <c r="C157" s="3225">
        <v>10970</v>
      </c>
      <c r="D157" s="3225">
        <v>10920</v>
      </c>
      <c r="E157" s="3225">
        <v>13840</v>
      </c>
      <c r="F157" s="3225">
        <v>2420</v>
      </c>
      <c r="G157" s="3225">
        <v>7020</v>
      </c>
    </row>
    <row r="158" spans="1:7" s="3214" customFormat="1" ht="14.25" customHeight="1">
      <c r="A158" s="3225" t="s">
        <v>29</v>
      </c>
      <c r="B158" s="3225" t="s">
        <v>301</v>
      </c>
      <c r="C158" s="3225">
        <v>9590</v>
      </c>
      <c r="D158" s="3225">
        <v>9540</v>
      </c>
      <c r="E158" s="3225">
        <v>12210</v>
      </c>
      <c r="F158" s="3225">
        <v>2100</v>
      </c>
      <c r="G158" s="3225">
        <v>6130</v>
      </c>
    </row>
    <row r="159" spans="1:7" s="3214" customFormat="1" ht="14.25" customHeight="1">
      <c r="A159" s="3225" t="s">
        <v>29</v>
      </c>
      <c r="B159" s="3225" t="s">
        <v>302</v>
      </c>
      <c r="C159" s="3225">
        <v>11190</v>
      </c>
      <c r="D159" s="3225">
        <v>11140</v>
      </c>
      <c r="E159" s="3225">
        <v>14090</v>
      </c>
      <c r="F159" s="3225">
        <v>2470</v>
      </c>
      <c r="G159" s="3225">
        <v>7170</v>
      </c>
    </row>
    <row r="160" spans="1:7" s="3214" customFormat="1" ht="14.25" customHeight="1">
      <c r="A160" s="3225" t="s">
        <v>29</v>
      </c>
      <c r="B160" s="3225" t="s">
        <v>3085</v>
      </c>
      <c r="C160" s="3225">
        <v>11180</v>
      </c>
      <c r="D160" s="3225">
        <v>11140</v>
      </c>
      <c r="E160" s="3225">
        <v>14050</v>
      </c>
      <c r="F160" s="3225">
        <v>2270</v>
      </c>
      <c r="G160" s="3225">
        <v>7170</v>
      </c>
    </row>
    <row r="161" spans="1:7" s="3214" customFormat="1" ht="14.25" customHeight="1">
      <c r="A161" s="3225" t="s">
        <v>29</v>
      </c>
      <c r="B161" s="3225" t="s">
        <v>3001</v>
      </c>
      <c r="C161" s="3225">
        <v>11160</v>
      </c>
      <c r="D161" s="3225">
        <v>11120</v>
      </c>
      <c r="E161" s="3225">
        <v>14020</v>
      </c>
      <c r="F161" s="3225">
        <v>2150</v>
      </c>
      <c r="G161" s="3225">
        <v>7160</v>
      </c>
    </row>
    <row r="162" spans="1:7" s="3214" customFormat="1" ht="14.25" customHeight="1">
      <c r="A162" s="3225" t="s">
        <v>29</v>
      </c>
      <c r="B162" s="3225" t="s">
        <v>3006</v>
      </c>
      <c r="C162" s="3225">
        <v>9620</v>
      </c>
      <c r="D162" s="3225">
        <v>9570</v>
      </c>
      <c r="E162" s="3225">
        <v>12320</v>
      </c>
      <c r="F162" s="3225">
        <v>2010</v>
      </c>
      <c r="G162" s="3225">
        <v>6160</v>
      </c>
    </row>
    <row r="163" spans="1:7" s="3214" customFormat="1" ht="14.25" customHeight="1">
      <c r="A163" s="3225" t="s">
        <v>29</v>
      </c>
      <c r="B163" s="3225" t="s">
        <v>3011</v>
      </c>
      <c r="C163" s="3225">
        <v>9320</v>
      </c>
      <c r="D163" s="3225">
        <v>9270</v>
      </c>
      <c r="E163" s="3225">
        <v>11790</v>
      </c>
      <c r="F163" s="3225">
        <v>1920</v>
      </c>
      <c r="G163" s="3225">
        <v>5960</v>
      </c>
    </row>
    <row r="164" spans="1:7" s="3214" customFormat="1" ht="14.25" customHeight="1">
      <c r="A164" s="3225" t="s">
        <v>29</v>
      </c>
      <c r="B164" s="3225" t="s">
        <v>3016</v>
      </c>
      <c r="C164" s="3225"/>
      <c r="D164" s="3225"/>
      <c r="E164" s="3225"/>
      <c r="F164" s="3225">
        <v>1980</v>
      </c>
      <c r="G164" s="3225"/>
    </row>
    <row r="165" spans="1:7" s="3214" customFormat="1" ht="14.25" customHeight="1">
      <c r="A165" s="3225" t="s">
        <v>29</v>
      </c>
      <c r="B165" s="3225" t="s">
        <v>3086</v>
      </c>
      <c r="C165" s="3225">
        <v>11060</v>
      </c>
      <c r="D165" s="3225">
        <v>11030</v>
      </c>
      <c r="E165" s="3225">
        <v>13850</v>
      </c>
      <c r="F165" s="3225">
        <v>2170</v>
      </c>
      <c r="G165" s="3225">
        <v>7090</v>
      </c>
    </row>
    <row r="166" spans="1:7" s="3214" customFormat="1" ht="14.25" customHeight="1">
      <c r="A166" s="3225" t="s">
        <v>29</v>
      </c>
      <c r="B166" s="3225" t="s">
        <v>3026</v>
      </c>
      <c r="C166" s="3225">
        <v>11050</v>
      </c>
      <c r="D166" s="3225">
        <v>11010</v>
      </c>
      <c r="E166" s="3225">
        <v>13920</v>
      </c>
      <c r="F166" s="3225">
        <v>2140</v>
      </c>
      <c r="G166" s="3225">
        <v>7080</v>
      </c>
    </row>
    <row r="167" spans="1:7" s="3214" customFormat="1" ht="14.25" customHeight="1">
      <c r="A167" s="3225" t="s">
        <v>29</v>
      </c>
      <c r="B167" s="3225" t="s">
        <v>3030</v>
      </c>
      <c r="C167" s="3225">
        <v>10930</v>
      </c>
      <c r="D167" s="3225">
        <v>10890</v>
      </c>
      <c r="E167" s="3225">
        <v>13790</v>
      </c>
      <c r="F167" s="3225">
        <v>2010</v>
      </c>
      <c r="G167" s="3225">
        <v>7000</v>
      </c>
    </row>
    <row r="168" spans="1:7" s="3214" customFormat="1" ht="14.25" customHeight="1">
      <c r="A168" s="3225" t="s">
        <v>29</v>
      </c>
      <c r="B168" s="3225" t="s">
        <v>3035</v>
      </c>
      <c r="C168" s="3225">
        <v>9420</v>
      </c>
      <c r="D168" s="3225">
        <v>9380</v>
      </c>
      <c r="E168" s="3225">
        <v>11970</v>
      </c>
      <c r="F168" s="3225"/>
      <c r="G168" s="3225">
        <v>6040</v>
      </c>
    </row>
    <row r="169" spans="1:7" s="3214" customFormat="1" ht="14.25" customHeight="1">
      <c r="A169" s="3225" t="s">
        <v>29</v>
      </c>
      <c r="B169" s="3225" t="s">
        <v>3087</v>
      </c>
      <c r="C169" s="3225"/>
      <c r="D169" s="3225"/>
      <c r="E169" s="3225"/>
      <c r="F169" s="3225">
        <v>2880</v>
      </c>
      <c r="G169" s="3225"/>
    </row>
    <row r="170" spans="1:7" s="3214" customFormat="1" ht="14.25" customHeight="1">
      <c r="A170" s="3225" t="s">
        <v>29</v>
      </c>
      <c r="B170" s="3225" t="s">
        <v>3043</v>
      </c>
      <c r="C170" s="3225"/>
      <c r="D170" s="3225"/>
      <c r="E170" s="3225"/>
      <c r="F170" s="3225">
        <v>2880</v>
      </c>
      <c r="G170" s="3225"/>
    </row>
    <row r="171" spans="1:7" s="3214" customFormat="1" ht="14.25" customHeight="1">
      <c r="A171" s="3225" t="s">
        <v>29</v>
      </c>
      <c r="B171" s="3225" t="s">
        <v>3046</v>
      </c>
      <c r="C171" s="3225"/>
      <c r="D171" s="3225"/>
      <c r="E171" s="3225"/>
      <c r="F171" s="3225">
        <v>2880</v>
      </c>
      <c r="G171" s="3225"/>
    </row>
    <row r="172" spans="1:7" s="3214" customFormat="1" ht="14.25" customHeight="1">
      <c r="A172" s="3225" t="s">
        <v>29</v>
      </c>
      <c r="B172" s="3225" t="s">
        <v>3048</v>
      </c>
      <c r="C172" s="3225"/>
      <c r="D172" s="3225"/>
      <c r="E172" s="3225"/>
      <c r="F172" s="3225">
        <v>2880</v>
      </c>
      <c r="G172" s="3225"/>
    </row>
    <row r="173" spans="1:7" s="3214" customFormat="1" ht="14.25" customHeight="1">
      <c r="A173" s="3225" t="s">
        <v>29</v>
      </c>
      <c r="B173" s="3225" t="s">
        <v>3050</v>
      </c>
      <c r="C173" s="3225"/>
      <c r="D173" s="3225"/>
      <c r="E173" s="3225"/>
      <c r="F173" s="3225">
        <v>2150</v>
      </c>
      <c r="G173" s="3225"/>
    </row>
    <row r="174" spans="1:7" s="3214" customFormat="1" ht="14.25" customHeight="1">
      <c r="A174" s="3225" t="s">
        <v>29</v>
      </c>
      <c r="B174" s="3225" t="s">
        <v>3052</v>
      </c>
      <c r="C174" s="3225"/>
      <c r="D174" s="3225"/>
      <c r="E174" s="3225"/>
      <c r="F174" s="3225">
        <v>2030</v>
      </c>
      <c r="G174" s="3225"/>
    </row>
    <row r="175" spans="1:7" s="3214" customFormat="1" ht="14.25" customHeight="1">
      <c r="A175" s="3225" t="s">
        <v>29</v>
      </c>
      <c r="B175" s="3225" t="s">
        <v>3054</v>
      </c>
      <c r="C175" s="3225"/>
      <c r="D175" s="3225"/>
      <c r="E175" s="3225"/>
      <c r="F175" s="3225">
        <v>2780</v>
      </c>
      <c r="G175" s="3225"/>
    </row>
    <row r="176" spans="1:7" s="3214" customFormat="1" ht="14.25" customHeight="1">
      <c r="A176" s="3225" t="s">
        <v>29</v>
      </c>
      <c r="B176" s="3225" t="s">
        <v>3056</v>
      </c>
      <c r="C176" s="3225"/>
      <c r="D176" s="3225"/>
      <c r="E176" s="3225"/>
      <c r="F176" s="3225">
        <v>2780</v>
      </c>
      <c r="G176" s="3225"/>
    </row>
    <row r="177" spans="1:7" s="3214" customFormat="1" ht="14.25" customHeight="1">
      <c r="A177" s="3225" t="s">
        <v>29</v>
      </c>
      <c r="B177" s="3225" t="s">
        <v>3088</v>
      </c>
      <c r="C177" s="3225"/>
      <c r="D177" s="3225"/>
      <c r="E177" s="3225"/>
      <c r="F177" s="3225">
        <v>2780</v>
      </c>
      <c r="G177" s="3225"/>
    </row>
    <row r="178" spans="1:7" s="3214" customFormat="1" ht="14.25" customHeight="1">
      <c r="A178" s="3225" t="s">
        <v>29</v>
      </c>
      <c r="B178" s="3225" t="s">
        <v>3089</v>
      </c>
      <c r="C178" s="3225"/>
      <c r="D178" s="3225"/>
      <c r="E178" s="3225"/>
      <c r="F178" s="3225">
        <v>2060</v>
      </c>
      <c r="G178" s="3225"/>
    </row>
    <row r="179" spans="1:7" s="3214" customFormat="1" ht="14.25" customHeight="1">
      <c r="A179" s="3225" t="s">
        <v>29</v>
      </c>
      <c r="B179" s="3225" t="s">
        <v>3090</v>
      </c>
      <c r="C179" s="3225"/>
      <c r="D179" s="3225"/>
      <c r="E179" s="3225"/>
      <c r="F179" s="3225">
        <v>2120</v>
      </c>
      <c r="G179" s="3225"/>
    </row>
    <row r="180" spans="1:7" s="3214" customFormat="1" ht="14.25" customHeight="1">
      <c r="A180" s="3225" t="s">
        <v>29</v>
      </c>
      <c r="B180" s="3225" t="s">
        <v>3062</v>
      </c>
      <c r="C180" s="3225"/>
      <c r="D180" s="3225"/>
      <c r="E180" s="3225"/>
      <c r="F180" s="3225">
        <v>2340</v>
      </c>
      <c r="G180" s="3225"/>
    </row>
    <row r="181" spans="1:7" s="3214" customFormat="1" ht="14.25" customHeight="1">
      <c r="A181" s="3225" t="s">
        <v>29</v>
      </c>
      <c r="B181" s="3225" t="s">
        <v>3063</v>
      </c>
      <c r="C181" s="3225"/>
      <c r="D181" s="3225"/>
      <c r="E181" s="3225"/>
      <c r="F181" s="3225">
        <v>2340</v>
      </c>
      <c r="G181" s="3225"/>
    </row>
    <row r="182" spans="1:7" s="3214" customFormat="1" ht="14.25" customHeight="1">
      <c r="A182" s="3225" t="s">
        <v>29</v>
      </c>
      <c r="B182" s="3225" t="s">
        <v>3064</v>
      </c>
      <c r="C182" s="3225"/>
      <c r="D182" s="3225"/>
      <c r="E182" s="3225"/>
      <c r="F182" s="3225">
        <v>2340</v>
      </c>
      <c r="G182" s="3225"/>
    </row>
    <row r="183" spans="1:7" s="3214" customFormat="1" ht="14.25" customHeight="1">
      <c r="A183" s="3225" t="s">
        <v>29</v>
      </c>
      <c r="B183" s="3225" t="s">
        <v>3065</v>
      </c>
      <c r="C183" s="3225"/>
      <c r="D183" s="3225"/>
      <c r="E183" s="3225"/>
      <c r="F183" s="3225">
        <v>2340</v>
      </c>
      <c r="G183" s="3225"/>
    </row>
    <row r="184" spans="1:7" s="3214" customFormat="1" ht="14.25" customHeight="1">
      <c r="A184" s="3225" t="s">
        <v>29</v>
      </c>
      <c r="B184" s="3225" t="s">
        <v>3066</v>
      </c>
      <c r="C184" s="3225"/>
      <c r="D184" s="3225"/>
      <c r="E184" s="3225"/>
      <c r="F184" s="3225">
        <v>2340</v>
      </c>
      <c r="G184" s="3225"/>
    </row>
    <row r="185" spans="1:7" s="3214" customFormat="1" ht="14.25" customHeight="1">
      <c r="A185" s="3225" t="s">
        <v>29</v>
      </c>
      <c r="B185" s="3225" t="s">
        <v>3067</v>
      </c>
      <c r="C185" s="3225"/>
      <c r="D185" s="3225"/>
      <c r="E185" s="3225"/>
      <c r="F185" s="3225">
        <v>2530</v>
      </c>
      <c r="G185" s="3225"/>
    </row>
    <row r="186" spans="1:7" s="3214" customFormat="1" ht="14.25" customHeight="1">
      <c r="A186" s="3225" t="s">
        <v>29</v>
      </c>
      <c r="B186" s="3225" t="s">
        <v>3068</v>
      </c>
      <c r="C186" s="3225"/>
      <c r="D186" s="3225"/>
      <c r="E186" s="3225"/>
      <c r="F186" s="3225">
        <v>2550</v>
      </c>
      <c r="G186" s="3225"/>
    </row>
    <row r="187" spans="1:7" s="3214" customFormat="1" ht="14.25" customHeight="1">
      <c r="A187" s="3225" t="s">
        <v>29</v>
      </c>
      <c r="B187" s="3225" t="s">
        <v>3069</v>
      </c>
      <c r="C187" s="3225"/>
      <c r="D187" s="3225"/>
      <c r="E187" s="3225"/>
      <c r="F187" s="3225">
        <v>2070</v>
      </c>
      <c r="G187" s="3225"/>
    </row>
    <row r="188" spans="1:7" s="3214" customFormat="1" ht="14.25" customHeight="1">
      <c r="A188" s="3225" t="s">
        <v>29</v>
      </c>
      <c r="B188" s="3225" t="s">
        <v>3070</v>
      </c>
      <c r="C188" s="3225"/>
      <c r="D188" s="3225"/>
      <c r="E188" s="3225"/>
      <c r="F188" s="3225">
        <v>2340</v>
      </c>
      <c r="G188" s="3225"/>
    </row>
    <row r="189" spans="1:7" s="3214" customFormat="1" ht="14.25" customHeight="1" thickBot="1">
      <c r="A189" s="3233" t="s">
        <v>29</v>
      </c>
      <c r="B189" s="3236" t="s">
        <v>3071</v>
      </c>
      <c r="C189" s="3236"/>
      <c r="D189" s="3236"/>
      <c r="E189" s="3236"/>
      <c r="F189" s="3236">
        <v>2050</v>
      </c>
      <c r="G189" s="3236"/>
    </row>
    <row r="190" spans="1:7" s="3214" customFormat="1" ht="14.25" customHeight="1">
      <c r="A190" s="3230" t="s">
        <v>304</v>
      </c>
      <c r="B190" s="3221" t="s">
        <v>3091</v>
      </c>
      <c r="C190" s="3221">
        <v>8830</v>
      </c>
      <c r="D190" s="3221">
        <v>8790</v>
      </c>
      <c r="E190" s="3221">
        <v>11630</v>
      </c>
      <c r="F190" s="3221">
        <v>1790</v>
      </c>
      <c r="G190" s="3237">
        <v>5550</v>
      </c>
    </row>
    <row r="191" spans="1:7" s="3214" customFormat="1" ht="14.25" customHeight="1">
      <c r="A191" s="3225" t="s">
        <v>304</v>
      </c>
      <c r="B191" s="3225" t="s">
        <v>133</v>
      </c>
      <c r="C191" s="3225">
        <v>9780</v>
      </c>
      <c r="D191" s="3225">
        <v>9710</v>
      </c>
      <c r="E191" s="3225">
        <v>12550</v>
      </c>
      <c r="F191" s="3225">
        <v>1980</v>
      </c>
      <c r="G191" s="3238">
        <v>6130</v>
      </c>
    </row>
    <row r="192" spans="1:7" s="3214" customFormat="1" ht="14.25" customHeight="1">
      <c r="A192" s="3225" t="s">
        <v>304</v>
      </c>
      <c r="B192" s="3225" t="s">
        <v>142</v>
      </c>
      <c r="C192" s="3225">
        <v>8180</v>
      </c>
      <c r="D192" s="3225">
        <v>8140</v>
      </c>
      <c r="E192" s="3225">
        <v>10870</v>
      </c>
      <c r="F192" s="3225">
        <v>1690</v>
      </c>
      <c r="G192" s="3238">
        <v>5140</v>
      </c>
    </row>
    <row r="193" spans="1:7" s="3214" customFormat="1" ht="14.25" customHeight="1">
      <c r="A193" s="3225" t="s">
        <v>304</v>
      </c>
      <c r="B193" s="3225" t="s">
        <v>151</v>
      </c>
      <c r="C193" s="3225">
        <v>8440</v>
      </c>
      <c r="D193" s="3225">
        <v>8390</v>
      </c>
      <c r="E193" s="3225">
        <v>11210</v>
      </c>
      <c r="F193" s="3225">
        <v>1600</v>
      </c>
      <c r="G193" s="3238">
        <v>5300</v>
      </c>
    </row>
    <row r="194" spans="1:7" s="3214" customFormat="1" ht="14.25" customHeight="1">
      <c r="A194" s="3225" t="s">
        <v>304</v>
      </c>
      <c r="B194" s="3225" t="s">
        <v>160</v>
      </c>
      <c r="C194" s="3225">
        <v>8780</v>
      </c>
      <c r="D194" s="3225">
        <v>8730</v>
      </c>
      <c r="E194" s="3225">
        <v>11550</v>
      </c>
      <c r="F194" s="3225">
        <v>1660</v>
      </c>
      <c r="G194" s="3238">
        <v>5520</v>
      </c>
    </row>
    <row r="195" spans="1:7" s="3214" customFormat="1" ht="14.25" customHeight="1">
      <c r="A195" s="3225" t="s">
        <v>304</v>
      </c>
      <c r="B195" s="3225" t="s">
        <v>167</v>
      </c>
      <c r="C195" s="3225">
        <v>8720</v>
      </c>
      <c r="D195" s="3225">
        <v>8670</v>
      </c>
      <c r="E195" s="3225">
        <v>11450</v>
      </c>
      <c r="F195" s="3225">
        <v>1720</v>
      </c>
      <c r="G195" s="3238">
        <v>5480</v>
      </c>
    </row>
    <row r="196" spans="1:7" s="3214" customFormat="1" ht="14.25" customHeight="1">
      <c r="A196" s="3225" t="s">
        <v>304</v>
      </c>
      <c r="B196" s="3225" t="s">
        <v>173</v>
      </c>
      <c r="C196" s="3225">
        <v>8460</v>
      </c>
      <c r="D196" s="3225">
        <v>8410</v>
      </c>
      <c r="E196" s="3225">
        <v>11230</v>
      </c>
      <c r="F196" s="3225">
        <v>1730</v>
      </c>
      <c r="G196" s="3238">
        <v>5310</v>
      </c>
    </row>
    <row r="197" spans="1:7" s="3214" customFormat="1" ht="14.25" customHeight="1">
      <c r="A197" s="3225" t="s">
        <v>304</v>
      </c>
      <c r="B197" s="3225" t="s">
        <v>180</v>
      </c>
      <c r="C197" s="3225">
        <v>8790</v>
      </c>
      <c r="D197" s="3225">
        <v>8730</v>
      </c>
      <c r="E197" s="3225">
        <v>11560</v>
      </c>
      <c r="F197" s="3225">
        <v>1750</v>
      </c>
      <c r="G197" s="3238">
        <v>5520</v>
      </c>
    </row>
    <row r="198" spans="1:7" s="3214" customFormat="1" ht="14.25" customHeight="1">
      <c r="A198" s="3225" t="s">
        <v>304</v>
      </c>
      <c r="B198" s="3225" t="s">
        <v>190</v>
      </c>
      <c r="C198" s="3225">
        <v>8720</v>
      </c>
      <c r="D198" s="3225">
        <v>8680</v>
      </c>
      <c r="E198" s="3225">
        <v>11470</v>
      </c>
      <c r="F198" s="3225"/>
      <c r="G198" s="3238">
        <v>5480</v>
      </c>
    </row>
    <row r="199" spans="1:7" s="3214" customFormat="1" ht="14.25" customHeight="1">
      <c r="A199" s="3225" t="s">
        <v>304</v>
      </c>
      <c r="B199" s="3225" t="s">
        <v>3092</v>
      </c>
      <c r="C199" s="3225">
        <v>8690</v>
      </c>
      <c r="D199" s="3225">
        <v>8630</v>
      </c>
      <c r="E199" s="3225">
        <v>11350</v>
      </c>
      <c r="F199" s="3225">
        <v>1600</v>
      </c>
      <c r="G199" s="3238">
        <v>5450</v>
      </c>
    </row>
    <row r="200" spans="1:7" s="3214" customFormat="1" ht="14.25" customHeight="1">
      <c r="A200" s="3225" t="s">
        <v>304</v>
      </c>
      <c r="B200" s="3225" t="s">
        <v>2903</v>
      </c>
      <c r="C200" s="3225"/>
      <c r="D200" s="3225"/>
      <c r="E200" s="3225"/>
      <c r="F200" s="3225">
        <v>1510</v>
      </c>
      <c r="G200" s="3238"/>
    </row>
    <row r="201" spans="1:7" s="3214" customFormat="1" ht="14.25" customHeight="1">
      <c r="A201" s="3225" t="s">
        <v>304</v>
      </c>
      <c r="B201" s="3225" t="s">
        <v>3093</v>
      </c>
      <c r="C201" s="3225">
        <v>8440</v>
      </c>
      <c r="D201" s="3225">
        <v>8390</v>
      </c>
      <c r="E201" s="3225">
        <v>10930</v>
      </c>
      <c r="F201" s="3225">
        <v>1500</v>
      </c>
      <c r="G201" s="3238">
        <v>5300</v>
      </c>
    </row>
    <row r="202" spans="1:7" s="3214" customFormat="1" ht="14.25" customHeight="1">
      <c r="A202" s="3225" t="s">
        <v>304</v>
      </c>
      <c r="B202" s="3225" t="s">
        <v>240</v>
      </c>
      <c r="C202" s="3225">
        <v>8530</v>
      </c>
      <c r="D202" s="3225">
        <v>8490</v>
      </c>
      <c r="E202" s="3225">
        <v>11160</v>
      </c>
      <c r="F202" s="3225">
        <v>1580</v>
      </c>
      <c r="G202" s="3238">
        <v>5360</v>
      </c>
    </row>
    <row r="203" spans="1:7" s="3214" customFormat="1" ht="14.25" customHeight="1">
      <c r="A203" s="3225" t="s">
        <v>304</v>
      </c>
      <c r="B203" s="3225" t="s">
        <v>3094</v>
      </c>
      <c r="C203" s="3225">
        <v>8130</v>
      </c>
      <c r="D203" s="3225">
        <v>8070</v>
      </c>
      <c r="E203" s="3225">
        <v>10820</v>
      </c>
      <c r="F203" s="3225">
        <v>1690</v>
      </c>
      <c r="G203" s="3238">
        <v>5100</v>
      </c>
    </row>
    <row r="204" spans="1:7" s="3214" customFormat="1" ht="14.25" customHeight="1">
      <c r="A204" s="3225" t="s">
        <v>304</v>
      </c>
      <c r="B204" s="3225" t="s">
        <v>2914</v>
      </c>
      <c r="C204" s="3225">
        <v>8350</v>
      </c>
      <c r="D204" s="3225">
        <v>8290</v>
      </c>
      <c r="E204" s="3225">
        <v>11080</v>
      </c>
      <c r="F204" s="3225">
        <v>1450</v>
      </c>
      <c r="G204" s="3238">
        <v>5240</v>
      </c>
    </row>
    <row r="205" spans="1:7" s="3214" customFormat="1" ht="14.25" customHeight="1">
      <c r="A205" s="3225" t="s">
        <v>304</v>
      </c>
      <c r="B205" s="3225" t="s">
        <v>2916</v>
      </c>
      <c r="C205" s="3225">
        <v>7190</v>
      </c>
      <c r="D205" s="3225">
        <v>7130</v>
      </c>
      <c r="E205" s="3225">
        <v>9490</v>
      </c>
      <c r="F205" s="3225">
        <v>1470</v>
      </c>
      <c r="G205" s="3238">
        <v>4510</v>
      </c>
    </row>
    <row r="206" spans="1:7" s="3214" customFormat="1" ht="14.25" customHeight="1">
      <c r="A206" s="3225" t="s">
        <v>304</v>
      </c>
      <c r="B206" s="3225" t="s">
        <v>2919</v>
      </c>
      <c r="C206" s="3225">
        <v>7000</v>
      </c>
      <c r="D206" s="3225">
        <v>6950</v>
      </c>
      <c r="E206" s="3225">
        <v>9170</v>
      </c>
      <c r="F206" s="3225">
        <v>1400</v>
      </c>
      <c r="G206" s="3238">
        <v>4380</v>
      </c>
    </row>
    <row r="207" spans="1:7" s="3214" customFormat="1" ht="14.25" customHeight="1">
      <c r="A207" s="3225" t="s">
        <v>304</v>
      </c>
      <c r="B207" s="3225" t="s">
        <v>2921</v>
      </c>
      <c r="C207" s="3225">
        <v>6950</v>
      </c>
      <c r="D207" s="3225">
        <v>6900</v>
      </c>
      <c r="E207" s="3225">
        <v>9110</v>
      </c>
      <c r="F207" s="3225">
        <v>1790</v>
      </c>
      <c r="G207" s="3238">
        <v>4360</v>
      </c>
    </row>
    <row r="208" spans="1:7" s="3214" customFormat="1" ht="14.25" customHeight="1">
      <c r="A208" s="3225" t="s">
        <v>304</v>
      </c>
      <c r="B208" s="3225" t="s">
        <v>3095</v>
      </c>
      <c r="C208" s="3225">
        <v>9470</v>
      </c>
      <c r="D208" s="3225">
        <v>9410</v>
      </c>
      <c r="E208" s="3225">
        <v>12330</v>
      </c>
      <c r="F208" s="3225">
        <v>1770</v>
      </c>
      <c r="G208" s="3238">
        <v>5940</v>
      </c>
    </row>
    <row r="209" spans="1:7" s="3214" customFormat="1" ht="14.25" customHeight="1">
      <c r="A209" s="3225" t="s">
        <v>304</v>
      </c>
      <c r="B209" s="3225" t="s">
        <v>264</v>
      </c>
      <c r="C209" s="3225">
        <v>8740</v>
      </c>
      <c r="D209" s="3225">
        <v>8700</v>
      </c>
      <c r="E209" s="3225">
        <v>11500</v>
      </c>
      <c r="F209" s="3225">
        <v>1730</v>
      </c>
      <c r="G209" s="3238">
        <v>5490</v>
      </c>
    </row>
    <row r="210" spans="1:7" s="3214" customFormat="1" ht="14.25" customHeight="1">
      <c r="A210" s="3225" t="s">
        <v>304</v>
      </c>
      <c r="B210" s="3225" t="s">
        <v>2931</v>
      </c>
      <c r="C210" s="3225">
        <v>8710</v>
      </c>
      <c r="D210" s="3225">
        <v>8660</v>
      </c>
      <c r="E210" s="3225">
        <v>11440</v>
      </c>
      <c r="F210" s="3225">
        <v>1740</v>
      </c>
      <c r="G210" s="3238">
        <v>5470</v>
      </c>
    </row>
    <row r="211" spans="1:7" s="3214" customFormat="1" ht="14.25" customHeight="1">
      <c r="A211" s="3225" t="s">
        <v>304</v>
      </c>
      <c r="B211" s="3225" t="s">
        <v>3096</v>
      </c>
      <c r="C211" s="3225">
        <v>9480</v>
      </c>
      <c r="D211" s="3225">
        <v>9430</v>
      </c>
      <c r="E211" s="3225">
        <v>12360</v>
      </c>
      <c r="F211" s="3225">
        <v>1820</v>
      </c>
      <c r="G211" s="3238">
        <v>5950</v>
      </c>
    </row>
    <row r="212" spans="1:7" s="3214" customFormat="1" ht="14.25" customHeight="1">
      <c r="A212" s="3225" t="s">
        <v>304</v>
      </c>
      <c r="B212" s="3225" t="s">
        <v>285</v>
      </c>
      <c r="C212" s="3225">
        <v>9070</v>
      </c>
      <c r="D212" s="3225">
        <v>9020</v>
      </c>
      <c r="E212" s="3225">
        <v>11720</v>
      </c>
      <c r="F212" s="3225">
        <v>1850</v>
      </c>
      <c r="G212" s="3238">
        <v>5700</v>
      </c>
    </row>
    <row r="213" spans="1:7" s="3214" customFormat="1" ht="14.25" customHeight="1">
      <c r="A213" s="3225" t="s">
        <v>304</v>
      </c>
      <c r="B213" s="3225" t="s">
        <v>288</v>
      </c>
      <c r="C213" s="3225">
        <v>9030</v>
      </c>
      <c r="D213" s="3225">
        <v>8980</v>
      </c>
      <c r="E213" s="3225">
        <v>11670</v>
      </c>
      <c r="F213" s="3225">
        <v>1690</v>
      </c>
      <c r="G213" s="3238">
        <v>5670</v>
      </c>
    </row>
    <row r="214" spans="1:7" s="3214" customFormat="1" ht="14.25" customHeight="1">
      <c r="A214" s="3225" t="s">
        <v>304</v>
      </c>
      <c r="B214" s="3225" t="s">
        <v>3097</v>
      </c>
      <c r="C214" s="3225">
        <v>8090</v>
      </c>
      <c r="D214" s="3225">
        <v>8030</v>
      </c>
      <c r="E214" s="3225">
        <v>10780</v>
      </c>
      <c r="F214" s="3225">
        <v>1570</v>
      </c>
      <c r="G214" s="3238">
        <v>5070</v>
      </c>
    </row>
    <row r="215" spans="1:7" s="3214" customFormat="1" ht="14.25" customHeight="1">
      <c r="A215" s="3225" t="s">
        <v>304</v>
      </c>
      <c r="B215" s="3225" t="s">
        <v>3098</v>
      </c>
      <c r="C215" s="3225">
        <v>7950</v>
      </c>
      <c r="D215" s="3225">
        <v>7900</v>
      </c>
      <c r="E215" s="3225">
        <v>10560</v>
      </c>
      <c r="F215" s="3225">
        <v>1630</v>
      </c>
      <c r="G215" s="3238">
        <v>4990</v>
      </c>
    </row>
    <row r="216" spans="1:7" s="3214" customFormat="1" ht="14.25" customHeight="1">
      <c r="A216" s="3225" t="s">
        <v>304</v>
      </c>
      <c r="B216" s="3225" t="s">
        <v>3099</v>
      </c>
      <c r="C216" s="3225">
        <v>8490</v>
      </c>
      <c r="D216" s="3225">
        <v>8440</v>
      </c>
      <c r="E216" s="3225">
        <v>11260</v>
      </c>
      <c r="F216" s="3225">
        <v>1690</v>
      </c>
      <c r="G216" s="3238">
        <v>5330</v>
      </c>
    </row>
    <row r="217" spans="1:7" s="3214" customFormat="1" ht="14.25" customHeight="1">
      <c r="A217" s="3225" t="s">
        <v>304</v>
      </c>
      <c r="B217" s="3225" t="s">
        <v>2964</v>
      </c>
      <c r="C217" s="3225">
        <v>8200</v>
      </c>
      <c r="D217" s="3225">
        <v>8150</v>
      </c>
      <c r="E217" s="3225">
        <v>10910</v>
      </c>
      <c r="F217" s="3225">
        <v>1670</v>
      </c>
      <c r="G217" s="3238">
        <v>5150</v>
      </c>
    </row>
    <row r="218" spans="1:7" s="3214" customFormat="1" ht="14.25" customHeight="1">
      <c r="A218" s="3225" t="s">
        <v>304</v>
      </c>
      <c r="B218" s="3225" t="s">
        <v>3100</v>
      </c>
      <c r="C218" s="3225"/>
      <c r="D218" s="3225"/>
      <c r="E218" s="3225"/>
      <c r="F218" s="3225">
        <v>2040</v>
      </c>
      <c r="G218" s="3238"/>
    </row>
    <row r="219" spans="1:7" s="3214" customFormat="1" ht="14.25" customHeight="1">
      <c r="A219" s="3225" t="s">
        <v>304</v>
      </c>
      <c r="B219" s="3225" t="s">
        <v>3101</v>
      </c>
      <c r="C219" s="3225"/>
      <c r="D219" s="3225"/>
      <c r="E219" s="3225"/>
      <c r="F219" s="3225">
        <v>2040</v>
      </c>
      <c r="G219" s="3238"/>
    </row>
    <row r="220" spans="1:7" s="3214" customFormat="1" ht="14.25" customHeight="1">
      <c r="A220" s="3225" t="s">
        <v>304</v>
      </c>
      <c r="B220" s="3225" t="s">
        <v>3102</v>
      </c>
      <c r="C220" s="3225"/>
      <c r="D220" s="3225"/>
      <c r="E220" s="3225"/>
      <c r="F220" s="3225">
        <v>2040</v>
      </c>
      <c r="G220" s="3238"/>
    </row>
    <row r="221" spans="1:7" s="3214" customFormat="1" ht="14.25" customHeight="1">
      <c r="A221" s="3225" t="s">
        <v>304</v>
      </c>
      <c r="B221" s="3225" t="s">
        <v>3103</v>
      </c>
      <c r="C221" s="3225"/>
      <c r="D221" s="3225"/>
      <c r="E221" s="3225"/>
      <c r="F221" s="3225">
        <v>2040</v>
      </c>
      <c r="G221" s="3238"/>
    </row>
    <row r="222" spans="1:7" s="3214" customFormat="1" ht="14.25" customHeight="1">
      <c r="A222" s="3225" t="s">
        <v>304</v>
      </c>
      <c r="B222" s="3225" t="s">
        <v>3104</v>
      </c>
      <c r="C222" s="3225"/>
      <c r="D222" s="3225"/>
      <c r="E222" s="3225"/>
      <c r="F222" s="3225">
        <v>2040</v>
      </c>
      <c r="G222" s="3238"/>
    </row>
    <row r="223" spans="1:7" s="3214" customFormat="1" ht="14.25" customHeight="1">
      <c r="A223" s="3225" t="s">
        <v>304</v>
      </c>
      <c r="B223" s="3225" t="s">
        <v>3105</v>
      </c>
      <c r="C223" s="3225"/>
      <c r="D223" s="3225"/>
      <c r="E223" s="3225"/>
      <c r="F223" s="3225">
        <v>1930</v>
      </c>
      <c r="G223" s="3238"/>
    </row>
    <row r="224" spans="1:7" s="3214" customFormat="1" ht="14.25" customHeight="1">
      <c r="A224" s="3225" t="s">
        <v>304</v>
      </c>
      <c r="B224" s="3225" t="s">
        <v>3106</v>
      </c>
      <c r="C224" s="3225"/>
      <c r="D224" s="3225"/>
      <c r="E224" s="3225"/>
      <c r="F224" s="3225">
        <v>1930</v>
      </c>
      <c r="G224" s="3238"/>
    </row>
    <row r="225" spans="1:7" s="3214" customFormat="1" ht="14.25" customHeight="1">
      <c r="A225" s="3225" t="s">
        <v>304</v>
      </c>
      <c r="B225" s="3225" t="s">
        <v>3107</v>
      </c>
      <c r="C225" s="3225"/>
      <c r="D225" s="3225"/>
      <c r="E225" s="3225"/>
      <c r="F225" s="3225">
        <v>1930</v>
      </c>
      <c r="G225" s="3238"/>
    </row>
    <row r="226" spans="1:7" s="3214" customFormat="1" ht="14.25" customHeight="1">
      <c r="A226" s="3225" t="s">
        <v>304</v>
      </c>
      <c r="B226" s="3225" t="s">
        <v>3108</v>
      </c>
      <c r="C226" s="3225"/>
      <c r="D226" s="3225"/>
      <c r="E226" s="3225"/>
      <c r="F226" s="3225">
        <v>1700</v>
      </c>
      <c r="G226" s="3238"/>
    </row>
    <row r="227" spans="1:7" s="3214" customFormat="1" ht="14.25" customHeight="1">
      <c r="A227" s="3225" t="s">
        <v>304</v>
      </c>
      <c r="B227" s="3225" t="s">
        <v>3109</v>
      </c>
      <c r="C227" s="3225"/>
      <c r="D227" s="3225"/>
      <c r="E227" s="3225"/>
      <c r="F227" s="3225">
        <v>1520</v>
      </c>
      <c r="G227" s="3238"/>
    </row>
    <row r="228" spans="1:7" s="3214" customFormat="1" ht="14.25" customHeight="1">
      <c r="A228" s="3225" t="s">
        <v>304</v>
      </c>
      <c r="B228" s="3225" t="s">
        <v>3110</v>
      </c>
      <c r="C228" s="3225"/>
      <c r="D228" s="3225"/>
      <c r="E228" s="3225"/>
      <c r="F228" s="3225">
        <v>1520</v>
      </c>
      <c r="G228" s="3238"/>
    </row>
    <row r="229" spans="1:7" s="3214" customFormat="1" ht="14.25" customHeight="1">
      <c r="A229" s="3225" t="s">
        <v>304</v>
      </c>
      <c r="B229" s="3225" t="s">
        <v>3027</v>
      </c>
      <c r="C229" s="3225"/>
      <c r="D229" s="3225"/>
      <c r="E229" s="3225"/>
      <c r="F229" s="3225">
        <v>1520</v>
      </c>
      <c r="G229" s="3238"/>
    </row>
    <row r="230" spans="1:7" s="3214" customFormat="1" ht="14.25" customHeight="1">
      <c r="A230" s="3225" t="s">
        <v>304</v>
      </c>
      <c r="B230" s="3225" t="s">
        <v>3111</v>
      </c>
      <c r="C230" s="3225"/>
      <c r="D230" s="3225"/>
      <c r="E230" s="3225"/>
      <c r="F230" s="3225">
        <v>1820</v>
      </c>
      <c r="G230" s="3238"/>
    </row>
    <row r="231" spans="1:7" s="3214" customFormat="1" ht="14.25" customHeight="1">
      <c r="A231" s="3225" t="s">
        <v>304</v>
      </c>
      <c r="B231" s="3225" t="s">
        <v>3112</v>
      </c>
      <c r="C231" s="3225"/>
      <c r="D231" s="3225"/>
      <c r="E231" s="3225"/>
      <c r="F231" s="3225">
        <v>1760</v>
      </c>
      <c r="G231" s="3238"/>
    </row>
    <row r="232" spans="1:7" s="3214" customFormat="1" ht="14.25" customHeight="1">
      <c r="A232" s="3225" t="s">
        <v>304</v>
      </c>
      <c r="B232" s="3225" t="s">
        <v>3113</v>
      </c>
      <c r="C232" s="3225"/>
      <c r="D232" s="3225"/>
      <c r="E232" s="3225"/>
      <c r="F232" s="3225">
        <v>1840</v>
      </c>
      <c r="G232" s="3238"/>
    </row>
    <row r="233" spans="1:7" s="3214" customFormat="1" ht="14.25" customHeight="1" thickBot="1">
      <c r="A233" s="3239" t="s">
        <v>304</v>
      </c>
      <c r="B233" s="3232" t="s">
        <v>3044</v>
      </c>
      <c r="C233" s="3232"/>
      <c r="D233" s="3232"/>
      <c r="E233" s="3232"/>
      <c r="F233" s="3232">
        <v>1770</v>
      </c>
      <c r="G233" s="3240"/>
    </row>
    <row r="234" spans="1:7" s="3214" customFormat="1" ht="14.25" customHeight="1">
      <c r="A234" s="3230" t="s">
        <v>305</v>
      </c>
      <c r="B234" s="3221" t="s">
        <v>3114</v>
      </c>
      <c r="C234" s="3225">
        <v>6980</v>
      </c>
      <c r="D234" s="3225">
        <v>6970</v>
      </c>
      <c r="E234" s="3225">
        <v>8720</v>
      </c>
      <c r="F234" s="3225">
        <v>1350</v>
      </c>
      <c r="G234" s="3225">
        <v>4280</v>
      </c>
    </row>
    <row r="235" spans="1:7" s="3214" customFormat="1" ht="14.25" customHeight="1">
      <c r="A235" s="3225" t="s">
        <v>305</v>
      </c>
      <c r="B235" s="3225" t="s">
        <v>134</v>
      </c>
      <c r="C235" s="3225">
        <v>7620</v>
      </c>
      <c r="D235" s="3225">
        <v>7580</v>
      </c>
      <c r="E235" s="3225">
        <v>9360</v>
      </c>
      <c r="F235" s="3225">
        <v>1490</v>
      </c>
      <c r="G235" s="3225">
        <v>4650</v>
      </c>
    </row>
    <row r="236" spans="1:7" s="3214" customFormat="1" ht="14.25" customHeight="1">
      <c r="A236" s="3225" t="s">
        <v>305</v>
      </c>
      <c r="B236" s="3225" t="s">
        <v>143</v>
      </c>
      <c r="C236" s="3225">
        <v>6650</v>
      </c>
      <c r="D236" s="3225">
        <v>6630</v>
      </c>
      <c r="E236" s="3225">
        <v>8330</v>
      </c>
      <c r="F236" s="3225">
        <v>1250</v>
      </c>
      <c r="G236" s="3225">
        <v>4070</v>
      </c>
    </row>
    <row r="237" spans="1:7" s="3214" customFormat="1" ht="14.25" customHeight="1">
      <c r="A237" s="3225" t="s">
        <v>305</v>
      </c>
      <c r="B237" s="3225" t="s">
        <v>152</v>
      </c>
      <c r="C237" s="3225">
        <v>5850</v>
      </c>
      <c r="D237" s="3225">
        <v>5820</v>
      </c>
      <c r="E237" s="3225">
        <v>7260</v>
      </c>
      <c r="F237" s="3225">
        <v>1140</v>
      </c>
      <c r="G237" s="3225">
        <v>3570</v>
      </c>
    </row>
    <row r="238" spans="1:7" s="3214" customFormat="1" ht="14.25" customHeight="1">
      <c r="A238" s="3225" t="s">
        <v>305</v>
      </c>
      <c r="B238" s="3225" t="s">
        <v>2885</v>
      </c>
      <c r="C238" s="3225">
        <v>6920</v>
      </c>
      <c r="D238" s="3225">
        <v>6890</v>
      </c>
      <c r="E238" s="3225">
        <v>8640</v>
      </c>
      <c r="F238" s="3225">
        <v>1310</v>
      </c>
      <c r="G238" s="3225">
        <v>4230</v>
      </c>
    </row>
    <row r="239" spans="1:7" s="3214" customFormat="1" ht="14.25" customHeight="1">
      <c r="A239" s="3225" t="s">
        <v>305</v>
      </c>
      <c r="B239" s="3225" t="s">
        <v>3115</v>
      </c>
      <c r="C239" s="3225">
        <v>6780</v>
      </c>
      <c r="D239" s="3225">
        <v>6750</v>
      </c>
      <c r="E239" s="3225">
        <v>8440</v>
      </c>
      <c r="F239" s="3225">
        <v>1160</v>
      </c>
      <c r="G239" s="3225">
        <v>4140</v>
      </c>
    </row>
    <row r="240" spans="1:7" s="3214" customFormat="1" ht="14.25" customHeight="1">
      <c r="A240" s="3225" t="s">
        <v>305</v>
      </c>
      <c r="B240" s="3225" t="s">
        <v>3116</v>
      </c>
      <c r="C240" s="3225">
        <v>5420</v>
      </c>
      <c r="D240" s="3225">
        <v>5380</v>
      </c>
      <c r="E240" s="3225">
        <v>6640</v>
      </c>
      <c r="F240" s="3225">
        <v>1020</v>
      </c>
      <c r="G240" s="3225">
        <v>3300</v>
      </c>
    </row>
    <row r="241" spans="1:7" s="3214" customFormat="1" ht="14.25" customHeight="1">
      <c r="A241" s="3225" t="s">
        <v>305</v>
      </c>
      <c r="B241" s="3225" t="s">
        <v>3117</v>
      </c>
      <c r="C241" s="3225">
        <v>6660</v>
      </c>
      <c r="D241" s="3225">
        <v>6640</v>
      </c>
      <c r="E241" s="3225">
        <v>8340</v>
      </c>
      <c r="F241" s="3225">
        <v>1130</v>
      </c>
      <c r="G241" s="3225">
        <v>4080</v>
      </c>
    </row>
    <row r="242" spans="1:7" s="3214" customFormat="1" ht="14.25" customHeight="1">
      <c r="A242" s="3225" t="s">
        <v>305</v>
      </c>
      <c r="B242" s="3225" t="s">
        <v>181</v>
      </c>
      <c r="C242" s="3225">
        <v>6580</v>
      </c>
      <c r="D242" s="3225">
        <v>6550</v>
      </c>
      <c r="E242" s="3225">
        <v>8090</v>
      </c>
      <c r="F242" s="3225">
        <v>1240</v>
      </c>
      <c r="G242" s="3225">
        <v>4020</v>
      </c>
    </row>
    <row r="243" spans="1:7" s="3214" customFormat="1" ht="14.25" customHeight="1">
      <c r="A243" s="3225" t="s">
        <v>305</v>
      </c>
      <c r="B243" s="3225" t="s">
        <v>191</v>
      </c>
      <c r="C243" s="3225">
        <v>6000</v>
      </c>
      <c r="D243" s="3225">
        <v>5970</v>
      </c>
      <c r="E243" s="3225">
        <v>7370</v>
      </c>
      <c r="F243" s="3225">
        <v>1070</v>
      </c>
      <c r="G243" s="3225">
        <v>3670</v>
      </c>
    </row>
    <row r="244" spans="1:7" s="3214" customFormat="1" ht="14.25" customHeight="1">
      <c r="A244" s="3225" t="s">
        <v>305</v>
      </c>
      <c r="B244" s="3225" t="s">
        <v>3118</v>
      </c>
      <c r="C244" s="3225">
        <v>5840</v>
      </c>
      <c r="D244" s="3225">
        <v>5810</v>
      </c>
      <c r="E244" s="3225">
        <v>7240</v>
      </c>
      <c r="F244" s="3225">
        <v>1100</v>
      </c>
      <c r="G244" s="3225">
        <v>3560</v>
      </c>
    </row>
    <row r="245" spans="1:7" s="3214" customFormat="1" ht="14.25" customHeight="1">
      <c r="A245" s="3225" t="s">
        <v>305</v>
      </c>
      <c r="B245" s="3225" t="s">
        <v>206</v>
      </c>
      <c r="C245" s="3225">
        <v>6040</v>
      </c>
      <c r="D245" s="3225">
        <v>6000</v>
      </c>
      <c r="E245" s="3225">
        <v>7420</v>
      </c>
      <c r="F245" s="3225">
        <v>1140</v>
      </c>
      <c r="G245" s="3225">
        <v>3690</v>
      </c>
    </row>
    <row r="246" spans="1:7" s="3214" customFormat="1" ht="14.25" customHeight="1">
      <c r="A246" s="3225" t="s">
        <v>305</v>
      </c>
      <c r="B246" s="3225" t="s">
        <v>213</v>
      </c>
      <c r="C246" s="3225">
        <v>5890</v>
      </c>
      <c r="D246" s="3225">
        <v>5860</v>
      </c>
      <c r="E246" s="3225">
        <v>7300</v>
      </c>
      <c r="F246" s="3225">
        <v>1110</v>
      </c>
      <c r="G246" s="3225">
        <v>3590</v>
      </c>
    </row>
    <row r="247" spans="1:7" s="3214" customFormat="1" ht="14.25" customHeight="1">
      <c r="A247" s="3225" t="s">
        <v>305</v>
      </c>
      <c r="B247" s="3225" t="s">
        <v>3119</v>
      </c>
      <c r="C247" s="3225">
        <v>6480</v>
      </c>
      <c r="D247" s="3225">
        <v>6450</v>
      </c>
      <c r="E247" s="3225">
        <v>8010</v>
      </c>
      <c r="F247" s="3225">
        <v>1170</v>
      </c>
      <c r="G247" s="3225">
        <v>3960</v>
      </c>
    </row>
    <row r="248" spans="1:7" s="3214" customFormat="1" ht="14.25" customHeight="1">
      <c r="A248" s="3225" t="s">
        <v>305</v>
      </c>
      <c r="B248" s="3225" t="s">
        <v>227</v>
      </c>
      <c r="C248" s="3225">
        <v>6860</v>
      </c>
      <c r="D248" s="3225">
        <v>6840</v>
      </c>
      <c r="E248" s="3225">
        <v>8520</v>
      </c>
      <c r="F248" s="3225">
        <v>1240</v>
      </c>
      <c r="G248" s="3225">
        <v>4200</v>
      </c>
    </row>
    <row r="249" spans="1:7" s="3214" customFormat="1" ht="14.25" customHeight="1">
      <c r="A249" s="3225" t="s">
        <v>305</v>
      </c>
      <c r="B249" s="3225" t="s">
        <v>3120</v>
      </c>
      <c r="C249" s="3225">
        <v>7180</v>
      </c>
      <c r="D249" s="3225">
        <v>7140</v>
      </c>
      <c r="E249" s="3225">
        <v>8900</v>
      </c>
      <c r="F249" s="3225">
        <v>1350</v>
      </c>
      <c r="G249" s="3225">
        <v>4380</v>
      </c>
    </row>
    <row r="250" spans="1:7" s="3214" customFormat="1" ht="14.25" customHeight="1">
      <c r="A250" s="3225" t="s">
        <v>305</v>
      </c>
      <c r="B250" s="3225" t="s">
        <v>241</v>
      </c>
      <c r="C250" s="3225">
        <v>6880</v>
      </c>
      <c r="D250" s="3225">
        <v>6860</v>
      </c>
      <c r="E250" s="3225">
        <v>8550</v>
      </c>
      <c r="F250" s="3225">
        <v>1220</v>
      </c>
      <c r="G250" s="3225">
        <v>4210</v>
      </c>
    </row>
    <row r="251" spans="1:7" s="3214" customFormat="1" ht="14.25" customHeight="1">
      <c r="A251" s="3225" t="s">
        <v>305</v>
      </c>
      <c r="B251" s="3225" t="s">
        <v>249</v>
      </c>
      <c r="C251" s="3225"/>
      <c r="D251" s="3225"/>
      <c r="E251" s="3225"/>
      <c r="F251" s="3225">
        <v>1100</v>
      </c>
      <c r="G251" s="3225"/>
    </row>
    <row r="252" spans="1:7" s="3214" customFormat="1" ht="14.25" customHeight="1">
      <c r="A252" s="3225" t="s">
        <v>305</v>
      </c>
      <c r="B252" s="3225" t="s">
        <v>3121</v>
      </c>
      <c r="C252" s="3225">
        <v>7240</v>
      </c>
      <c r="D252" s="3225">
        <v>7200</v>
      </c>
      <c r="E252" s="3225">
        <v>9040</v>
      </c>
      <c r="F252" s="3225">
        <v>1380</v>
      </c>
      <c r="G252" s="3225">
        <v>4420</v>
      </c>
    </row>
    <row r="253" spans="1:7" s="3214" customFormat="1" ht="14.25" customHeight="1">
      <c r="A253" s="3225" t="s">
        <v>305</v>
      </c>
      <c r="B253" s="3225" t="s">
        <v>283</v>
      </c>
      <c r="C253" s="3225">
        <v>6670</v>
      </c>
      <c r="D253" s="3225">
        <v>6650</v>
      </c>
      <c r="E253" s="3225">
        <v>8350</v>
      </c>
      <c r="F253" s="3225">
        <v>1260</v>
      </c>
      <c r="G253" s="3225">
        <v>4080</v>
      </c>
    </row>
    <row r="254" spans="1:7" s="3214" customFormat="1" ht="14.25" customHeight="1">
      <c r="A254" s="3225" t="s">
        <v>305</v>
      </c>
      <c r="B254" s="3225" t="s">
        <v>286</v>
      </c>
      <c r="C254" s="3225">
        <v>7630</v>
      </c>
      <c r="D254" s="3225">
        <v>7590</v>
      </c>
      <c r="E254" s="3225">
        <v>9380</v>
      </c>
      <c r="F254" s="3225">
        <v>1320</v>
      </c>
      <c r="G254" s="3225">
        <v>4660</v>
      </c>
    </row>
    <row r="255" spans="1:7" s="3214" customFormat="1" ht="14.25" customHeight="1">
      <c r="A255" s="3225" t="s">
        <v>305</v>
      </c>
      <c r="B255" s="3225" t="s">
        <v>289</v>
      </c>
      <c r="C255" s="3225">
        <v>6940</v>
      </c>
      <c r="D255" s="3225">
        <v>6890</v>
      </c>
      <c r="E255" s="3225">
        <v>8650</v>
      </c>
      <c r="F255" s="3225">
        <v>1210</v>
      </c>
      <c r="G255" s="3225">
        <v>4230</v>
      </c>
    </row>
    <row r="256" spans="1:7" s="3214" customFormat="1" ht="14.25" customHeight="1">
      <c r="A256" s="3225" t="s">
        <v>305</v>
      </c>
      <c r="B256" s="3225" t="s">
        <v>3122</v>
      </c>
      <c r="C256" s="3225">
        <v>7520</v>
      </c>
      <c r="D256" s="3225">
        <v>7490</v>
      </c>
      <c r="E256" s="3225">
        <v>9240</v>
      </c>
      <c r="F256" s="3225">
        <v>1270</v>
      </c>
      <c r="G256" s="3225">
        <v>4590</v>
      </c>
    </row>
    <row r="257" spans="1:7" s="3214" customFormat="1" ht="14.25" customHeight="1">
      <c r="A257" s="3225" t="s">
        <v>305</v>
      </c>
      <c r="B257" s="3225" t="s">
        <v>275</v>
      </c>
      <c r="C257" s="3225">
        <v>6280</v>
      </c>
      <c r="D257" s="3225">
        <v>6230</v>
      </c>
      <c r="E257" s="3225">
        <v>7740</v>
      </c>
      <c r="F257" s="3225">
        <v>1080</v>
      </c>
      <c r="G257" s="3225">
        <v>3830</v>
      </c>
    </row>
    <row r="258" spans="1:7" s="3214" customFormat="1" ht="14.25" customHeight="1">
      <c r="A258" s="3225" t="s">
        <v>305</v>
      </c>
      <c r="B258" s="3225" t="s">
        <v>2947</v>
      </c>
      <c r="C258" s="3225">
        <v>6190</v>
      </c>
      <c r="D258" s="3225">
        <v>6160</v>
      </c>
      <c r="E258" s="3225">
        <v>7680</v>
      </c>
      <c r="F258" s="3225">
        <v>1170</v>
      </c>
      <c r="G258" s="3225">
        <v>3780</v>
      </c>
    </row>
    <row r="259" spans="1:7" s="3214" customFormat="1" ht="14.25" customHeight="1">
      <c r="A259" s="3225" t="s">
        <v>305</v>
      </c>
      <c r="B259" s="3225" t="s">
        <v>3123</v>
      </c>
      <c r="C259" s="3225">
        <v>7610</v>
      </c>
      <c r="D259" s="3225">
        <v>7570</v>
      </c>
      <c r="E259" s="3225">
        <v>9350</v>
      </c>
      <c r="F259" s="3225">
        <v>1350</v>
      </c>
      <c r="G259" s="3225">
        <v>4650</v>
      </c>
    </row>
    <row r="260" spans="1:7" s="3214" customFormat="1" ht="14.25" customHeight="1">
      <c r="A260" s="3225" t="s">
        <v>305</v>
      </c>
      <c r="B260" s="3225" t="s">
        <v>3124</v>
      </c>
      <c r="C260" s="3225">
        <v>6920</v>
      </c>
      <c r="D260" s="3225">
        <v>6880</v>
      </c>
      <c r="E260" s="3225">
        <v>8380</v>
      </c>
      <c r="F260" s="3225">
        <v>1160</v>
      </c>
      <c r="G260" s="3225">
        <v>4220</v>
      </c>
    </row>
    <row r="261" spans="1:7" s="3214" customFormat="1" ht="14.25" customHeight="1">
      <c r="A261" s="3225" t="s">
        <v>305</v>
      </c>
      <c r="B261" s="3225" t="s">
        <v>3125</v>
      </c>
      <c r="C261" s="3225">
        <v>6850</v>
      </c>
      <c r="D261" s="3225">
        <v>6810</v>
      </c>
      <c r="E261" s="3225">
        <v>8290</v>
      </c>
      <c r="F261" s="3225">
        <v>1130</v>
      </c>
      <c r="G261" s="3225">
        <v>4180</v>
      </c>
    </row>
    <row r="262" spans="1:7" s="3214" customFormat="1" ht="14.25" customHeight="1">
      <c r="A262" s="3225" t="s">
        <v>305</v>
      </c>
      <c r="B262" s="3225" t="s">
        <v>3126</v>
      </c>
      <c r="C262" s="3225">
        <v>5860</v>
      </c>
      <c r="D262" s="3225">
        <v>5820</v>
      </c>
      <c r="E262" s="3225">
        <v>7640</v>
      </c>
      <c r="F262" s="3225">
        <v>1070</v>
      </c>
      <c r="G262" s="3225">
        <v>3570</v>
      </c>
    </row>
    <row r="263" spans="1:7" s="3214" customFormat="1" ht="14.25" customHeight="1">
      <c r="A263" s="3225" t="s">
        <v>305</v>
      </c>
      <c r="B263" s="3225" t="s">
        <v>3127</v>
      </c>
      <c r="C263" s="3225">
        <v>5870</v>
      </c>
      <c r="D263" s="3225">
        <v>5840</v>
      </c>
      <c r="E263" s="3225">
        <v>7270</v>
      </c>
      <c r="F263" s="3225">
        <v>1190</v>
      </c>
      <c r="G263" s="3225">
        <v>3580</v>
      </c>
    </row>
    <row r="264" spans="1:7" s="3214" customFormat="1" ht="14.25" customHeight="1">
      <c r="A264" s="3225" t="s">
        <v>305</v>
      </c>
      <c r="B264" s="3225" t="s">
        <v>299</v>
      </c>
      <c r="C264" s="3225">
        <v>6190</v>
      </c>
      <c r="D264" s="3225">
        <v>6150</v>
      </c>
      <c r="E264" s="3225">
        <v>7660</v>
      </c>
      <c r="F264" s="3225">
        <v>1160</v>
      </c>
      <c r="G264" s="3225">
        <v>3770</v>
      </c>
    </row>
    <row r="265" spans="1:7" s="3214" customFormat="1" ht="14.25" customHeight="1">
      <c r="A265" s="3225" t="s">
        <v>305</v>
      </c>
      <c r="B265" s="3225" t="s">
        <v>3128</v>
      </c>
      <c r="C265" s="3225"/>
      <c r="D265" s="3225"/>
      <c r="E265" s="3225"/>
      <c r="F265" s="3225">
        <v>1500</v>
      </c>
      <c r="G265" s="3225"/>
    </row>
    <row r="266" spans="1:7" s="3214" customFormat="1" ht="14.25" customHeight="1">
      <c r="A266" s="3225" t="s">
        <v>305</v>
      </c>
      <c r="B266" s="3225" t="s">
        <v>3129</v>
      </c>
      <c r="C266" s="3225"/>
      <c r="D266" s="3225"/>
      <c r="E266" s="3225"/>
      <c r="F266" s="3225">
        <v>1500</v>
      </c>
      <c r="G266" s="3225"/>
    </row>
    <row r="267" spans="1:7" s="3214" customFormat="1" ht="14.25" customHeight="1">
      <c r="A267" s="3225" t="s">
        <v>305</v>
      </c>
      <c r="B267" s="3225" t="s">
        <v>3130</v>
      </c>
      <c r="C267" s="3225"/>
      <c r="D267" s="3225"/>
      <c r="E267" s="3225"/>
      <c r="F267" s="3225">
        <v>1500</v>
      </c>
      <c r="G267" s="3225"/>
    </row>
    <row r="268" spans="1:7" s="3214" customFormat="1" ht="14.25" customHeight="1">
      <c r="A268" s="3225" t="s">
        <v>305</v>
      </c>
      <c r="B268" s="3225" t="s">
        <v>3131</v>
      </c>
      <c r="C268" s="3225"/>
      <c r="D268" s="3225"/>
      <c r="E268" s="3225"/>
      <c r="F268" s="3225">
        <v>1290</v>
      </c>
      <c r="G268" s="3225"/>
    </row>
    <row r="269" spans="1:7" s="3214" customFormat="1" ht="14.25" customHeight="1">
      <c r="A269" s="3225" t="s">
        <v>305</v>
      </c>
      <c r="B269" s="3225" t="s">
        <v>3132</v>
      </c>
      <c r="C269" s="3225"/>
      <c r="D269" s="3225"/>
      <c r="E269" s="3225"/>
      <c r="F269" s="3225">
        <v>1150</v>
      </c>
      <c r="G269" s="3225"/>
    </row>
    <row r="270" spans="1:7" s="3214" customFormat="1" ht="14.25" customHeight="1">
      <c r="A270" s="3225" t="s">
        <v>305</v>
      </c>
      <c r="B270" s="3225" t="s">
        <v>3133</v>
      </c>
      <c r="C270" s="3225"/>
      <c r="D270" s="3225"/>
      <c r="E270" s="3225"/>
      <c r="F270" s="3225">
        <v>1380</v>
      </c>
      <c r="G270" s="3225"/>
    </row>
    <row r="271" spans="1:7" s="3214" customFormat="1" ht="14.25" customHeight="1">
      <c r="A271" s="3225" t="s">
        <v>305</v>
      </c>
      <c r="B271" s="3225" t="s">
        <v>3134</v>
      </c>
      <c r="C271" s="3225"/>
      <c r="D271" s="3225"/>
      <c r="E271" s="3225"/>
      <c r="F271" s="3225">
        <v>1460</v>
      </c>
      <c r="G271" s="3225"/>
    </row>
    <row r="272" spans="1:7" s="3214" customFormat="1" ht="14.25" customHeight="1">
      <c r="A272" s="3225" t="s">
        <v>305</v>
      </c>
      <c r="B272" s="3225" t="s">
        <v>3135</v>
      </c>
      <c r="C272" s="3225"/>
      <c r="D272" s="3225"/>
      <c r="E272" s="3225"/>
      <c r="F272" s="3225">
        <v>1460</v>
      </c>
      <c r="G272" s="3225"/>
    </row>
    <row r="273" spans="1:7" s="3214" customFormat="1" ht="14.25" customHeight="1">
      <c r="A273" s="3225" t="s">
        <v>305</v>
      </c>
      <c r="B273" s="3225" t="s">
        <v>3028</v>
      </c>
      <c r="C273" s="3225"/>
      <c r="D273" s="3225"/>
      <c r="E273" s="3225"/>
      <c r="F273" s="3225">
        <v>1490</v>
      </c>
      <c r="G273" s="3225"/>
    </row>
    <row r="274" spans="1:7" s="3214" customFormat="1" ht="14.25" customHeight="1">
      <c r="A274" s="3225" t="s">
        <v>305</v>
      </c>
      <c r="B274" s="3225" t="s">
        <v>3136</v>
      </c>
      <c r="C274" s="3225"/>
      <c r="D274" s="3225"/>
      <c r="E274" s="3225"/>
      <c r="F274" s="3225">
        <v>1490</v>
      </c>
      <c r="G274" s="3225"/>
    </row>
    <row r="275" spans="1:7" s="3214" customFormat="1" ht="14.25" customHeight="1">
      <c r="A275" s="3225" t="s">
        <v>305</v>
      </c>
      <c r="B275" s="3225" t="s">
        <v>3137</v>
      </c>
      <c r="C275" s="3225"/>
      <c r="D275" s="3225"/>
      <c r="E275" s="3225"/>
      <c r="F275" s="3225">
        <v>1220</v>
      </c>
      <c r="G275" s="3225"/>
    </row>
    <row r="276" spans="1:7" s="3214" customFormat="1" ht="14.25" customHeight="1" thickBot="1">
      <c r="A276" s="3233" t="s">
        <v>305</v>
      </c>
      <c r="B276" s="3235" t="s">
        <v>3138</v>
      </c>
      <c r="C276" s="3236"/>
      <c r="D276" s="3236"/>
      <c r="E276" s="3236"/>
      <c r="F276" s="3236">
        <v>1380</v>
      </c>
      <c r="G276" s="3236"/>
    </row>
    <row r="277" spans="1:7" s="3214" customFormat="1" ht="14.25" customHeight="1">
      <c r="A277" s="3230" t="s">
        <v>306</v>
      </c>
      <c r="B277" s="3221" t="s">
        <v>3139</v>
      </c>
      <c r="C277" s="3221">
        <v>5790</v>
      </c>
      <c r="D277" s="3221">
        <v>5740</v>
      </c>
      <c r="E277" s="3221">
        <v>6730</v>
      </c>
      <c r="F277" s="3221">
        <v>1110</v>
      </c>
      <c r="G277" s="3237">
        <v>3460</v>
      </c>
    </row>
    <row r="278" spans="1:7" s="3214" customFormat="1" ht="14.25" customHeight="1">
      <c r="A278" s="3225" t="s">
        <v>306</v>
      </c>
      <c r="B278" s="3225" t="s">
        <v>135</v>
      </c>
      <c r="C278" s="3225">
        <v>5740</v>
      </c>
      <c r="D278" s="3225">
        <v>5670</v>
      </c>
      <c r="E278" s="3225">
        <v>6680</v>
      </c>
      <c r="F278" s="3225">
        <v>1070</v>
      </c>
      <c r="G278" s="3238">
        <v>3420</v>
      </c>
    </row>
    <row r="279" spans="1:7" s="3214" customFormat="1" ht="14.25" customHeight="1">
      <c r="A279" s="3225" t="s">
        <v>306</v>
      </c>
      <c r="B279" s="3225" t="s">
        <v>3140</v>
      </c>
      <c r="C279" s="3225">
        <v>4760</v>
      </c>
      <c r="D279" s="3225">
        <v>4720</v>
      </c>
      <c r="E279" s="3225">
        <v>5540</v>
      </c>
      <c r="F279" s="3225">
        <v>810</v>
      </c>
      <c r="G279" s="3238">
        <v>2850</v>
      </c>
    </row>
    <row r="280" spans="1:7" s="3214" customFormat="1" ht="14.25" customHeight="1">
      <c r="A280" s="3225" t="s">
        <v>306</v>
      </c>
      <c r="B280" s="3225" t="s">
        <v>3141</v>
      </c>
      <c r="C280" s="3225">
        <v>4010</v>
      </c>
      <c r="D280" s="3225">
        <v>3950</v>
      </c>
      <c r="E280" s="3225">
        <v>4710</v>
      </c>
      <c r="F280" s="3225">
        <v>800</v>
      </c>
      <c r="G280" s="3238">
        <v>2390</v>
      </c>
    </row>
    <row r="281" spans="1:7" s="3214" customFormat="1" ht="14.25" customHeight="1">
      <c r="A281" s="3225" t="s">
        <v>306</v>
      </c>
      <c r="B281" s="3225" t="s">
        <v>3142</v>
      </c>
      <c r="C281" s="3225">
        <v>4480</v>
      </c>
      <c r="D281" s="3225">
        <v>4420</v>
      </c>
      <c r="E281" s="3225">
        <v>5230</v>
      </c>
      <c r="F281" s="3225">
        <v>870</v>
      </c>
      <c r="G281" s="3238">
        <v>2660</v>
      </c>
    </row>
    <row r="282" spans="1:7" s="3214" customFormat="1" ht="14.25" customHeight="1">
      <c r="A282" s="3225" t="s">
        <v>306</v>
      </c>
      <c r="B282" s="3225" t="s">
        <v>3143</v>
      </c>
      <c r="C282" s="3225">
        <v>5360</v>
      </c>
      <c r="D282" s="3225">
        <v>5300</v>
      </c>
      <c r="E282" s="3225">
        <v>6190</v>
      </c>
      <c r="F282" s="3225">
        <v>950</v>
      </c>
      <c r="G282" s="3238">
        <v>3190</v>
      </c>
    </row>
    <row r="283" spans="1:7" s="3214" customFormat="1" ht="14.25" customHeight="1">
      <c r="A283" s="3225" t="s">
        <v>306</v>
      </c>
      <c r="B283" s="3225" t="s">
        <v>174</v>
      </c>
      <c r="C283" s="3225">
        <v>4950</v>
      </c>
      <c r="D283" s="3225">
        <v>4900</v>
      </c>
      <c r="E283" s="3225">
        <v>5720</v>
      </c>
      <c r="F283" s="3225">
        <v>920</v>
      </c>
      <c r="G283" s="3238">
        <v>2950</v>
      </c>
    </row>
    <row r="284" spans="1:7" s="3214" customFormat="1" ht="14.25" customHeight="1">
      <c r="A284" s="3225" t="s">
        <v>306</v>
      </c>
      <c r="B284" s="3225" t="s">
        <v>182</v>
      </c>
      <c r="C284" s="3225">
        <v>5610</v>
      </c>
      <c r="D284" s="3225">
        <v>5560</v>
      </c>
      <c r="E284" s="3225">
        <v>6520</v>
      </c>
      <c r="F284" s="3225">
        <v>1030</v>
      </c>
      <c r="G284" s="3238">
        <v>3360</v>
      </c>
    </row>
    <row r="285" spans="1:7" s="3214" customFormat="1" ht="14.25" customHeight="1">
      <c r="A285" s="3225" t="s">
        <v>306</v>
      </c>
      <c r="B285" s="3225" t="s">
        <v>192</v>
      </c>
      <c r="C285" s="3225">
        <v>5340</v>
      </c>
      <c r="D285" s="3225">
        <v>5290</v>
      </c>
      <c r="E285" s="3225">
        <v>6170</v>
      </c>
      <c r="F285" s="3225">
        <v>1080</v>
      </c>
      <c r="G285" s="3238">
        <v>3180</v>
      </c>
    </row>
    <row r="286" spans="1:7" s="3214" customFormat="1" ht="14.25" customHeight="1">
      <c r="A286" s="3225" t="s">
        <v>306</v>
      </c>
      <c r="B286" s="3225" t="s">
        <v>199</v>
      </c>
      <c r="C286" s="3225">
        <v>4890</v>
      </c>
      <c r="D286" s="3225">
        <v>4840</v>
      </c>
      <c r="E286" s="3225">
        <v>5640</v>
      </c>
      <c r="F286" s="3225">
        <v>960</v>
      </c>
      <c r="G286" s="3238">
        <v>2910</v>
      </c>
    </row>
    <row r="287" spans="1:7" s="3214" customFormat="1" ht="14.25" customHeight="1">
      <c r="A287" s="3225" t="s">
        <v>306</v>
      </c>
      <c r="B287" s="3225" t="s">
        <v>3144</v>
      </c>
      <c r="C287" s="3225">
        <v>4960</v>
      </c>
      <c r="D287" s="3225">
        <v>4920</v>
      </c>
      <c r="E287" s="3225">
        <v>5730</v>
      </c>
      <c r="F287" s="3225">
        <v>930</v>
      </c>
      <c r="G287" s="3238">
        <v>2960</v>
      </c>
    </row>
    <row r="288" spans="1:7" s="3214" customFormat="1" ht="14.25" customHeight="1">
      <c r="A288" s="3225" t="s">
        <v>306</v>
      </c>
      <c r="B288" s="3225" t="s">
        <v>219</v>
      </c>
      <c r="C288" s="3225">
        <v>4350</v>
      </c>
      <c r="D288" s="3225">
        <v>4300</v>
      </c>
      <c r="E288" s="3225">
        <v>4900</v>
      </c>
      <c r="F288" s="3225">
        <v>820</v>
      </c>
      <c r="G288" s="3238">
        <v>2590</v>
      </c>
    </row>
    <row r="289" spans="1:7" s="3214" customFormat="1" ht="14.25" customHeight="1">
      <c r="A289" s="3225" t="s">
        <v>306</v>
      </c>
      <c r="B289" s="3225" t="s">
        <v>3145</v>
      </c>
      <c r="C289" s="3225">
        <v>5230</v>
      </c>
      <c r="D289" s="3225">
        <v>5170</v>
      </c>
      <c r="E289" s="3225">
        <v>6060</v>
      </c>
      <c r="F289" s="3225">
        <v>900</v>
      </c>
      <c r="G289" s="3238">
        <v>3120</v>
      </c>
    </row>
    <row r="290" spans="1:7" s="3214" customFormat="1" ht="14.25" customHeight="1">
      <c r="A290" s="3225" t="s">
        <v>306</v>
      </c>
      <c r="B290" s="3225" t="s">
        <v>242</v>
      </c>
      <c r="C290" s="3225">
        <v>5550</v>
      </c>
      <c r="D290" s="3225">
        <v>5500</v>
      </c>
      <c r="E290" s="3225">
        <v>6440</v>
      </c>
      <c r="F290" s="3225">
        <v>960</v>
      </c>
      <c r="G290" s="3238">
        <v>3320</v>
      </c>
    </row>
    <row r="291" spans="1:7" s="3214" customFormat="1" ht="14.25" customHeight="1">
      <c r="A291" s="3225" t="s">
        <v>306</v>
      </c>
      <c r="B291" s="3225" t="s">
        <v>250</v>
      </c>
      <c r="C291" s="3225">
        <v>5440</v>
      </c>
      <c r="D291" s="3225">
        <v>5400</v>
      </c>
      <c r="E291" s="3225">
        <v>6320</v>
      </c>
      <c r="F291" s="3225">
        <v>930</v>
      </c>
      <c r="G291" s="3238">
        <v>3250</v>
      </c>
    </row>
    <row r="292" spans="1:7" s="3214" customFormat="1" ht="14.25" customHeight="1">
      <c r="A292" s="3225" t="s">
        <v>306</v>
      </c>
      <c r="B292" s="3225" t="s">
        <v>256</v>
      </c>
      <c r="C292" s="3225">
        <v>5400</v>
      </c>
      <c r="D292" s="3225">
        <v>5360</v>
      </c>
      <c r="E292" s="3225">
        <v>6270</v>
      </c>
      <c r="F292" s="3225">
        <v>1040</v>
      </c>
      <c r="G292" s="3238">
        <v>3230</v>
      </c>
    </row>
    <row r="293" spans="1:7" s="3214" customFormat="1" ht="14.25" customHeight="1">
      <c r="A293" s="3225" t="s">
        <v>306</v>
      </c>
      <c r="B293" s="3225" t="s">
        <v>2920</v>
      </c>
      <c r="C293" s="3225">
        <v>5320</v>
      </c>
      <c r="D293" s="3225">
        <v>5270</v>
      </c>
      <c r="E293" s="3225">
        <v>6160</v>
      </c>
      <c r="F293" s="3225">
        <v>990</v>
      </c>
      <c r="G293" s="3238">
        <v>3170</v>
      </c>
    </row>
    <row r="294" spans="1:7" s="3214" customFormat="1" ht="14.25" customHeight="1">
      <c r="A294" s="3225" t="s">
        <v>306</v>
      </c>
      <c r="B294" s="3225" t="s">
        <v>3146</v>
      </c>
      <c r="C294" s="3225">
        <v>5260</v>
      </c>
      <c r="D294" s="3225">
        <v>5210</v>
      </c>
      <c r="E294" s="3225">
        <v>6100</v>
      </c>
      <c r="F294" s="3225">
        <v>950</v>
      </c>
      <c r="G294" s="3238">
        <v>3150</v>
      </c>
    </row>
    <row r="295" spans="1:7" s="3214" customFormat="1" ht="14.25" customHeight="1">
      <c r="A295" s="3225" t="s">
        <v>306</v>
      </c>
      <c r="B295" s="3225" t="s">
        <v>290</v>
      </c>
      <c r="C295" s="3225">
        <v>5610</v>
      </c>
      <c r="D295" s="3225">
        <v>5570</v>
      </c>
      <c r="E295" s="3225">
        <v>6530</v>
      </c>
      <c r="F295" s="3225">
        <v>960</v>
      </c>
      <c r="G295" s="3238">
        <v>3360</v>
      </c>
    </row>
    <row r="296" spans="1:7" s="3214" customFormat="1" ht="14.25" customHeight="1">
      <c r="A296" s="3225" t="s">
        <v>306</v>
      </c>
      <c r="B296" s="3225" t="s">
        <v>293</v>
      </c>
      <c r="C296" s="3225">
        <v>5540</v>
      </c>
      <c r="D296" s="3225">
        <v>5490</v>
      </c>
      <c r="E296" s="3225">
        <v>6430</v>
      </c>
      <c r="F296" s="3225">
        <v>980</v>
      </c>
      <c r="G296" s="3238">
        <v>3310</v>
      </c>
    </row>
    <row r="297" spans="1:7" s="3214" customFormat="1" ht="14.25" customHeight="1">
      <c r="A297" s="3225" t="s">
        <v>306</v>
      </c>
      <c r="B297" s="3225" t="s">
        <v>295</v>
      </c>
      <c r="C297" s="3225">
        <v>5480</v>
      </c>
      <c r="D297" s="3225">
        <v>5420</v>
      </c>
      <c r="E297" s="3225">
        <v>6370</v>
      </c>
      <c r="F297" s="3225">
        <v>990</v>
      </c>
      <c r="G297" s="3238">
        <v>3270</v>
      </c>
    </row>
    <row r="298" spans="1:7" s="3214" customFormat="1" ht="14.25" customHeight="1">
      <c r="A298" s="3225" t="s">
        <v>306</v>
      </c>
      <c r="B298" s="3225" t="s">
        <v>298</v>
      </c>
      <c r="C298" s="3225">
        <v>5090</v>
      </c>
      <c r="D298" s="3225">
        <v>5050</v>
      </c>
      <c r="E298" s="3225">
        <v>5910</v>
      </c>
      <c r="F298" s="3225">
        <v>900</v>
      </c>
      <c r="G298" s="3238">
        <v>3040</v>
      </c>
    </row>
    <row r="299" spans="1:7" s="3214" customFormat="1" ht="14.25" customHeight="1">
      <c r="A299" s="3225" t="s">
        <v>306</v>
      </c>
      <c r="B299" s="3234" t="s">
        <v>2939</v>
      </c>
      <c r="C299" s="3225">
        <v>5430</v>
      </c>
      <c r="D299" s="3225">
        <v>5380</v>
      </c>
      <c r="E299" s="3225">
        <v>6280</v>
      </c>
      <c r="F299" s="3225">
        <v>1000</v>
      </c>
      <c r="G299" s="3238">
        <v>3240</v>
      </c>
    </row>
    <row r="300" spans="1:7" s="3214" customFormat="1" ht="14.25" customHeight="1">
      <c r="A300" s="3225" t="s">
        <v>306</v>
      </c>
      <c r="B300" s="3234" t="s">
        <v>271</v>
      </c>
      <c r="C300" s="3225">
        <v>4740</v>
      </c>
      <c r="D300" s="3225">
        <v>4680</v>
      </c>
      <c r="E300" s="3225">
        <v>5450</v>
      </c>
      <c r="F300" s="3225">
        <v>900</v>
      </c>
      <c r="G300" s="3238">
        <v>2830</v>
      </c>
    </row>
    <row r="301" spans="1:7" s="3214" customFormat="1" ht="14.25" customHeight="1">
      <c r="A301" s="3225" t="s">
        <v>306</v>
      </c>
      <c r="B301" s="3234" t="s">
        <v>276</v>
      </c>
      <c r="C301" s="3225">
        <v>4870</v>
      </c>
      <c r="D301" s="3225">
        <v>4810</v>
      </c>
      <c r="E301" s="3225">
        <v>5560</v>
      </c>
      <c r="F301" s="3225">
        <v>990</v>
      </c>
      <c r="G301" s="3238">
        <v>2910</v>
      </c>
    </row>
    <row r="302" spans="1:7" s="3214" customFormat="1" ht="14.25" customHeight="1">
      <c r="A302" s="3225" t="s">
        <v>306</v>
      </c>
      <c r="B302" s="3225" t="s">
        <v>3147</v>
      </c>
      <c r="C302" s="3225">
        <v>5520</v>
      </c>
      <c r="D302" s="3225">
        <v>5470</v>
      </c>
      <c r="E302" s="3225">
        <v>6410</v>
      </c>
      <c r="F302" s="3225">
        <v>950</v>
      </c>
      <c r="G302" s="3238">
        <v>3300</v>
      </c>
    </row>
    <row r="303" spans="1:7" s="3214" customFormat="1" ht="14.25" customHeight="1">
      <c r="A303" s="3225" t="s">
        <v>306</v>
      </c>
      <c r="B303" s="3225" t="s">
        <v>2959</v>
      </c>
      <c r="C303" s="3225">
        <v>5630</v>
      </c>
      <c r="D303" s="3225">
        <v>5590</v>
      </c>
      <c r="E303" s="3225">
        <v>6550</v>
      </c>
      <c r="F303" s="3225">
        <v>1010</v>
      </c>
      <c r="G303" s="3238">
        <v>3370</v>
      </c>
    </row>
    <row r="304" spans="1:7" s="3214" customFormat="1" ht="14.25" customHeight="1">
      <c r="A304" s="3225" t="s">
        <v>306</v>
      </c>
      <c r="B304" s="3225" t="s">
        <v>2966</v>
      </c>
      <c r="C304" s="3225">
        <v>5680</v>
      </c>
      <c r="D304" s="3225">
        <v>5620</v>
      </c>
      <c r="E304" s="3225">
        <v>6620</v>
      </c>
      <c r="F304" s="3225">
        <v>1050</v>
      </c>
      <c r="G304" s="3238">
        <v>3390</v>
      </c>
    </row>
    <row r="305" spans="1:7" s="3214" customFormat="1" ht="14.25" customHeight="1">
      <c r="A305" s="3225" t="s">
        <v>306</v>
      </c>
      <c r="B305" s="3225" t="s">
        <v>2972</v>
      </c>
      <c r="C305" s="3225">
        <v>5590</v>
      </c>
      <c r="D305" s="3225">
        <v>5530</v>
      </c>
      <c r="E305" s="3225">
        <v>6460</v>
      </c>
      <c r="F305" s="3225">
        <v>900</v>
      </c>
      <c r="G305" s="3238">
        <v>3340</v>
      </c>
    </row>
    <row r="306" spans="1:7" s="3214" customFormat="1" ht="14.25" customHeight="1">
      <c r="A306" s="3225" t="s">
        <v>306</v>
      </c>
      <c r="B306" s="3225" t="s">
        <v>3148</v>
      </c>
      <c r="C306" s="3225">
        <v>5560</v>
      </c>
      <c r="D306" s="3225">
        <v>5510</v>
      </c>
      <c r="E306" s="3225">
        <v>6440</v>
      </c>
      <c r="F306" s="3225">
        <v>900</v>
      </c>
      <c r="G306" s="3238">
        <v>3320</v>
      </c>
    </row>
    <row r="307" spans="1:7" s="3214" customFormat="1" ht="14.25" customHeight="1">
      <c r="A307" s="3225" t="s">
        <v>306</v>
      </c>
      <c r="B307" s="3225" t="s">
        <v>2984</v>
      </c>
      <c r="C307" s="3225">
        <v>5650</v>
      </c>
      <c r="D307" s="3225">
        <v>5600</v>
      </c>
      <c r="E307" s="3225">
        <v>6590</v>
      </c>
      <c r="F307" s="3225">
        <v>930</v>
      </c>
      <c r="G307" s="3238">
        <v>3380</v>
      </c>
    </row>
    <row r="308" spans="1:7" s="3214" customFormat="1" ht="14.25" customHeight="1">
      <c r="A308" s="3225" t="s">
        <v>306</v>
      </c>
      <c r="B308" s="3225" t="s">
        <v>3149</v>
      </c>
      <c r="C308" s="3225">
        <v>5620</v>
      </c>
      <c r="D308" s="3225">
        <v>5580</v>
      </c>
      <c r="E308" s="3225">
        <v>6540</v>
      </c>
      <c r="F308" s="3225">
        <v>910</v>
      </c>
      <c r="G308" s="3238">
        <v>3370</v>
      </c>
    </row>
    <row r="309" spans="1:7" s="3214" customFormat="1" ht="14.25" customHeight="1">
      <c r="A309" s="3225" t="s">
        <v>306</v>
      </c>
      <c r="B309" s="3225" t="s">
        <v>3150</v>
      </c>
      <c r="C309" s="3225">
        <v>5060</v>
      </c>
      <c r="D309" s="3225">
        <v>5020</v>
      </c>
      <c r="E309" s="3225">
        <v>6370</v>
      </c>
      <c r="F309" s="3225">
        <v>800</v>
      </c>
      <c r="G309" s="3238">
        <v>3020</v>
      </c>
    </row>
    <row r="310" spans="1:7" s="3214" customFormat="1" ht="14.25" customHeight="1">
      <c r="A310" s="3225" t="s">
        <v>306</v>
      </c>
      <c r="B310" s="3225" t="s">
        <v>2999</v>
      </c>
      <c r="C310" s="3225">
        <v>5150</v>
      </c>
      <c r="D310" s="3225">
        <v>5110</v>
      </c>
      <c r="E310" s="3225">
        <v>6500</v>
      </c>
      <c r="F310" s="3225">
        <v>880</v>
      </c>
      <c r="G310" s="3238">
        <v>3080</v>
      </c>
    </row>
    <row r="311" spans="1:7" s="3214" customFormat="1" ht="14.25" customHeight="1">
      <c r="A311" s="3225" t="s">
        <v>306</v>
      </c>
      <c r="B311" s="3225" t="s">
        <v>3151</v>
      </c>
      <c r="C311" s="3225">
        <v>4750</v>
      </c>
      <c r="D311" s="3225">
        <v>4710</v>
      </c>
      <c r="E311" s="3225">
        <v>5510</v>
      </c>
      <c r="F311" s="3225">
        <v>880</v>
      </c>
      <c r="G311" s="3238">
        <v>2840</v>
      </c>
    </row>
    <row r="312" spans="1:7" s="3214" customFormat="1" ht="14.25" customHeight="1">
      <c r="A312" s="3225" t="s">
        <v>306</v>
      </c>
      <c r="B312" s="3225" t="s">
        <v>3009</v>
      </c>
      <c r="C312" s="3225">
        <v>4690</v>
      </c>
      <c r="D312" s="3225">
        <v>4640</v>
      </c>
      <c r="E312" s="3225">
        <v>5420</v>
      </c>
      <c r="F312" s="3225">
        <v>800</v>
      </c>
      <c r="G312" s="3238">
        <v>2800</v>
      </c>
    </row>
    <row r="313" spans="1:7" s="3214" customFormat="1" ht="14.25" customHeight="1">
      <c r="A313" s="3225" t="s">
        <v>306</v>
      </c>
      <c r="B313" s="3225" t="s">
        <v>3014</v>
      </c>
      <c r="C313" s="3225">
        <v>4810</v>
      </c>
      <c r="D313" s="3225">
        <v>4760</v>
      </c>
      <c r="E313" s="3225">
        <v>5550</v>
      </c>
      <c r="F313" s="3225">
        <v>920</v>
      </c>
      <c r="G313" s="3238">
        <v>2870</v>
      </c>
    </row>
    <row r="314" spans="1:7" s="3214" customFormat="1" ht="14.25" customHeight="1">
      <c r="A314" s="3225" t="s">
        <v>306</v>
      </c>
      <c r="B314" s="3225" t="s">
        <v>3152</v>
      </c>
      <c r="C314" s="3225"/>
      <c r="D314" s="3225"/>
      <c r="E314" s="3225"/>
      <c r="F314" s="3225">
        <v>1020</v>
      </c>
      <c r="G314" s="3238"/>
    </row>
    <row r="315" spans="1:7" s="3214" customFormat="1" ht="14.25" customHeight="1">
      <c r="A315" s="3225" t="s">
        <v>306</v>
      </c>
      <c r="B315" s="3225" t="s">
        <v>3153</v>
      </c>
      <c r="C315" s="3225"/>
      <c r="D315" s="3225"/>
      <c r="E315" s="3225"/>
      <c r="F315" s="3225">
        <v>1050</v>
      </c>
      <c r="G315" s="3238"/>
    </row>
    <row r="316" spans="1:7" s="3214" customFormat="1" ht="14.25" customHeight="1">
      <c r="A316" s="3225" t="s">
        <v>306</v>
      </c>
      <c r="B316" s="3225" t="s">
        <v>3029</v>
      </c>
      <c r="C316" s="3225"/>
      <c r="D316" s="3225"/>
      <c r="E316" s="3225"/>
      <c r="F316" s="3225">
        <v>900</v>
      </c>
      <c r="G316" s="3238"/>
    </row>
    <row r="317" spans="1:7" s="3214" customFormat="1" ht="14.25" customHeight="1">
      <c r="A317" s="3225" t="s">
        <v>306</v>
      </c>
      <c r="B317" s="3225" t="s">
        <v>3154</v>
      </c>
      <c r="C317" s="3225"/>
      <c r="D317" s="3225"/>
      <c r="E317" s="3225"/>
      <c r="F317" s="3225">
        <v>920</v>
      </c>
      <c r="G317" s="3238"/>
    </row>
    <row r="318" spans="1:7" s="3214" customFormat="1" ht="14.25" customHeight="1">
      <c r="A318" s="3225" t="s">
        <v>306</v>
      </c>
      <c r="B318" s="3225" t="s">
        <v>3155</v>
      </c>
      <c r="C318" s="3225"/>
      <c r="D318" s="3225"/>
      <c r="E318" s="3225"/>
      <c r="F318" s="3225">
        <v>1080</v>
      </c>
      <c r="G318" s="3238"/>
    </row>
    <row r="319" spans="1:7" s="3214" customFormat="1" ht="14.25" customHeight="1">
      <c r="A319" s="3225" t="s">
        <v>306</v>
      </c>
      <c r="B319" s="3225" t="s">
        <v>3042</v>
      </c>
      <c r="C319" s="3225"/>
      <c r="D319" s="3225"/>
      <c r="E319" s="3225"/>
      <c r="F319" s="3225">
        <v>1020</v>
      </c>
      <c r="G319" s="3238"/>
    </row>
    <row r="320" spans="1:7" s="3214" customFormat="1" ht="14.25" customHeight="1">
      <c r="A320" s="3225" t="s">
        <v>306</v>
      </c>
      <c r="B320" s="3225" t="s">
        <v>3045</v>
      </c>
      <c r="C320" s="3225"/>
      <c r="D320" s="3225"/>
      <c r="E320" s="3225"/>
      <c r="F320" s="3225">
        <v>1050</v>
      </c>
      <c r="G320" s="3238"/>
    </row>
    <row r="321" spans="1:7" s="3214" customFormat="1" ht="14.25" customHeight="1">
      <c r="A321" s="3225" t="s">
        <v>306</v>
      </c>
      <c r="B321" s="3225" t="s">
        <v>3047</v>
      </c>
      <c r="C321" s="3225"/>
      <c r="D321" s="3225"/>
      <c r="E321" s="3225"/>
      <c r="F321" s="3225">
        <v>960</v>
      </c>
      <c r="G321" s="3238"/>
    </row>
    <row r="322" spans="1:7" s="3214" customFormat="1" ht="14.25" customHeight="1">
      <c r="A322" s="3225" t="s">
        <v>306</v>
      </c>
      <c r="B322" s="3225" t="s">
        <v>3049</v>
      </c>
      <c r="C322" s="3225"/>
      <c r="D322" s="3225"/>
      <c r="E322" s="3225"/>
      <c r="F322" s="3225">
        <v>960</v>
      </c>
      <c r="G322" s="3238"/>
    </row>
    <row r="323" spans="1:7" s="3214" customFormat="1" ht="14.25" customHeight="1">
      <c r="A323" s="3225" t="s">
        <v>306</v>
      </c>
      <c r="B323" s="3225" t="s">
        <v>3051</v>
      </c>
      <c r="C323" s="3225"/>
      <c r="D323" s="3225"/>
      <c r="E323" s="3225"/>
      <c r="F323" s="3225">
        <v>880</v>
      </c>
      <c r="G323" s="3238"/>
    </row>
    <row r="324" spans="1:7" s="3214" customFormat="1" ht="14.25" customHeight="1">
      <c r="A324" s="3225" t="s">
        <v>306</v>
      </c>
      <c r="B324" s="3225" t="s">
        <v>3053</v>
      </c>
      <c r="C324" s="3225"/>
      <c r="D324" s="3225"/>
      <c r="E324" s="3225"/>
      <c r="F324" s="3225">
        <v>930</v>
      </c>
      <c r="G324" s="3238"/>
    </row>
    <row r="325" spans="1:7" s="3214" customFormat="1" ht="14.25" customHeight="1">
      <c r="A325" s="3225" t="s">
        <v>306</v>
      </c>
      <c r="B325" s="3226" t="s">
        <v>3055</v>
      </c>
      <c r="C325" s="3225"/>
      <c r="D325" s="3225"/>
      <c r="E325" s="3225"/>
      <c r="F325" s="3225">
        <v>900</v>
      </c>
      <c r="G325" s="3238"/>
    </row>
    <row r="326" spans="1:7" s="3214" customFormat="1" ht="14.25" customHeight="1" thickBot="1">
      <c r="A326" s="3239" t="s">
        <v>306</v>
      </c>
      <c r="B326" s="3232" t="s">
        <v>3057</v>
      </c>
      <c r="C326" s="3232"/>
      <c r="D326" s="3232"/>
      <c r="E326" s="3232"/>
      <c r="F326" s="3232">
        <v>790</v>
      </c>
      <c r="G326" s="3240"/>
    </row>
    <row r="327" spans="1:7" s="3214" customFormat="1" ht="14.25" customHeight="1">
      <c r="A327" s="3230" t="s">
        <v>307</v>
      </c>
      <c r="B327" s="3221" t="s">
        <v>3156</v>
      </c>
      <c r="C327" s="3225">
        <v>3750</v>
      </c>
      <c r="D327" s="3225">
        <v>3710</v>
      </c>
      <c r="E327" s="3225">
        <v>4080</v>
      </c>
      <c r="F327" s="3225">
        <v>860</v>
      </c>
      <c r="G327" s="3225">
        <v>2210</v>
      </c>
    </row>
    <row r="328" spans="1:7" s="3214" customFormat="1" ht="14.25" customHeight="1">
      <c r="A328" s="3225" t="s">
        <v>307</v>
      </c>
      <c r="B328" s="3225" t="s">
        <v>136</v>
      </c>
      <c r="C328" s="3225">
        <v>3330</v>
      </c>
      <c r="D328" s="3225">
        <v>3290</v>
      </c>
      <c r="E328" s="3225">
        <v>3610</v>
      </c>
      <c r="F328" s="3225">
        <v>850</v>
      </c>
      <c r="G328" s="3225">
        <v>1960</v>
      </c>
    </row>
    <row r="329" spans="1:7" s="3214" customFormat="1" ht="14.25" customHeight="1">
      <c r="A329" s="3225" t="s">
        <v>307</v>
      </c>
      <c r="B329" s="3225" t="s">
        <v>3157</v>
      </c>
      <c r="C329" s="3225">
        <v>2730</v>
      </c>
      <c r="D329" s="3225">
        <v>2690</v>
      </c>
      <c r="E329" s="3225">
        <v>3100</v>
      </c>
      <c r="F329" s="3225">
        <v>660</v>
      </c>
      <c r="G329" s="3225">
        <v>1610</v>
      </c>
    </row>
    <row r="330" spans="1:7" s="3214" customFormat="1" ht="14.25" customHeight="1">
      <c r="A330" s="3225" t="s">
        <v>307</v>
      </c>
      <c r="B330" s="3225" t="s">
        <v>3158</v>
      </c>
      <c r="C330" s="3225">
        <v>3270</v>
      </c>
      <c r="D330" s="3225">
        <v>3240</v>
      </c>
      <c r="E330" s="3225">
        <v>3560</v>
      </c>
      <c r="F330" s="3225">
        <v>680</v>
      </c>
      <c r="G330" s="3225">
        <v>1940</v>
      </c>
    </row>
    <row r="331" spans="1:7" s="3214" customFormat="1" ht="14.25" customHeight="1">
      <c r="A331" s="3225" t="s">
        <v>307</v>
      </c>
      <c r="B331" s="3225" t="s">
        <v>161</v>
      </c>
      <c r="C331" s="3225">
        <v>3770</v>
      </c>
      <c r="D331" s="3225">
        <v>3740</v>
      </c>
      <c r="E331" s="3225">
        <v>4110</v>
      </c>
      <c r="F331" s="3225">
        <v>730</v>
      </c>
      <c r="G331" s="3225">
        <v>2230</v>
      </c>
    </row>
    <row r="332" spans="1:7" s="3214" customFormat="1" ht="14.25" customHeight="1">
      <c r="A332" s="3225" t="s">
        <v>307</v>
      </c>
      <c r="B332" s="3225" t="s">
        <v>2891</v>
      </c>
      <c r="C332" s="3225">
        <v>3520</v>
      </c>
      <c r="D332" s="3225">
        <v>3480</v>
      </c>
      <c r="E332" s="3225">
        <v>3830</v>
      </c>
      <c r="F332" s="3225">
        <v>720</v>
      </c>
      <c r="G332" s="3225">
        <v>2090</v>
      </c>
    </row>
    <row r="333" spans="1:7" s="3214" customFormat="1" ht="14.25" customHeight="1">
      <c r="A333" s="3225" t="s">
        <v>307</v>
      </c>
      <c r="B333" s="3225" t="s">
        <v>3159</v>
      </c>
      <c r="C333" s="3225">
        <v>3840</v>
      </c>
      <c r="D333" s="3225">
        <v>3800</v>
      </c>
      <c r="E333" s="3225">
        <v>4200</v>
      </c>
      <c r="F333" s="3225">
        <v>760</v>
      </c>
      <c r="G333" s="3225">
        <v>2270</v>
      </c>
    </row>
    <row r="334" spans="1:7" s="3214" customFormat="1" ht="14.25" customHeight="1">
      <c r="A334" s="3225" t="s">
        <v>307</v>
      </c>
      <c r="B334" s="3225" t="s">
        <v>183</v>
      </c>
      <c r="C334" s="3225">
        <v>3960</v>
      </c>
      <c r="D334" s="3225">
        <v>3910</v>
      </c>
      <c r="E334" s="3225">
        <v>4340</v>
      </c>
      <c r="F334" s="3225">
        <v>780</v>
      </c>
      <c r="G334" s="3225">
        <v>2340</v>
      </c>
    </row>
    <row r="335" spans="1:7" s="3214" customFormat="1" ht="14.25" customHeight="1">
      <c r="A335" s="3225" t="s">
        <v>307</v>
      </c>
      <c r="B335" s="3225" t="s">
        <v>193</v>
      </c>
      <c r="C335" s="3225">
        <v>3710</v>
      </c>
      <c r="D335" s="3225">
        <v>3670</v>
      </c>
      <c r="E335" s="3225">
        <v>4030</v>
      </c>
      <c r="F335" s="3225">
        <v>750</v>
      </c>
      <c r="G335" s="3225">
        <v>2200</v>
      </c>
    </row>
    <row r="336" spans="1:7" s="3214" customFormat="1" ht="14.25" customHeight="1">
      <c r="A336" s="3225" t="s">
        <v>307</v>
      </c>
      <c r="B336" s="3225" t="s">
        <v>2901</v>
      </c>
      <c r="C336" s="3225">
        <v>3570</v>
      </c>
      <c r="D336" s="3225">
        <v>3530</v>
      </c>
      <c r="E336" s="3225">
        <v>3880</v>
      </c>
      <c r="F336" s="3225">
        <v>770</v>
      </c>
      <c r="G336" s="3225">
        <v>2110</v>
      </c>
    </row>
    <row r="337" spans="1:10" s="3214" customFormat="1" ht="14.25" customHeight="1">
      <c r="A337" s="3225" t="s">
        <v>307</v>
      </c>
      <c r="B337" s="3225" t="s">
        <v>3160</v>
      </c>
      <c r="C337" s="3225">
        <v>3780</v>
      </c>
      <c r="D337" s="3225">
        <v>3750</v>
      </c>
      <c r="E337" s="3225">
        <v>4130</v>
      </c>
      <c r="F337" s="3225">
        <v>750</v>
      </c>
      <c r="G337" s="3225">
        <v>2240</v>
      </c>
    </row>
    <row r="338" spans="1:10" s="3214" customFormat="1" ht="14.25" customHeight="1">
      <c r="A338" s="3225" t="s">
        <v>307</v>
      </c>
      <c r="B338" s="3225" t="s">
        <v>220</v>
      </c>
      <c r="C338" s="3225">
        <v>3600</v>
      </c>
      <c r="D338" s="3225">
        <v>3570</v>
      </c>
      <c r="E338" s="3225">
        <v>3920</v>
      </c>
      <c r="F338" s="3225">
        <v>790</v>
      </c>
      <c r="G338" s="3225">
        <v>2140</v>
      </c>
    </row>
    <row r="339" spans="1:10" s="3214" customFormat="1" ht="14.25" customHeight="1">
      <c r="A339" s="3225" t="s">
        <v>307</v>
      </c>
      <c r="B339" s="3225" t="s">
        <v>228</v>
      </c>
      <c r="C339" s="3225">
        <v>3540</v>
      </c>
      <c r="D339" s="3225">
        <v>3500</v>
      </c>
      <c r="E339" s="3225">
        <v>3850</v>
      </c>
      <c r="F339" s="3225">
        <v>780</v>
      </c>
      <c r="G339" s="3225">
        <v>2100</v>
      </c>
    </row>
    <row r="340" spans="1:10" s="3214" customFormat="1" ht="14.25" customHeight="1">
      <c r="A340" s="3225" t="s">
        <v>307</v>
      </c>
      <c r="B340" s="3225" t="s">
        <v>3161</v>
      </c>
      <c r="C340" s="3225">
        <v>3850</v>
      </c>
      <c r="D340" s="3225">
        <v>3810</v>
      </c>
      <c r="E340" s="3225">
        <v>4210</v>
      </c>
      <c r="F340" s="3225">
        <v>750</v>
      </c>
      <c r="G340" s="3225">
        <v>2280</v>
      </c>
    </row>
    <row r="341" spans="1:10" s="3214" customFormat="1" ht="14.25" customHeight="1">
      <c r="A341" s="3225" t="s">
        <v>307</v>
      </c>
      <c r="B341" s="3225" t="s">
        <v>207</v>
      </c>
      <c r="C341" s="3225">
        <v>3780</v>
      </c>
      <c r="D341" s="3225">
        <v>3750</v>
      </c>
      <c r="E341" s="3225">
        <v>4140</v>
      </c>
      <c r="F341" s="3225">
        <v>720</v>
      </c>
      <c r="G341" s="3225">
        <v>2240</v>
      </c>
    </row>
    <row r="342" spans="1:10" s="3214" customFormat="1" ht="14.25" customHeight="1">
      <c r="A342" s="3225" t="s">
        <v>307</v>
      </c>
      <c r="B342" s="3225" t="s">
        <v>3162</v>
      </c>
      <c r="C342" s="3225">
        <v>3670</v>
      </c>
      <c r="D342" s="3225">
        <v>3620</v>
      </c>
      <c r="E342" s="3225">
        <v>3990</v>
      </c>
      <c r="F342" s="3225">
        <v>760</v>
      </c>
      <c r="G342" s="3225">
        <v>2170</v>
      </c>
    </row>
    <row r="343" spans="1:10" s="3214" customFormat="1" ht="14.25" customHeight="1">
      <c r="A343" s="3225" t="s">
        <v>307</v>
      </c>
      <c r="B343" s="3225" t="s">
        <v>257</v>
      </c>
      <c r="C343" s="3225">
        <v>3760</v>
      </c>
      <c r="D343" s="3225">
        <v>3720</v>
      </c>
      <c r="E343" s="3225">
        <v>4090</v>
      </c>
      <c r="F343" s="3225">
        <v>780</v>
      </c>
      <c r="G343" s="3225">
        <v>2220</v>
      </c>
    </row>
    <row r="344" spans="1:10" s="3214" customFormat="1" ht="14.25" customHeight="1">
      <c r="A344" s="3225" t="s">
        <v>307</v>
      </c>
      <c r="B344" s="3225" t="s">
        <v>265</v>
      </c>
      <c r="C344" s="3225">
        <v>3680</v>
      </c>
      <c r="D344" s="3225">
        <v>3640</v>
      </c>
      <c r="E344" s="3225">
        <v>4010</v>
      </c>
      <c r="F344" s="3225">
        <v>750</v>
      </c>
      <c r="G344" s="3225">
        <v>2180</v>
      </c>
    </row>
    <row r="345" spans="1:10">
      <c r="A345" s="3225" t="s">
        <v>307</v>
      </c>
      <c r="B345" s="3225" t="s">
        <v>2926</v>
      </c>
      <c r="C345" s="3225">
        <v>3190</v>
      </c>
      <c r="D345" s="3225">
        <v>3140</v>
      </c>
      <c r="E345" s="3225">
        <v>3450</v>
      </c>
      <c r="F345" s="3225">
        <v>720</v>
      </c>
      <c r="G345" s="3225">
        <v>1880</v>
      </c>
      <c r="J345" s="3214"/>
    </row>
    <row r="346" spans="1:10">
      <c r="A346" s="3225" t="s">
        <v>307</v>
      </c>
      <c r="B346" s="3225" t="s">
        <v>3163</v>
      </c>
      <c r="C346" s="3225">
        <v>3630</v>
      </c>
      <c r="D346" s="3225">
        <v>3590</v>
      </c>
      <c r="E346" s="3225">
        <v>3940</v>
      </c>
      <c r="F346" s="3225">
        <v>730</v>
      </c>
      <c r="G346" s="3225">
        <v>2150</v>
      </c>
      <c r="J346" s="3214"/>
    </row>
    <row r="347" spans="1:10">
      <c r="A347" s="3225" t="s">
        <v>307</v>
      </c>
      <c r="B347" s="3225" t="s">
        <v>243</v>
      </c>
      <c r="C347" s="3225">
        <v>3860</v>
      </c>
      <c r="D347" s="3225">
        <v>3820</v>
      </c>
      <c r="E347" s="3225">
        <v>4220</v>
      </c>
      <c r="F347" s="3225">
        <v>750</v>
      </c>
      <c r="G347" s="3225">
        <v>2280</v>
      </c>
      <c r="J347" s="3214"/>
    </row>
    <row r="348" spans="1:10">
      <c r="A348" s="3225" t="s">
        <v>307</v>
      </c>
      <c r="B348" s="3225" t="s">
        <v>2935</v>
      </c>
      <c r="C348" s="3225">
        <v>4000</v>
      </c>
      <c r="D348" s="3225">
        <v>3950</v>
      </c>
      <c r="E348" s="3225">
        <v>4430</v>
      </c>
      <c r="F348" s="3225">
        <v>760</v>
      </c>
      <c r="G348" s="3225">
        <v>2360</v>
      </c>
      <c r="J348" s="3214"/>
    </row>
    <row r="349" spans="1:10">
      <c r="A349" s="3225" t="s">
        <v>307</v>
      </c>
      <c r="B349" s="3225" t="s">
        <v>2940</v>
      </c>
      <c r="C349" s="3225">
        <v>3820</v>
      </c>
      <c r="D349" s="3225">
        <v>3780</v>
      </c>
      <c r="E349" s="3225">
        <v>4170</v>
      </c>
      <c r="F349" s="3225">
        <v>710</v>
      </c>
      <c r="G349" s="3225">
        <v>2260</v>
      </c>
      <c r="J349" s="3214"/>
    </row>
    <row r="350" spans="1:10">
      <c r="A350" s="3225" t="s">
        <v>307</v>
      </c>
      <c r="B350" s="3225" t="s">
        <v>3164</v>
      </c>
      <c r="C350" s="3225">
        <v>3760</v>
      </c>
      <c r="D350" s="3225">
        <v>3730</v>
      </c>
      <c r="E350" s="3225">
        <v>4100</v>
      </c>
      <c r="F350" s="3225">
        <v>800</v>
      </c>
      <c r="G350" s="3225">
        <v>2230</v>
      </c>
      <c r="J350" s="3214"/>
    </row>
    <row r="351" spans="1:10">
      <c r="A351" s="3225" t="s">
        <v>307</v>
      </c>
      <c r="B351" s="3225" t="s">
        <v>2948</v>
      </c>
      <c r="C351" s="3225">
        <v>3610</v>
      </c>
      <c r="D351" s="3225">
        <v>3580</v>
      </c>
      <c r="E351" s="3225">
        <v>3930</v>
      </c>
      <c r="F351" s="3225">
        <v>700</v>
      </c>
      <c r="G351" s="3225">
        <v>2140</v>
      </c>
      <c r="J351" s="3214"/>
    </row>
    <row r="352" spans="1:10">
      <c r="A352" s="3225" t="s">
        <v>307</v>
      </c>
      <c r="B352" s="3225" t="s">
        <v>2953</v>
      </c>
      <c r="C352" s="3225">
        <v>3670</v>
      </c>
      <c r="D352" s="3225">
        <v>3630</v>
      </c>
      <c r="E352" s="3225">
        <v>4000</v>
      </c>
      <c r="F352" s="3225">
        <v>750</v>
      </c>
      <c r="G352" s="3225">
        <v>2180</v>
      </c>
    </row>
    <row r="353" spans="1:7" s="3218" customFormat="1">
      <c r="A353" s="3225" t="s">
        <v>307</v>
      </c>
      <c r="B353" s="3225" t="s">
        <v>3165</v>
      </c>
      <c r="C353" s="3225">
        <v>3190</v>
      </c>
      <c r="D353" s="3225">
        <v>3150</v>
      </c>
      <c r="E353" s="3225">
        <v>3640</v>
      </c>
      <c r="F353" s="3225">
        <v>630</v>
      </c>
      <c r="G353" s="3225">
        <v>1890</v>
      </c>
    </row>
    <row r="354" spans="1:7" s="3218" customFormat="1">
      <c r="A354" s="3225" t="s">
        <v>307</v>
      </c>
      <c r="B354" s="3225" t="s">
        <v>280</v>
      </c>
      <c r="C354" s="3225">
        <v>3450</v>
      </c>
      <c r="D354" s="3225">
        <v>3420</v>
      </c>
      <c r="E354" s="3225">
        <v>3960</v>
      </c>
      <c r="F354" s="3225">
        <v>660</v>
      </c>
      <c r="G354" s="3225">
        <v>2050</v>
      </c>
    </row>
    <row r="355" spans="1:7" s="3218" customFormat="1">
      <c r="A355" s="3225" t="s">
        <v>307</v>
      </c>
      <c r="B355" s="3225" t="s">
        <v>2973</v>
      </c>
      <c r="C355" s="3225">
        <v>3650</v>
      </c>
      <c r="D355" s="3225">
        <v>3610</v>
      </c>
      <c r="E355" s="3225">
        <v>4200</v>
      </c>
      <c r="F355" s="3225">
        <v>640</v>
      </c>
      <c r="G355" s="3225">
        <v>2160</v>
      </c>
    </row>
    <row r="356" spans="1:7" s="3218" customFormat="1">
      <c r="A356" s="3225" t="s">
        <v>307</v>
      </c>
      <c r="B356" s="3225" t="s">
        <v>2980</v>
      </c>
      <c r="C356" s="3225">
        <v>3260</v>
      </c>
      <c r="D356" s="3225">
        <v>3230</v>
      </c>
      <c r="E356" s="3225">
        <v>3740</v>
      </c>
      <c r="F356" s="3225">
        <v>600</v>
      </c>
      <c r="G356" s="3225">
        <v>1930</v>
      </c>
    </row>
    <row r="357" spans="1:7" s="3218" customFormat="1" ht="12.75" thickBot="1">
      <c r="A357" s="3233" t="s">
        <v>307</v>
      </c>
      <c r="B357" s="3236" t="s">
        <v>3166</v>
      </c>
      <c r="C357" s="3236">
        <v>3690</v>
      </c>
      <c r="D357" s="3236">
        <v>3650</v>
      </c>
      <c r="E357" s="3236">
        <v>4020</v>
      </c>
      <c r="F357" s="3236">
        <v>700</v>
      </c>
      <c r="G357" s="3236">
        <v>2190</v>
      </c>
    </row>
    <row r="358" spans="1:7" s="3218" customFormat="1">
      <c r="A358" s="3230" t="s">
        <v>3167</v>
      </c>
      <c r="B358" s="3221" t="s">
        <v>3168</v>
      </c>
      <c r="C358" s="3221">
        <v>2080</v>
      </c>
      <c r="D358" s="3221">
        <v>2040</v>
      </c>
      <c r="E358" s="3221">
        <v>2010</v>
      </c>
      <c r="F358" s="3221">
        <v>530</v>
      </c>
      <c r="G358" s="3237">
        <v>1230</v>
      </c>
    </row>
    <row r="359" spans="1:7" s="3218" customFormat="1">
      <c r="A359" s="3225" t="s">
        <v>3167</v>
      </c>
      <c r="B359" s="3225" t="s">
        <v>3169</v>
      </c>
      <c r="C359" s="3225">
        <v>1850</v>
      </c>
      <c r="D359" s="3225">
        <v>1820</v>
      </c>
      <c r="E359" s="3225">
        <v>1780</v>
      </c>
      <c r="F359" s="3225">
        <v>520</v>
      </c>
      <c r="G359" s="3238">
        <v>1100</v>
      </c>
    </row>
    <row r="360" spans="1:7" s="3218" customFormat="1">
      <c r="A360" s="3225" t="s">
        <v>3167</v>
      </c>
      <c r="B360" s="3225" t="s">
        <v>3170</v>
      </c>
      <c r="C360" s="3225">
        <v>2020</v>
      </c>
      <c r="D360" s="3225">
        <v>1990</v>
      </c>
      <c r="E360" s="3225">
        <v>1950</v>
      </c>
      <c r="F360" s="3225">
        <v>500</v>
      </c>
      <c r="G360" s="3238">
        <v>1200</v>
      </c>
    </row>
    <row r="361" spans="1:7" s="3218" customFormat="1">
      <c r="A361" s="3225" t="s">
        <v>3167</v>
      </c>
      <c r="B361" s="3225" t="s">
        <v>153</v>
      </c>
      <c r="C361" s="3225">
        <v>2260</v>
      </c>
      <c r="D361" s="3225">
        <v>2220</v>
      </c>
      <c r="E361" s="3225">
        <v>2180</v>
      </c>
      <c r="F361" s="3225">
        <v>580</v>
      </c>
      <c r="G361" s="3238">
        <v>1340</v>
      </c>
    </row>
    <row r="362" spans="1:7" s="3218" customFormat="1">
      <c r="A362" s="3225" t="s">
        <v>3167</v>
      </c>
      <c r="B362" s="3225" t="s">
        <v>3171</v>
      </c>
      <c r="C362" s="3225">
        <v>2650</v>
      </c>
      <c r="D362" s="3225">
        <v>2610</v>
      </c>
      <c r="E362" s="3225">
        <v>2570</v>
      </c>
      <c r="F362" s="3225">
        <v>630</v>
      </c>
      <c r="G362" s="3238">
        <v>1570</v>
      </c>
    </row>
    <row r="363" spans="1:7" s="3218" customFormat="1">
      <c r="A363" s="3225" t="s">
        <v>3167</v>
      </c>
      <c r="B363" s="3225" t="s">
        <v>2892</v>
      </c>
      <c r="C363" s="3225">
        <v>2390</v>
      </c>
      <c r="D363" s="3225">
        <v>2360</v>
      </c>
      <c r="E363" s="3225">
        <v>2320</v>
      </c>
      <c r="F363" s="3225">
        <v>600</v>
      </c>
      <c r="G363" s="3238">
        <v>1420</v>
      </c>
    </row>
    <row r="364" spans="1:7" s="3218" customFormat="1">
      <c r="A364" s="3225" t="s">
        <v>3167</v>
      </c>
      <c r="B364" s="3225" t="s">
        <v>3172</v>
      </c>
      <c r="C364" s="3225">
        <v>2050</v>
      </c>
      <c r="D364" s="3225">
        <v>2030</v>
      </c>
      <c r="E364" s="3225">
        <v>1990</v>
      </c>
      <c r="F364" s="3225">
        <v>550</v>
      </c>
      <c r="G364" s="3238">
        <v>1220</v>
      </c>
    </row>
    <row r="365" spans="1:7" s="3218" customFormat="1">
      <c r="A365" s="3225" t="s">
        <v>3167</v>
      </c>
      <c r="B365" s="3225" t="s">
        <v>200</v>
      </c>
      <c r="C365" s="3225">
        <v>2140</v>
      </c>
      <c r="D365" s="3225">
        <v>2100</v>
      </c>
      <c r="E365" s="3225">
        <v>2060</v>
      </c>
      <c r="F365" s="3225">
        <v>540</v>
      </c>
      <c r="G365" s="3238">
        <v>1270</v>
      </c>
    </row>
    <row r="366" spans="1:7" s="3218" customFormat="1">
      <c r="A366" s="3225" t="s">
        <v>3167</v>
      </c>
      <c r="B366" s="3225" t="s">
        <v>2899</v>
      </c>
      <c r="C366" s="3225">
        <v>2410</v>
      </c>
      <c r="D366" s="3225">
        <v>2370</v>
      </c>
      <c r="E366" s="3225">
        <v>2330</v>
      </c>
      <c r="F366" s="3225">
        <v>570</v>
      </c>
      <c r="G366" s="3238">
        <v>1440</v>
      </c>
    </row>
    <row r="367" spans="1:7" s="3218" customFormat="1">
      <c r="A367" s="3225" t="s">
        <v>3167</v>
      </c>
      <c r="B367" s="3225" t="s">
        <v>3173</v>
      </c>
      <c r="C367" s="3225">
        <v>2300</v>
      </c>
      <c r="D367" s="3225">
        <v>2260</v>
      </c>
      <c r="E367" s="3225">
        <v>2220</v>
      </c>
      <c r="F367" s="3225">
        <v>560</v>
      </c>
      <c r="G367" s="3238">
        <v>1370</v>
      </c>
    </row>
    <row r="368" spans="1:7" s="3218" customFormat="1">
      <c r="A368" s="3225" t="s">
        <v>3167</v>
      </c>
      <c r="B368" s="3225" t="s">
        <v>3174</v>
      </c>
      <c r="C368" s="3225">
        <v>2430</v>
      </c>
      <c r="D368" s="3225">
        <v>2390</v>
      </c>
      <c r="E368" s="3225">
        <v>2350</v>
      </c>
      <c r="F368" s="3225">
        <v>570</v>
      </c>
      <c r="G368" s="3238">
        <v>1450</v>
      </c>
    </row>
    <row r="369" spans="1:7" s="3218" customFormat="1">
      <c r="A369" s="3225" t="s">
        <v>3167</v>
      </c>
      <c r="B369" s="3225" t="s">
        <v>214</v>
      </c>
      <c r="C369" s="3225">
        <v>2320</v>
      </c>
      <c r="D369" s="3225">
        <v>2290</v>
      </c>
      <c r="E369" s="3225">
        <v>2250</v>
      </c>
      <c r="F369" s="3225">
        <v>550</v>
      </c>
      <c r="G369" s="3238">
        <v>1380</v>
      </c>
    </row>
    <row r="370" spans="1:7" s="3218" customFormat="1">
      <c r="A370" s="3225" t="s">
        <v>3167</v>
      </c>
      <c r="B370" s="3225" t="s">
        <v>221</v>
      </c>
      <c r="C370" s="3225">
        <v>2190</v>
      </c>
      <c r="D370" s="3225">
        <v>2170</v>
      </c>
      <c r="E370" s="3225">
        <v>2130</v>
      </c>
      <c r="F370" s="3225">
        <v>530</v>
      </c>
      <c r="G370" s="3238">
        <v>1310</v>
      </c>
    </row>
    <row r="371" spans="1:7" s="3218" customFormat="1">
      <c r="A371" s="3225" t="s">
        <v>3167</v>
      </c>
      <c r="B371" s="3225" t="s">
        <v>229</v>
      </c>
      <c r="C371" s="3225">
        <v>2460</v>
      </c>
      <c r="D371" s="3225">
        <v>2420</v>
      </c>
      <c r="E371" s="3225">
        <v>2370</v>
      </c>
      <c r="F371" s="3225">
        <v>560</v>
      </c>
      <c r="G371" s="3238">
        <v>1470</v>
      </c>
    </row>
    <row r="372" spans="1:7" s="3218" customFormat="1">
      <c r="A372" s="3225" t="s">
        <v>3167</v>
      </c>
      <c r="B372" s="3225" t="s">
        <v>3175</v>
      </c>
      <c r="C372" s="3225">
        <v>2250</v>
      </c>
      <c r="D372" s="3225">
        <v>2210</v>
      </c>
      <c r="E372" s="3225">
        <v>2180</v>
      </c>
      <c r="F372" s="3225">
        <v>550</v>
      </c>
      <c r="G372" s="3238">
        <v>1340</v>
      </c>
    </row>
    <row r="373" spans="1:7" s="3218" customFormat="1">
      <c r="A373" s="3225" t="s">
        <v>3167</v>
      </c>
      <c r="B373" s="3225" t="s">
        <v>258</v>
      </c>
      <c r="C373" s="3225">
        <v>2210</v>
      </c>
      <c r="D373" s="3225">
        <v>2190</v>
      </c>
      <c r="E373" s="3225">
        <v>2150</v>
      </c>
      <c r="F373" s="3225">
        <v>530</v>
      </c>
      <c r="G373" s="3238">
        <v>1320</v>
      </c>
    </row>
    <row r="374" spans="1:7" s="3218" customFormat="1">
      <c r="A374" s="3225" t="s">
        <v>3167</v>
      </c>
      <c r="B374" s="3225" t="s">
        <v>266</v>
      </c>
      <c r="C374" s="3225">
        <v>2320</v>
      </c>
      <c r="D374" s="3225">
        <v>2280</v>
      </c>
      <c r="E374" s="3225">
        <v>2230</v>
      </c>
      <c r="F374" s="3225">
        <v>580</v>
      </c>
      <c r="G374" s="3238">
        <v>1380</v>
      </c>
    </row>
    <row r="375" spans="1:7" s="3218" customFormat="1">
      <c r="A375" s="3225" t="s">
        <v>3167</v>
      </c>
      <c r="B375" s="3225" t="s">
        <v>3176</v>
      </c>
      <c r="C375" s="3225">
        <v>2090</v>
      </c>
      <c r="D375" s="3225">
        <v>2050</v>
      </c>
      <c r="E375" s="3225">
        <v>2020</v>
      </c>
      <c r="F375" s="3225">
        <v>520</v>
      </c>
      <c r="G375" s="3238">
        <v>1240</v>
      </c>
    </row>
    <row r="376" spans="1:7" s="3218" customFormat="1">
      <c r="A376" s="3225" t="s">
        <v>3167</v>
      </c>
      <c r="B376" s="3225" t="s">
        <v>277</v>
      </c>
      <c r="C376" s="3225">
        <v>2010</v>
      </c>
      <c r="D376" s="3225">
        <v>1980</v>
      </c>
      <c r="E376" s="3225">
        <v>1940</v>
      </c>
      <c r="F376" s="3225">
        <v>540</v>
      </c>
      <c r="G376" s="3238">
        <v>1190</v>
      </c>
    </row>
    <row r="377" spans="1:7" s="3218" customFormat="1" ht="12.75" thickBot="1">
      <c r="A377" s="3233" t="s">
        <v>3167</v>
      </c>
      <c r="B377" s="3236" t="s">
        <v>2929</v>
      </c>
      <c r="C377" s="3236">
        <v>1930</v>
      </c>
      <c r="D377" s="3236">
        <v>1890</v>
      </c>
      <c r="E377" s="3236">
        <v>1860</v>
      </c>
      <c r="F377" s="3236">
        <v>530</v>
      </c>
      <c r="G377" s="3241">
        <v>1150</v>
      </c>
    </row>
    <row r="378" spans="1:7" s="3218" customFormat="1">
      <c r="A378" s="3242" t="s">
        <v>3177</v>
      </c>
      <c r="B378" s="3221" t="s">
        <v>3178</v>
      </c>
      <c r="C378" s="3221">
        <v>1520</v>
      </c>
      <c r="D378" s="3221">
        <v>1490</v>
      </c>
      <c r="E378" s="3221">
        <v>1460</v>
      </c>
      <c r="F378" s="3221">
        <v>460</v>
      </c>
      <c r="G378" s="3237">
        <v>940</v>
      </c>
    </row>
    <row r="379" spans="1:7" s="3218" customFormat="1">
      <c r="A379" s="3243" t="s">
        <v>3177</v>
      </c>
      <c r="B379" s="3225" t="s">
        <v>3179</v>
      </c>
      <c r="C379" s="3225">
        <v>1500</v>
      </c>
      <c r="D379" s="3225">
        <v>1470</v>
      </c>
      <c r="E379" s="3225">
        <v>1430</v>
      </c>
      <c r="F379" s="3225">
        <v>460</v>
      </c>
      <c r="G379" s="3238">
        <v>920</v>
      </c>
    </row>
    <row r="380" spans="1:7" s="3218" customFormat="1">
      <c r="A380" s="3243" t="s">
        <v>3177</v>
      </c>
      <c r="B380" s="3225" t="s">
        <v>3180</v>
      </c>
      <c r="C380" s="3225">
        <v>1620</v>
      </c>
      <c r="D380" s="3225">
        <v>1590</v>
      </c>
      <c r="E380" s="3225">
        <v>1560</v>
      </c>
      <c r="F380" s="3225">
        <v>480</v>
      </c>
      <c r="G380" s="3238">
        <v>1000</v>
      </c>
    </row>
    <row r="381" spans="1:7" s="3218" customFormat="1">
      <c r="A381" s="3243" t="s">
        <v>3177</v>
      </c>
      <c r="B381" s="3225" t="s">
        <v>3181</v>
      </c>
      <c r="C381" s="3225">
        <v>1460</v>
      </c>
      <c r="D381" s="3225">
        <v>1430</v>
      </c>
      <c r="E381" s="3225">
        <v>1390</v>
      </c>
      <c r="F381" s="3225">
        <v>450</v>
      </c>
      <c r="G381" s="3238">
        <v>900</v>
      </c>
    </row>
    <row r="382" spans="1:7" s="3218" customFormat="1">
      <c r="A382" s="3243" t="s">
        <v>3177</v>
      </c>
      <c r="B382" s="3225" t="s">
        <v>3182</v>
      </c>
      <c r="C382" s="3225">
        <v>1310</v>
      </c>
      <c r="D382" s="3225">
        <v>1280</v>
      </c>
      <c r="E382" s="3225">
        <v>1250</v>
      </c>
      <c r="F382" s="3225">
        <v>440</v>
      </c>
      <c r="G382" s="3238">
        <v>800</v>
      </c>
    </row>
    <row r="383" spans="1:7" s="3218" customFormat="1">
      <c r="A383" s="3243" t="s">
        <v>3177</v>
      </c>
      <c r="B383" s="3225" t="s">
        <v>3183</v>
      </c>
      <c r="C383" s="3225">
        <v>1260</v>
      </c>
      <c r="D383" s="3225">
        <v>1230</v>
      </c>
      <c r="E383" s="3225">
        <v>1200</v>
      </c>
      <c r="F383" s="3225">
        <v>420</v>
      </c>
      <c r="G383" s="3238">
        <v>770</v>
      </c>
    </row>
    <row r="384" spans="1:7" s="3218" customFormat="1" ht="12.75" thickBot="1">
      <c r="A384" s="3244" t="s">
        <v>3177</v>
      </c>
      <c r="B384" s="3232" t="s">
        <v>3184</v>
      </c>
      <c r="C384" s="3232">
        <v>1170</v>
      </c>
      <c r="D384" s="3232">
        <v>1140</v>
      </c>
      <c r="E384" s="3232">
        <v>1120</v>
      </c>
      <c r="F384" s="3232">
        <v>400</v>
      </c>
      <c r="G384" s="3240">
        <v>710</v>
      </c>
    </row>
  </sheetData>
  <sheetProtection password="CEE9" sheet="1" objects="1" scenarios="1" formatCells="0" formatColumns="0" formatRows="0"/>
  <mergeCells count="2">
    <mergeCell ref="A3:A4"/>
    <mergeCell ref="A1:G1"/>
  </mergeCells>
  <phoneticPr fontId="76" type="noConversion"/>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4"/>
  <sheetViews>
    <sheetView workbookViewId="0">
      <selection sqref="A1:XFD1048576"/>
    </sheetView>
  </sheetViews>
  <sheetFormatPr defaultColWidth="8.875" defaultRowHeight="14.25"/>
  <cols>
    <col min="1" max="1" width="12.625" style="3281" customWidth="1"/>
    <col min="2" max="2" width="20" style="3281" customWidth="1"/>
    <col min="3" max="7" width="8.875" style="3245"/>
    <col min="8" max="16384" width="8.875" style="3246"/>
  </cols>
  <sheetData>
    <row r="1" spans="1:7">
      <c r="A1" s="3885" t="s">
        <v>3185</v>
      </c>
      <c r="B1" s="3885"/>
    </row>
    <row r="2" spans="1:7" ht="15" thickBot="1">
      <c r="A2" s="3247"/>
      <c r="B2" s="3247"/>
    </row>
    <row r="3" spans="1:7" ht="15" thickBot="1">
      <c r="A3" s="3247"/>
      <c r="B3" s="3247"/>
      <c r="C3" s="3248" t="s">
        <v>2811</v>
      </c>
      <c r="D3" s="3248" t="s">
        <v>2871</v>
      </c>
      <c r="E3" s="3248" t="s">
        <v>2813</v>
      </c>
      <c r="F3" s="3248" t="s">
        <v>2872</v>
      </c>
      <c r="G3" s="3248" t="s">
        <v>2631</v>
      </c>
    </row>
    <row r="4" spans="1:7" ht="15" thickBot="1">
      <c r="A4" s="3249" t="s">
        <v>2870</v>
      </c>
      <c r="B4" s="3250" t="s">
        <v>2876</v>
      </c>
      <c r="C4" s="3248"/>
      <c r="D4" s="3248"/>
      <c r="E4" s="3248"/>
      <c r="F4" s="3248"/>
      <c r="G4" s="3248"/>
    </row>
    <row r="5" spans="1:7">
      <c r="A5" s="3251" t="s">
        <v>2844</v>
      </c>
      <c r="B5" s="3252" t="s">
        <v>2858</v>
      </c>
      <c r="C5" s="3253">
        <v>9.8000000000000004E-2</v>
      </c>
      <c r="D5" s="3253">
        <v>8.6999999999999994E-2</v>
      </c>
      <c r="E5" s="3253">
        <v>8.6999999999999994E-2</v>
      </c>
      <c r="F5" s="3253">
        <v>9.8000000000000004E-2</v>
      </c>
      <c r="G5" s="3254">
        <v>9.5000000000000001E-2</v>
      </c>
    </row>
    <row r="6" spans="1:7">
      <c r="A6" s="3255" t="s">
        <v>144</v>
      </c>
      <c r="B6" s="3256" t="s">
        <v>2873</v>
      </c>
      <c r="C6" s="3257">
        <v>9.8000000000000004E-2</v>
      </c>
      <c r="D6" s="3257">
        <v>9.8000000000000004E-2</v>
      </c>
      <c r="E6" s="3257">
        <v>9.8000000000000004E-2</v>
      </c>
      <c r="F6" s="3257">
        <v>0.1</v>
      </c>
      <c r="G6" s="3258">
        <v>9.9000000000000005E-2</v>
      </c>
    </row>
    <row r="7" spans="1:7">
      <c r="A7" s="3255" t="s">
        <v>144</v>
      </c>
      <c r="B7" s="3256" t="s">
        <v>137</v>
      </c>
      <c r="C7" s="3257">
        <v>9.7000000000000003E-2</v>
      </c>
      <c r="D7" s="3257">
        <v>9.7000000000000003E-2</v>
      </c>
      <c r="E7" s="3257">
        <v>9.6000000000000002E-2</v>
      </c>
      <c r="F7" s="3257">
        <v>0.1</v>
      </c>
      <c r="G7" s="3258">
        <v>9.8000000000000004E-2</v>
      </c>
    </row>
    <row r="8" spans="1:7">
      <c r="A8" s="3255" t="s">
        <v>144</v>
      </c>
      <c r="B8" s="3256" t="s">
        <v>145</v>
      </c>
      <c r="C8" s="3257">
        <v>8.1000000000000003E-2</v>
      </c>
      <c r="D8" s="3257">
        <v>8.2000000000000003E-2</v>
      </c>
      <c r="E8" s="3257">
        <v>7.0000000000000007E-2</v>
      </c>
      <c r="F8" s="3257">
        <v>9.6000000000000002E-2</v>
      </c>
      <c r="G8" s="3258">
        <v>8.8999999999999996E-2</v>
      </c>
    </row>
    <row r="9" spans="1:7" ht="15" thickBot="1">
      <c r="A9" s="3259" t="s">
        <v>144</v>
      </c>
      <c r="B9" s="3260" t="s">
        <v>154</v>
      </c>
      <c r="C9" s="3261">
        <v>0.1</v>
      </c>
      <c r="D9" s="3261">
        <v>0.1</v>
      </c>
      <c r="E9" s="3261">
        <v>0.1</v>
      </c>
      <c r="F9" s="3262"/>
      <c r="G9" s="3263">
        <v>0.1</v>
      </c>
    </row>
    <row r="10" spans="1:7">
      <c r="A10" s="3251" t="s">
        <v>184</v>
      </c>
      <c r="B10" s="3252" t="s">
        <v>2859</v>
      </c>
      <c r="C10" s="3253">
        <v>6.7000000000000004E-2</v>
      </c>
      <c r="D10" s="3253">
        <v>7.9000000000000001E-2</v>
      </c>
      <c r="E10" s="3253">
        <v>7.9000000000000001E-2</v>
      </c>
      <c r="F10" s="3253">
        <v>0.1</v>
      </c>
      <c r="G10" s="3254">
        <v>9.0999999999999998E-2</v>
      </c>
    </row>
    <row r="11" spans="1:7">
      <c r="A11" s="3255" t="s">
        <v>184</v>
      </c>
      <c r="B11" s="3256" t="s">
        <v>128</v>
      </c>
      <c r="C11" s="3257">
        <v>0.05</v>
      </c>
      <c r="D11" s="3257">
        <v>5.2999999999999999E-2</v>
      </c>
      <c r="E11" s="3257">
        <v>6.3E-2</v>
      </c>
      <c r="F11" s="3257">
        <v>0.1</v>
      </c>
      <c r="G11" s="3258">
        <v>7.1999999999999995E-2</v>
      </c>
    </row>
    <row r="12" spans="1:7">
      <c r="A12" s="3255" t="s">
        <v>184</v>
      </c>
      <c r="B12" s="3256" t="s">
        <v>111</v>
      </c>
      <c r="C12" s="3257">
        <v>5.2999999999999999E-2</v>
      </c>
      <c r="D12" s="3257">
        <v>0.09</v>
      </c>
      <c r="E12" s="3257">
        <v>7.1999999999999995E-2</v>
      </c>
      <c r="F12" s="3257">
        <v>0.1</v>
      </c>
      <c r="G12" s="3258">
        <v>9.7000000000000003E-2</v>
      </c>
    </row>
    <row r="13" spans="1:7">
      <c r="A13" s="3255" t="s">
        <v>184</v>
      </c>
      <c r="B13" s="3256" t="s">
        <v>146</v>
      </c>
      <c r="C13" s="3257">
        <v>9.7000000000000003E-2</v>
      </c>
      <c r="D13" s="3257">
        <v>9.1999999999999998E-2</v>
      </c>
      <c r="E13" s="3257">
        <v>9.5000000000000001E-2</v>
      </c>
      <c r="F13" s="3257">
        <v>0.1</v>
      </c>
      <c r="G13" s="3258">
        <v>9.7000000000000003E-2</v>
      </c>
    </row>
    <row r="14" spans="1:7">
      <c r="A14" s="3255" t="s">
        <v>184</v>
      </c>
      <c r="B14" s="3256" t="s">
        <v>155</v>
      </c>
      <c r="C14" s="3257">
        <v>9.7000000000000003E-2</v>
      </c>
      <c r="D14" s="3257">
        <v>9.7000000000000003E-2</v>
      </c>
      <c r="E14" s="3257">
        <v>9.7000000000000003E-2</v>
      </c>
      <c r="F14" s="3257">
        <v>0.1</v>
      </c>
      <c r="G14" s="3258">
        <v>9.8000000000000004E-2</v>
      </c>
    </row>
    <row r="15" spans="1:7">
      <c r="A15" s="3255" t="s">
        <v>184</v>
      </c>
      <c r="B15" s="3256" t="s">
        <v>162</v>
      </c>
      <c r="C15" s="3257">
        <v>9.8000000000000004E-2</v>
      </c>
      <c r="D15" s="3257">
        <v>9.0999999999999998E-2</v>
      </c>
      <c r="E15" s="3257">
        <v>0.06</v>
      </c>
      <c r="F15" s="3257">
        <v>0.1</v>
      </c>
      <c r="G15" s="3258">
        <v>9.7000000000000003E-2</v>
      </c>
    </row>
    <row r="16" spans="1:7">
      <c r="A16" s="3255" t="s">
        <v>184</v>
      </c>
      <c r="B16" s="3256" t="s">
        <v>168</v>
      </c>
      <c r="C16" s="3257">
        <v>9.8000000000000004E-2</v>
      </c>
      <c r="D16" s="3257">
        <v>9.7000000000000003E-2</v>
      </c>
      <c r="E16" s="3257">
        <v>9.5000000000000001E-2</v>
      </c>
      <c r="F16" s="3257">
        <v>0.1</v>
      </c>
      <c r="G16" s="3258">
        <v>9.9000000000000005E-2</v>
      </c>
    </row>
    <row r="17" spans="1:7">
      <c r="A17" s="3255" t="s">
        <v>184</v>
      </c>
      <c r="B17" s="3256" t="s">
        <v>175</v>
      </c>
      <c r="C17" s="3257">
        <v>8.8999999999999996E-2</v>
      </c>
      <c r="D17" s="3257">
        <v>9.1999999999999998E-2</v>
      </c>
      <c r="E17" s="3257">
        <v>6.0999999999999999E-2</v>
      </c>
      <c r="F17" s="3257">
        <v>0.1</v>
      </c>
      <c r="G17" s="3258">
        <v>9.7000000000000003E-2</v>
      </c>
    </row>
    <row r="18" spans="1:7">
      <c r="A18" s="3255" t="s">
        <v>184</v>
      </c>
      <c r="B18" s="3256" t="s">
        <v>185</v>
      </c>
      <c r="C18" s="3257">
        <v>9.8000000000000004E-2</v>
      </c>
      <c r="D18" s="3257">
        <v>9.8000000000000004E-2</v>
      </c>
      <c r="E18" s="3257">
        <v>9.8000000000000004E-2</v>
      </c>
      <c r="F18" s="3264"/>
      <c r="G18" s="3258">
        <v>9.9000000000000005E-2</v>
      </c>
    </row>
    <row r="19" spans="1:7">
      <c r="A19" s="3255" t="s">
        <v>184</v>
      </c>
      <c r="B19" s="3256" t="s">
        <v>194</v>
      </c>
      <c r="C19" s="3257">
        <v>9.9000000000000005E-2</v>
      </c>
      <c r="D19" s="3257">
        <v>7.3999999999999996E-2</v>
      </c>
      <c r="E19" s="3257">
        <v>8.1000000000000003E-2</v>
      </c>
      <c r="F19" s="3264"/>
      <c r="G19" s="3258">
        <v>9.2999999999999999E-2</v>
      </c>
    </row>
    <row r="20" spans="1:7">
      <c r="A20" s="3255" t="s">
        <v>184</v>
      </c>
      <c r="B20" s="3256" t="s">
        <v>201</v>
      </c>
      <c r="C20" s="3257">
        <v>0.1</v>
      </c>
      <c r="D20" s="3257">
        <v>8.8999999999999996E-2</v>
      </c>
      <c r="E20" s="3257">
        <v>8.8999999999999996E-2</v>
      </c>
      <c r="F20" s="3264"/>
      <c r="G20" s="3258">
        <v>9.5000000000000001E-2</v>
      </c>
    </row>
    <row r="21" spans="1:7">
      <c r="A21" s="3255" t="s">
        <v>184</v>
      </c>
      <c r="B21" s="3256" t="s">
        <v>208</v>
      </c>
      <c r="C21" s="3257">
        <v>0.1</v>
      </c>
      <c r="D21" s="3257">
        <v>9.0999999999999998E-2</v>
      </c>
      <c r="E21" s="3257">
        <v>8.2000000000000003E-2</v>
      </c>
      <c r="F21" s="3264"/>
      <c r="G21" s="3258">
        <v>9.7000000000000003E-2</v>
      </c>
    </row>
    <row r="22" spans="1:7">
      <c r="A22" s="3255" t="s">
        <v>184</v>
      </c>
      <c r="B22" s="3256" t="s">
        <v>2909</v>
      </c>
      <c r="C22" s="3257">
        <v>9.5000000000000001E-2</v>
      </c>
      <c r="D22" s="3257">
        <v>9.9000000000000005E-2</v>
      </c>
      <c r="E22" s="3257">
        <v>9.8000000000000004E-2</v>
      </c>
      <c r="F22" s="3264"/>
      <c r="G22" s="3258">
        <v>0.1</v>
      </c>
    </row>
    <row r="23" spans="1:7">
      <c r="A23" s="3255" t="s">
        <v>184</v>
      </c>
      <c r="B23" s="3256" t="s">
        <v>222</v>
      </c>
      <c r="C23" s="3257">
        <v>9.9000000000000005E-2</v>
      </c>
      <c r="D23" s="3257">
        <v>0.1</v>
      </c>
      <c r="E23" s="3257">
        <v>0.1</v>
      </c>
      <c r="F23" s="3264"/>
      <c r="G23" s="3258">
        <v>0.1</v>
      </c>
    </row>
    <row r="24" spans="1:7">
      <c r="A24" s="3255" t="s">
        <v>184</v>
      </c>
      <c r="B24" s="3256" t="s">
        <v>230</v>
      </c>
      <c r="C24" s="3257">
        <v>9.5000000000000001E-2</v>
      </c>
      <c r="D24" s="3257">
        <v>0.1</v>
      </c>
      <c r="E24" s="3257">
        <v>9.8000000000000004E-2</v>
      </c>
      <c r="F24" s="3264"/>
      <c r="G24" s="3258">
        <v>0.1</v>
      </c>
    </row>
    <row r="25" spans="1:7">
      <c r="A25" s="3255" t="s">
        <v>184</v>
      </c>
      <c r="B25" s="3256" t="s">
        <v>235</v>
      </c>
      <c r="C25" s="3257">
        <v>0.05</v>
      </c>
      <c r="D25" s="3257">
        <v>9.6000000000000002E-2</v>
      </c>
      <c r="E25" s="3257">
        <v>9.6000000000000002E-2</v>
      </c>
      <c r="F25" s="3264"/>
      <c r="G25" s="3258">
        <v>9.6000000000000002E-2</v>
      </c>
    </row>
    <row r="26" spans="1:7">
      <c r="A26" s="3255" t="s">
        <v>184</v>
      </c>
      <c r="B26" s="3256" t="s">
        <v>244</v>
      </c>
      <c r="C26" s="3257">
        <v>6.3E-2</v>
      </c>
      <c r="D26" s="3257">
        <v>9.9000000000000005E-2</v>
      </c>
      <c r="E26" s="3257">
        <v>9.8000000000000004E-2</v>
      </c>
      <c r="F26" s="3264"/>
      <c r="G26" s="3258">
        <v>0.1</v>
      </c>
    </row>
    <row r="27" spans="1:7">
      <c r="A27" s="3255" t="s">
        <v>184</v>
      </c>
      <c r="B27" s="3256" t="s">
        <v>251</v>
      </c>
      <c r="C27" s="3257">
        <v>5.1999999999999998E-2</v>
      </c>
      <c r="D27" s="3257">
        <v>9.5000000000000001E-2</v>
      </c>
      <c r="E27" s="3257">
        <v>6.4000000000000001E-2</v>
      </c>
      <c r="F27" s="3264"/>
      <c r="G27" s="3258">
        <v>9.7000000000000003E-2</v>
      </c>
    </row>
    <row r="28" spans="1:7">
      <c r="A28" s="3255" t="s">
        <v>184</v>
      </c>
      <c r="B28" s="3256" t="s">
        <v>259</v>
      </c>
      <c r="C28" s="3264"/>
      <c r="D28" s="3257">
        <v>6.3E-2</v>
      </c>
      <c r="E28" s="3257">
        <v>5.1999999999999998E-2</v>
      </c>
      <c r="F28" s="3264"/>
      <c r="G28" s="3258">
        <v>6.3E-2</v>
      </c>
    </row>
    <row r="29" spans="1:7" ht="15" thickBot="1">
      <c r="A29" s="3259" t="s">
        <v>184</v>
      </c>
      <c r="B29" s="3260" t="s">
        <v>2927</v>
      </c>
      <c r="C29" s="3265"/>
      <c r="D29" s="3261">
        <v>5.1999999999999998E-2</v>
      </c>
      <c r="E29" s="3261">
        <v>7.0000000000000007E-2</v>
      </c>
      <c r="F29" s="3265"/>
      <c r="G29" s="3263">
        <v>7.0999999999999994E-2</v>
      </c>
    </row>
    <row r="30" spans="1:7">
      <c r="A30" s="3266" t="s">
        <v>296</v>
      </c>
      <c r="B30" s="3252" t="s">
        <v>2860</v>
      </c>
      <c r="C30" s="3253">
        <v>6.6000000000000003E-2</v>
      </c>
      <c r="D30" s="3253">
        <v>6.6000000000000003E-2</v>
      </c>
      <c r="E30" s="3253">
        <v>5.7000000000000002E-2</v>
      </c>
      <c r="F30" s="3253">
        <v>0.1</v>
      </c>
      <c r="G30" s="3254">
        <v>6.8000000000000005E-2</v>
      </c>
    </row>
    <row r="31" spans="1:7">
      <c r="A31" s="3267" t="s">
        <v>296</v>
      </c>
      <c r="B31" s="3256" t="s">
        <v>129</v>
      </c>
      <c r="C31" s="3257">
        <v>5.5E-2</v>
      </c>
      <c r="D31" s="3257">
        <v>8.2000000000000003E-2</v>
      </c>
      <c r="E31" s="3257">
        <v>6.4000000000000001E-2</v>
      </c>
      <c r="F31" s="3257">
        <v>0.1</v>
      </c>
      <c r="G31" s="3258">
        <v>9.5000000000000001E-2</v>
      </c>
    </row>
    <row r="32" spans="1:7">
      <c r="A32" s="3267" t="s">
        <v>296</v>
      </c>
      <c r="B32" s="3256" t="s">
        <v>138</v>
      </c>
      <c r="C32" s="3257">
        <v>8.2000000000000003E-2</v>
      </c>
      <c r="D32" s="3257">
        <v>8.6999999999999994E-2</v>
      </c>
      <c r="E32" s="3257">
        <v>9.5000000000000001E-2</v>
      </c>
      <c r="F32" s="3257">
        <v>0.1</v>
      </c>
      <c r="G32" s="3258">
        <v>9.6000000000000002E-2</v>
      </c>
    </row>
    <row r="33" spans="1:7">
      <c r="A33" s="3267" t="s">
        <v>296</v>
      </c>
      <c r="B33" s="3256" t="s">
        <v>147</v>
      </c>
      <c r="C33" s="3257">
        <v>9.9000000000000005E-2</v>
      </c>
      <c r="D33" s="3257">
        <v>9.1999999999999998E-2</v>
      </c>
      <c r="E33" s="3257">
        <v>8.6999999999999994E-2</v>
      </c>
      <c r="F33" s="3257">
        <v>0.1</v>
      </c>
      <c r="G33" s="3258">
        <v>9.7000000000000003E-2</v>
      </c>
    </row>
    <row r="34" spans="1:7">
      <c r="A34" s="3267" t="s">
        <v>296</v>
      </c>
      <c r="B34" s="3256" t="s">
        <v>156</v>
      </c>
      <c r="C34" s="3257">
        <v>8.4000000000000005E-2</v>
      </c>
      <c r="D34" s="3257">
        <v>9.7000000000000003E-2</v>
      </c>
      <c r="E34" s="3257">
        <v>7.0999999999999994E-2</v>
      </c>
      <c r="F34" s="3257">
        <v>0.1</v>
      </c>
      <c r="G34" s="3258">
        <v>9.8000000000000004E-2</v>
      </c>
    </row>
    <row r="35" spans="1:7">
      <c r="A35" s="3267" t="s">
        <v>296</v>
      </c>
      <c r="B35" s="3256" t="s">
        <v>163</v>
      </c>
      <c r="C35" s="3257">
        <v>8.3000000000000004E-2</v>
      </c>
      <c r="D35" s="3257">
        <v>9.7000000000000003E-2</v>
      </c>
      <c r="E35" s="3257">
        <v>6.0999999999999999E-2</v>
      </c>
      <c r="F35" s="3257">
        <v>0.1</v>
      </c>
      <c r="G35" s="3258">
        <v>9.9000000000000005E-2</v>
      </c>
    </row>
    <row r="36" spans="1:7">
      <c r="A36" s="3267" t="s">
        <v>296</v>
      </c>
      <c r="B36" s="3256" t="s">
        <v>169</v>
      </c>
      <c r="C36" s="3257">
        <v>9.7000000000000003E-2</v>
      </c>
      <c r="D36" s="3257">
        <v>9.7000000000000003E-2</v>
      </c>
      <c r="E36" s="3257">
        <v>7.8E-2</v>
      </c>
      <c r="F36" s="3257">
        <v>0.1</v>
      </c>
      <c r="G36" s="3258">
        <v>9.9000000000000005E-2</v>
      </c>
    </row>
    <row r="37" spans="1:7">
      <c r="A37" s="3267" t="s">
        <v>296</v>
      </c>
      <c r="B37" s="3256" t="s">
        <v>176</v>
      </c>
      <c r="C37" s="3257">
        <v>9.7000000000000003E-2</v>
      </c>
      <c r="D37" s="3257">
        <v>9.5000000000000001E-2</v>
      </c>
      <c r="E37" s="3257">
        <v>7.8E-2</v>
      </c>
      <c r="F37" s="3257">
        <v>0.1</v>
      </c>
      <c r="G37" s="3258">
        <v>9.7000000000000003E-2</v>
      </c>
    </row>
    <row r="38" spans="1:7">
      <c r="A38" s="3267" t="s">
        <v>296</v>
      </c>
      <c r="B38" s="3256" t="s">
        <v>186</v>
      </c>
      <c r="C38" s="3257">
        <v>9.7000000000000003E-2</v>
      </c>
      <c r="D38" s="3257">
        <v>7.6999999999999999E-2</v>
      </c>
      <c r="E38" s="3257">
        <v>7.0000000000000007E-2</v>
      </c>
      <c r="F38" s="3257">
        <v>0.1</v>
      </c>
      <c r="G38" s="3258">
        <v>7.6999999999999999E-2</v>
      </c>
    </row>
    <row r="39" spans="1:7">
      <c r="A39" s="3267" t="s">
        <v>296</v>
      </c>
      <c r="B39" s="3256" t="s">
        <v>195</v>
      </c>
      <c r="C39" s="3257">
        <v>9.5000000000000001E-2</v>
      </c>
      <c r="D39" s="3257">
        <v>7.6999999999999999E-2</v>
      </c>
      <c r="E39" s="3257">
        <v>6.6000000000000003E-2</v>
      </c>
      <c r="F39" s="3257">
        <v>0.1</v>
      </c>
      <c r="G39" s="3258">
        <v>8.5999999999999993E-2</v>
      </c>
    </row>
    <row r="40" spans="1:7">
      <c r="A40" s="3267" t="s">
        <v>296</v>
      </c>
      <c r="B40" s="3256" t="s">
        <v>202</v>
      </c>
      <c r="C40" s="3257">
        <v>7.6999999999999999E-2</v>
      </c>
      <c r="D40" s="3257">
        <v>7.8E-2</v>
      </c>
      <c r="E40" s="3257">
        <v>8.2000000000000003E-2</v>
      </c>
      <c r="F40" s="3268"/>
      <c r="G40" s="3258">
        <v>7.8E-2</v>
      </c>
    </row>
    <row r="41" spans="1:7">
      <c r="A41" s="3267" t="s">
        <v>296</v>
      </c>
      <c r="B41" s="3256" t="s">
        <v>209</v>
      </c>
      <c r="C41" s="3257">
        <v>7.8E-2</v>
      </c>
      <c r="D41" s="3257">
        <v>7.8E-2</v>
      </c>
      <c r="E41" s="3257">
        <v>8.2000000000000003E-2</v>
      </c>
      <c r="F41" s="3268"/>
      <c r="G41" s="3258">
        <v>8.5999999999999993E-2</v>
      </c>
    </row>
    <row r="42" spans="1:7">
      <c r="A42" s="3267" t="s">
        <v>296</v>
      </c>
      <c r="B42" s="3256" t="s">
        <v>215</v>
      </c>
      <c r="C42" s="3257">
        <v>7.8E-2</v>
      </c>
      <c r="D42" s="3257">
        <v>9.6000000000000002E-2</v>
      </c>
      <c r="E42" s="3257">
        <v>7.1999999999999995E-2</v>
      </c>
      <c r="F42" s="3268"/>
      <c r="G42" s="3258">
        <v>9.8000000000000004E-2</v>
      </c>
    </row>
    <row r="43" spans="1:7">
      <c r="A43" s="3267" t="s">
        <v>2846</v>
      </c>
      <c r="B43" s="3256" t="s">
        <v>223</v>
      </c>
      <c r="C43" s="3257">
        <v>7.8E-2</v>
      </c>
      <c r="D43" s="3257">
        <v>9.9000000000000005E-2</v>
      </c>
      <c r="E43" s="3257">
        <v>9.6000000000000002E-2</v>
      </c>
      <c r="F43" s="3268"/>
      <c r="G43" s="3258">
        <v>0.1</v>
      </c>
    </row>
    <row r="44" spans="1:7">
      <c r="A44" s="3267" t="s">
        <v>296</v>
      </c>
      <c r="B44" s="3256" t="s">
        <v>231</v>
      </c>
      <c r="C44" s="3257">
        <v>9.6000000000000002E-2</v>
      </c>
      <c r="D44" s="3257">
        <v>0.1</v>
      </c>
      <c r="E44" s="3257">
        <v>9.8000000000000004E-2</v>
      </c>
      <c r="F44" s="3268"/>
      <c r="G44" s="3258">
        <v>0.1</v>
      </c>
    </row>
    <row r="45" spans="1:7">
      <c r="A45" s="3267" t="s">
        <v>296</v>
      </c>
      <c r="B45" s="3256" t="s">
        <v>236</v>
      </c>
      <c r="C45" s="3257">
        <v>9.9000000000000005E-2</v>
      </c>
      <c r="D45" s="3257">
        <v>9.8000000000000004E-2</v>
      </c>
      <c r="E45" s="3257">
        <v>9.5000000000000001E-2</v>
      </c>
      <c r="F45" s="3268"/>
      <c r="G45" s="3258">
        <v>9.8000000000000004E-2</v>
      </c>
    </row>
    <row r="46" spans="1:7">
      <c r="A46" s="3267" t="s">
        <v>296</v>
      </c>
      <c r="B46" s="3256" t="s">
        <v>245</v>
      </c>
      <c r="C46" s="3257">
        <v>0.1</v>
      </c>
      <c r="D46" s="3257">
        <v>9.9000000000000005E-2</v>
      </c>
      <c r="E46" s="3257">
        <v>9.6000000000000002E-2</v>
      </c>
      <c r="F46" s="3268"/>
      <c r="G46" s="3258">
        <v>0.1</v>
      </c>
    </row>
    <row r="47" spans="1:7">
      <c r="A47" s="3267" t="s">
        <v>296</v>
      </c>
      <c r="B47" s="3256" t="s">
        <v>252</v>
      </c>
      <c r="C47" s="3257">
        <v>9.8000000000000004E-2</v>
      </c>
      <c r="D47" s="3257">
        <v>8.6999999999999994E-2</v>
      </c>
      <c r="E47" s="3257">
        <v>5.8999999999999997E-2</v>
      </c>
      <c r="F47" s="3268"/>
      <c r="G47" s="3258">
        <v>9.6000000000000002E-2</v>
      </c>
    </row>
    <row r="48" spans="1:7">
      <c r="A48" s="3267" t="s">
        <v>296</v>
      </c>
      <c r="B48" s="3256" t="s">
        <v>260</v>
      </c>
      <c r="C48" s="3257">
        <v>9.9000000000000005E-2</v>
      </c>
      <c r="D48" s="3257">
        <v>9.8000000000000004E-2</v>
      </c>
      <c r="E48" s="3257">
        <v>9.5000000000000001E-2</v>
      </c>
      <c r="F48" s="3268"/>
      <c r="G48" s="3258">
        <v>9.8000000000000004E-2</v>
      </c>
    </row>
    <row r="49" spans="1:7">
      <c r="A49" s="3267" t="s">
        <v>296</v>
      </c>
      <c r="B49" s="3256" t="s">
        <v>267</v>
      </c>
      <c r="C49" s="3257">
        <v>8.7999999999999995E-2</v>
      </c>
      <c r="D49" s="3257">
        <v>9.9000000000000005E-2</v>
      </c>
      <c r="E49" s="3257">
        <v>7.0000000000000007E-2</v>
      </c>
      <c r="F49" s="3268"/>
      <c r="G49" s="3258">
        <v>0.1</v>
      </c>
    </row>
    <row r="50" spans="1:7">
      <c r="A50" s="3267" t="s">
        <v>296</v>
      </c>
      <c r="B50" s="3256" t="s">
        <v>2930</v>
      </c>
      <c r="C50" s="3257">
        <v>9.8000000000000004E-2</v>
      </c>
      <c r="D50" s="3257">
        <v>7.2999999999999995E-2</v>
      </c>
      <c r="E50" s="3257">
        <v>7.0999999999999994E-2</v>
      </c>
      <c r="F50" s="3268"/>
      <c r="G50" s="3258">
        <v>7.2999999999999995E-2</v>
      </c>
    </row>
    <row r="51" spans="1:7">
      <c r="A51" s="3267" t="s">
        <v>296</v>
      </c>
      <c r="B51" s="3256" t="s">
        <v>2932</v>
      </c>
      <c r="C51" s="3257">
        <v>9.9000000000000005E-2</v>
      </c>
      <c r="D51" s="3257">
        <v>8.5000000000000006E-2</v>
      </c>
      <c r="E51" s="3257">
        <v>6.3E-2</v>
      </c>
      <c r="F51" s="3268"/>
      <c r="G51" s="3258">
        <v>9.6000000000000002E-2</v>
      </c>
    </row>
    <row r="52" spans="1:7">
      <c r="A52" s="3267" t="s">
        <v>296</v>
      </c>
      <c r="B52" s="3256" t="s">
        <v>2936</v>
      </c>
      <c r="C52" s="3257">
        <v>7.3999999999999996E-2</v>
      </c>
      <c r="D52" s="3257">
        <v>9.6000000000000002E-2</v>
      </c>
      <c r="E52" s="3257">
        <v>0.05</v>
      </c>
      <c r="F52" s="3268"/>
      <c r="G52" s="3258">
        <v>9.8000000000000004E-2</v>
      </c>
    </row>
    <row r="53" spans="1:7">
      <c r="A53" s="3267" t="s">
        <v>296</v>
      </c>
      <c r="B53" s="3256" t="s">
        <v>2941</v>
      </c>
      <c r="C53" s="3257">
        <v>8.5999999999999993E-2</v>
      </c>
      <c r="D53" s="3268"/>
      <c r="E53" s="3257">
        <v>9.1999999999999998E-2</v>
      </c>
      <c r="F53" s="3268"/>
      <c r="G53" s="3269"/>
    </row>
    <row r="54" spans="1:7" ht="15" thickBot="1">
      <c r="A54" s="3270" t="s">
        <v>296</v>
      </c>
      <c r="B54" s="3260" t="s">
        <v>2944</v>
      </c>
      <c r="C54" s="3261">
        <v>9.6000000000000002E-2</v>
      </c>
      <c r="D54" s="3262"/>
      <c r="E54" s="3271"/>
      <c r="F54" s="3262"/>
      <c r="G54" s="3272"/>
    </row>
    <row r="55" spans="1:7">
      <c r="A55" s="3266" t="s">
        <v>110</v>
      </c>
      <c r="B55" s="3252" t="s">
        <v>2861</v>
      </c>
      <c r="C55" s="3253">
        <v>9.6000000000000002E-2</v>
      </c>
      <c r="D55" s="3253">
        <v>8.4000000000000005E-2</v>
      </c>
      <c r="E55" s="3253">
        <v>9.1999999999999998E-2</v>
      </c>
      <c r="F55" s="3253">
        <v>0.1</v>
      </c>
      <c r="G55" s="3254">
        <v>9.5000000000000001E-2</v>
      </c>
    </row>
    <row r="56" spans="1:7">
      <c r="A56" s="3267" t="s">
        <v>110</v>
      </c>
      <c r="B56" s="3256" t="s">
        <v>130</v>
      </c>
      <c r="C56" s="3257">
        <v>8.4000000000000005E-2</v>
      </c>
      <c r="D56" s="3257">
        <v>9.1999999999999998E-2</v>
      </c>
      <c r="E56" s="3257">
        <v>9.5000000000000001E-2</v>
      </c>
      <c r="F56" s="3257">
        <v>9.1999999999999998E-2</v>
      </c>
      <c r="G56" s="3258">
        <v>9.6000000000000002E-2</v>
      </c>
    </row>
    <row r="57" spans="1:7">
      <c r="A57" s="3267" t="s">
        <v>110</v>
      </c>
      <c r="B57" s="3256" t="s">
        <v>139</v>
      </c>
      <c r="C57" s="3257">
        <v>9.9000000000000005E-2</v>
      </c>
      <c r="D57" s="3257">
        <v>9.6000000000000002E-2</v>
      </c>
      <c r="E57" s="3257">
        <v>9.1999999999999998E-2</v>
      </c>
      <c r="F57" s="3257">
        <v>0.1</v>
      </c>
      <c r="G57" s="3258">
        <v>9.8000000000000004E-2</v>
      </c>
    </row>
    <row r="58" spans="1:7">
      <c r="A58" s="3267" t="s">
        <v>110</v>
      </c>
      <c r="B58" s="3256" t="s">
        <v>148</v>
      </c>
      <c r="C58" s="3257">
        <v>9.8000000000000004E-2</v>
      </c>
      <c r="D58" s="3257">
        <v>9.5000000000000001E-2</v>
      </c>
      <c r="E58" s="3257">
        <v>5.7000000000000002E-2</v>
      </c>
      <c r="F58" s="3257">
        <v>0.1</v>
      </c>
      <c r="G58" s="3258">
        <v>9.6000000000000002E-2</v>
      </c>
    </row>
    <row r="59" spans="1:7">
      <c r="A59" s="3267" t="s">
        <v>110</v>
      </c>
      <c r="B59" s="3256" t="s">
        <v>157</v>
      </c>
      <c r="C59" s="3257">
        <v>9.5000000000000001E-2</v>
      </c>
      <c r="D59" s="3257">
        <v>0.1</v>
      </c>
      <c r="E59" s="3257">
        <v>7.4999999999999997E-2</v>
      </c>
      <c r="F59" s="3257">
        <v>0.1</v>
      </c>
      <c r="G59" s="3258">
        <v>0.1</v>
      </c>
    </row>
    <row r="60" spans="1:7">
      <c r="A60" s="3267" t="s">
        <v>110</v>
      </c>
      <c r="B60" s="3256" t="s">
        <v>164</v>
      </c>
      <c r="C60" s="3257">
        <v>0.1</v>
      </c>
      <c r="D60" s="3257">
        <v>9.7000000000000003E-2</v>
      </c>
      <c r="E60" s="3257">
        <v>0.1</v>
      </c>
      <c r="F60" s="3257">
        <v>0.1</v>
      </c>
      <c r="G60" s="3258">
        <v>9.7000000000000003E-2</v>
      </c>
    </row>
    <row r="61" spans="1:7">
      <c r="A61" s="3267" t="s">
        <v>110</v>
      </c>
      <c r="B61" s="3256" t="s">
        <v>170</v>
      </c>
      <c r="C61" s="3257">
        <v>9.7000000000000003E-2</v>
      </c>
      <c r="D61" s="3257">
        <v>0.1</v>
      </c>
      <c r="E61" s="3257">
        <v>9.2999999999999999E-2</v>
      </c>
      <c r="F61" s="3257">
        <v>0.1</v>
      </c>
      <c r="G61" s="3258">
        <v>0.1</v>
      </c>
    </row>
    <row r="62" spans="1:7">
      <c r="A62" s="3267" t="s">
        <v>110</v>
      </c>
      <c r="B62" s="3256" t="s">
        <v>177</v>
      </c>
      <c r="C62" s="3257">
        <v>0.1</v>
      </c>
      <c r="D62" s="3257">
        <v>9.7000000000000003E-2</v>
      </c>
      <c r="E62" s="3257">
        <v>8.8999999999999996E-2</v>
      </c>
      <c r="F62" s="3257">
        <v>0.1</v>
      </c>
      <c r="G62" s="3258">
        <v>9.8000000000000004E-2</v>
      </c>
    </row>
    <row r="63" spans="1:7">
      <c r="A63" s="3267" t="s">
        <v>110</v>
      </c>
      <c r="B63" s="3256" t="s">
        <v>187</v>
      </c>
      <c r="C63" s="3257">
        <v>9.7000000000000003E-2</v>
      </c>
      <c r="D63" s="3257">
        <v>9.7000000000000003E-2</v>
      </c>
      <c r="E63" s="3257">
        <v>9.9000000000000005E-2</v>
      </c>
      <c r="F63" s="3257">
        <v>0.1</v>
      </c>
      <c r="G63" s="3258">
        <v>9.7000000000000003E-2</v>
      </c>
    </row>
    <row r="64" spans="1:7">
      <c r="A64" s="3267" t="s">
        <v>110</v>
      </c>
      <c r="B64" s="3256" t="s">
        <v>196</v>
      </c>
      <c r="C64" s="3257">
        <v>9.7000000000000003E-2</v>
      </c>
      <c r="D64" s="3257">
        <v>7.3999999999999996E-2</v>
      </c>
      <c r="E64" s="3257">
        <v>7.8E-2</v>
      </c>
      <c r="F64" s="3257">
        <v>0.1</v>
      </c>
      <c r="G64" s="3258">
        <v>8.8999999999999996E-2</v>
      </c>
    </row>
    <row r="65" spans="1:7">
      <c r="A65" s="3267" t="s">
        <v>110</v>
      </c>
      <c r="B65" s="3256" t="s">
        <v>203</v>
      </c>
      <c r="C65" s="3257">
        <v>7.2999999999999995E-2</v>
      </c>
      <c r="D65" s="3257">
        <v>9.8000000000000004E-2</v>
      </c>
      <c r="E65" s="3257">
        <v>9.5000000000000001E-2</v>
      </c>
      <c r="F65" s="3257">
        <v>0.1</v>
      </c>
      <c r="G65" s="3258">
        <v>9.9000000000000005E-2</v>
      </c>
    </row>
    <row r="66" spans="1:7">
      <c r="A66" s="3267" t="s">
        <v>110</v>
      </c>
      <c r="B66" s="3256" t="s">
        <v>210</v>
      </c>
      <c r="C66" s="3257">
        <v>9.8000000000000004E-2</v>
      </c>
      <c r="D66" s="3257">
        <v>9.5000000000000001E-2</v>
      </c>
      <c r="E66" s="3257">
        <v>0.05</v>
      </c>
      <c r="F66" s="3257">
        <v>0.1</v>
      </c>
      <c r="G66" s="3258">
        <v>9.7000000000000003E-2</v>
      </c>
    </row>
    <row r="67" spans="1:7">
      <c r="A67" s="3267" t="s">
        <v>110</v>
      </c>
      <c r="B67" s="3256" t="s">
        <v>216</v>
      </c>
      <c r="C67" s="3257">
        <v>9.5000000000000001E-2</v>
      </c>
      <c r="D67" s="3257">
        <v>9.7000000000000003E-2</v>
      </c>
      <c r="E67" s="3257">
        <v>9.7000000000000003E-2</v>
      </c>
      <c r="F67" s="3257">
        <v>0.1</v>
      </c>
      <c r="G67" s="3258">
        <v>9.9000000000000005E-2</v>
      </c>
    </row>
    <row r="68" spans="1:7">
      <c r="A68" s="3267" t="s">
        <v>110</v>
      </c>
      <c r="B68" s="3256" t="s">
        <v>224</v>
      </c>
      <c r="C68" s="3257">
        <v>9.7000000000000003E-2</v>
      </c>
      <c r="D68" s="3257">
        <v>6.8000000000000005E-2</v>
      </c>
      <c r="E68" s="3257">
        <v>6.6000000000000003E-2</v>
      </c>
      <c r="F68" s="3257">
        <v>0.1</v>
      </c>
      <c r="G68" s="3258">
        <v>8.4000000000000005E-2</v>
      </c>
    </row>
    <row r="69" spans="1:7">
      <c r="A69" s="3267" t="s">
        <v>110</v>
      </c>
      <c r="B69" s="3256" t="s">
        <v>232</v>
      </c>
      <c r="C69" s="3257">
        <v>6.8000000000000005E-2</v>
      </c>
      <c r="D69" s="3257">
        <v>9.8000000000000004E-2</v>
      </c>
      <c r="E69" s="3257">
        <v>9.5000000000000001E-2</v>
      </c>
      <c r="F69" s="3257">
        <v>0.1</v>
      </c>
      <c r="G69" s="3258">
        <v>0.1</v>
      </c>
    </row>
    <row r="70" spans="1:7">
      <c r="A70" s="3267" t="s">
        <v>110</v>
      </c>
      <c r="B70" s="3256" t="s">
        <v>237</v>
      </c>
      <c r="C70" s="3257">
        <v>9.8000000000000004E-2</v>
      </c>
      <c r="D70" s="3257">
        <v>8.8999999999999996E-2</v>
      </c>
      <c r="E70" s="3257">
        <v>5.8999999999999997E-2</v>
      </c>
      <c r="F70" s="3257">
        <v>0.1</v>
      </c>
      <c r="G70" s="3258">
        <v>9.6000000000000002E-2</v>
      </c>
    </row>
    <row r="71" spans="1:7">
      <c r="A71" s="3267" t="s">
        <v>110</v>
      </c>
      <c r="B71" s="3256" t="s">
        <v>246</v>
      </c>
      <c r="C71" s="3257">
        <v>8.8999999999999996E-2</v>
      </c>
      <c r="D71" s="3257">
        <v>9.9000000000000005E-2</v>
      </c>
      <c r="E71" s="3257">
        <v>9.6000000000000002E-2</v>
      </c>
      <c r="F71" s="3257">
        <v>0.1</v>
      </c>
      <c r="G71" s="3258">
        <v>0.1</v>
      </c>
    </row>
    <row r="72" spans="1:7">
      <c r="A72" s="3267" t="s">
        <v>110</v>
      </c>
      <c r="B72" s="3256" t="s">
        <v>253</v>
      </c>
      <c r="C72" s="3257">
        <v>9.9000000000000005E-2</v>
      </c>
      <c r="D72" s="3257">
        <v>0.1</v>
      </c>
      <c r="E72" s="3257">
        <v>7.0000000000000007E-2</v>
      </c>
      <c r="F72" s="3268"/>
      <c r="G72" s="3258">
        <v>0.1</v>
      </c>
    </row>
    <row r="73" spans="1:7">
      <c r="A73" s="3267" t="s">
        <v>110</v>
      </c>
      <c r="B73" s="3256" t="s">
        <v>261</v>
      </c>
      <c r="C73" s="3257">
        <v>0.1</v>
      </c>
      <c r="D73" s="3257">
        <v>0.1</v>
      </c>
      <c r="E73" s="3257">
        <v>9.6000000000000002E-2</v>
      </c>
      <c r="F73" s="3268"/>
      <c r="G73" s="3258">
        <v>0.1</v>
      </c>
    </row>
    <row r="74" spans="1:7">
      <c r="A74" s="3267" t="s">
        <v>110</v>
      </c>
      <c r="B74" s="3256" t="s">
        <v>268</v>
      </c>
      <c r="C74" s="3257">
        <v>0.1</v>
      </c>
      <c r="D74" s="3257">
        <v>0.1</v>
      </c>
      <c r="E74" s="3257">
        <v>9.8000000000000004E-2</v>
      </c>
      <c r="F74" s="3268"/>
      <c r="G74" s="3258">
        <v>0.1</v>
      </c>
    </row>
    <row r="75" spans="1:7">
      <c r="A75" s="3267" t="s">
        <v>110</v>
      </c>
      <c r="B75" s="3256" t="s">
        <v>272</v>
      </c>
      <c r="C75" s="3257">
        <v>0.1</v>
      </c>
      <c r="D75" s="3257">
        <v>9.9000000000000005E-2</v>
      </c>
      <c r="E75" s="3257">
        <v>9.8000000000000004E-2</v>
      </c>
      <c r="F75" s="3268"/>
      <c r="G75" s="3258">
        <v>0.1</v>
      </c>
    </row>
    <row r="76" spans="1:7">
      <c r="A76" s="3267" t="s">
        <v>110</v>
      </c>
      <c r="B76" s="3256" t="s">
        <v>278</v>
      </c>
      <c r="C76" s="3257">
        <v>9.9000000000000005E-2</v>
      </c>
      <c r="D76" s="3257">
        <v>0.1</v>
      </c>
      <c r="E76" s="3257">
        <v>9.7000000000000003E-2</v>
      </c>
      <c r="F76" s="3268"/>
      <c r="G76" s="3258">
        <v>0.1</v>
      </c>
    </row>
    <row r="77" spans="1:7">
      <c r="A77" s="3267" t="s">
        <v>110</v>
      </c>
      <c r="B77" s="3256" t="s">
        <v>281</v>
      </c>
      <c r="C77" s="3257">
        <v>0.1</v>
      </c>
      <c r="D77" s="3257">
        <v>0.1</v>
      </c>
      <c r="E77" s="3257">
        <v>9.6000000000000002E-2</v>
      </c>
      <c r="F77" s="3268"/>
      <c r="G77" s="3258">
        <v>0.1</v>
      </c>
    </row>
    <row r="78" spans="1:7">
      <c r="A78" s="3267" t="s">
        <v>110</v>
      </c>
      <c r="B78" s="3256" t="s">
        <v>2942</v>
      </c>
      <c r="C78" s="3257">
        <v>0.1</v>
      </c>
      <c r="D78" s="3257">
        <v>8.5000000000000006E-2</v>
      </c>
      <c r="E78" s="3257">
        <v>9.6000000000000002E-2</v>
      </c>
      <c r="F78" s="3268"/>
      <c r="G78" s="3258">
        <v>9.6000000000000002E-2</v>
      </c>
    </row>
    <row r="79" spans="1:7">
      <c r="A79" s="3267" t="s">
        <v>110</v>
      </c>
      <c r="B79" s="3256" t="s">
        <v>2945</v>
      </c>
      <c r="C79" s="3257">
        <v>0.05</v>
      </c>
      <c r="D79" s="3257">
        <v>9.6000000000000002E-2</v>
      </c>
      <c r="E79" s="3257">
        <v>9.5000000000000001E-2</v>
      </c>
      <c r="F79" s="3268"/>
      <c r="G79" s="3258">
        <v>9.8000000000000004E-2</v>
      </c>
    </row>
    <row r="80" spans="1:7">
      <c r="A80" s="3267" t="s">
        <v>110</v>
      </c>
      <c r="B80" s="3256" t="s">
        <v>2949</v>
      </c>
      <c r="C80" s="3257">
        <v>8.5999999999999993E-2</v>
      </c>
      <c r="D80" s="3273"/>
      <c r="E80" s="3257">
        <v>0.1</v>
      </c>
      <c r="F80" s="3268"/>
      <c r="G80" s="3269"/>
    </row>
    <row r="81" spans="1:7">
      <c r="A81" s="3267" t="s">
        <v>110</v>
      </c>
      <c r="B81" s="3256" t="s">
        <v>2954</v>
      </c>
      <c r="C81" s="3257">
        <v>9.6000000000000002E-2</v>
      </c>
      <c r="D81" s="3268"/>
      <c r="E81" s="3257">
        <v>9.8000000000000004E-2</v>
      </c>
      <c r="F81" s="3268"/>
      <c r="G81" s="3269"/>
    </row>
    <row r="82" spans="1:7">
      <c r="A82" s="3267" t="s">
        <v>110</v>
      </c>
      <c r="B82" s="3256" t="s">
        <v>2961</v>
      </c>
      <c r="C82" s="3273"/>
      <c r="D82" s="3268"/>
      <c r="E82" s="3257">
        <v>7.6999999999999999E-2</v>
      </c>
      <c r="F82" s="3268"/>
      <c r="G82" s="3269"/>
    </row>
    <row r="83" spans="1:7">
      <c r="A83" s="3267" t="s">
        <v>110</v>
      </c>
      <c r="B83" s="3256" t="s">
        <v>2967</v>
      </c>
      <c r="C83" s="3268"/>
      <c r="D83" s="3268"/>
      <c r="E83" s="3268"/>
      <c r="F83" s="3257">
        <v>0.1</v>
      </c>
      <c r="G83" s="3274"/>
    </row>
    <row r="84" spans="1:7">
      <c r="A84" s="3267" t="s">
        <v>110</v>
      </c>
      <c r="B84" s="3256" t="s">
        <v>2974</v>
      </c>
      <c r="C84" s="3268"/>
      <c r="D84" s="3268"/>
      <c r="E84" s="3268"/>
      <c r="F84" s="3257">
        <v>0.1</v>
      </c>
      <c r="G84" s="3274"/>
    </row>
    <row r="85" spans="1:7">
      <c r="A85" s="3267" t="s">
        <v>110</v>
      </c>
      <c r="B85" s="3256" t="s">
        <v>2981</v>
      </c>
      <c r="C85" s="3268"/>
      <c r="D85" s="3268"/>
      <c r="E85" s="3268"/>
      <c r="F85" s="3257">
        <v>0.1</v>
      </c>
      <c r="G85" s="3274"/>
    </row>
    <row r="86" spans="1:7" ht="15" thickBot="1">
      <c r="A86" s="3270" t="s">
        <v>110</v>
      </c>
      <c r="B86" s="3260" t="s">
        <v>2986</v>
      </c>
      <c r="C86" s="3261">
        <v>9.8000000000000004E-2</v>
      </c>
      <c r="D86" s="3261">
        <v>9.8000000000000004E-2</v>
      </c>
      <c r="E86" s="3261">
        <v>9.6000000000000002E-2</v>
      </c>
      <c r="F86" s="3271"/>
      <c r="G86" s="3263">
        <v>0.1</v>
      </c>
    </row>
    <row r="87" spans="1:7">
      <c r="A87" s="3266" t="s">
        <v>303</v>
      </c>
      <c r="B87" s="3252" t="s">
        <v>2862</v>
      </c>
      <c r="C87" s="3253">
        <v>0.1</v>
      </c>
      <c r="D87" s="3253">
        <v>0.1</v>
      </c>
      <c r="E87" s="3253">
        <v>9.8000000000000004E-2</v>
      </c>
      <c r="F87" s="3253">
        <v>0.1</v>
      </c>
      <c r="G87" s="3254">
        <v>0.1</v>
      </c>
    </row>
    <row r="88" spans="1:7">
      <c r="A88" s="3267" t="s">
        <v>303</v>
      </c>
      <c r="B88" s="3256" t="s">
        <v>131</v>
      </c>
      <c r="C88" s="3257">
        <v>9.0999999999999998E-2</v>
      </c>
      <c r="D88" s="3257">
        <v>9.1999999999999998E-2</v>
      </c>
      <c r="E88" s="3257">
        <v>0.1</v>
      </c>
      <c r="F88" s="3257">
        <v>0.1</v>
      </c>
      <c r="G88" s="3258">
        <v>9.6000000000000002E-2</v>
      </c>
    </row>
    <row r="89" spans="1:7">
      <c r="A89" s="3267" t="s">
        <v>303</v>
      </c>
      <c r="B89" s="3256" t="s">
        <v>140</v>
      </c>
      <c r="C89" s="3257">
        <v>0.1</v>
      </c>
      <c r="D89" s="3257">
        <v>0.1</v>
      </c>
      <c r="E89" s="3257">
        <v>6.7000000000000004E-2</v>
      </c>
      <c r="F89" s="3257">
        <v>9.2999999999999999E-2</v>
      </c>
      <c r="G89" s="3258">
        <v>0.1</v>
      </c>
    </row>
    <row r="90" spans="1:7">
      <c r="A90" s="3267" t="s">
        <v>303</v>
      </c>
      <c r="B90" s="3256" t="s">
        <v>149</v>
      </c>
      <c r="C90" s="3257">
        <v>9.6000000000000002E-2</v>
      </c>
      <c r="D90" s="3257">
        <v>9.6000000000000002E-2</v>
      </c>
      <c r="E90" s="3257">
        <v>0.1</v>
      </c>
      <c r="F90" s="3257">
        <v>0.1</v>
      </c>
      <c r="G90" s="3258">
        <v>9.8000000000000004E-2</v>
      </c>
    </row>
    <row r="91" spans="1:7">
      <c r="A91" s="3267" t="s">
        <v>303</v>
      </c>
      <c r="B91" s="3256" t="s">
        <v>158</v>
      </c>
      <c r="C91" s="3257">
        <v>7.6999999999999999E-2</v>
      </c>
      <c r="D91" s="3257">
        <v>7.6999999999999999E-2</v>
      </c>
      <c r="E91" s="3257">
        <v>9.6000000000000002E-2</v>
      </c>
      <c r="F91" s="3257">
        <v>0.1</v>
      </c>
      <c r="G91" s="3258">
        <v>7.6999999999999999E-2</v>
      </c>
    </row>
    <row r="92" spans="1:7">
      <c r="A92" s="3267" t="s">
        <v>303</v>
      </c>
      <c r="B92" s="3256" t="s">
        <v>165</v>
      </c>
      <c r="C92" s="3257">
        <v>0.1</v>
      </c>
      <c r="D92" s="3257">
        <v>0.1</v>
      </c>
      <c r="E92" s="3257">
        <v>9.1999999999999998E-2</v>
      </c>
      <c r="F92" s="3257">
        <v>0.1</v>
      </c>
      <c r="G92" s="3258">
        <v>0.1</v>
      </c>
    </row>
    <row r="93" spans="1:7">
      <c r="A93" s="3267" t="s">
        <v>303</v>
      </c>
      <c r="B93" s="3256" t="s">
        <v>171</v>
      </c>
      <c r="C93" s="3257">
        <v>9.8000000000000004E-2</v>
      </c>
      <c r="D93" s="3257">
        <v>9.8000000000000004E-2</v>
      </c>
      <c r="E93" s="3257">
        <v>9.6000000000000002E-2</v>
      </c>
      <c r="F93" s="3257">
        <v>0.1</v>
      </c>
      <c r="G93" s="3258">
        <v>9.9000000000000005E-2</v>
      </c>
    </row>
    <row r="94" spans="1:7">
      <c r="A94" s="3267" t="s">
        <v>303</v>
      </c>
      <c r="B94" s="3256" t="s">
        <v>178</v>
      </c>
      <c r="C94" s="3257">
        <v>8.7999999999999995E-2</v>
      </c>
      <c r="D94" s="3257">
        <v>8.7999999999999995E-2</v>
      </c>
      <c r="E94" s="3257">
        <v>9.6000000000000002E-2</v>
      </c>
      <c r="F94" s="3257">
        <v>0.1</v>
      </c>
      <c r="G94" s="3258">
        <v>8.7999999999999995E-2</v>
      </c>
    </row>
    <row r="95" spans="1:7">
      <c r="A95" s="3267" t="s">
        <v>303</v>
      </c>
      <c r="B95" s="3256" t="s">
        <v>188</v>
      </c>
      <c r="C95" s="3257">
        <v>9.6000000000000002E-2</v>
      </c>
      <c r="D95" s="3257">
        <v>9.6000000000000002E-2</v>
      </c>
      <c r="E95" s="3257">
        <v>0.1</v>
      </c>
      <c r="F95" s="3257">
        <v>0.1</v>
      </c>
      <c r="G95" s="3258">
        <v>9.8000000000000004E-2</v>
      </c>
    </row>
    <row r="96" spans="1:7">
      <c r="A96" s="3267" t="s">
        <v>303</v>
      </c>
      <c r="B96" s="3256" t="s">
        <v>197</v>
      </c>
      <c r="C96" s="3257">
        <v>9.7000000000000003E-2</v>
      </c>
      <c r="D96" s="3257">
        <v>9.7000000000000003E-2</v>
      </c>
      <c r="E96" s="3257">
        <v>0.1</v>
      </c>
      <c r="F96" s="3257">
        <v>0.1</v>
      </c>
      <c r="G96" s="3258">
        <v>9.8000000000000004E-2</v>
      </c>
    </row>
    <row r="97" spans="1:7">
      <c r="A97" s="3267" t="s">
        <v>303</v>
      </c>
      <c r="B97" s="3256" t="s">
        <v>204</v>
      </c>
      <c r="C97" s="3257">
        <v>9.6000000000000002E-2</v>
      </c>
      <c r="D97" s="3257">
        <v>9.6000000000000002E-2</v>
      </c>
      <c r="E97" s="3257">
        <v>9.9000000000000005E-2</v>
      </c>
      <c r="F97" s="3257">
        <v>0.1</v>
      </c>
      <c r="G97" s="3258">
        <v>9.8000000000000004E-2</v>
      </c>
    </row>
    <row r="98" spans="1:7">
      <c r="A98" s="3267" t="s">
        <v>303</v>
      </c>
      <c r="B98" s="3256" t="s">
        <v>211</v>
      </c>
      <c r="C98" s="3257">
        <v>9.8000000000000004E-2</v>
      </c>
      <c r="D98" s="3257">
        <v>9.8000000000000004E-2</v>
      </c>
      <c r="E98" s="3257">
        <v>0.1</v>
      </c>
      <c r="F98" s="3257">
        <v>0.1</v>
      </c>
      <c r="G98" s="3258">
        <v>9.9000000000000005E-2</v>
      </c>
    </row>
    <row r="99" spans="1:7">
      <c r="A99" s="3267" t="s">
        <v>303</v>
      </c>
      <c r="B99" s="3256" t="s">
        <v>217</v>
      </c>
      <c r="C99" s="3257">
        <v>9.6000000000000002E-2</v>
      </c>
      <c r="D99" s="3257">
        <v>9.6000000000000002E-2</v>
      </c>
      <c r="E99" s="3257">
        <v>0.1</v>
      </c>
      <c r="F99" s="3257">
        <v>0.1</v>
      </c>
      <c r="G99" s="3258">
        <v>9.7000000000000003E-2</v>
      </c>
    </row>
    <row r="100" spans="1:7">
      <c r="A100" s="3267" t="s">
        <v>303</v>
      </c>
      <c r="B100" s="3256" t="s">
        <v>225</v>
      </c>
      <c r="C100" s="3257">
        <v>0.1</v>
      </c>
      <c r="D100" s="3257">
        <v>0.1</v>
      </c>
      <c r="E100" s="3257">
        <v>9.7000000000000003E-2</v>
      </c>
      <c r="F100" s="3257">
        <v>9.8000000000000004E-2</v>
      </c>
      <c r="G100" s="3258">
        <v>0.1</v>
      </c>
    </row>
    <row r="101" spans="1:7">
      <c r="A101" s="3267" t="s">
        <v>303</v>
      </c>
      <c r="B101" s="3256" t="s">
        <v>233</v>
      </c>
      <c r="C101" s="3257">
        <v>0.1</v>
      </c>
      <c r="D101" s="3257">
        <v>0.1</v>
      </c>
      <c r="E101" s="3257">
        <v>9.5000000000000001E-2</v>
      </c>
      <c r="F101" s="3257">
        <v>0.1</v>
      </c>
      <c r="G101" s="3258">
        <v>0.1</v>
      </c>
    </row>
    <row r="102" spans="1:7">
      <c r="A102" s="3267" t="s">
        <v>303</v>
      </c>
      <c r="B102" s="3256" t="s">
        <v>238</v>
      </c>
      <c r="C102" s="3257">
        <v>0.1</v>
      </c>
      <c r="D102" s="3257">
        <v>0.1</v>
      </c>
      <c r="E102" s="3257">
        <v>9.9000000000000005E-2</v>
      </c>
      <c r="F102" s="3257">
        <v>9.7000000000000003E-2</v>
      </c>
      <c r="G102" s="3258">
        <v>0.1</v>
      </c>
    </row>
    <row r="103" spans="1:7">
      <c r="A103" s="3267" t="s">
        <v>303</v>
      </c>
      <c r="B103" s="3256" t="s">
        <v>247</v>
      </c>
      <c r="C103" s="3257">
        <v>0.1</v>
      </c>
      <c r="D103" s="3257">
        <v>0.1</v>
      </c>
      <c r="E103" s="3257">
        <v>9.8000000000000004E-2</v>
      </c>
      <c r="F103" s="3257">
        <v>0.1</v>
      </c>
      <c r="G103" s="3258">
        <v>0.1</v>
      </c>
    </row>
    <row r="104" spans="1:7">
      <c r="A104" s="3267" t="s">
        <v>303</v>
      </c>
      <c r="B104" s="3256" t="s">
        <v>254</v>
      </c>
      <c r="C104" s="3257">
        <v>0.1</v>
      </c>
      <c r="D104" s="3257">
        <v>0.1</v>
      </c>
      <c r="E104" s="3257">
        <v>9.8000000000000004E-2</v>
      </c>
      <c r="F104" s="3257">
        <v>0.1</v>
      </c>
      <c r="G104" s="3258">
        <v>0.1</v>
      </c>
    </row>
    <row r="105" spans="1:7">
      <c r="A105" s="3267" t="s">
        <v>303</v>
      </c>
      <c r="B105" s="3256" t="s">
        <v>262</v>
      </c>
      <c r="C105" s="3257">
        <v>9.8000000000000004E-2</v>
      </c>
      <c r="D105" s="3257">
        <v>9.8000000000000004E-2</v>
      </c>
      <c r="E105" s="3257">
        <v>9.8000000000000004E-2</v>
      </c>
      <c r="F105" s="3257">
        <v>0.1</v>
      </c>
      <c r="G105" s="3258">
        <v>9.9000000000000005E-2</v>
      </c>
    </row>
    <row r="106" spans="1:7">
      <c r="A106" s="3267" t="s">
        <v>303</v>
      </c>
      <c r="B106" s="3256" t="s">
        <v>269</v>
      </c>
      <c r="C106" s="3257">
        <v>9.7000000000000003E-2</v>
      </c>
      <c r="D106" s="3257">
        <v>9.7000000000000003E-2</v>
      </c>
      <c r="E106" s="3257">
        <v>9.7000000000000003E-2</v>
      </c>
      <c r="F106" s="3257">
        <v>0.1</v>
      </c>
      <c r="G106" s="3258">
        <v>9.9000000000000005E-2</v>
      </c>
    </row>
    <row r="107" spans="1:7">
      <c r="A107" s="3267" t="s">
        <v>303</v>
      </c>
      <c r="B107" s="3256" t="s">
        <v>273</v>
      </c>
      <c r="C107" s="3257">
        <v>0.1</v>
      </c>
      <c r="D107" s="3257">
        <v>0.1</v>
      </c>
      <c r="E107" s="3257">
        <v>8.5999999999999993E-2</v>
      </c>
      <c r="F107" s="3257">
        <v>0.09</v>
      </c>
      <c r="G107" s="3258">
        <v>0.1</v>
      </c>
    </row>
    <row r="108" spans="1:7">
      <c r="A108" s="3267" t="s">
        <v>303</v>
      </c>
      <c r="B108" s="3256" t="s">
        <v>279</v>
      </c>
      <c r="C108" s="3257">
        <v>0.1</v>
      </c>
      <c r="D108" s="3257">
        <v>0.1</v>
      </c>
      <c r="E108" s="3257">
        <v>9.6000000000000002E-2</v>
      </c>
      <c r="F108" s="3268"/>
      <c r="G108" s="3258">
        <v>0.1</v>
      </c>
    </row>
    <row r="109" spans="1:7">
      <c r="A109" s="3267" t="s">
        <v>303</v>
      </c>
      <c r="B109" s="3256" t="s">
        <v>282</v>
      </c>
      <c r="C109" s="3257">
        <v>0.1</v>
      </c>
      <c r="D109" s="3257">
        <v>0.1</v>
      </c>
      <c r="E109" s="3257">
        <v>0.1</v>
      </c>
      <c r="F109" s="3268"/>
      <c r="G109" s="3258">
        <v>0.1</v>
      </c>
    </row>
    <row r="110" spans="1:7">
      <c r="A110" s="3267" t="s">
        <v>303</v>
      </c>
      <c r="B110" s="3256" t="s">
        <v>284</v>
      </c>
      <c r="C110" s="3257">
        <v>0.1</v>
      </c>
      <c r="D110" s="3257">
        <v>0.1</v>
      </c>
      <c r="E110" s="3257">
        <v>0.1</v>
      </c>
      <c r="F110" s="3268"/>
      <c r="G110" s="3258">
        <v>0.1</v>
      </c>
    </row>
    <row r="111" spans="1:7">
      <c r="A111" s="3267" t="s">
        <v>303</v>
      </c>
      <c r="B111" s="3256" t="s">
        <v>287</v>
      </c>
      <c r="C111" s="3257">
        <v>0.1</v>
      </c>
      <c r="D111" s="3257">
        <v>0.1</v>
      </c>
      <c r="E111" s="3257">
        <v>9.5000000000000001E-2</v>
      </c>
      <c r="F111" s="3268"/>
      <c r="G111" s="3258">
        <v>0.1</v>
      </c>
    </row>
    <row r="112" spans="1:7">
      <c r="A112" s="3267" t="s">
        <v>303</v>
      </c>
      <c r="B112" s="3256" t="s">
        <v>291</v>
      </c>
      <c r="C112" s="3257">
        <v>9.7000000000000003E-2</v>
      </c>
      <c r="D112" s="3257">
        <v>9.7000000000000003E-2</v>
      </c>
      <c r="E112" s="3257">
        <v>0.05</v>
      </c>
      <c r="F112" s="3268"/>
      <c r="G112" s="3258">
        <v>9.8000000000000004E-2</v>
      </c>
    </row>
    <row r="113" spans="1:7">
      <c r="A113" s="3267" t="s">
        <v>303</v>
      </c>
      <c r="B113" s="3256" t="s">
        <v>2955</v>
      </c>
      <c r="C113" s="3257">
        <v>0.1</v>
      </c>
      <c r="D113" s="3257">
        <v>0.1</v>
      </c>
      <c r="E113" s="3268"/>
      <c r="F113" s="3268"/>
      <c r="G113" s="3258">
        <v>0.1</v>
      </c>
    </row>
    <row r="114" spans="1:7">
      <c r="A114" s="3267" t="s">
        <v>303</v>
      </c>
      <c r="B114" s="3256" t="s">
        <v>2962</v>
      </c>
      <c r="C114" s="3257">
        <v>9.7000000000000003E-2</v>
      </c>
      <c r="D114" s="3257">
        <v>9.7000000000000003E-2</v>
      </c>
      <c r="E114" s="3268"/>
      <c r="F114" s="3268"/>
      <c r="G114" s="3258">
        <v>9.9000000000000005E-2</v>
      </c>
    </row>
    <row r="115" spans="1:7">
      <c r="A115" s="3267" t="s">
        <v>303</v>
      </c>
      <c r="B115" s="3256" t="s">
        <v>2968</v>
      </c>
      <c r="C115" s="3257">
        <v>0.1</v>
      </c>
      <c r="D115" s="3257">
        <v>0.1</v>
      </c>
      <c r="E115" s="3268"/>
      <c r="F115" s="3268"/>
      <c r="G115" s="3258">
        <v>0.1</v>
      </c>
    </row>
    <row r="116" spans="1:7">
      <c r="A116" s="3267" t="s">
        <v>303</v>
      </c>
      <c r="B116" s="3256" t="s">
        <v>2975</v>
      </c>
      <c r="C116" s="3257">
        <v>0.1</v>
      </c>
      <c r="D116" s="3257">
        <v>0.1</v>
      </c>
      <c r="E116" s="3268"/>
      <c r="F116" s="3268"/>
      <c r="G116" s="3258">
        <v>0.1</v>
      </c>
    </row>
    <row r="117" spans="1:7">
      <c r="A117" s="3267" t="s">
        <v>303</v>
      </c>
      <c r="B117" s="3256" t="s">
        <v>2982</v>
      </c>
      <c r="C117" s="3257">
        <v>9.7000000000000003E-2</v>
      </c>
      <c r="D117" s="3257">
        <v>9.7000000000000003E-2</v>
      </c>
      <c r="E117" s="3268"/>
      <c r="F117" s="3268"/>
      <c r="G117" s="3258">
        <v>9.7000000000000003E-2</v>
      </c>
    </row>
    <row r="118" spans="1:7">
      <c r="A118" s="3267" t="s">
        <v>303</v>
      </c>
      <c r="B118" s="3256" t="s">
        <v>2987</v>
      </c>
      <c r="C118" s="3257">
        <v>0.1</v>
      </c>
      <c r="D118" s="3257">
        <v>0.1</v>
      </c>
      <c r="E118" s="3268"/>
      <c r="F118" s="3268"/>
      <c r="G118" s="3258">
        <v>0.1</v>
      </c>
    </row>
    <row r="119" spans="1:7">
      <c r="A119" s="3267" t="s">
        <v>303</v>
      </c>
      <c r="B119" s="3256" t="s">
        <v>2991</v>
      </c>
      <c r="C119" s="3257">
        <v>5.0999999999999997E-2</v>
      </c>
      <c r="D119" s="3257">
        <v>5.1999999999999998E-2</v>
      </c>
      <c r="E119" s="3268"/>
      <c r="F119" s="3273"/>
      <c r="G119" s="3258">
        <v>0.06</v>
      </c>
    </row>
    <row r="120" spans="1:7">
      <c r="A120" s="3267" t="s">
        <v>303</v>
      </c>
      <c r="B120" s="3256" t="s">
        <v>2995</v>
      </c>
      <c r="C120" s="3268"/>
      <c r="D120" s="3268"/>
      <c r="E120" s="3268"/>
      <c r="F120" s="3257">
        <v>0.1</v>
      </c>
      <c r="G120" s="3274"/>
    </row>
    <row r="121" spans="1:7">
      <c r="A121" s="3267" t="s">
        <v>303</v>
      </c>
      <c r="B121" s="3256" t="s">
        <v>3000</v>
      </c>
      <c r="C121" s="3268"/>
      <c r="D121" s="3268"/>
      <c r="E121" s="3268"/>
      <c r="F121" s="3257">
        <v>0.1</v>
      </c>
      <c r="G121" s="3274"/>
    </row>
    <row r="122" spans="1:7">
      <c r="A122" s="3267" t="s">
        <v>303</v>
      </c>
      <c r="B122" s="3256" t="s">
        <v>3005</v>
      </c>
      <c r="C122" s="3257">
        <v>0.1</v>
      </c>
      <c r="D122" s="3257">
        <v>0.1</v>
      </c>
      <c r="E122" s="3257">
        <v>9.8000000000000004E-2</v>
      </c>
      <c r="F122" s="3257">
        <v>0.1</v>
      </c>
      <c r="G122" s="3258">
        <v>0.1</v>
      </c>
    </row>
    <row r="123" spans="1:7">
      <c r="A123" s="3267" t="s">
        <v>303</v>
      </c>
      <c r="B123" s="3256" t="s">
        <v>3010</v>
      </c>
      <c r="C123" s="3257">
        <v>0.1</v>
      </c>
      <c r="D123" s="3257">
        <v>0.1</v>
      </c>
      <c r="E123" s="3257">
        <v>9.8000000000000004E-2</v>
      </c>
      <c r="F123" s="3257">
        <v>0.1</v>
      </c>
      <c r="G123" s="3258">
        <v>0.1</v>
      </c>
    </row>
    <row r="124" spans="1:7">
      <c r="A124" s="3267" t="s">
        <v>303</v>
      </c>
      <c r="B124" s="3256" t="s">
        <v>3015</v>
      </c>
      <c r="C124" s="3257">
        <v>0.1</v>
      </c>
      <c r="D124" s="3257">
        <v>0.1</v>
      </c>
      <c r="E124" s="3257">
        <v>9.8000000000000004E-2</v>
      </c>
      <c r="F124" s="3273"/>
      <c r="G124" s="3258">
        <v>0.1</v>
      </c>
    </row>
    <row r="125" spans="1:7">
      <c r="A125" s="3267" t="s">
        <v>303</v>
      </c>
      <c r="B125" s="3256" t="s">
        <v>3020</v>
      </c>
      <c r="C125" s="3257">
        <v>9.8000000000000004E-2</v>
      </c>
      <c r="D125" s="3257">
        <v>9.8000000000000004E-2</v>
      </c>
      <c r="E125" s="3257">
        <v>9.6000000000000002E-2</v>
      </c>
      <c r="F125" s="3273"/>
      <c r="G125" s="3258">
        <v>0.1</v>
      </c>
    </row>
    <row r="126" spans="1:7" ht="15" thickBot="1">
      <c r="A126" s="3270" t="s">
        <v>303</v>
      </c>
      <c r="B126" s="3260" t="s">
        <v>3186</v>
      </c>
      <c r="C126" s="3261">
        <v>0.1</v>
      </c>
      <c r="D126" s="3261">
        <v>0.1</v>
      </c>
      <c r="E126" s="3261">
        <v>9.8000000000000004E-2</v>
      </c>
      <c r="F126" s="3261">
        <v>0.1</v>
      </c>
      <c r="G126" s="3263">
        <v>0.1</v>
      </c>
    </row>
    <row r="127" spans="1:7">
      <c r="A127" s="3266" t="s">
        <v>29</v>
      </c>
      <c r="B127" s="3252" t="s">
        <v>2863</v>
      </c>
      <c r="C127" s="3253">
        <v>0.121</v>
      </c>
      <c r="D127" s="3253">
        <v>0.121</v>
      </c>
      <c r="E127" s="3253">
        <v>0.107</v>
      </c>
      <c r="F127" s="3253">
        <v>0.13</v>
      </c>
      <c r="G127" s="3254">
        <v>0.122</v>
      </c>
    </row>
    <row r="128" spans="1:7">
      <c r="A128" s="3267" t="s">
        <v>29</v>
      </c>
      <c r="B128" s="3256" t="s">
        <v>132</v>
      </c>
      <c r="C128" s="3257">
        <v>0.11600000000000001</v>
      </c>
      <c r="D128" s="3257">
        <v>0.11700000000000001</v>
      </c>
      <c r="E128" s="3257">
        <v>0.104</v>
      </c>
      <c r="F128" s="3257">
        <v>0.13</v>
      </c>
      <c r="G128" s="3258">
        <v>0.11700000000000001</v>
      </c>
    </row>
    <row r="129" spans="1:7">
      <c r="A129" s="3267" t="s">
        <v>29</v>
      </c>
      <c r="B129" s="3256" t="s">
        <v>141</v>
      </c>
      <c r="C129" s="3257">
        <v>0.107</v>
      </c>
      <c r="D129" s="3257">
        <v>0.108</v>
      </c>
      <c r="E129" s="3257">
        <v>0.1</v>
      </c>
      <c r="F129" s="3257">
        <v>0.13</v>
      </c>
      <c r="G129" s="3258">
        <v>0.11700000000000001</v>
      </c>
    </row>
    <row r="130" spans="1:7">
      <c r="A130" s="3267" t="s">
        <v>29</v>
      </c>
      <c r="B130" s="3256" t="s">
        <v>150</v>
      </c>
      <c r="C130" s="3257">
        <v>0.13</v>
      </c>
      <c r="D130" s="3257">
        <v>0.13</v>
      </c>
      <c r="E130" s="3257">
        <v>0.126</v>
      </c>
      <c r="F130" s="3257">
        <v>0.13</v>
      </c>
      <c r="G130" s="3258">
        <v>0.13</v>
      </c>
    </row>
    <row r="131" spans="1:7">
      <c r="A131" s="3267" t="s">
        <v>29</v>
      </c>
      <c r="B131" s="3256" t="s">
        <v>159</v>
      </c>
      <c r="C131" s="3257">
        <v>0.13</v>
      </c>
      <c r="D131" s="3257">
        <v>0.13</v>
      </c>
      <c r="E131" s="3257">
        <v>0.13</v>
      </c>
      <c r="F131" s="3257">
        <v>0.13</v>
      </c>
      <c r="G131" s="3258">
        <v>0.13</v>
      </c>
    </row>
    <row r="132" spans="1:7">
      <c r="A132" s="3267" t="s">
        <v>29</v>
      </c>
      <c r="B132" s="3256" t="s">
        <v>166</v>
      </c>
      <c r="C132" s="3257">
        <v>0.13</v>
      </c>
      <c r="D132" s="3257">
        <v>0.13</v>
      </c>
      <c r="E132" s="3257">
        <v>0.126</v>
      </c>
      <c r="F132" s="3257">
        <v>0.13</v>
      </c>
      <c r="G132" s="3258">
        <v>0.13</v>
      </c>
    </row>
    <row r="133" spans="1:7">
      <c r="A133" s="3267" t="s">
        <v>29</v>
      </c>
      <c r="B133" s="3256" t="s">
        <v>172</v>
      </c>
      <c r="C133" s="3257">
        <v>0.111</v>
      </c>
      <c r="D133" s="3257">
        <v>0.111</v>
      </c>
      <c r="E133" s="3257">
        <v>0.10199999999999999</v>
      </c>
      <c r="F133" s="3257">
        <v>0.13</v>
      </c>
      <c r="G133" s="3258">
        <v>0.121</v>
      </c>
    </row>
    <row r="134" spans="1:7">
      <c r="A134" s="3267" t="s">
        <v>29</v>
      </c>
      <c r="B134" s="3256" t="s">
        <v>179</v>
      </c>
      <c r="C134" s="3257">
        <v>0.121</v>
      </c>
      <c r="D134" s="3257">
        <v>0.121</v>
      </c>
      <c r="E134" s="3257">
        <v>0.1</v>
      </c>
      <c r="F134" s="3257">
        <v>0.13</v>
      </c>
      <c r="G134" s="3258">
        <v>0.123</v>
      </c>
    </row>
    <row r="135" spans="1:7">
      <c r="A135" s="3267" t="s">
        <v>29</v>
      </c>
      <c r="B135" s="3256" t="s">
        <v>189</v>
      </c>
      <c r="C135" s="3257">
        <v>0.105</v>
      </c>
      <c r="D135" s="3257">
        <v>0.106</v>
      </c>
      <c r="E135" s="3257">
        <v>0.1</v>
      </c>
      <c r="F135" s="3257">
        <v>0.13</v>
      </c>
      <c r="G135" s="3258">
        <v>0.115</v>
      </c>
    </row>
    <row r="136" spans="1:7">
      <c r="A136" s="3267" t="s">
        <v>29</v>
      </c>
      <c r="B136" s="3256" t="s">
        <v>198</v>
      </c>
      <c r="C136" s="3257">
        <v>0.127</v>
      </c>
      <c r="D136" s="3257">
        <v>0.127</v>
      </c>
      <c r="E136" s="3257">
        <v>0.121</v>
      </c>
      <c r="F136" s="3257">
        <v>0.123</v>
      </c>
      <c r="G136" s="3258">
        <v>0.129</v>
      </c>
    </row>
    <row r="137" spans="1:7">
      <c r="A137" s="3267" t="s">
        <v>29</v>
      </c>
      <c r="B137" s="3256" t="s">
        <v>205</v>
      </c>
      <c r="C137" s="3257">
        <v>0.13</v>
      </c>
      <c r="D137" s="3257">
        <v>0.13</v>
      </c>
      <c r="E137" s="3257">
        <v>0.129</v>
      </c>
      <c r="F137" s="3257">
        <v>0.13</v>
      </c>
      <c r="G137" s="3258">
        <v>0.13</v>
      </c>
    </row>
    <row r="138" spans="1:7">
      <c r="A138" s="3267" t="s">
        <v>29</v>
      </c>
      <c r="B138" s="3256" t="s">
        <v>212</v>
      </c>
      <c r="C138" s="3257">
        <v>0.13</v>
      </c>
      <c r="D138" s="3257">
        <v>0.13</v>
      </c>
      <c r="E138" s="3257">
        <v>0.125</v>
      </c>
      <c r="F138" s="3257">
        <v>0.13</v>
      </c>
      <c r="G138" s="3258">
        <v>0.13</v>
      </c>
    </row>
    <row r="139" spans="1:7">
      <c r="A139" s="3267" t="s">
        <v>29</v>
      </c>
      <c r="B139" s="3256" t="s">
        <v>218</v>
      </c>
      <c r="C139" s="3257">
        <v>0.13</v>
      </c>
      <c r="D139" s="3257">
        <v>0.13</v>
      </c>
      <c r="E139" s="3257">
        <v>0.126</v>
      </c>
      <c r="F139" s="3257">
        <v>0.13</v>
      </c>
      <c r="G139" s="3258">
        <v>0.13</v>
      </c>
    </row>
    <row r="140" spans="1:7">
      <c r="A140" s="3267" t="s">
        <v>29</v>
      </c>
      <c r="B140" s="3256" t="s">
        <v>226</v>
      </c>
      <c r="C140" s="3257">
        <v>0.1</v>
      </c>
      <c r="D140" s="3257">
        <v>0.1</v>
      </c>
      <c r="E140" s="3257">
        <v>0.1</v>
      </c>
      <c r="F140" s="3257">
        <v>0.123</v>
      </c>
      <c r="G140" s="3258">
        <v>0.107</v>
      </c>
    </row>
    <row r="141" spans="1:7">
      <c r="A141" s="3267" t="s">
        <v>29</v>
      </c>
      <c r="B141" s="3256" t="s">
        <v>234</v>
      </c>
      <c r="C141" s="3257">
        <v>0.127</v>
      </c>
      <c r="D141" s="3257">
        <v>0.127</v>
      </c>
      <c r="E141" s="3257">
        <v>0.122</v>
      </c>
      <c r="F141" s="3257">
        <v>0.1</v>
      </c>
      <c r="G141" s="3258">
        <v>0.129</v>
      </c>
    </row>
    <row r="142" spans="1:7">
      <c r="A142" s="3267" t="s">
        <v>29</v>
      </c>
      <c r="B142" s="3256" t="s">
        <v>239</v>
      </c>
      <c r="C142" s="3257">
        <v>0.121</v>
      </c>
      <c r="D142" s="3257">
        <v>0.122</v>
      </c>
      <c r="E142" s="3257">
        <v>0.1</v>
      </c>
      <c r="F142" s="3257">
        <v>0.123</v>
      </c>
      <c r="G142" s="3258">
        <v>0.123</v>
      </c>
    </row>
    <row r="143" spans="1:7">
      <c r="A143" s="3267" t="s">
        <v>29</v>
      </c>
      <c r="B143" s="3256" t="s">
        <v>248</v>
      </c>
      <c r="C143" s="3257">
        <v>0.1</v>
      </c>
      <c r="D143" s="3257">
        <v>0.1</v>
      </c>
      <c r="E143" s="3257">
        <v>0.1</v>
      </c>
      <c r="F143" s="3257">
        <v>0.13</v>
      </c>
      <c r="G143" s="3258">
        <v>0.1</v>
      </c>
    </row>
    <row r="144" spans="1:7">
      <c r="A144" s="3267" t="s">
        <v>29</v>
      </c>
      <c r="B144" s="3256" t="s">
        <v>255</v>
      </c>
      <c r="C144" s="3257">
        <v>0.106</v>
      </c>
      <c r="D144" s="3257">
        <v>0.105</v>
      </c>
      <c r="E144" s="3257">
        <v>0.1</v>
      </c>
      <c r="F144" s="3257">
        <v>0.13</v>
      </c>
      <c r="G144" s="3258">
        <v>0.11799999999999999</v>
      </c>
    </row>
    <row r="145" spans="1:7">
      <c r="A145" s="3267" t="s">
        <v>29</v>
      </c>
      <c r="B145" s="3256" t="s">
        <v>263</v>
      </c>
      <c r="C145" s="3257">
        <v>0.123</v>
      </c>
      <c r="D145" s="3257">
        <v>0.123</v>
      </c>
      <c r="E145" s="3257">
        <v>0.11700000000000001</v>
      </c>
      <c r="F145" s="3257">
        <v>0.13</v>
      </c>
      <c r="G145" s="3258">
        <v>0.126</v>
      </c>
    </row>
    <row r="146" spans="1:7">
      <c r="A146" s="3267" t="s">
        <v>29</v>
      </c>
      <c r="B146" s="3256" t="s">
        <v>270</v>
      </c>
      <c r="C146" s="3257">
        <v>0.127</v>
      </c>
      <c r="D146" s="3257">
        <v>0.127</v>
      </c>
      <c r="E146" s="3257">
        <v>0.12</v>
      </c>
      <c r="F146" s="3268"/>
      <c r="G146" s="3258">
        <v>0.129</v>
      </c>
    </row>
    <row r="147" spans="1:7">
      <c r="A147" s="3267" t="s">
        <v>29</v>
      </c>
      <c r="B147" s="3256" t="s">
        <v>274</v>
      </c>
      <c r="C147" s="3257">
        <v>0.13</v>
      </c>
      <c r="D147" s="3257">
        <v>0.13</v>
      </c>
      <c r="E147" s="3257">
        <v>0.126</v>
      </c>
      <c r="F147" s="3268"/>
      <c r="G147" s="3258">
        <v>0.13</v>
      </c>
    </row>
    <row r="148" spans="1:7">
      <c r="A148" s="3267" t="s">
        <v>29</v>
      </c>
      <c r="B148" s="3256" t="s">
        <v>2933</v>
      </c>
      <c r="C148" s="3257">
        <v>0.13</v>
      </c>
      <c r="D148" s="3257">
        <v>0.13</v>
      </c>
      <c r="E148" s="3257">
        <v>0.13</v>
      </c>
      <c r="F148" s="3268"/>
      <c r="G148" s="3258">
        <v>0.13</v>
      </c>
    </row>
    <row r="149" spans="1:7">
      <c r="A149" s="3267" t="s">
        <v>29</v>
      </c>
      <c r="B149" s="3256" t="s">
        <v>2937</v>
      </c>
      <c r="C149" s="3257">
        <v>0.13</v>
      </c>
      <c r="D149" s="3257">
        <v>0.13</v>
      </c>
      <c r="E149" s="3257">
        <v>0.13</v>
      </c>
      <c r="F149" s="3257">
        <v>0.13</v>
      </c>
      <c r="G149" s="3258">
        <v>0.13</v>
      </c>
    </row>
    <row r="150" spans="1:7">
      <c r="A150" s="3267" t="s">
        <v>29</v>
      </c>
      <c r="B150" s="3256" t="s">
        <v>292</v>
      </c>
      <c r="C150" s="3257">
        <v>0.13</v>
      </c>
      <c r="D150" s="3257">
        <v>0.13</v>
      </c>
      <c r="E150" s="3257">
        <v>0.127</v>
      </c>
      <c r="F150" s="3257">
        <v>0.13</v>
      </c>
      <c r="G150" s="3258">
        <v>0.13</v>
      </c>
    </row>
    <row r="151" spans="1:7">
      <c r="A151" s="3267" t="s">
        <v>29</v>
      </c>
      <c r="B151" s="3256" t="s">
        <v>294</v>
      </c>
      <c r="C151" s="3257">
        <v>0.13</v>
      </c>
      <c r="D151" s="3257">
        <v>0.13</v>
      </c>
      <c r="E151" s="3257">
        <v>0.13</v>
      </c>
      <c r="F151" s="3257">
        <v>0.13</v>
      </c>
      <c r="G151" s="3258">
        <v>0.13</v>
      </c>
    </row>
    <row r="152" spans="1:7">
      <c r="A152" s="3267" t="s">
        <v>29</v>
      </c>
      <c r="B152" s="3256" t="s">
        <v>297</v>
      </c>
      <c r="C152" s="3257">
        <v>0.13</v>
      </c>
      <c r="D152" s="3257">
        <v>0.13</v>
      </c>
      <c r="E152" s="3257">
        <v>0.13</v>
      </c>
      <c r="F152" s="3257">
        <v>0.13</v>
      </c>
      <c r="G152" s="3258">
        <v>0.13</v>
      </c>
    </row>
    <row r="153" spans="1:7">
      <c r="A153" s="3267" t="s">
        <v>29</v>
      </c>
      <c r="B153" s="3256" t="s">
        <v>2956</v>
      </c>
      <c r="C153" s="3257">
        <v>0.13</v>
      </c>
      <c r="D153" s="3257">
        <v>0.13</v>
      </c>
      <c r="E153" s="3257">
        <v>0.13</v>
      </c>
      <c r="F153" s="3257">
        <v>0.13</v>
      </c>
      <c r="G153" s="3258">
        <v>0.13</v>
      </c>
    </row>
    <row r="154" spans="1:7">
      <c r="A154" s="3267" t="s">
        <v>29</v>
      </c>
      <c r="B154" s="3256" t="s">
        <v>2963</v>
      </c>
      <c r="C154" s="3257">
        <v>0.121</v>
      </c>
      <c r="D154" s="3257">
        <v>0.121</v>
      </c>
      <c r="E154" s="3257">
        <v>0.105</v>
      </c>
      <c r="F154" s="3257">
        <v>0.121</v>
      </c>
      <c r="G154" s="3258">
        <v>0.123</v>
      </c>
    </row>
    <row r="155" spans="1:7">
      <c r="A155" s="3267" t="s">
        <v>29</v>
      </c>
      <c r="B155" s="3256" t="s">
        <v>2969</v>
      </c>
      <c r="C155" s="3257">
        <v>0.1</v>
      </c>
      <c r="D155" s="3257">
        <v>0.1</v>
      </c>
      <c r="E155" s="3257">
        <v>0.1</v>
      </c>
      <c r="F155" s="3257">
        <v>0.1</v>
      </c>
      <c r="G155" s="3258">
        <v>0.1</v>
      </c>
    </row>
    <row r="156" spans="1:7">
      <c r="A156" s="3267" t="s">
        <v>29</v>
      </c>
      <c r="B156" s="3256" t="s">
        <v>2976</v>
      </c>
      <c r="C156" s="3257">
        <v>0.13</v>
      </c>
      <c r="D156" s="3257">
        <v>0.13</v>
      </c>
      <c r="E156" s="3257">
        <v>0.13</v>
      </c>
      <c r="F156" s="3257">
        <v>0.13</v>
      </c>
      <c r="G156" s="3258">
        <v>0.13</v>
      </c>
    </row>
    <row r="157" spans="1:7">
      <c r="A157" s="3267" t="s">
        <v>29</v>
      </c>
      <c r="B157" s="3256" t="s">
        <v>300</v>
      </c>
      <c r="C157" s="3257">
        <v>0.13</v>
      </c>
      <c r="D157" s="3257">
        <v>0.13</v>
      </c>
      <c r="E157" s="3257">
        <v>0.125</v>
      </c>
      <c r="F157" s="3257">
        <v>0.13</v>
      </c>
      <c r="G157" s="3258">
        <v>0.13</v>
      </c>
    </row>
    <row r="158" spans="1:7">
      <c r="A158" s="3267" t="s">
        <v>29</v>
      </c>
      <c r="B158" s="3256" t="s">
        <v>301</v>
      </c>
      <c r="C158" s="3257">
        <v>0.124</v>
      </c>
      <c r="D158" s="3257">
        <v>0.124</v>
      </c>
      <c r="E158" s="3257">
        <v>0.11700000000000001</v>
      </c>
      <c r="F158" s="3257">
        <v>0.121</v>
      </c>
      <c r="G158" s="3258">
        <v>0.124</v>
      </c>
    </row>
    <row r="159" spans="1:7">
      <c r="A159" s="3267" t="s">
        <v>29</v>
      </c>
      <c r="B159" s="3256" t="s">
        <v>302</v>
      </c>
      <c r="C159" s="3257">
        <v>0.127</v>
      </c>
      <c r="D159" s="3257">
        <v>0.127</v>
      </c>
      <c r="E159" s="3257">
        <v>0.122</v>
      </c>
      <c r="F159" s="3257">
        <v>0.13</v>
      </c>
      <c r="G159" s="3258">
        <v>0.129</v>
      </c>
    </row>
    <row r="160" spans="1:7">
      <c r="A160" s="3267" t="s">
        <v>29</v>
      </c>
      <c r="B160" s="3256" t="s">
        <v>2996</v>
      </c>
      <c r="C160" s="3257">
        <v>0.13</v>
      </c>
      <c r="D160" s="3257">
        <v>0.13</v>
      </c>
      <c r="E160" s="3257">
        <v>0.124</v>
      </c>
      <c r="F160" s="3257">
        <v>0.126</v>
      </c>
      <c r="G160" s="3258">
        <v>0.13</v>
      </c>
    </row>
    <row r="161" spans="1:7">
      <c r="A161" s="3267" t="s">
        <v>29</v>
      </c>
      <c r="B161" s="3256" t="s">
        <v>3001</v>
      </c>
      <c r="C161" s="3257">
        <v>0.13</v>
      </c>
      <c r="D161" s="3257">
        <v>0.13</v>
      </c>
      <c r="E161" s="3257">
        <v>0.124</v>
      </c>
      <c r="F161" s="3257">
        <v>0.127</v>
      </c>
      <c r="G161" s="3258">
        <v>0.13</v>
      </c>
    </row>
    <row r="162" spans="1:7">
      <c r="A162" s="3267" t="s">
        <v>29</v>
      </c>
      <c r="B162" s="3256" t="s">
        <v>3006</v>
      </c>
      <c r="C162" s="3257">
        <v>0.1</v>
      </c>
      <c r="D162" s="3257">
        <v>0.1</v>
      </c>
      <c r="E162" s="3257">
        <v>0.1</v>
      </c>
      <c r="F162" s="3257">
        <v>0.121</v>
      </c>
      <c r="G162" s="3258">
        <v>0.105</v>
      </c>
    </row>
    <row r="163" spans="1:7">
      <c r="A163" s="3267" t="s">
        <v>29</v>
      </c>
      <c r="B163" s="3256" t="s">
        <v>3011</v>
      </c>
      <c r="C163" s="3257">
        <v>0.1</v>
      </c>
      <c r="D163" s="3257">
        <v>0.1</v>
      </c>
      <c r="E163" s="3257">
        <v>0.1</v>
      </c>
      <c r="F163" s="3257">
        <v>0.1</v>
      </c>
      <c r="G163" s="3258">
        <v>0.1</v>
      </c>
    </row>
    <row r="164" spans="1:7">
      <c r="A164" s="3267" t="s">
        <v>29</v>
      </c>
      <c r="B164" s="3256" t="s">
        <v>3016</v>
      </c>
      <c r="C164" s="3273"/>
      <c r="D164" s="3273"/>
      <c r="E164" s="3273"/>
      <c r="F164" s="3257">
        <v>0.1</v>
      </c>
      <c r="G164" s="3269"/>
    </row>
    <row r="165" spans="1:7">
      <c r="A165" s="3267" t="s">
        <v>29</v>
      </c>
      <c r="B165" s="3256" t="s">
        <v>3187</v>
      </c>
      <c r="C165" s="3257">
        <v>0.126</v>
      </c>
      <c r="D165" s="3257">
        <v>0.126</v>
      </c>
      <c r="E165" s="3257">
        <v>0.11899999999999999</v>
      </c>
      <c r="F165" s="3257">
        <v>0.13</v>
      </c>
      <c r="G165" s="3258">
        <v>0.128</v>
      </c>
    </row>
    <row r="166" spans="1:7">
      <c r="A166" s="3267" t="s">
        <v>29</v>
      </c>
      <c r="B166" s="3256" t="s">
        <v>3026</v>
      </c>
      <c r="C166" s="3257">
        <v>0.129</v>
      </c>
      <c r="D166" s="3257">
        <v>0.129</v>
      </c>
      <c r="E166" s="3257">
        <v>0.123</v>
      </c>
      <c r="F166" s="3257">
        <v>0.128</v>
      </c>
      <c r="G166" s="3258">
        <v>0.13</v>
      </c>
    </row>
    <row r="167" spans="1:7">
      <c r="A167" s="3267" t="s">
        <v>29</v>
      </c>
      <c r="B167" s="3256" t="s">
        <v>3030</v>
      </c>
      <c r="C167" s="3257">
        <v>0.125</v>
      </c>
      <c r="D167" s="3257">
        <v>0.125</v>
      </c>
      <c r="E167" s="3257">
        <v>0.11700000000000001</v>
      </c>
      <c r="F167" s="3257">
        <v>0.13</v>
      </c>
      <c r="G167" s="3258">
        <v>0.126</v>
      </c>
    </row>
    <row r="168" spans="1:7">
      <c r="A168" s="3267" t="s">
        <v>29</v>
      </c>
      <c r="B168" s="3256" t="s">
        <v>3035</v>
      </c>
      <c r="C168" s="3257">
        <v>0.128</v>
      </c>
      <c r="D168" s="3257">
        <v>0.128</v>
      </c>
      <c r="E168" s="3257">
        <v>0.123</v>
      </c>
      <c r="F168" s="3268"/>
      <c r="G168" s="3258">
        <v>0.13</v>
      </c>
    </row>
    <row r="169" spans="1:7">
      <c r="A169" s="3267" t="s">
        <v>29</v>
      </c>
      <c r="B169" s="3256" t="s">
        <v>3188</v>
      </c>
      <c r="C169" s="3273"/>
      <c r="D169" s="3273"/>
      <c r="E169" s="3273"/>
      <c r="F169" s="3257">
        <v>0.05</v>
      </c>
      <c r="G169" s="3269"/>
    </row>
    <row r="170" spans="1:7">
      <c r="A170" s="3267" t="s">
        <v>29</v>
      </c>
      <c r="B170" s="3256" t="s">
        <v>3189</v>
      </c>
      <c r="C170" s="3273"/>
      <c r="D170" s="3273"/>
      <c r="E170" s="3273"/>
      <c r="F170" s="3257">
        <v>0.05</v>
      </c>
      <c r="G170" s="3269"/>
    </row>
    <row r="171" spans="1:7">
      <c r="A171" s="3267" t="s">
        <v>29</v>
      </c>
      <c r="B171" s="3256" t="s">
        <v>3190</v>
      </c>
      <c r="C171" s="3273"/>
      <c r="D171" s="3273"/>
      <c r="E171" s="3273"/>
      <c r="F171" s="3257">
        <v>0.05</v>
      </c>
      <c r="G171" s="3274"/>
    </row>
    <row r="172" spans="1:7">
      <c r="A172" s="3267" t="s">
        <v>29</v>
      </c>
      <c r="B172" s="3256" t="s">
        <v>3191</v>
      </c>
      <c r="C172" s="3273"/>
      <c r="D172" s="3273"/>
      <c r="E172" s="3273"/>
      <c r="F172" s="3257">
        <v>0.05</v>
      </c>
      <c r="G172" s="3274"/>
    </row>
    <row r="173" spans="1:7">
      <c r="A173" s="3267" t="s">
        <v>29</v>
      </c>
      <c r="B173" s="3256" t="s">
        <v>3192</v>
      </c>
      <c r="C173" s="3273"/>
      <c r="D173" s="3273"/>
      <c r="E173" s="3273"/>
      <c r="F173" s="3257">
        <v>0.05</v>
      </c>
      <c r="G173" s="3269"/>
    </row>
    <row r="174" spans="1:7">
      <c r="A174" s="3267" t="s">
        <v>29</v>
      </c>
      <c r="B174" s="3256" t="s">
        <v>3193</v>
      </c>
      <c r="C174" s="3273"/>
      <c r="D174" s="3273"/>
      <c r="E174" s="3273"/>
      <c r="F174" s="3257">
        <v>0.05</v>
      </c>
      <c r="G174" s="3269"/>
    </row>
    <row r="175" spans="1:7">
      <c r="A175" s="3267" t="s">
        <v>29</v>
      </c>
      <c r="B175" s="3256" t="s">
        <v>3194</v>
      </c>
      <c r="C175" s="3273"/>
      <c r="D175" s="3273"/>
      <c r="E175" s="3273"/>
      <c r="F175" s="3257">
        <v>0.05</v>
      </c>
      <c r="G175" s="3269"/>
    </row>
    <row r="176" spans="1:7">
      <c r="A176" s="3267" t="s">
        <v>29</v>
      </c>
      <c r="B176" s="3256" t="s">
        <v>3195</v>
      </c>
      <c r="C176" s="3273"/>
      <c r="D176" s="3273"/>
      <c r="E176" s="3273"/>
      <c r="F176" s="3257">
        <v>0.05</v>
      </c>
      <c r="G176" s="3269"/>
    </row>
    <row r="177" spans="1:7">
      <c r="A177" s="3267" t="s">
        <v>29</v>
      </c>
      <c r="B177" s="3256" t="s">
        <v>3196</v>
      </c>
      <c r="C177" s="3268"/>
      <c r="D177" s="3268"/>
      <c r="E177" s="3268"/>
      <c r="F177" s="3257">
        <v>0.05</v>
      </c>
      <c r="G177" s="3274"/>
    </row>
    <row r="178" spans="1:7">
      <c r="A178" s="3267" t="s">
        <v>29</v>
      </c>
      <c r="B178" s="3256" t="s">
        <v>3197</v>
      </c>
      <c r="C178" s="3268"/>
      <c r="D178" s="3268"/>
      <c r="E178" s="3268"/>
      <c r="F178" s="3257">
        <v>0.05</v>
      </c>
      <c r="G178" s="3274"/>
    </row>
    <row r="179" spans="1:7">
      <c r="A179" s="3267" t="s">
        <v>29</v>
      </c>
      <c r="B179" s="3256" t="s">
        <v>3198</v>
      </c>
      <c r="C179" s="3268"/>
      <c r="D179" s="3268"/>
      <c r="E179" s="3268"/>
      <c r="F179" s="3257">
        <v>0.05</v>
      </c>
      <c r="G179" s="3274"/>
    </row>
    <row r="180" spans="1:7">
      <c r="A180" s="3267" t="s">
        <v>29</v>
      </c>
      <c r="B180" s="3256" t="s">
        <v>3199</v>
      </c>
      <c r="C180" s="3268"/>
      <c r="D180" s="3268"/>
      <c r="E180" s="3268"/>
      <c r="F180" s="3257">
        <v>0.05</v>
      </c>
      <c r="G180" s="3274"/>
    </row>
    <row r="181" spans="1:7">
      <c r="A181" s="3267" t="s">
        <v>29</v>
      </c>
      <c r="B181" s="3256" t="s">
        <v>3200</v>
      </c>
      <c r="C181" s="3268"/>
      <c r="D181" s="3268"/>
      <c r="E181" s="3268"/>
      <c r="F181" s="3257">
        <v>0.05</v>
      </c>
      <c r="G181" s="3274"/>
    </row>
    <row r="182" spans="1:7">
      <c r="A182" s="3267" t="s">
        <v>29</v>
      </c>
      <c r="B182" s="3256" t="s">
        <v>3201</v>
      </c>
      <c r="C182" s="3268"/>
      <c r="D182" s="3268"/>
      <c r="E182" s="3268"/>
      <c r="F182" s="3257">
        <v>0.05</v>
      </c>
      <c r="G182" s="3274"/>
    </row>
    <row r="183" spans="1:7">
      <c r="A183" s="3267" t="s">
        <v>29</v>
      </c>
      <c r="B183" s="3256" t="s">
        <v>3202</v>
      </c>
      <c r="C183" s="3268"/>
      <c r="D183" s="3268"/>
      <c r="E183" s="3268"/>
      <c r="F183" s="3257">
        <v>0.05</v>
      </c>
      <c r="G183" s="3274"/>
    </row>
    <row r="184" spans="1:7">
      <c r="A184" s="3267" t="s">
        <v>29</v>
      </c>
      <c r="B184" s="3256" t="s">
        <v>3203</v>
      </c>
      <c r="C184" s="3268"/>
      <c r="D184" s="3268"/>
      <c r="E184" s="3268"/>
      <c r="F184" s="3257">
        <v>0.05</v>
      </c>
      <c r="G184" s="3274"/>
    </row>
    <row r="185" spans="1:7">
      <c r="A185" s="3267" t="s">
        <v>29</v>
      </c>
      <c r="B185" s="3256" t="s">
        <v>3204</v>
      </c>
      <c r="C185" s="3268"/>
      <c r="D185" s="3268"/>
      <c r="E185" s="3268"/>
      <c r="F185" s="3257">
        <v>0.05</v>
      </c>
      <c r="G185" s="3274"/>
    </row>
    <row r="186" spans="1:7">
      <c r="A186" s="3267" t="s">
        <v>29</v>
      </c>
      <c r="B186" s="3256" t="s">
        <v>3205</v>
      </c>
      <c r="C186" s="3268"/>
      <c r="D186" s="3268"/>
      <c r="E186" s="3268"/>
      <c r="F186" s="3257">
        <v>0.05</v>
      </c>
      <c r="G186" s="3274"/>
    </row>
    <row r="187" spans="1:7">
      <c r="A187" s="3267" t="s">
        <v>29</v>
      </c>
      <c r="B187" s="3256" t="s">
        <v>3206</v>
      </c>
      <c r="C187" s="3268"/>
      <c r="D187" s="3268"/>
      <c r="E187" s="3268"/>
      <c r="F187" s="3257">
        <v>0.05</v>
      </c>
      <c r="G187" s="3274"/>
    </row>
    <row r="188" spans="1:7">
      <c r="A188" s="3267" t="s">
        <v>29</v>
      </c>
      <c r="B188" s="3256" t="s">
        <v>3207</v>
      </c>
      <c r="C188" s="3268"/>
      <c r="D188" s="3268"/>
      <c r="E188" s="3268"/>
      <c r="F188" s="3257">
        <v>0.05</v>
      </c>
      <c r="G188" s="3274"/>
    </row>
    <row r="189" spans="1:7" ht="15" thickBot="1">
      <c r="A189" s="3270" t="s">
        <v>29</v>
      </c>
      <c r="B189" s="3260" t="s">
        <v>3208</v>
      </c>
      <c r="C189" s="3262"/>
      <c r="D189" s="3262"/>
      <c r="E189" s="3262"/>
      <c r="F189" s="3261">
        <v>0.05</v>
      </c>
      <c r="G189" s="3275"/>
    </row>
    <row r="190" spans="1:7">
      <c r="A190" s="3266" t="s">
        <v>304</v>
      </c>
      <c r="B190" s="3252" t="s">
        <v>2864</v>
      </c>
      <c r="C190" s="3253">
        <v>0.124</v>
      </c>
      <c r="D190" s="3253">
        <v>0.124</v>
      </c>
      <c r="E190" s="3253">
        <v>0.129</v>
      </c>
      <c r="F190" s="3253">
        <v>0.13</v>
      </c>
      <c r="G190" s="3254">
        <v>0.127</v>
      </c>
    </row>
    <row r="191" spans="1:7">
      <c r="A191" s="3267" t="s">
        <v>304</v>
      </c>
      <c r="B191" s="3256" t="s">
        <v>133</v>
      </c>
      <c r="C191" s="3257">
        <v>0.13</v>
      </c>
      <c r="D191" s="3257">
        <v>0.13</v>
      </c>
      <c r="E191" s="3257">
        <v>0.13</v>
      </c>
      <c r="F191" s="3257">
        <v>0.13</v>
      </c>
      <c r="G191" s="3258">
        <v>0.13</v>
      </c>
    </row>
    <row r="192" spans="1:7">
      <c r="A192" s="3267" t="s">
        <v>304</v>
      </c>
      <c r="B192" s="3256" t="s">
        <v>142</v>
      </c>
      <c r="C192" s="3257">
        <v>0.13</v>
      </c>
      <c r="D192" s="3257">
        <v>0.13</v>
      </c>
      <c r="E192" s="3257">
        <v>0.13</v>
      </c>
      <c r="F192" s="3257">
        <v>0.13</v>
      </c>
      <c r="G192" s="3258">
        <v>0.13</v>
      </c>
    </row>
    <row r="193" spans="1:7">
      <c r="A193" s="3267" t="s">
        <v>304</v>
      </c>
      <c r="B193" s="3256" t="s">
        <v>151</v>
      </c>
      <c r="C193" s="3257">
        <v>0.13</v>
      </c>
      <c r="D193" s="3257">
        <v>0.13</v>
      </c>
      <c r="E193" s="3257">
        <v>0.13</v>
      </c>
      <c r="F193" s="3257">
        <v>0.13</v>
      </c>
      <c r="G193" s="3258">
        <v>0.13</v>
      </c>
    </row>
    <row r="194" spans="1:7">
      <c r="A194" s="3267" t="s">
        <v>304</v>
      </c>
      <c r="B194" s="3256" t="s">
        <v>160</v>
      </c>
      <c r="C194" s="3257">
        <v>0.123</v>
      </c>
      <c r="D194" s="3257">
        <v>0.123</v>
      </c>
      <c r="E194" s="3257">
        <v>0.128</v>
      </c>
      <c r="F194" s="3257">
        <v>0.13</v>
      </c>
      <c r="G194" s="3258">
        <v>0.126</v>
      </c>
    </row>
    <row r="195" spans="1:7">
      <c r="A195" s="3267" t="s">
        <v>304</v>
      </c>
      <c r="B195" s="3256" t="s">
        <v>167</v>
      </c>
      <c r="C195" s="3257">
        <v>0.127</v>
      </c>
      <c r="D195" s="3257">
        <v>0.127</v>
      </c>
      <c r="E195" s="3257">
        <v>0.121</v>
      </c>
      <c r="F195" s="3257">
        <v>0.129</v>
      </c>
      <c r="G195" s="3258">
        <v>0.129</v>
      </c>
    </row>
    <row r="196" spans="1:7">
      <c r="A196" s="3267" t="s">
        <v>304</v>
      </c>
      <c r="B196" s="3256" t="s">
        <v>173</v>
      </c>
      <c r="C196" s="3257">
        <v>0.127</v>
      </c>
      <c r="D196" s="3257">
        <v>0.128</v>
      </c>
      <c r="E196" s="3257">
        <v>0.122</v>
      </c>
      <c r="F196" s="3257">
        <v>0.13</v>
      </c>
      <c r="G196" s="3258">
        <v>0.129</v>
      </c>
    </row>
    <row r="197" spans="1:7">
      <c r="A197" s="3267" t="s">
        <v>304</v>
      </c>
      <c r="B197" s="3256" t="s">
        <v>180</v>
      </c>
      <c r="C197" s="3257">
        <v>0.126</v>
      </c>
      <c r="D197" s="3257">
        <v>0.126</v>
      </c>
      <c r="E197" s="3257">
        <v>0.11899999999999999</v>
      </c>
      <c r="F197" s="3257">
        <v>0.13</v>
      </c>
      <c r="G197" s="3258">
        <v>0.128</v>
      </c>
    </row>
    <row r="198" spans="1:7">
      <c r="A198" s="3267" t="s">
        <v>304</v>
      </c>
      <c r="B198" s="3256" t="s">
        <v>190</v>
      </c>
      <c r="C198" s="3257">
        <v>0.13</v>
      </c>
      <c r="D198" s="3257">
        <v>0.13</v>
      </c>
      <c r="E198" s="3257">
        <v>0.126</v>
      </c>
      <c r="F198" s="3273"/>
      <c r="G198" s="3258">
        <v>0.13</v>
      </c>
    </row>
    <row r="199" spans="1:7">
      <c r="A199" s="3267" t="s">
        <v>304</v>
      </c>
      <c r="B199" s="3256" t="s">
        <v>2900</v>
      </c>
      <c r="C199" s="3257">
        <v>0.13</v>
      </c>
      <c r="D199" s="3257">
        <v>0.13</v>
      </c>
      <c r="E199" s="3257">
        <v>0.13</v>
      </c>
      <c r="F199" s="3257">
        <v>0.13</v>
      </c>
      <c r="G199" s="3258">
        <v>0.13</v>
      </c>
    </row>
    <row r="200" spans="1:7">
      <c r="A200" s="3267" t="s">
        <v>304</v>
      </c>
      <c r="B200" s="3256" t="s">
        <v>2903</v>
      </c>
      <c r="C200" s="3273"/>
      <c r="D200" s="3273"/>
      <c r="E200" s="3273"/>
      <c r="F200" s="3257">
        <v>0.13</v>
      </c>
      <c r="G200" s="3269"/>
    </row>
    <row r="201" spans="1:7">
      <c r="A201" s="3267" t="s">
        <v>304</v>
      </c>
      <c r="B201" s="3256" t="s">
        <v>2908</v>
      </c>
      <c r="C201" s="3257">
        <v>0.13</v>
      </c>
      <c r="D201" s="3257">
        <v>0.13</v>
      </c>
      <c r="E201" s="3257">
        <v>0.13</v>
      </c>
      <c r="F201" s="3257">
        <v>0.129</v>
      </c>
      <c r="G201" s="3258">
        <v>0.13</v>
      </c>
    </row>
    <row r="202" spans="1:7">
      <c r="A202" s="3267" t="s">
        <v>304</v>
      </c>
      <c r="B202" s="3256" t="s">
        <v>240</v>
      </c>
      <c r="C202" s="3257">
        <v>0.13</v>
      </c>
      <c r="D202" s="3257">
        <v>0.13</v>
      </c>
      <c r="E202" s="3257">
        <v>0.13</v>
      </c>
      <c r="F202" s="3257">
        <v>0.13</v>
      </c>
      <c r="G202" s="3258">
        <v>0.13</v>
      </c>
    </row>
    <row r="203" spans="1:7">
      <c r="A203" s="3267" t="s">
        <v>304</v>
      </c>
      <c r="B203" s="3256" t="s">
        <v>2911</v>
      </c>
      <c r="C203" s="3257">
        <v>0.129</v>
      </c>
      <c r="D203" s="3257">
        <v>0.129</v>
      </c>
      <c r="E203" s="3257">
        <v>0.13</v>
      </c>
      <c r="F203" s="3257">
        <v>0.13</v>
      </c>
      <c r="G203" s="3258">
        <v>0.13</v>
      </c>
    </row>
    <row r="204" spans="1:7">
      <c r="A204" s="3267" t="s">
        <v>304</v>
      </c>
      <c r="B204" s="3256" t="s">
        <v>2914</v>
      </c>
      <c r="C204" s="3257">
        <v>0.129</v>
      </c>
      <c r="D204" s="3257">
        <v>0.129</v>
      </c>
      <c r="E204" s="3257">
        <v>0.123</v>
      </c>
      <c r="F204" s="3257">
        <v>0.13</v>
      </c>
      <c r="G204" s="3258">
        <v>0.13</v>
      </c>
    </row>
    <row r="205" spans="1:7">
      <c r="A205" s="3267" t="s">
        <v>304</v>
      </c>
      <c r="B205" s="3256" t="s">
        <v>2916</v>
      </c>
      <c r="C205" s="3257">
        <v>0.13</v>
      </c>
      <c r="D205" s="3257">
        <v>0.13</v>
      </c>
      <c r="E205" s="3257">
        <v>0.13</v>
      </c>
      <c r="F205" s="3257">
        <v>0.13</v>
      </c>
      <c r="G205" s="3258">
        <v>0.13</v>
      </c>
    </row>
    <row r="206" spans="1:7">
      <c r="A206" s="3267" t="s">
        <v>304</v>
      </c>
      <c r="B206" s="3256" t="s">
        <v>2919</v>
      </c>
      <c r="C206" s="3257">
        <v>0.13</v>
      </c>
      <c r="D206" s="3257">
        <v>0.13</v>
      </c>
      <c r="E206" s="3257">
        <v>0.13</v>
      </c>
      <c r="F206" s="3257">
        <v>0.128</v>
      </c>
      <c r="G206" s="3258">
        <v>0.13</v>
      </c>
    </row>
    <row r="207" spans="1:7">
      <c r="A207" s="3267" t="s">
        <v>304</v>
      </c>
      <c r="B207" s="3256" t="s">
        <v>2921</v>
      </c>
      <c r="C207" s="3257">
        <v>0.13</v>
      </c>
      <c r="D207" s="3257">
        <v>0.13</v>
      </c>
      <c r="E207" s="3257">
        <v>0.13</v>
      </c>
      <c r="F207" s="3257">
        <v>0.13</v>
      </c>
      <c r="G207" s="3258">
        <v>0.13</v>
      </c>
    </row>
    <row r="208" spans="1:7">
      <c r="A208" s="3267" t="s">
        <v>304</v>
      </c>
      <c r="B208" s="3256" t="s">
        <v>2924</v>
      </c>
      <c r="C208" s="3257">
        <v>0.13</v>
      </c>
      <c r="D208" s="3257">
        <v>0.13</v>
      </c>
      <c r="E208" s="3257">
        <v>0.13</v>
      </c>
      <c r="F208" s="3257">
        <v>0.13</v>
      </c>
      <c r="G208" s="3258">
        <v>0.13</v>
      </c>
    </row>
    <row r="209" spans="1:7">
      <c r="A209" s="3267" t="s">
        <v>304</v>
      </c>
      <c r="B209" s="3256" t="s">
        <v>264</v>
      </c>
      <c r="C209" s="3257">
        <v>0.13</v>
      </c>
      <c r="D209" s="3257">
        <v>0.13</v>
      </c>
      <c r="E209" s="3257">
        <v>0.13</v>
      </c>
      <c r="F209" s="3257">
        <v>0.13</v>
      </c>
      <c r="G209" s="3258">
        <v>0.13</v>
      </c>
    </row>
    <row r="210" spans="1:7">
      <c r="A210" s="3267" t="s">
        <v>304</v>
      </c>
      <c r="B210" s="3256" t="s">
        <v>2931</v>
      </c>
      <c r="C210" s="3257">
        <v>0.121</v>
      </c>
      <c r="D210" s="3257">
        <v>0.121</v>
      </c>
      <c r="E210" s="3257">
        <v>0.125</v>
      </c>
      <c r="F210" s="3257">
        <v>0.13</v>
      </c>
      <c r="G210" s="3258">
        <v>0.123</v>
      </c>
    </row>
    <row r="211" spans="1:7">
      <c r="A211" s="3267" t="s">
        <v>304</v>
      </c>
      <c r="B211" s="3256" t="s">
        <v>2934</v>
      </c>
      <c r="C211" s="3257">
        <v>0.123</v>
      </c>
      <c r="D211" s="3257">
        <v>0.123</v>
      </c>
      <c r="E211" s="3257">
        <v>0.127</v>
      </c>
      <c r="F211" s="3257">
        <v>0.115</v>
      </c>
      <c r="G211" s="3258">
        <v>0.126</v>
      </c>
    </row>
    <row r="212" spans="1:7">
      <c r="A212" s="3267" t="s">
        <v>304</v>
      </c>
      <c r="B212" s="3256" t="s">
        <v>285</v>
      </c>
      <c r="C212" s="3257">
        <v>0.126</v>
      </c>
      <c r="D212" s="3257">
        <v>0.126</v>
      </c>
      <c r="E212" s="3257">
        <v>0.13</v>
      </c>
      <c r="F212" s="3257">
        <v>0.13</v>
      </c>
      <c r="G212" s="3258">
        <v>0.129</v>
      </c>
    </row>
    <row r="213" spans="1:7">
      <c r="A213" s="3267" t="s">
        <v>304</v>
      </c>
      <c r="B213" s="3256" t="s">
        <v>288</v>
      </c>
      <c r="C213" s="3257">
        <v>0.129</v>
      </c>
      <c r="D213" s="3257">
        <v>0.13</v>
      </c>
      <c r="E213" s="3257">
        <v>0.127</v>
      </c>
      <c r="F213" s="3257">
        <v>0.13</v>
      </c>
      <c r="G213" s="3258">
        <v>0.13</v>
      </c>
    </row>
    <row r="214" spans="1:7">
      <c r="A214" s="3267" t="s">
        <v>304</v>
      </c>
      <c r="B214" s="3256" t="s">
        <v>2946</v>
      </c>
      <c r="C214" s="3257">
        <v>0.128</v>
      </c>
      <c r="D214" s="3257">
        <v>0.128</v>
      </c>
      <c r="E214" s="3257">
        <v>0.13</v>
      </c>
      <c r="F214" s="3257">
        <v>0.13</v>
      </c>
      <c r="G214" s="3258">
        <v>0.13</v>
      </c>
    </row>
    <row r="215" spans="1:7">
      <c r="A215" s="3267" t="s">
        <v>304</v>
      </c>
      <c r="B215" s="3256" t="s">
        <v>2950</v>
      </c>
      <c r="C215" s="3257">
        <v>0.13</v>
      </c>
      <c r="D215" s="3257">
        <v>0.13</v>
      </c>
      <c r="E215" s="3257">
        <v>0.13</v>
      </c>
      <c r="F215" s="3257">
        <v>0.129</v>
      </c>
      <c r="G215" s="3258">
        <v>0.13</v>
      </c>
    </row>
    <row r="216" spans="1:7">
      <c r="A216" s="3267" t="s">
        <v>304</v>
      </c>
      <c r="B216" s="3256" t="s">
        <v>2957</v>
      </c>
      <c r="C216" s="3257">
        <v>0.13</v>
      </c>
      <c r="D216" s="3257">
        <v>0.13</v>
      </c>
      <c r="E216" s="3257">
        <v>0.13</v>
      </c>
      <c r="F216" s="3257">
        <v>0.13</v>
      </c>
      <c r="G216" s="3258">
        <v>0.13</v>
      </c>
    </row>
    <row r="217" spans="1:7">
      <c r="A217" s="3267" t="s">
        <v>304</v>
      </c>
      <c r="B217" s="3256" t="s">
        <v>2964</v>
      </c>
      <c r="C217" s="3257">
        <v>0.129</v>
      </c>
      <c r="D217" s="3257">
        <v>0.129</v>
      </c>
      <c r="E217" s="3257">
        <v>0.13</v>
      </c>
      <c r="F217" s="3257">
        <v>0.13</v>
      </c>
      <c r="G217" s="3258">
        <v>0.13</v>
      </c>
    </row>
    <row r="218" spans="1:7">
      <c r="A218" s="3267" t="s">
        <v>304</v>
      </c>
      <c r="B218" s="3256" t="s">
        <v>2970</v>
      </c>
      <c r="C218" s="3268"/>
      <c r="D218" s="3268"/>
      <c r="E218" s="3268"/>
      <c r="F218" s="3257">
        <v>0.05</v>
      </c>
      <c r="G218" s="3274"/>
    </row>
    <row r="219" spans="1:7">
      <c r="A219" s="3267" t="s">
        <v>304</v>
      </c>
      <c r="B219" s="3256" t="s">
        <v>2977</v>
      </c>
      <c r="C219" s="3268"/>
      <c r="D219" s="3268"/>
      <c r="E219" s="3268"/>
      <c r="F219" s="3257">
        <v>0.05</v>
      </c>
      <c r="G219" s="3274"/>
    </row>
    <row r="220" spans="1:7">
      <c r="A220" s="3267" t="s">
        <v>304</v>
      </c>
      <c r="B220" s="3256" t="s">
        <v>2983</v>
      </c>
      <c r="C220" s="3268"/>
      <c r="D220" s="3268"/>
      <c r="E220" s="3268"/>
      <c r="F220" s="3257">
        <v>0.05</v>
      </c>
      <c r="G220" s="3274"/>
    </row>
    <row r="221" spans="1:7">
      <c r="A221" s="3267" t="s">
        <v>304</v>
      </c>
      <c r="B221" s="3256" t="s">
        <v>2988</v>
      </c>
      <c r="C221" s="3268"/>
      <c r="D221" s="3268"/>
      <c r="E221" s="3268"/>
      <c r="F221" s="3257">
        <v>0.05</v>
      </c>
      <c r="G221" s="3274"/>
    </row>
    <row r="222" spans="1:7">
      <c r="A222" s="3267" t="s">
        <v>304</v>
      </c>
      <c r="B222" s="3256" t="s">
        <v>2992</v>
      </c>
      <c r="C222" s="3268"/>
      <c r="D222" s="3268"/>
      <c r="E222" s="3268"/>
      <c r="F222" s="3257">
        <v>0.05</v>
      </c>
      <c r="G222" s="3274"/>
    </row>
    <row r="223" spans="1:7">
      <c r="A223" s="3267" t="s">
        <v>304</v>
      </c>
      <c r="B223" s="3256" t="s">
        <v>2997</v>
      </c>
      <c r="C223" s="3268"/>
      <c r="D223" s="3268"/>
      <c r="E223" s="3268"/>
      <c r="F223" s="3257">
        <v>0.05</v>
      </c>
      <c r="G223" s="3274"/>
    </row>
    <row r="224" spans="1:7">
      <c r="A224" s="3267" t="s">
        <v>304</v>
      </c>
      <c r="B224" s="3256" t="s">
        <v>3002</v>
      </c>
      <c r="C224" s="3268"/>
      <c r="D224" s="3268"/>
      <c r="E224" s="3268"/>
      <c r="F224" s="3257">
        <v>0.05</v>
      </c>
      <c r="G224" s="3274"/>
    </row>
    <row r="225" spans="1:7">
      <c r="A225" s="3267" t="s">
        <v>304</v>
      </c>
      <c r="B225" s="3256" t="s">
        <v>3007</v>
      </c>
      <c r="C225" s="3268"/>
      <c r="D225" s="3268"/>
      <c r="E225" s="3268"/>
      <c r="F225" s="3257">
        <v>0.05</v>
      </c>
      <c r="G225" s="3274"/>
    </row>
    <row r="226" spans="1:7">
      <c r="A226" s="3267" t="s">
        <v>304</v>
      </c>
      <c r="B226" s="3256" t="s">
        <v>3209</v>
      </c>
      <c r="C226" s="3268"/>
      <c r="D226" s="3268"/>
      <c r="E226" s="3268"/>
      <c r="F226" s="3257">
        <v>0.05</v>
      </c>
      <c r="G226" s="3274"/>
    </row>
    <row r="227" spans="1:7">
      <c r="A227" s="3267" t="s">
        <v>304</v>
      </c>
      <c r="B227" s="3256" t="s">
        <v>3210</v>
      </c>
      <c r="C227" s="3268"/>
      <c r="D227" s="3268"/>
      <c r="E227" s="3268"/>
      <c r="F227" s="3257">
        <v>0.05</v>
      </c>
      <c r="G227" s="3274"/>
    </row>
    <row r="228" spans="1:7">
      <c r="A228" s="3267" t="s">
        <v>304</v>
      </c>
      <c r="B228" s="3256" t="s">
        <v>3211</v>
      </c>
      <c r="C228" s="3268"/>
      <c r="D228" s="3268"/>
      <c r="E228" s="3268"/>
      <c r="F228" s="3257">
        <v>0.05</v>
      </c>
      <c r="G228" s="3274"/>
    </row>
    <row r="229" spans="1:7">
      <c r="A229" s="3267" t="s">
        <v>304</v>
      </c>
      <c r="B229" s="3256" t="s">
        <v>3212</v>
      </c>
      <c r="C229" s="3268"/>
      <c r="D229" s="3268"/>
      <c r="E229" s="3268"/>
      <c r="F229" s="3257">
        <v>0.05</v>
      </c>
      <c r="G229" s="3274"/>
    </row>
    <row r="230" spans="1:7">
      <c r="A230" s="3267" t="s">
        <v>304</v>
      </c>
      <c r="B230" s="3256" t="s">
        <v>3213</v>
      </c>
      <c r="C230" s="3268"/>
      <c r="D230" s="3268"/>
      <c r="E230" s="3268"/>
      <c r="F230" s="3257">
        <v>0.05</v>
      </c>
      <c r="G230" s="3274"/>
    </row>
    <row r="231" spans="1:7">
      <c r="A231" s="3267" t="s">
        <v>304</v>
      </c>
      <c r="B231" s="3256" t="s">
        <v>3214</v>
      </c>
      <c r="C231" s="3268"/>
      <c r="D231" s="3268"/>
      <c r="E231" s="3268"/>
      <c r="F231" s="3257">
        <v>0.05</v>
      </c>
      <c r="G231" s="3274"/>
    </row>
    <row r="232" spans="1:7">
      <c r="A232" s="3267" t="s">
        <v>304</v>
      </c>
      <c r="B232" s="3256" t="s">
        <v>3215</v>
      </c>
      <c r="C232" s="3268"/>
      <c r="D232" s="3268"/>
      <c r="E232" s="3268"/>
      <c r="F232" s="3257">
        <v>0.05</v>
      </c>
      <c r="G232" s="3274"/>
    </row>
    <row r="233" spans="1:7" ht="15" thickBot="1">
      <c r="A233" s="3270" t="s">
        <v>304</v>
      </c>
      <c r="B233" s="3260" t="s">
        <v>3216</v>
      </c>
      <c r="C233" s="3262"/>
      <c r="D233" s="3262"/>
      <c r="E233" s="3262"/>
      <c r="F233" s="3261">
        <v>0.05</v>
      </c>
      <c r="G233" s="3275"/>
    </row>
    <row r="234" spans="1:7">
      <c r="A234" s="3266" t="s">
        <v>305</v>
      </c>
      <c r="B234" s="3252" t="s">
        <v>2865</v>
      </c>
      <c r="C234" s="3253">
        <v>0.13</v>
      </c>
      <c r="D234" s="3253">
        <v>0.128</v>
      </c>
      <c r="E234" s="3253">
        <v>0.14199999999999999</v>
      </c>
      <c r="F234" s="3253">
        <v>0.14699999999999999</v>
      </c>
      <c r="G234" s="3254">
        <v>0.14000000000000001</v>
      </c>
    </row>
    <row r="235" spans="1:7">
      <c r="A235" s="3267" t="s">
        <v>305</v>
      </c>
      <c r="B235" s="3256" t="s">
        <v>134</v>
      </c>
      <c r="C235" s="3257">
        <v>0.13600000000000001</v>
      </c>
      <c r="D235" s="3257">
        <v>0.13800000000000001</v>
      </c>
      <c r="E235" s="3257">
        <v>0.14499999999999999</v>
      </c>
      <c r="F235" s="3257">
        <v>0.14299999999999999</v>
      </c>
      <c r="G235" s="3258">
        <v>0.14099999999999999</v>
      </c>
    </row>
    <row r="236" spans="1:7">
      <c r="A236" s="3267" t="s">
        <v>305</v>
      </c>
      <c r="B236" s="3256" t="s">
        <v>143</v>
      </c>
      <c r="C236" s="3257">
        <v>0.15</v>
      </c>
      <c r="D236" s="3257">
        <v>0.15</v>
      </c>
      <c r="E236" s="3257">
        <v>0.15</v>
      </c>
      <c r="F236" s="3257">
        <v>0.15</v>
      </c>
      <c r="G236" s="3258">
        <v>0.15</v>
      </c>
    </row>
    <row r="237" spans="1:7">
      <c r="A237" s="3267" t="s">
        <v>305</v>
      </c>
      <c r="B237" s="3256" t="s">
        <v>152</v>
      </c>
      <c r="C237" s="3257">
        <v>0.15</v>
      </c>
      <c r="D237" s="3257">
        <v>0.15</v>
      </c>
      <c r="E237" s="3257">
        <v>0.15</v>
      </c>
      <c r="F237" s="3257">
        <v>0.15</v>
      </c>
      <c r="G237" s="3258">
        <v>0.15</v>
      </c>
    </row>
    <row r="238" spans="1:7">
      <c r="A238" s="3267" t="s">
        <v>305</v>
      </c>
      <c r="B238" s="3256" t="s">
        <v>2885</v>
      </c>
      <c r="C238" s="3257">
        <v>0.14899999999999999</v>
      </c>
      <c r="D238" s="3257">
        <v>0.14899999999999999</v>
      </c>
      <c r="E238" s="3257">
        <v>0.15</v>
      </c>
      <c r="F238" s="3257">
        <v>0.15</v>
      </c>
      <c r="G238" s="3258">
        <v>0.15</v>
      </c>
    </row>
    <row r="239" spans="1:7">
      <c r="A239" s="3267" t="s">
        <v>305</v>
      </c>
      <c r="B239" s="3256" t="s">
        <v>2889</v>
      </c>
      <c r="C239" s="3257">
        <v>0.15</v>
      </c>
      <c r="D239" s="3257">
        <v>0.15</v>
      </c>
      <c r="E239" s="3257">
        <v>0.15</v>
      </c>
      <c r="F239" s="3257">
        <v>0.15</v>
      </c>
      <c r="G239" s="3258">
        <v>0.15</v>
      </c>
    </row>
    <row r="240" spans="1:7">
      <c r="A240" s="3267" t="s">
        <v>305</v>
      </c>
      <c r="B240" s="3256" t="s">
        <v>2894</v>
      </c>
      <c r="C240" s="3257">
        <v>0.15</v>
      </c>
      <c r="D240" s="3257">
        <v>0.15</v>
      </c>
      <c r="E240" s="3257">
        <v>0.15</v>
      </c>
      <c r="F240" s="3257">
        <v>0.15</v>
      </c>
      <c r="G240" s="3258">
        <v>0.15</v>
      </c>
    </row>
    <row r="241" spans="1:7">
      <c r="A241" s="3267" t="s">
        <v>305</v>
      </c>
      <c r="B241" s="3256" t="s">
        <v>2898</v>
      </c>
      <c r="C241" s="3257">
        <v>0.14099999999999999</v>
      </c>
      <c r="D241" s="3257">
        <v>0.14199999999999999</v>
      </c>
      <c r="E241" s="3257">
        <v>0.14899999999999999</v>
      </c>
      <c r="F241" s="3257">
        <v>0.15</v>
      </c>
      <c r="G241" s="3258">
        <v>0.14399999999999999</v>
      </c>
    </row>
    <row r="242" spans="1:7">
      <c r="A242" s="3267" t="s">
        <v>305</v>
      </c>
      <c r="B242" s="3256" t="s">
        <v>181</v>
      </c>
      <c r="C242" s="3257">
        <v>0.14099999999999999</v>
      </c>
      <c r="D242" s="3257">
        <v>0.14199999999999999</v>
      </c>
      <c r="E242" s="3257">
        <v>0.14799999999999999</v>
      </c>
      <c r="F242" s="3257">
        <v>0.127</v>
      </c>
      <c r="G242" s="3258">
        <v>0.14399999999999999</v>
      </c>
    </row>
    <row r="243" spans="1:7">
      <c r="A243" s="3267" t="s">
        <v>305</v>
      </c>
      <c r="B243" s="3256" t="s">
        <v>191</v>
      </c>
      <c r="C243" s="3257">
        <v>0.14699999999999999</v>
      </c>
      <c r="D243" s="3257">
        <v>0.14699999999999999</v>
      </c>
      <c r="E243" s="3257">
        <v>0.15</v>
      </c>
      <c r="F243" s="3257">
        <v>0.15</v>
      </c>
      <c r="G243" s="3258">
        <v>0.14899999999999999</v>
      </c>
    </row>
    <row r="244" spans="1:7">
      <c r="A244" s="3267" t="s">
        <v>305</v>
      </c>
      <c r="B244" s="3256" t="s">
        <v>2904</v>
      </c>
      <c r="C244" s="3257">
        <v>0.15</v>
      </c>
      <c r="D244" s="3257">
        <v>0.15</v>
      </c>
      <c r="E244" s="3257">
        <v>0.15</v>
      </c>
      <c r="F244" s="3257">
        <v>0.15</v>
      </c>
      <c r="G244" s="3258">
        <v>0.15</v>
      </c>
    </row>
    <row r="245" spans="1:7">
      <c r="A245" s="3267" t="s">
        <v>305</v>
      </c>
      <c r="B245" s="3256" t="s">
        <v>206</v>
      </c>
      <c r="C245" s="3257">
        <v>0.14199999999999999</v>
      </c>
      <c r="D245" s="3257">
        <v>0.14199999999999999</v>
      </c>
      <c r="E245" s="3257">
        <v>0.15</v>
      </c>
      <c r="F245" s="3257">
        <v>0.15</v>
      </c>
      <c r="G245" s="3258">
        <v>0.14499999999999999</v>
      </c>
    </row>
    <row r="246" spans="1:7">
      <c r="A246" s="3267" t="s">
        <v>305</v>
      </c>
      <c r="B246" s="3256" t="s">
        <v>213</v>
      </c>
      <c r="C246" s="3257">
        <v>0.14199999999999999</v>
      </c>
      <c r="D246" s="3257">
        <v>0.14299999999999999</v>
      </c>
      <c r="E246" s="3257">
        <v>0.15</v>
      </c>
      <c r="F246" s="3257">
        <v>0.14199999999999999</v>
      </c>
      <c r="G246" s="3258">
        <v>0.14399999999999999</v>
      </c>
    </row>
    <row r="247" spans="1:7">
      <c r="A247" s="3267" t="s">
        <v>305</v>
      </c>
      <c r="B247" s="3256" t="s">
        <v>2912</v>
      </c>
      <c r="C247" s="3257">
        <v>0.14899999999999999</v>
      </c>
      <c r="D247" s="3257">
        <v>0.14899999999999999</v>
      </c>
      <c r="E247" s="3257">
        <v>0.15</v>
      </c>
      <c r="F247" s="3257">
        <v>0.15</v>
      </c>
      <c r="G247" s="3258">
        <v>0.15</v>
      </c>
    </row>
    <row r="248" spans="1:7">
      <c r="A248" s="3267" t="s">
        <v>305</v>
      </c>
      <c r="B248" s="3256" t="s">
        <v>227</v>
      </c>
      <c r="C248" s="3257">
        <v>0.14399999999999999</v>
      </c>
      <c r="D248" s="3257">
        <v>0.14399999999999999</v>
      </c>
      <c r="E248" s="3257">
        <v>0.14899999999999999</v>
      </c>
      <c r="F248" s="3257">
        <v>0.14799999999999999</v>
      </c>
      <c r="G248" s="3258">
        <v>0.14599999999999999</v>
      </c>
    </row>
    <row r="249" spans="1:7">
      <c r="A249" s="3267" t="s">
        <v>305</v>
      </c>
      <c r="B249" s="3256" t="s">
        <v>2917</v>
      </c>
      <c r="C249" s="3257">
        <v>0.14000000000000001</v>
      </c>
      <c r="D249" s="3257">
        <v>0.14000000000000001</v>
      </c>
      <c r="E249" s="3257">
        <v>0.14699999999999999</v>
      </c>
      <c r="F249" s="3257">
        <v>0.14899999999999999</v>
      </c>
      <c r="G249" s="3258">
        <v>0.14199999999999999</v>
      </c>
    </row>
    <row r="250" spans="1:7">
      <c r="A250" s="3267" t="s">
        <v>305</v>
      </c>
      <c r="B250" s="3256" t="s">
        <v>241</v>
      </c>
      <c r="C250" s="3257">
        <v>0.14399999999999999</v>
      </c>
      <c r="D250" s="3257">
        <v>0.14299999999999999</v>
      </c>
      <c r="E250" s="3257">
        <v>0.14899999999999999</v>
      </c>
      <c r="F250" s="3257">
        <v>0.15</v>
      </c>
      <c r="G250" s="3258">
        <v>0.14599999999999999</v>
      </c>
    </row>
    <row r="251" spans="1:7">
      <c r="A251" s="3267" t="s">
        <v>305</v>
      </c>
      <c r="B251" s="3256" t="s">
        <v>249</v>
      </c>
      <c r="C251" s="3273"/>
      <c r="D251" s="3268"/>
      <c r="E251" s="3268"/>
      <c r="F251" s="3257">
        <v>0.1</v>
      </c>
      <c r="G251" s="3274"/>
    </row>
    <row r="252" spans="1:7">
      <c r="A252" s="3267" t="s">
        <v>305</v>
      </c>
      <c r="B252" s="3256" t="s">
        <v>2925</v>
      </c>
      <c r="C252" s="3257">
        <v>0.14399999999999999</v>
      </c>
      <c r="D252" s="3257">
        <v>0.14399999999999999</v>
      </c>
      <c r="E252" s="3257">
        <v>0.15</v>
      </c>
      <c r="F252" s="3257">
        <v>0.14899999999999999</v>
      </c>
      <c r="G252" s="3258">
        <v>0.14599999999999999</v>
      </c>
    </row>
    <row r="253" spans="1:7">
      <c r="A253" s="3267" t="s">
        <v>305</v>
      </c>
      <c r="B253" s="3256" t="s">
        <v>283</v>
      </c>
      <c r="C253" s="3257">
        <v>0.14199999999999999</v>
      </c>
      <c r="D253" s="3257">
        <v>0.14199999999999999</v>
      </c>
      <c r="E253" s="3257">
        <v>0.14599999999999999</v>
      </c>
      <c r="F253" s="3257">
        <v>0.14799999999999999</v>
      </c>
      <c r="G253" s="3258">
        <v>0.14499999999999999</v>
      </c>
    </row>
    <row r="254" spans="1:7">
      <c r="A254" s="3267" t="s">
        <v>305</v>
      </c>
      <c r="B254" s="3256" t="s">
        <v>286</v>
      </c>
      <c r="C254" s="3257">
        <v>0.15</v>
      </c>
      <c r="D254" s="3257">
        <v>0.15</v>
      </c>
      <c r="E254" s="3257">
        <v>0.15</v>
      </c>
      <c r="F254" s="3257">
        <v>0.15</v>
      </c>
      <c r="G254" s="3258">
        <v>0.15</v>
      </c>
    </row>
    <row r="255" spans="1:7">
      <c r="A255" s="3267" t="s">
        <v>305</v>
      </c>
      <c r="B255" s="3256" t="s">
        <v>289</v>
      </c>
      <c r="C255" s="3257">
        <v>0.14299999999999999</v>
      </c>
      <c r="D255" s="3257">
        <v>0.14299999999999999</v>
      </c>
      <c r="E255" s="3257">
        <v>0.15</v>
      </c>
      <c r="F255" s="3257">
        <v>0.15</v>
      </c>
      <c r="G255" s="3258">
        <v>0.14499999999999999</v>
      </c>
    </row>
    <row r="256" spans="1:7">
      <c r="A256" s="3267" t="s">
        <v>305</v>
      </c>
      <c r="B256" s="3256" t="s">
        <v>2938</v>
      </c>
      <c r="C256" s="3257">
        <v>0.15</v>
      </c>
      <c r="D256" s="3257">
        <v>0.15</v>
      </c>
      <c r="E256" s="3257">
        <v>0.15</v>
      </c>
      <c r="F256" s="3257">
        <v>0.14599999999999999</v>
      </c>
      <c r="G256" s="3258">
        <v>0.15</v>
      </c>
    </row>
    <row r="257" spans="1:7">
      <c r="A257" s="3267" t="s">
        <v>305</v>
      </c>
      <c r="B257" s="3256" t="s">
        <v>275</v>
      </c>
      <c r="C257" s="3257">
        <v>0.14199999999999999</v>
      </c>
      <c r="D257" s="3257">
        <v>0.14299999999999999</v>
      </c>
      <c r="E257" s="3257">
        <v>0.14799999999999999</v>
      </c>
      <c r="F257" s="3257">
        <v>0.15</v>
      </c>
      <c r="G257" s="3258">
        <v>0.14499999999999999</v>
      </c>
    </row>
    <row r="258" spans="1:7">
      <c r="A258" s="3267" t="s">
        <v>305</v>
      </c>
      <c r="B258" s="3256" t="s">
        <v>2947</v>
      </c>
      <c r="C258" s="3257">
        <v>0.14299999999999999</v>
      </c>
      <c r="D258" s="3257">
        <v>0.14299999999999999</v>
      </c>
      <c r="E258" s="3257">
        <v>0.15</v>
      </c>
      <c r="F258" s="3257">
        <v>0.14799999999999999</v>
      </c>
      <c r="G258" s="3258">
        <v>0.14599999999999999</v>
      </c>
    </row>
    <row r="259" spans="1:7">
      <c r="A259" s="3267" t="s">
        <v>305</v>
      </c>
      <c r="B259" s="3256" t="s">
        <v>2951</v>
      </c>
      <c r="C259" s="3257">
        <v>0.14399999999999999</v>
      </c>
      <c r="D259" s="3257">
        <v>0.14399999999999999</v>
      </c>
      <c r="E259" s="3257">
        <v>0.14899999999999999</v>
      </c>
      <c r="F259" s="3257">
        <v>0.14699999999999999</v>
      </c>
      <c r="G259" s="3258">
        <v>0.14599999999999999</v>
      </c>
    </row>
    <row r="260" spans="1:7">
      <c r="A260" s="3267" t="s">
        <v>305</v>
      </c>
      <c r="B260" s="3256" t="s">
        <v>2958</v>
      </c>
      <c r="C260" s="3257">
        <v>0.109</v>
      </c>
      <c r="D260" s="3257">
        <v>0.111</v>
      </c>
      <c r="E260" s="3257">
        <v>0.13100000000000001</v>
      </c>
      <c r="F260" s="3257">
        <v>0.126</v>
      </c>
      <c r="G260" s="3258">
        <v>0.11899999999999999</v>
      </c>
    </row>
    <row r="261" spans="1:7">
      <c r="A261" s="3267" t="s">
        <v>305</v>
      </c>
      <c r="B261" s="3256" t="s">
        <v>2965</v>
      </c>
      <c r="C261" s="3257">
        <v>0.1</v>
      </c>
      <c r="D261" s="3257">
        <v>0.1</v>
      </c>
      <c r="E261" s="3257">
        <v>0.11799999999999999</v>
      </c>
      <c r="F261" s="3257">
        <v>0.108</v>
      </c>
      <c r="G261" s="3258">
        <v>0.107</v>
      </c>
    </row>
    <row r="262" spans="1:7">
      <c r="A262" s="3267" t="s">
        <v>305</v>
      </c>
      <c r="B262" s="3256" t="s">
        <v>2971</v>
      </c>
      <c r="C262" s="3257">
        <v>0.1</v>
      </c>
      <c r="D262" s="3257">
        <v>0.1</v>
      </c>
      <c r="E262" s="3257">
        <v>0.1</v>
      </c>
      <c r="F262" s="3257">
        <v>0.14099999999999999</v>
      </c>
      <c r="G262" s="3258">
        <v>0.1</v>
      </c>
    </row>
    <row r="263" spans="1:7">
      <c r="A263" s="3267" t="s">
        <v>305</v>
      </c>
      <c r="B263" s="3256" t="s">
        <v>2978</v>
      </c>
      <c r="C263" s="3257">
        <v>0.14799999999999999</v>
      </c>
      <c r="D263" s="3257">
        <v>0.14799999999999999</v>
      </c>
      <c r="E263" s="3257">
        <v>0.15</v>
      </c>
      <c r="F263" s="3257">
        <v>0.14699999999999999</v>
      </c>
      <c r="G263" s="3258">
        <v>0.15</v>
      </c>
    </row>
    <row r="264" spans="1:7">
      <c r="A264" s="3267" t="s">
        <v>305</v>
      </c>
      <c r="B264" s="3256" t="s">
        <v>299</v>
      </c>
      <c r="C264" s="3257">
        <v>0.14299999999999999</v>
      </c>
      <c r="D264" s="3257">
        <v>0.14299999999999999</v>
      </c>
      <c r="E264" s="3257">
        <v>0.15</v>
      </c>
      <c r="F264" s="3257">
        <v>0.14899999999999999</v>
      </c>
      <c r="G264" s="3258">
        <v>0.14599999999999999</v>
      </c>
    </row>
    <row r="265" spans="1:7">
      <c r="A265" s="3267" t="s">
        <v>305</v>
      </c>
      <c r="B265" s="3256" t="s">
        <v>2989</v>
      </c>
      <c r="C265" s="3268"/>
      <c r="D265" s="3268"/>
      <c r="E265" s="3268"/>
      <c r="F265" s="3257">
        <v>0.05</v>
      </c>
      <c r="G265" s="3274"/>
    </row>
    <row r="266" spans="1:7">
      <c r="A266" s="3267" t="s">
        <v>305</v>
      </c>
      <c r="B266" s="3256" t="s">
        <v>2993</v>
      </c>
      <c r="C266" s="3268"/>
      <c r="D266" s="3268"/>
      <c r="E266" s="3268"/>
      <c r="F266" s="3257">
        <v>0.05</v>
      </c>
      <c r="G266" s="3274"/>
    </row>
    <row r="267" spans="1:7">
      <c r="A267" s="3267" t="s">
        <v>305</v>
      </c>
      <c r="B267" s="3256" t="s">
        <v>2998</v>
      </c>
      <c r="C267" s="3268"/>
      <c r="D267" s="3268"/>
      <c r="E267" s="3268"/>
      <c r="F267" s="3257">
        <v>0.05</v>
      </c>
      <c r="G267" s="3274"/>
    </row>
    <row r="268" spans="1:7">
      <c r="A268" s="3267" t="s">
        <v>305</v>
      </c>
      <c r="B268" s="3256" t="s">
        <v>3003</v>
      </c>
      <c r="C268" s="3268"/>
      <c r="D268" s="3268"/>
      <c r="E268" s="3268"/>
      <c r="F268" s="3257">
        <v>0.05</v>
      </c>
      <c r="G268" s="3274"/>
    </row>
    <row r="269" spans="1:7">
      <c r="A269" s="3267" t="s">
        <v>305</v>
      </c>
      <c r="B269" s="3256" t="s">
        <v>3008</v>
      </c>
      <c r="C269" s="3268"/>
      <c r="D269" s="3268"/>
      <c r="E269" s="3268"/>
      <c r="F269" s="3257">
        <v>0.05</v>
      </c>
      <c r="G269" s="3274"/>
    </row>
    <row r="270" spans="1:7">
      <c r="A270" s="3267" t="s">
        <v>305</v>
      </c>
      <c r="B270" s="3256" t="s">
        <v>3013</v>
      </c>
      <c r="C270" s="3268"/>
      <c r="D270" s="3268"/>
      <c r="E270" s="3268"/>
      <c r="F270" s="3257">
        <v>0.05</v>
      </c>
      <c r="G270" s="3274"/>
    </row>
    <row r="271" spans="1:7">
      <c r="A271" s="3267" t="s">
        <v>305</v>
      </c>
      <c r="B271" s="3256" t="s">
        <v>3217</v>
      </c>
      <c r="C271" s="3268"/>
      <c r="D271" s="3268"/>
      <c r="E271" s="3268"/>
      <c r="F271" s="3257">
        <v>0.05</v>
      </c>
      <c r="G271" s="3274"/>
    </row>
    <row r="272" spans="1:7">
      <c r="A272" s="3267" t="s">
        <v>305</v>
      </c>
      <c r="B272" s="3256" t="s">
        <v>3218</v>
      </c>
      <c r="C272" s="3268"/>
      <c r="D272" s="3268"/>
      <c r="E272" s="3268"/>
      <c r="F272" s="3257">
        <v>0.05</v>
      </c>
      <c r="G272" s="3274"/>
    </row>
    <row r="273" spans="1:7">
      <c r="A273" s="3267" t="s">
        <v>305</v>
      </c>
      <c r="B273" s="3256" t="s">
        <v>3219</v>
      </c>
      <c r="C273" s="3268"/>
      <c r="D273" s="3268"/>
      <c r="E273" s="3268"/>
      <c r="F273" s="3257">
        <v>0.05</v>
      </c>
      <c r="G273" s="3274"/>
    </row>
    <row r="274" spans="1:7">
      <c r="A274" s="3267" t="s">
        <v>305</v>
      </c>
      <c r="B274" s="3256" t="s">
        <v>3220</v>
      </c>
      <c r="C274" s="3268"/>
      <c r="D274" s="3268"/>
      <c r="E274" s="3268"/>
      <c r="F274" s="3257">
        <v>0.05</v>
      </c>
      <c r="G274" s="3274"/>
    </row>
    <row r="275" spans="1:7">
      <c r="A275" s="3267" t="s">
        <v>305</v>
      </c>
      <c r="B275" s="3256" t="s">
        <v>3221</v>
      </c>
      <c r="C275" s="3268"/>
      <c r="D275" s="3268"/>
      <c r="E275" s="3268"/>
      <c r="F275" s="3257">
        <v>0.05</v>
      </c>
      <c r="G275" s="3274"/>
    </row>
    <row r="276" spans="1:7" ht="15" thickBot="1">
      <c r="A276" s="3270" t="s">
        <v>305</v>
      </c>
      <c r="B276" s="3260" t="s">
        <v>3222</v>
      </c>
      <c r="C276" s="3262"/>
      <c r="D276" s="3262"/>
      <c r="E276" s="3262"/>
      <c r="F276" s="3261">
        <v>0.05</v>
      </c>
      <c r="G276" s="3275"/>
    </row>
    <row r="277" spans="1:7">
      <c r="A277" s="3266" t="s">
        <v>306</v>
      </c>
      <c r="B277" s="3252" t="s">
        <v>2866</v>
      </c>
      <c r="C277" s="3253">
        <v>0.15</v>
      </c>
      <c r="D277" s="3253">
        <v>0.15</v>
      </c>
      <c r="E277" s="3253">
        <v>0.15</v>
      </c>
      <c r="F277" s="3253">
        <v>0.15</v>
      </c>
      <c r="G277" s="3254">
        <v>0.15</v>
      </c>
    </row>
    <row r="278" spans="1:7">
      <c r="A278" s="3267" t="s">
        <v>306</v>
      </c>
      <c r="B278" s="3256" t="s">
        <v>135</v>
      </c>
      <c r="C278" s="3257">
        <v>0.15</v>
      </c>
      <c r="D278" s="3257">
        <v>0.15</v>
      </c>
      <c r="E278" s="3257">
        <v>0.15</v>
      </c>
      <c r="F278" s="3257">
        <v>0.15</v>
      </c>
      <c r="G278" s="3258">
        <v>0.15</v>
      </c>
    </row>
    <row r="279" spans="1:7">
      <c r="A279" s="3267" t="s">
        <v>306</v>
      </c>
      <c r="B279" s="3256" t="s">
        <v>2878</v>
      </c>
      <c r="C279" s="3257">
        <v>0.15</v>
      </c>
      <c r="D279" s="3257">
        <v>0.15</v>
      </c>
      <c r="E279" s="3257">
        <v>0.15</v>
      </c>
      <c r="F279" s="3257">
        <v>0.15</v>
      </c>
      <c r="G279" s="3258">
        <v>0.15</v>
      </c>
    </row>
    <row r="280" spans="1:7">
      <c r="A280" s="3267" t="s">
        <v>306</v>
      </c>
      <c r="B280" s="3256" t="s">
        <v>2882</v>
      </c>
      <c r="C280" s="3257">
        <v>0.15</v>
      </c>
      <c r="D280" s="3257">
        <v>0.15</v>
      </c>
      <c r="E280" s="3257">
        <v>0.15</v>
      </c>
      <c r="F280" s="3257">
        <v>0.15</v>
      </c>
      <c r="G280" s="3258">
        <v>0.15</v>
      </c>
    </row>
    <row r="281" spans="1:7">
      <c r="A281" s="3267" t="s">
        <v>306</v>
      </c>
      <c r="B281" s="3256" t="s">
        <v>2886</v>
      </c>
      <c r="C281" s="3257">
        <v>0.15</v>
      </c>
      <c r="D281" s="3257">
        <v>0.15</v>
      </c>
      <c r="E281" s="3257">
        <v>0.15</v>
      </c>
      <c r="F281" s="3257">
        <v>0.15</v>
      </c>
      <c r="G281" s="3258">
        <v>0.15</v>
      </c>
    </row>
    <row r="282" spans="1:7">
      <c r="A282" s="3267" t="s">
        <v>306</v>
      </c>
      <c r="B282" s="3256" t="s">
        <v>2890</v>
      </c>
      <c r="C282" s="3257">
        <v>0.15</v>
      </c>
      <c r="D282" s="3257">
        <v>0.15</v>
      </c>
      <c r="E282" s="3257">
        <v>0.15</v>
      </c>
      <c r="F282" s="3257">
        <v>0.14499999999999999</v>
      </c>
      <c r="G282" s="3258">
        <v>0.15</v>
      </c>
    </row>
    <row r="283" spans="1:7">
      <c r="A283" s="3267" t="s">
        <v>306</v>
      </c>
      <c r="B283" s="3256" t="s">
        <v>174</v>
      </c>
      <c r="C283" s="3257">
        <v>0.15</v>
      </c>
      <c r="D283" s="3257">
        <v>0.15</v>
      </c>
      <c r="E283" s="3257">
        <v>0.15</v>
      </c>
      <c r="F283" s="3257">
        <v>0.14199999999999999</v>
      </c>
      <c r="G283" s="3258">
        <v>0.15</v>
      </c>
    </row>
    <row r="284" spans="1:7">
      <c r="A284" s="3267" t="s">
        <v>306</v>
      </c>
      <c r="B284" s="3256" t="s">
        <v>182</v>
      </c>
      <c r="C284" s="3257">
        <v>0.15</v>
      </c>
      <c r="D284" s="3257">
        <v>0.15</v>
      </c>
      <c r="E284" s="3257">
        <v>0.15</v>
      </c>
      <c r="F284" s="3257">
        <v>0.15</v>
      </c>
      <c r="G284" s="3258">
        <v>0.15</v>
      </c>
    </row>
    <row r="285" spans="1:7">
      <c r="A285" s="3267" t="s">
        <v>306</v>
      </c>
      <c r="B285" s="3256" t="s">
        <v>192</v>
      </c>
      <c r="C285" s="3257">
        <v>0.15</v>
      </c>
      <c r="D285" s="3257">
        <v>0.15</v>
      </c>
      <c r="E285" s="3257">
        <v>0.15</v>
      </c>
      <c r="F285" s="3257">
        <v>0.15</v>
      </c>
      <c r="G285" s="3258">
        <v>0.15</v>
      </c>
    </row>
    <row r="286" spans="1:7">
      <c r="A286" s="3267" t="s">
        <v>306</v>
      </c>
      <c r="B286" s="3256" t="s">
        <v>199</v>
      </c>
      <c r="C286" s="3257">
        <v>0.14499999999999999</v>
      </c>
      <c r="D286" s="3257">
        <v>0.14499999999999999</v>
      </c>
      <c r="E286" s="3257">
        <v>0.15</v>
      </c>
      <c r="F286" s="3257">
        <v>0.14099999999999999</v>
      </c>
      <c r="G286" s="3258">
        <v>0.14499999999999999</v>
      </c>
    </row>
    <row r="287" spans="1:7">
      <c r="A287" s="3267" t="s">
        <v>306</v>
      </c>
      <c r="B287" s="3256" t="s">
        <v>2905</v>
      </c>
      <c r="C287" s="3257">
        <v>0.11</v>
      </c>
      <c r="D287" s="3257">
        <v>0.111</v>
      </c>
      <c r="E287" s="3257">
        <v>0.14099999999999999</v>
      </c>
      <c r="F287" s="3257">
        <v>0.11</v>
      </c>
      <c r="G287" s="3258">
        <v>0.12</v>
      </c>
    </row>
    <row r="288" spans="1:7">
      <c r="A288" s="3267" t="s">
        <v>306</v>
      </c>
      <c r="B288" s="3256" t="s">
        <v>219</v>
      </c>
      <c r="C288" s="3257">
        <v>0.14199999999999999</v>
      </c>
      <c r="D288" s="3257">
        <v>0.14299999999999999</v>
      </c>
      <c r="E288" s="3257">
        <v>0.15</v>
      </c>
      <c r="F288" s="3257">
        <v>0.14199999999999999</v>
      </c>
      <c r="G288" s="3258">
        <v>0.14399999999999999</v>
      </c>
    </row>
    <row r="289" spans="1:7">
      <c r="A289" s="3267" t="s">
        <v>306</v>
      </c>
      <c r="B289" s="3256" t="s">
        <v>2910</v>
      </c>
      <c r="C289" s="3257">
        <v>0.14299999999999999</v>
      </c>
      <c r="D289" s="3257">
        <v>0.14299999999999999</v>
      </c>
      <c r="E289" s="3257">
        <v>0.14799999999999999</v>
      </c>
      <c r="F289" s="3257">
        <v>0.14399999999999999</v>
      </c>
      <c r="G289" s="3258">
        <v>0.14399999999999999</v>
      </c>
    </row>
    <row r="290" spans="1:7">
      <c r="A290" s="3267" t="s">
        <v>306</v>
      </c>
      <c r="B290" s="3256" t="s">
        <v>242</v>
      </c>
      <c r="C290" s="3257">
        <v>0.14799999999999999</v>
      </c>
      <c r="D290" s="3257">
        <v>0.14899999999999999</v>
      </c>
      <c r="E290" s="3257">
        <v>0.15</v>
      </c>
      <c r="F290" s="3257">
        <v>0.127</v>
      </c>
      <c r="G290" s="3258">
        <v>0.15</v>
      </c>
    </row>
    <row r="291" spans="1:7">
      <c r="A291" s="3267" t="s">
        <v>306</v>
      </c>
      <c r="B291" s="3256" t="s">
        <v>250</v>
      </c>
      <c r="C291" s="3257">
        <v>0.15</v>
      </c>
      <c r="D291" s="3257">
        <v>0.15</v>
      </c>
      <c r="E291" s="3257">
        <v>0.15</v>
      </c>
      <c r="F291" s="3257">
        <v>0.14899999999999999</v>
      </c>
      <c r="G291" s="3258">
        <v>0.15</v>
      </c>
    </row>
    <row r="292" spans="1:7">
      <c r="A292" s="3267" t="s">
        <v>306</v>
      </c>
      <c r="B292" s="3256" t="s">
        <v>256</v>
      </c>
      <c r="C292" s="3257">
        <v>0.15</v>
      </c>
      <c r="D292" s="3257">
        <v>0.15</v>
      </c>
      <c r="E292" s="3257">
        <v>0.15</v>
      </c>
      <c r="F292" s="3257">
        <v>0.14399999999999999</v>
      </c>
      <c r="G292" s="3258">
        <v>0.15</v>
      </c>
    </row>
    <row r="293" spans="1:7">
      <c r="A293" s="3267" t="s">
        <v>306</v>
      </c>
      <c r="B293" s="3256" t="s">
        <v>2920</v>
      </c>
      <c r="C293" s="3257">
        <v>0.15</v>
      </c>
      <c r="D293" s="3257">
        <v>0.15</v>
      </c>
      <c r="E293" s="3257">
        <v>0.15</v>
      </c>
      <c r="F293" s="3257">
        <v>0.14499999999999999</v>
      </c>
      <c r="G293" s="3258">
        <v>0.15</v>
      </c>
    </row>
    <row r="294" spans="1:7">
      <c r="A294" s="3267" t="s">
        <v>306</v>
      </c>
      <c r="B294" s="3256" t="s">
        <v>2922</v>
      </c>
      <c r="C294" s="3257">
        <v>0.15</v>
      </c>
      <c r="D294" s="3257">
        <v>0.15</v>
      </c>
      <c r="E294" s="3257">
        <v>0.15</v>
      </c>
      <c r="F294" s="3257">
        <v>0.14899999999999999</v>
      </c>
      <c r="G294" s="3258">
        <v>0.15</v>
      </c>
    </row>
    <row r="295" spans="1:7">
      <c r="A295" s="3267" t="s">
        <v>306</v>
      </c>
      <c r="B295" s="3256" t="s">
        <v>290</v>
      </c>
      <c r="C295" s="3257">
        <v>0.15</v>
      </c>
      <c r="D295" s="3257">
        <v>0.15</v>
      </c>
      <c r="E295" s="3257">
        <v>0.15</v>
      </c>
      <c r="F295" s="3257">
        <v>0.14799999999999999</v>
      </c>
      <c r="G295" s="3258">
        <v>0.15</v>
      </c>
    </row>
    <row r="296" spans="1:7">
      <c r="A296" s="3267" t="s">
        <v>306</v>
      </c>
      <c r="B296" s="3256" t="s">
        <v>293</v>
      </c>
      <c r="C296" s="3257">
        <v>0.15</v>
      </c>
      <c r="D296" s="3257">
        <v>0.15</v>
      </c>
      <c r="E296" s="3257">
        <v>0.15</v>
      </c>
      <c r="F296" s="3257">
        <v>0.14399999999999999</v>
      </c>
      <c r="G296" s="3258">
        <v>0.15</v>
      </c>
    </row>
    <row r="297" spans="1:7">
      <c r="A297" s="3267" t="s">
        <v>306</v>
      </c>
      <c r="B297" s="3256" t="s">
        <v>295</v>
      </c>
      <c r="C297" s="3257">
        <v>0.15</v>
      </c>
      <c r="D297" s="3257">
        <v>0.15</v>
      </c>
      <c r="E297" s="3257">
        <v>0.15</v>
      </c>
      <c r="F297" s="3257">
        <v>0.14499999999999999</v>
      </c>
      <c r="G297" s="3258">
        <v>0.15</v>
      </c>
    </row>
    <row r="298" spans="1:7">
      <c r="A298" s="3267" t="s">
        <v>306</v>
      </c>
      <c r="B298" s="3256" t="s">
        <v>298</v>
      </c>
      <c r="C298" s="3257">
        <v>0.15</v>
      </c>
      <c r="D298" s="3257">
        <v>0.15</v>
      </c>
      <c r="E298" s="3257">
        <v>0.15</v>
      </c>
      <c r="F298" s="3257">
        <v>0.15</v>
      </c>
      <c r="G298" s="3258">
        <v>0.15</v>
      </c>
    </row>
    <row r="299" spans="1:7">
      <c r="A299" s="3267" t="s">
        <v>306</v>
      </c>
      <c r="B299" s="3276" t="s">
        <v>2939</v>
      </c>
      <c r="C299" s="3257">
        <v>0.15</v>
      </c>
      <c r="D299" s="3257">
        <v>0.15</v>
      </c>
      <c r="E299" s="3257">
        <v>0.15</v>
      </c>
      <c r="F299" s="3257">
        <v>0.14499999999999999</v>
      </c>
      <c r="G299" s="3258">
        <v>0.15</v>
      </c>
    </row>
    <row r="300" spans="1:7">
      <c r="A300" s="3267" t="s">
        <v>306</v>
      </c>
      <c r="B300" s="3276" t="s">
        <v>271</v>
      </c>
      <c r="C300" s="3257">
        <v>0.15</v>
      </c>
      <c r="D300" s="3257">
        <v>0.15</v>
      </c>
      <c r="E300" s="3257">
        <v>0.15</v>
      </c>
      <c r="F300" s="3257">
        <v>0.14599999999999999</v>
      </c>
      <c r="G300" s="3258">
        <v>0.15</v>
      </c>
    </row>
    <row r="301" spans="1:7">
      <c r="A301" s="3267" t="s">
        <v>306</v>
      </c>
      <c r="B301" s="3276" t="s">
        <v>276</v>
      </c>
      <c r="C301" s="3257">
        <v>0.126</v>
      </c>
      <c r="D301" s="3257">
        <v>0.124</v>
      </c>
      <c r="E301" s="3257">
        <v>0.14099999999999999</v>
      </c>
      <c r="F301" s="3257">
        <v>0.14399999999999999</v>
      </c>
      <c r="G301" s="3258">
        <v>0.13</v>
      </c>
    </row>
    <row r="302" spans="1:7">
      <c r="A302" s="3267" t="s">
        <v>306</v>
      </c>
      <c r="B302" s="3256" t="s">
        <v>2952</v>
      </c>
      <c r="C302" s="3257">
        <v>0.15</v>
      </c>
      <c r="D302" s="3257">
        <v>0.15</v>
      </c>
      <c r="E302" s="3257">
        <v>0.15</v>
      </c>
      <c r="F302" s="3257">
        <v>0.14699999999999999</v>
      </c>
      <c r="G302" s="3258">
        <v>0.15</v>
      </c>
    </row>
    <row r="303" spans="1:7">
      <c r="A303" s="3267" t="s">
        <v>306</v>
      </c>
      <c r="B303" s="3256" t="s">
        <v>2959</v>
      </c>
      <c r="C303" s="3257">
        <v>0.15</v>
      </c>
      <c r="D303" s="3257">
        <v>0.15</v>
      </c>
      <c r="E303" s="3257">
        <v>0.15</v>
      </c>
      <c r="F303" s="3257">
        <v>0.14199999999999999</v>
      </c>
      <c r="G303" s="3258">
        <v>0.15</v>
      </c>
    </row>
    <row r="304" spans="1:7">
      <c r="A304" s="3267" t="s">
        <v>306</v>
      </c>
      <c r="B304" s="3256" t="s">
        <v>2966</v>
      </c>
      <c r="C304" s="3257">
        <v>0.15</v>
      </c>
      <c r="D304" s="3257">
        <v>0.15</v>
      </c>
      <c r="E304" s="3257">
        <v>0.15</v>
      </c>
      <c r="F304" s="3257">
        <v>0.14499999999999999</v>
      </c>
      <c r="G304" s="3258">
        <v>0.15</v>
      </c>
    </row>
    <row r="305" spans="1:7">
      <c r="A305" s="3267" t="s">
        <v>306</v>
      </c>
      <c r="B305" s="3256" t="s">
        <v>2972</v>
      </c>
      <c r="C305" s="3257">
        <v>0.15</v>
      </c>
      <c r="D305" s="3257">
        <v>0.15</v>
      </c>
      <c r="E305" s="3257">
        <v>0.15</v>
      </c>
      <c r="F305" s="3257">
        <v>0.111</v>
      </c>
      <c r="G305" s="3258">
        <v>0.15</v>
      </c>
    </row>
    <row r="306" spans="1:7">
      <c r="A306" s="3267" t="s">
        <v>306</v>
      </c>
      <c r="B306" s="3256" t="s">
        <v>2979</v>
      </c>
      <c r="C306" s="3257">
        <v>0.15</v>
      </c>
      <c r="D306" s="3257">
        <v>0.15</v>
      </c>
      <c r="E306" s="3257">
        <v>0.15</v>
      </c>
      <c r="F306" s="3257">
        <v>0.126</v>
      </c>
      <c r="G306" s="3258">
        <v>0.15</v>
      </c>
    </row>
    <row r="307" spans="1:7">
      <c r="A307" s="3267" t="s">
        <v>306</v>
      </c>
      <c r="B307" s="3256" t="s">
        <v>2984</v>
      </c>
      <c r="C307" s="3257">
        <v>0.15</v>
      </c>
      <c r="D307" s="3257">
        <v>0.15</v>
      </c>
      <c r="E307" s="3257">
        <v>0.15</v>
      </c>
      <c r="F307" s="3257">
        <v>0.12</v>
      </c>
      <c r="G307" s="3258">
        <v>0.15</v>
      </c>
    </row>
    <row r="308" spans="1:7">
      <c r="A308" s="3267" t="s">
        <v>306</v>
      </c>
      <c r="B308" s="3256" t="s">
        <v>2990</v>
      </c>
      <c r="C308" s="3257">
        <v>0.15</v>
      </c>
      <c r="D308" s="3257">
        <v>0.15</v>
      </c>
      <c r="E308" s="3257">
        <v>0.15</v>
      </c>
      <c r="F308" s="3257">
        <v>0.13</v>
      </c>
      <c r="G308" s="3258">
        <v>0.15</v>
      </c>
    </row>
    <row r="309" spans="1:7">
      <c r="A309" s="3267" t="s">
        <v>306</v>
      </c>
      <c r="B309" s="3256" t="s">
        <v>2994</v>
      </c>
      <c r="C309" s="3257">
        <v>0.15</v>
      </c>
      <c r="D309" s="3257">
        <v>0.15</v>
      </c>
      <c r="E309" s="3257">
        <v>0.15</v>
      </c>
      <c r="F309" s="3257">
        <v>0.14099999999999999</v>
      </c>
      <c r="G309" s="3258">
        <v>0.15</v>
      </c>
    </row>
    <row r="310" spans="1:7">
      <c r="A310" s="3267" t="s">
        <v>306</v>
      </c>
      <c r="B310" s="3256" t="s">
        <v>2999</v>
      </c>
      <c r="C310" s="3257">
        <v>0.15</v>
      </c>
      <c r="D310" s="3257">
        <v>0.15</v>
      </c>
      <c r="E310" s="3257">
        <v>0.15</v>
      </c>
      <c r="F310" s="3257">
        <v>0.15</v>
      </c>
      <c r="G310" s="3258">
        <v>0.15</v>
      </c>
    </row>
    <row r="311" spans="1:7">
      <c r="A311" s="3267" t="s">
        <v>306</v>
      </c>
      <c r="B311" s="3256" t="s">
        <v>3004</v>
      </c>
      <c r="C311" s="3257">
        <v>0.13200000000000001</v>
      </c>
      <c r="D311" s="3257">
        <v>0.13300000000000001</v>
      </c>
      <c r="E311" s="3257">
        <v>0.14499999999999999</v>
      </c>
      <c r="F311" s="3257">
        <v>0.14199999999999999</v>
      </c>
      <c r="G311" s="3258">
        <v>0.14000000000000001</v>
      </c>
    </row>
    <row r="312" spans="1:7">
      <c r="A312" s="3267" t="s">
        <v>306</v>
      </c>
      <c r="B312" s="3256" t="s">
        <v>3009</v>
      </c>
      <c r="C312" s="3257">
        <v>0.13800000000000001</v>
      </c>
      <c r="D312" s="3257">
        <v>0.14000000000000001</v>
      </c>
      <c r="E312" s="3257">
        <v>0.14599999999999999</v>
      </c>
      <c r="F312" s="3257">
        <v>0.14899999999999999</v>
      </c>
      <c r="G312" s="3258">
        <v>0.14199999999999999</v>
      </c>
    </row>
    <row r="313" spans="1:7">
      <c r="A313" s="3267" t="s">
        <v>306</v>
      </c>
      <c r="B313" s="3256" t="s">
        <v>3014</v>
      </c>
      <c r="C313" s="3257">
        <v>0.125</v>
      </c>
      <c r="D313" s="3257">
        <v>0.127</v>
      </c>
      <c r="E313" s="3257">
        <v>0.14399999999999999</v>
      </c>
      <c r="F313" s="3257">
        <v>0.115</v>
      </c>
      <c r="G313" s="3258">
        <v>0.13600000000000001</v>
      </c>
    </row>
    <row r="314" spans="1:7">
      <c r="A314" s="3267" t="s">
        <v>306</v>
      </c>
      <c r="B314" s="3256" t="s">
        <v>3223</v>
      </c>
      <c r="C314" s="3273"/>
      <c r="D314" s="3273"/>
      <c r="E314" s="3273"/>
      <c r="F314" s="3257">
        <v>0.05</v>
      </c>
      <c r="G314" s="3274"/>
    </row>
    <row r="315" spans="1:7">
      <c r="A315" s="3267" t="s">
        <v>306</v>
      </c>
      <c r="B315" s="3256" t="s">
        <v>3224</v>
      </c>
      <c r="C315" s="3273"/>
      <c r="D315" s="3273"/>
      <c r="E315" s="3273"/>
      <c r="F315" s="3257">
        <v>0.05</v>
      </c>
      <c r="G315" s="3274"/>
    </row>
    <row r="316" spans="1:7">
      <c r="A316" s="3267" t="s">
        <v>306</v>
      </c>
      <c r="B316" s="3256" t="s">
        <v>3225</v>
      </c>
      <c r="C316" s="3268"/>
      <c r="D316" s="3268"/>
      <c r="E316" s="3268"/>
      <c r="F316" s="3257">
        <v>0.05</v>
      </c>
      <c r="G316" s="3274"/>
    </row>
    <row r="317" spans="1:7">
      <c r="A317" s="3267" t="s">
        <v>306</v>
      </c>
      <c r="B317" s="3256" t="s">
        <v>3226</v>
      </c>
      <c r="C317" s="3268"/>
      <c r="D317" s="3268"/>
      <c r="E317" s="3268"/>
      <c r="F317" s="3257">
        <v>0.05</v>
      </c>
      <c r="G317" s="3274"/>
    </row>
    <row r="318" spans="1:7">
      <c r="A318" s="3267" t="s">
        <v>306</v>
      </c>
      <c r="B318" s="3256" t="s">
        <v>3227</v>
      </c>
      <c r="C318" s="3268"/>
      <c r="D318" s="3268"/>
      <c r="E318" s="3268"/>
      <c r="F318" s="3257">
        <v>0.05</v>
      </c>
      <c r="G318" s="3274"/>
    </row>
    <row r="319" spans="1:7">
      <c r="A319" s="3267" t="s">
        <v>306</v>
      </c>
      <c r="B319" s="3256" t="s">
        <v>3228</v>
      </c>
      <c r="C319" s="3268"/>
      <c r="D319" s="3268"/>
      <c r="E319" s="3268"/>
      <c r="F319" s="3257">
        <v>0.05</v>
      </c>
      <c r="G319" s="3274"/>
    </row>
    <row r="320" spans="1:7">
      <c r="A320" s="3267" t="s">
        <v>306</v>
      </c>
      <c r="B320" s="3256" t="s">
        <v>3229</v>
      </c>
      <c r="C320" s="3268"/>
      <c r="D320" s="3268"/>
      <c r="E320" s="3268"/>
      <c r="F320" s="3257">
        <v>0.05</v>
      </c>
      <c r="G320" s="3274"/>
    </row>
    <row r="321" spans="1:7">
      <c r="A321" s="3267" t="s">
        <v>306</v>
      </c>
      <c r="B321" s="3256" t="s">
        <v>3230</v>
      </c>
      <c r="C321" s="3268"/>
      <c r="D321" s="3268"/>
      <c r="E321" s="3268"/>
      <c r="F321" s="3257">
        <v>0.05</v>
      </c>
      <c r="G321" s="3274"/>
    </row>
    <row r="322" spans="1:7">
      <c r="A322" s="3267" t="s">
        <v>306</v>
      </c>
      <c r="B322" s="3256" t="s">
        <v>3231</v>
      </c>
      <c r="C322" s="3268"/>
      <c r="D322" s="3268"/>
      <c r="E322" s="3268"/>
      <c r="F322" s="3257">
        <v>0.05</v>
      </c>
      <c r="G322" s="3274"/>
    </row>
    <row r="323" spans="1:7">
      <c r="A323" s="3267" t="s">
        <v>306</v>
      </c>
      <c r="B323" s="3256" t="s">
        <v>3232</v>
      </c>
      <c r="C323" s="3268"/>
      <c r="D323" s="3268"/>
      <c r="E323" s="3268"/>
      <c r="F323" s="3257">
        <v>0.05</v>
      </c>
      <c r="G323" s="3274"/>
    </row>
    <row r="324" spans="1:7">
      <c r="A324" s="3267" t="s">
        <v>306</v>
      </c>
      <c r="B324" s="3256" t="s">
        <v>3233</v>
      </c>
      <c r="C324" s="3268"/>
      <c r="D324" s="3268"/>
      <c r="E324" s="3268"/>
      <c r="F324" s="3257">
        <v>0.05</v>
      </c>
      <c r="G324" s="3274"/>
    </row>
    <row r="325" spans="1:7">
      <c r="A325" s="3267" t="s">
        <v>306</v>
      </c>
      <c r="B325" s="3256" t="s">
        <v>3234</v>
      </c>
      <c r="C325" s="3268"/>
      <c r="D325" s="3268"/>
      <c r="E325" s="3268"/>
      <c r="F325" s="3257">
        <v>0.05</v>
      </c>
      <c r="G325" s="3274"/>
    </row>
    <row r="326" spans="1:7" ht="15" thickBot="1">
      <c r="A326" s="3270" t="s">
        <v>306</v>
      </c>
      <c r="B326" s="3260" t="s">
        <v>3235</v>
      </c>
      <c r="C326" s="3262"/>
      <c r="D326" s="3262"/>
      <c r="E326" s="3262"/>
      <c r="F326" s="3261">
        <v>0.05</v>
      </c>
      <c r="G326" s="3275"/>
    </row>
    <row r="327" spans="1:7">
      <c r="A327" s="3266" t="s">
        <v>307</v>
      </c>
      <c r="B327" s="3252" t="s">
        <v>2867</v>
      </c>
      <c r="C327" s="3253">
        <v>0.15</v>
      </c>
      <c r="D327" s="3253">
        <v>0.15</v>
      </c>
      <c r="E327" s="3253">
        <v>0.15</v>
      </c>
      <c r="F327" s="3253">
        <v>0.15</v>
      </c>
      <c r="G327" s="3254">
        <v>0.15</v>
      </c>
    </row>
    <row r="328" spans="1:7">
      <c r="A328" s="3267" t="s">
        <v>307</v>
      </c>
      <c r="B328" s="3256" t="s">
        <v>136</v>
      </c>
      <c r="C328" s="3257">
        <v>0.15</v>
      </c>
      <c r="D328" s="3257">
        <v>0.15</v>
      </c>
      <c r="E328" s="3257">
        <v>0.15</v>
      </c>
      <c r="F328" s="3257">
        <v>0.126</v>
      </c>
      <c r="G328" s="3258">
        <v>0.15</v>
      </c>
    </row>
    <row r="329" spans="1:7">
      <c r="A329" s="3267" t="s">
        <v>307</v>
      </c>
      <c r="B329" s="3256" t="s">
        <v>2879</v>
      </c>
      <c r="C329" s="3257">
        <v>0.15</v>
      </c>
      <c r="D329" s="3257">
        <v>0.15</v>
      </c>
      <c r="E329" s="3257">
        <v>0.15</v>
      </c>
      <c r="F329" s="3257">
        <v>0.15</v>
      </c>
      <c r="G329" s="3258">
        <v>0.15</v>
      </c>
    </row>
    <row r="330" spans="1:7">
      <c r="A330" s="3267" t="s">
        <v>307</v>
      </c>
      <c r="B330" s="3256" t="s">
        <v>2883</v>
      </c>
      <c r="C330" s="3257">
        <v>0.15</v>
      </c>
      <c r="D330" s="3257">
        <v>0.15</v>
      </c>
      <c r="E330" s="3257">
        <v>0.15</v>
      </c>
      <c r="F330" s="3257">
        <v>0.15</v>
      </c>
      <c r="G330" s="3258">
        <v>0.15</v>
      </c>
    </row>
    <row r="331" spans="1:7">
      <c r="A331" s="3267" t="s">
        <v>307</v>
      </c>
      <c r="B331" s="3256" t="s">
        <v>161</v>
      </c>
      <c r="C331" s="3257">
        <v>0.15</v>
      </c>
      <c r="D331" s="3257">
        <v>0.15</v>
      </c>
      <c r="E331" s="3257">
        <v>0.15</v>
      </c>
      <c r="F331" s="3257">
        <v>0.15</v>
      </c>
      <c r="G331" s="3258">
        <v>0.15</v>
      </c>
    </row>
    <row r="332" spans="1:7">
      <c r="A332" s="3267" t="s">
        <v>307</v>
      </c>
      <c r="B332" s="3256" t="s">
        <v>2891</v>
      </c>
      <c r="C332" s="3257">
        <v>0.15</v>
      </c>
      <c r="D332" s="3257">
        <v>0.15</v>
      </c>
      <c r="E332" s="3257">
        <v>0.15</v>
      </c>
      <c r="F332" s="3257">
        <v>0.15</v>
      </c>
      <c r="G332" s="3258">
        <v>0.15</v>
      </c>
    </row>
    <row r="333" spans="1:7">
      <c r="A333" s="3267" t="s">
        <v>307</v>
      </c>
      <c r="B333" s="3256" t="s">
        <v>2895</v>
      </c>
      <c r="C333" s="3257">
        <v>0.14899999999999999</v>
      </c>
      <c r="D333" s="3257">
        <v>0.14899999999999999</v>
      </c>
      <c r="E333" s="3257">
        <v>0.15</v>
      </c>
      <c r="F333" s="3257">
        <v>0.11600000000000001</v>
      </c>
      <c r="G333" s="3258">
        <v>0.15</v>
      </c>
    </row>
    <row r="334" spans="1:7">
      <c r="A334" s="3267" t="s">
        <v>307</v>
      </c>
      <c r="B334" s="3256" t="s">
        <v>183</v>
      </c>
      <c r="C334" s="3257">
        <v>0.15</v>
      </c>
      <c r="D334" s="3257">
        <v>0.15</v>
      </c>
      <c r="E334" s="3257">
        <v>0.15</v>
      </c>
      <c r="F334" s="3257">
        <v>0.13</v>
      </c>
      <c r="G334" s="3258">
        <v>0.15</v>
      </c>
    </row>
    <row r="335" spans="1:7">
      <c r="A335" s="3267" t="s">
        <v>307</v>
      </c>
      <c r="B335" s="3256" t="s">
        <v>193</v>
      </c>
      <c r="C335" s="3257">
        <v>0.15</v>
      </c>
      <c r="D335" s="3257">
        <v>0.15</v>
      </c>
      <c r="E335" s="3257">
        <v>0.15</v>
      </c>
      <c r="F335" s="3257">
        <v>0.14399999999999999</v>
      </c>
      <c r="G335" s="3258">
        <v>0.15</v>
      </c>
    </row>
    <row r="336" spans="1:7">
      <c r="A336" s="3267" t="s">
        <v>307</v>
      </c>
      <c r="B336" s="3256" t="s">
        <v>2901</v>
      </c>
      <c r="C336" s="3257">
        <v>0.15</v>
      </c>
      <c r="D336" s="3257">
        <v>0.15</v>
      </c>
      <c r="E336" s="3257">
        <v>0.15</v>
      </c>
      <c r="F336" s="3257">
        <v>0.14199999999999999</v>
      </c>
      <c r="G336" s="3258">
        <v>0.15</v>
      </c>
    </row>
    <row r="337" spans="1:7">
      <c r="A337" s="3267" t="s">
        <v>307</v>
      </c>
      <c r="B337" s="3256" t="s">
        <v>2906</v>
      </c>
      <c r="C337" s="3257">
        <v>0.15</v>
      </c>
      <c r="D337" s="3257">
        <v>0.15</v>
      </c>
      <c r="E337" s="3257">
        <v>0.15</v>
      </c>
      <c r="F337" s="3257">
        <v>0.14499999999999999</v>
      </c>
      <c r="G337" s="3258">
        <v>0.15</v>
      </c>
    </row>
    <row r="338" spans="1:7">
      <c r="A338" s="3267" t="s">
        <v>307</v>
      </c>
      <c r="B338" s="3256" t="s">
        <v>220</v>
      </c>
      <c r="C338" s="3257">
        <v>0.15</v>
      </c>
      <c r="D338" s="3257">
        <v>0.15</v>
      </c>
      <c r="E338" s="3257">
        <v>0.15</v>
      </c>
      <c r="F338" s="3257">
        <v>0.15</v>
      </c>
      <c r="G338" s="3258">
        <v>0.15</v>
      </c>
    </row>
    <row r="339" spans="1:7">
      <c r="A339" s="3267" t="s">
        <v>307</v>
      </c>
      <c r="B339" s="3256" t="s">
        <v>228</v>
      </c>
      <c r="C339" s="3257">
        <v>0.15</v>
      </c>
      <c r="D339" s="3257">
        <v>0.15</v>
      </c>
      <c r="E339" s="3257">
        <v>0.15</v>
      </c>
      <c r="F339" s="3257">
        <v>0.14699999999999999</v>
      </c>
      <c r="G339" s="3258">
        <v>0.15</v>
      </c>
    </row>
    <row r="340" spans="1:7">
      <c r="A340" s="3267" t="s">
        <v>307</v>
      </c>
      <c r="B340" s="3256" t="s">
        <v>2913</v>
      </c>
      <c r="C340" s="3257">
        <v>0.14599999999999999</v>
      </c>
      <c r="D340" s="3257">
        <v>0.14599999999999999</v>
      </c>
      <c r="E340" s="3257">
        <v>0.15</v>
      </c>
      <c r="F340" s="3257">
        <v>0.14099999999999999</v>
      </c>
      <c r="G340" s="3258">
        <v>0.14699999999999999</v>
      </c>
    </row>
    <row r="341" spans="1:7">
      <c r="A341" s="3267" t="s">
        <v>307</v>
      </c>
      <c r="B341" s="3256" t="s">
        <v>207</v>
      </c>
      <c r="C341" s="3257">
        <v>0.126</v>
      </c>
      <c r="D341" s="3257">
        <v>0.124</v>
      </c>
      <c r="E341" s="3257">
        <v>0.14099999999999999</v>
      </c>
      <c r="F341" s="3257">
        <v>0.14399999999999999</v>
      </c>
      <c r="G341" s="3258">
        <v>0.13</v>
      </c>
    </row>
    <row r="342" spans="1:7">
      <c r="A342" s="3267" t="s">
        <v>307</v>
      </c>
      <c r="B342" s="3256" t="s">
        <v>2918</v>
      </c>
      <c r="C342" s="3257">
        <v>0.15</v>
      </c>
      <c r="D342" s="3257">
        <v>0.15</v>
      </c>
      <c r="E342" s="3257">
        <v>0.15</v>
      </c>
      <c r="F342" s="3257">
        <v>0.14399999999999999</v>
      </c>
      <c r="G342" s="3258">
        <v>0.15</v>
      </c>
    </row>
    <row r="343" spans="1:7">
      <c r="A343" s="3267" t="s">
        <v>307</v>
      </c>
      <c r="B343" s="3256" t="s">
        <v>257</v>
      </c>
      <c r="C343" s="3257">
        <v>0.15</v>
      </c>
      <c r="D343" s="3257">
        <v>0.15</v>
      </c>
      <c r="E343" s="3257">
        <v>0.15</v>
      </c>
      <c r="F343" s="3257">
        <v>0.128</v>
      </c>
      <c r="G343" s="3258">
        <v>0.15</v>
      </c>
    </row>
    <row r="344" spans="1:7">
      <c r="A344" s="3267" t="s">
        <v>307</v>
      </c>
      <c r="B344" s="3256" t="s">
        <v>265</v>
      </c>
      <c r="C344" s="3257">
        <v>0.15</v>
      </c>
      <c r="D344" s="3257">
        <v>0.15</v>
      </c>
      <c r="E344" s="3257">
        <v>0.15</v>
      </c>
      <c r="F344" s="3257">
        <v>0.14799999999999999</v>
      </c>
      <c r="G344" s="3258">
        <v>0.15</v>
      </c>
    </row>
    <row r="345" spans="1:7">
      <c r="A345" s="3267" t="s">
        <v>307</v>
      </c>
      <c r="B345" s="3256" t="s">
        <v>2926</v>
      </c>
      <c r="C345" s="3257">
        <v>0.15</v>
      </c>
      <c r="D345" s="3257">
        <v>0.15</v>
      </c>
      <c r="E345" s="3257">
        <v>0.15</v>
      </c>
      <c r="F345" s="3257">
        <v>0.13800000000000001</v>
      </c>
      <c r="G345" s="3258">
        <v>0.15</v>
      </c>
    </row>
    <row r="346" spans="1:7">
      <c r="A346" s="3267" t="s">
        <v>307</v>
      </c>
      <c r="B346" s="3256" t="s">
        <v>2928</v>
      </c>
      <c r="C346" s="3257">
        <v>0.15</v>
      </c>
      <c r="D346" s="3257">
        <v>0.15</v>
      </c>
      <c r="E346" s="3257">
        <v>0.15</v>
      </c>
      <c r="F346" s="3257">
        <v>0.14399999999999999</v>
      </c>
      <c r="G346" s="3258">
        <v>0.15</v>
      </c>
    </row>
    <row r="347" spans="1:7">
      <c r="A347" s="3267" t="s">
        <v>307</v>
      </c>
      <c r="B347" s="3256" t="s">
        <v>243</v>
      </c>
      <c r="C347" s="3257">
        <v>0.15</v>
      </c>
      <c r="D347" s="3257">
        <v>0.15</v>
      </c>
      <c r="E347" s="3257">
        <v>0.15</v>
      </c>
      <c r="F347" s="3257">
        <v>0.14599999999999999</v>
      </c>
      <c r="G347" s="3258">
        <v>0.15</v>
      </c>
    </row>
    <row r="348" spans="1:7">
      <c r="A348" s="3267" t="s">
        <v>307</v>
      </c>
      <c r="B348" s="3256" t="s">
        <v>2935</v>
      </c>
      <c r="C348" s="3257">
        <v>0.15</v>
      </c>
      <c r="D348" s="3257">
        <v>0.15</v>
      </c>
      <c r="E348" s="3257">
        <v>0.15</v>
      </c>
      <c r="F348" s="3257">
        <v>0.14399999999999999</v>
      </c>
      <c r="G348" s="3258">
        <v>0.15</v>
      </c>
    </row>
    <row r="349" spans="1:7">
      <c r="A349" s="3267" t="s">
        <v>307</v>
      </c>
      <c r="B349" s="3256" t="s">
        <v>2940</v>
      </c>
      <c r="C349" s="3257">
        <v>0.15</v>
      </c>
      <c r="D349" s="3257">
        <v>0.15</v>
      </c>
      <c r="E349" s="3257">
        <v>0.15</v>
      </c>
      <c r="F349" s="3257">
        <v>0.15</v>
      </c>
      <c r="G349" s="3258">
        <v>0.15</v>
      </c>
    </row>
    <row r="350" spans="1:7">
      <c r="A350" s="3267" t="s">
        <v>307</v>
      </c>
      <c r="B350" s="3256" t="s">
        <v>2943</v>
      </c>
      <c r="C350" s="3257">
        <v>0.15</v>
      </c>
      <c r="D350" s="3257">
        <v>0.15</v>
      </c>
      <c r="E350" s="3257">
        <v>0.15</v>
      </c>
      <c r="F350" s="3257">
        <v>0.14699999999999999</v>
      </c>
      <c r="G350" s="3258">
        <v>0.15</v>
      </c>
    </row>
    <row r="351" spans="1:7">
      <c r="A351" s="3267" t="s">
        <v>307</v>
      </c>
      <c r="B351" s="3256" t="s">
        <v>2948</v>
      </c>
      <c r="C351" s="3257">
        <v>0.15</v>
      </c>
      <c r="D351" s="3257">
        <v>0.15</v>
      </c>
      <c r="E351" s="3257">
        <v>0.15</v>
      </c>
      <c r="F351" s="3257">
        <v>0.13</v>
      </c>
      <c r="G351" s="3258">
        <v>0.15</v>
      </c>
    </row>
    <row r="352" spans="1:7">
      <c r="A352" s="3267" t="s">
        <v>307</v>
      </c>
      <c r="B352" s="3256" t="s">
        <v>2953</v>
      </c>
      <c r="C352" s="3257">
        <v>0.15</v>
      </c>
      <c r="D352" s="3257">
        <v>0.15</v>
      </c>
      <c r="E352" s="3257">
        <v>0.15</v>
      </c>
      <c r="F352" s="3257">
        <v>0.14599999999999999</v>
      </c>
      <c r="G352" s="3258">
        <v>0.15</v>
      </c>
    </row>
    <row r="353" spans="1:7">
      <c r="A353" s="3267" t="s">
        <v>307</v>
      </c>
      <c r="B353" s="3256" t="s">
        <v>2960</v>
      </c>
      <c r="C353" s="3257">
        <v>0.15</v>
      </c>
      <c r="D353" s="3257">
        <v>0.15</v>
      </c>
      <c r="E353" s="3257">
        <v>0.15</v>
      </c>
      <c r="F353" s="3257">
        <v>0.14499999999999999</v>
      </c>
      <c r="G353" s="3258">
        <v>0.15</v>
      </c>
    </row>
    <row r="354" spans="1:7">
      <c r="A354" s="3267" t="s">
        <v>307</v>
      </c>
      <c r="B354" s="3256" t="s">
        <v>280</v>
      </c>
      <c r="C354" s="3257">
        <v>0.15</v>
      </c>
      <c r="D354" s="3257">
        <v>0.15</v>
      </c>
      <c r="E354" s="3257">
        <v>0.15</v>
      </c>
      <c r="F354" s="3257">
        <v>0.14099999999999999</v>
      </c>
      <c r="G354" s="3258">
        <v>0.15</v>
      </c>
    </row>
    <row r="355" spans="1:7">
      <c r="A355" s="3267" t="s">
        <v>307</v>
      </c>
      <c r="B355" s="3256" t="s">
        <v>2973</v>
      </c>
      <c r="C355" s="3257">
        <v>0.15</v>
      </c>
      <c r="D355" s="3257">
        <v>0.15</v>
      </c>
      <c r="E355" s="3257">
        <v>0.15</v>
      </c>
      <c r="F355" s="3257">
        <v>0.15</v>
      </c>
      <c r="G355" s="3258">
        <v>0.15</v>
      </c>
    </row>
    <row r="356" spans="1:7">
      <c r="A356" s="3267" t="s">
        <v>307</v>
      </c>
      <c r="B356" s="3256" t="s">
        <v>2980</v>
      </c>
      <c r="C356" s="3257">
        <v>0.15</v>
      </c>
      <c r="D356" s="3257">
        <v>0.15</v>
      </c>
      <c r="E356" s="3257">
        <v>0.15</v>
      </c>
      <c r="F356" s="3257">
        <v>0.15</v>
      </c>
      <c r="G356" s="3258">
        <v>0.15</v>
      </c>
    </row>
    <row r="357" spans="1:7" ht="15" thickBot="1">
      <c r="A357" s="3270" t="s">
        <v>307</v>
      </c>
      <c r="B357" s="3260" t="s">
        <v>2985</v>
      </c>
      <c r="C357" s="3261">
        <v>0.126</v>
      </c>
      <c r="D357" s="3261">
        <v>0.127</v>
      </c>
      <c r="E357" s="3261">
        <v>0.14299999999999999</v>
      </c>
      <c r="F357" s="3261">
        <v>0.125</v>
      </c>
      <c r="G357" s="3263">
        <v>0.129</v>
      </c>
    </row>
    <row r="358" spans="1:7">
      <c r="A358" s="3266" t="s">
        <v>2854</v>
      </c>
      <c r="B358" s="3252" t="s">
        <v>2868</v>
      </c>
      <c r="C358" s="3253">
        <v>0.15</v>
      </c>
      <c r="D358" s="3253">
        <v>0.15</v>
      </c>
      <c r="E358" s="3253">
        <v>0.15</v>
      </c>
      <c r="F358" s="3253">
        <v>0.15</v>
      </c>
      <c r="G358" s="3254">
        <v>0.15</v>
      </c>
    </row>
    <row r="359" spans="1:7">
      <c r="A359" s="3267" t="s">
        <v>2854</v>
      </c>
      <c r="B359" s="3256" t="s">
        <v>2874</v>
      </c>
      <c r="C359" s="3257">
        <v>0.1</v>
      </c>
      <c r="D359" s="3257">
        <v>0.1</v>
      </c>
      <c r="E359" s="3257">
        <v>0.1</v>
      </c>
      <c r="F359" s="3257">
        <v>0.1</v>
      </c>
      <c r="G359" s="3258">
        <v>0.1</v>
      </c>
    </row>
    <row r="360" spans="1:7">
      <c r="A360" s="3267" t="s">
        <v>2854</v>
      </c>
      <c r="B360" s="3256" t="s">
        <v>2880</v>
      </c>
      <c r="C360" s="3257">
        <v>0.15</v>
      </c>
      <c r="D360" s="3257">
        <v>0.15</v>
      </c>
      <c r="E360" s="3257">
        <v>0.15</v>
      </c>
      <c r="F360" s="3257">
        <v>0.14899999999999999</v>
      </c>
      <c r="G360" s="3258">
        <v>0.15</v>
      </c>
    </row>
    <row r="361" spans="1:7">
      <c r="A361" s="3267" t="s">
        <v>2854</v>
      </c>
      <c r="B361" s="3256" t="s">
        <v>153</v>
      </c>
      <c r="C361" s="3257">
        <v>0.15</v>
      </c>
      <c r="D361" s="3257">
        <v>0.15</v>
      </c>
      <c r="E361" s="3257">
        <v>0.15</v>
      </c>
      <c r="F361" s="3257">
        <v>0.115</v>
      </c>
      <c r="G361" s="3258">
        <v>0.15</v>
      </c>
    </row>
    <row r="362" spans="1:7">
      <c r="A362" s="3267" t="s">
        <v>2854</v>
      </c>
      <c r="B362" s="3256" t="s">
        <v>2887</v>
      </c>
      <c r="C362" s="3257">
        <v>0.15</v>
      </c>
      <c r="D362" s="3257">
        <v>0.15</v>
      </c>
      <c r="E362" s="3257">
        <v>0.15</v>
      </c>
      <c r="F362" s="3257">
        <v>0.106</v>
      </c>
      <c r="G362" s="3258">
        <v>0.15</v>
      </c>
    </row>
    <row r="363" spans="1:7">
      <c r="A363" s="3267" t="s">
        <v>2854</v>
      </c>
      <c r="B363" s="3256" t="s">
        <v>2892</v>
      </c>
      <c r="C363" s="3257">
        <v>0.15</v>
      </c>
      <c r="D363" s="3257">
        <v>0.15</v>
      </c>
      <c r="E363" s="3257">
        <v>0.15</v>
      </c>
      <c r="F363" s="3257">
        <v>0.14699999999999999</v>
      </c>
      <c r="G363" s="3258">
        <v>0.15</v>
      </c>
    </row>
    <row r="364" spans="1:7">
      <c r="A364" s="3267" t="s">
        <v>2854</v>
      </c>
      <c r="B364" s="3256" t="s">
        <v>2896</v>
      </c>
      <c r="C364" s="3257">
        <v>0.15</v>
      </c>
      <c r="D364" s="3257">
        <v>0.15</v>
      </c>
      <c r="E364" s="3257">
        <v>0.15</v>
      </c>
      <c r="F364" s="3257">
        <v>0.14799999999999999</v>
      </c>
      <c r="G364" s="3258">
        <v>0.15</v>
      </c>
    </row>
    <row r="365" spans="1:7">
      <c r="A365" s="3267" t="s">
        <v>2854</v>
      </c>
      <c r="B365" s="3256" t="s">
        <v>200</v>
      </c>
      <c r="C365" s="3257">
        <v>0.15</v>
      </c>
      <c r="D365" s="3257">
        <v>0.15</v>
      </c>
      <c r="E365" s="3257">
        <v>0.15</v>
      </c>
      <c r="F365" s="3257">
        <v>0.15</v>
      </c>
      <c r="G365" s="3258">
        <v>0.15</v>
      </c>
    </row>
    <row r="366" spans="1:7">
      <c r="A366" s="3267" t="s">
        <v>2854</v>
      </c>
      <c r="B366" s="3256" t="s">
        <v>2899</v>
      </c>
      <c r="C366" s="3257">
        <v>0.15</v>
      </c>
      <c r="D366" s="3257">
        <v>0.15</v>
      </c>
      <c r="E366" s="3257">
        <v>0.15</v>
      </c>
      <c r="F366" s="3257">
        <v>0.15</v>
      </c>
      <c r="G366" s="3258">
        <v>0.15</v>
      </c>
    </row>
    <row r="367" spans="1:7">
      <c r="A367" s="3267" t="s">
        <v>2854</v>
      </c>
      <c r="B367" s="3256" t="s">
        <v>2902</v>
      </c>
      <c r="C367" s="3257">
        <v>0.15</v>
      </c>
      <c r="D367" s="3257">
        <v>0.15</v>
      </c>
      <c r="E367" s="3257">
        <v>0.15</v>
      </c>
      <c r="F367" s="3257">
        <v>0.14699999999999999</v>
      </c>
      <c r="G367" s="3258">
        <v>0.15</v>
      </c>
    </row>
    <row r="368" spans="1:7">
      <c r="A368" s="3267" t="s">
        <v>2854</v>
      </c>
      <c r="B368" s="3256" t="s">
        <v>2907</v>
      </c>
      <c r="C368" s="3257">
        <v>0.15</v>
      </c>
      <c r="D368" s="3257">
        <v>0.15</v>
      </c>
      <c r="E368" s="3257">
        <v>0.15</v>
      </c>
      <c r="F368" s="3257">
        <v>0.13600000000000001</v>
      </c>
      <c r="G368" s="3258">
        <v>0.15</v>
      </c>
    </row>
    <row r="369" spans="1:7">
      <c r="A369" s="3267" t="s">
        <v>2854</v>
      </c>
      <c r="B369" s="3256" t="s">
        <v>214</v>
      </c>
      <c r="C369" s="3257">
        <v>0.15</v>
      </c>
      <c r="D369" s="3257">
        <v>0.15</v>
      </c>
      <c r="E369" s="3257">
        <v>0.15</v>
      </c>
      <c r="F369" s="3257">
        <v>0.14399999999999999</v>
      </c>
      <c r="G369" s="3258">
        <v>0.15</v>
      </c>
    </row>
    <row r="370" spans="1:7">
      <c r="A370" s="3267" t="s">
        <v>2854</v>
      </c>
      <c r="B370" s="3256" t="s">
        <v>221</v>
      </c>
      <c r="C370" s="3257">
        <v>0.15</v>
      </c>
      <c r="D370" s="3257">
        <v>0.15</v>
      </c>
      <c r="E370" s="3257">
        <v>0.15</v>
      </c>
      <c r="F370" s="3257">
        <v>0.14599999999999999</v>
      </c>
      <c r="G370" s="3258">
        <v>0.15</v>
      </c>
    </row>
    <row r="371" spans="1:7">
      <c r="A371" s="3267" t="s">
        <v>2854</v>
      </c>
      <c r="B371" s="3256" t="s">
        <v>229</v>
      </c>
      <c r="C371" s="3257">
        <v>0.15</v>
      </c>
      <c r="D371" s="3257">
        <v>0.15</v>
      </c>
      <c r="E371" s="3257">
        <v>0.15</v>
      </c>
      <c r="F371" s="3257">
        <v>0.12</v>
      </c>
      <c r="G371" s="3258">
        <v>0.15</v>
      </c>
    </row>
    <row r="372" spans="1:7">
      <c r="A372" s="3267" t="s">
        <v>2854</v>
      </c>
      <c r="B372" s="3256" t="s">
        <v>2915</v>
      </c>
      <c r="C372" s="3257">
        <v>0.15</v>
      </c>
      <c r="D372" s="3257">
        <v>0.15</v>
      </c>
      <c r="E372" s="3257">
        <v>0.15</v>
      </c>
      <c r="F372" s="3257">
        <v>0.14299999999999999</v>
      </c>
      <c r="G372" s="3258">
        <v>0.15</v>
      </c>
    </row>
    <row r="373" spans="1:7">
      <c r="A373" s="3267" t="s">
        <v>2854</v>
      </c>
      <c r="B373" s="3256" t="s">
        <v>258</v>
      </c>
      <c r="C373" s="3257">
        <v>0.15</v>
      </c>
      <c r="D373" s="3257">
        <v>0.15</v>
      </c>
      <c r="E373" s="3257">
        <v>0.15</v>
      </c>
      <c r="F373" s="3257">
        <v>0.14599999999999999</v>
      </c>
      <c r="G373" s="3258">
        <v>0.15</v>
      </c>
    </row>
    <row r="374" spans="1:7">
      <c r="A374" s="3267" t="s">
        <v>2854</v>
      </c>
      <c r="B374" s="3256" t="s">
        <v>266</v>
      </c>
      <c r="C374" s="3257">
        <v>0.15</v>
      </c>
      <c r="D374" s="3257">
        <v>0.15</v>
      </c>
      <c r="E374" s="3257">
        <v>0.15</v>
      </c>
      <c r="F374" s="3257">
        <v>0.14399999999999999</v>
      </c>
      <c r="G374" s="3258">
        <v>0.15</v>
      </c>
    </row>
    <row r="375" spans="1:7">
      <c r="A375" s="3267" t="s">
        <v>2854</v>
      </c>
      <c r="B375" s="3256" t="s">
        <v>2923</v>
      </c>
      <c r="C375" s="3257">
        <v>0.15</v>
      </c>
      <c r="D375" s="3257">
        <v>0.15</v>
      </c>
      <c r="E375" s="3257">
        <v>0.15</v>
      </c>
      <c r="F375" s="3257">
        <v>0.13</v>
      </c>
      <c r="G375" s="3258">
        <v>0.15</v>
      </c>
    </row>
    <row r="376" spans="1:7">
      <c r="A376" s="3267" t="s">
        <v>2854</v>
      </c>
      <c r="B376" s="3256" t="s">
        <v>277</v>
      </c>
      <c r="C376" s="3257">
        <v>0.15</v>
      </c>
      <c r="D376" s="3257">
        <v>0.15</v>
      </c>
      <c r="E376" s="3257">
        <v>0.15</v>
      </c>
      <c r="F376" s="3257">
        <v>0.14199999999999999</v>
      </c>
      <c r="G376" s="3258">
        <v>0.15</v>
      </c>
    </row>
    <row r="377" spans="1:7" ht="15" thickBot="1">
      <c r="A377" s="3270" t="s">
        <v>2854</v>
      </c>
      <c r="B377" s="3260" t="s">
        <v>2929</v>
      </c>
      <c r="C377" s="3261">
        <v>0.15</v>
      </c>
      <c r="D377" s="3261">
        <v>0.15</v>
      </c>
      <c r="E377" s="3261">
        <v>0.15</v>
      </c>
      <c r="F377" s="3261">
        <v>0.14000000000000001</v>
      </c>
      <c r="G377" s="3263">
        <v>0.15</v>
      </c>
    </row>
    <row r="378" spans="1:7">
      <c r="A378" s="3266" t="s">
        <v>2855</v>
      </c>
      <c r="B378" s="3252" t="s">
        <v>2869</v>
      </c>
      <c r="C378" s="3253">
        <v>0.15</v>
      </c>
      <c r="D378" s="3253">
        <v>0.15</v>
      </c>
      <c r="E378" s="3253">
        <v>0.15</v>
      </c>
      <c r="F378" s="3253">
        <v>0.107</v>
      </c>
      <c r="G378" s="3254">
        <v>0.15</v>
      </c>
    </row>
    <row r="379" spans="1:7">
      <c r="A379" s="3267" t="s">
        <v>2855</v>
      </c>
      <c r="B379" s="3256" t="s">
        <v>2875</v>
      </c>
      <c r="C379" s="3257">
        <v>0.15</v>
      </c>
      <c r="D379" s="3257">
        <v>0.15</v>
      </c>
      <c r="E379" s="3257">
        <v>0.15</v>
      </c>
      <c r="F379" s="3257">
        <v>0.115</v>
      </c>
      <c r="G379" s="3258">
        <v>0.14899999999999999</v>
      </c>
    </row>
    <row r="380" spans="1:7">
      <c r="A380" s="3267" t="s">
        <v>2855</v>
      </c>
      <c r="B380" s="3256" t="s">
        <v>2881</v>
      </c>
      <c r="C380" s="3257">
        <v>0.15</v>
      </c>
      <c r="D380" s="3257">
        <v>0.15</v>
      </c>
      <c r="E380" s="3257">
        <v>0.15</v>
      </c>
      <c r="F380" s="3257">
        <v>0.1</v>
      </c>
      <c r="G380" s="3258">
        <v>0.14799999999999999</v>
      </c>
    </row>
    <row r="381" spans="1:7">
      <c r="A381" s="3267" t="s">
        <v>2855</v>
      </c>
      <c r="B381" s="3256" t="s">
        <v>2884</v>
      </c>
      <c r="C381" s="3257">
        <v>0.15</v>
      </c>
      <c r="D381" s="3257">
        <v>0.15</v>
      </c>
      <c r="E381" s="3257">
        <v>0.15</v>
      </c>
      <c r="F381" s="3257">
        <v>0.126</v>
      </c>
      <c r="G381" s="3258">
        <v>0.15</v>
      </c>
    </row>
    <row r="382" spans="1:7">
      <c r="A382" s="3267" t="s">
        <v>2855</v>
      </c>
      <c r="B382" s="3256" t="s">
        <v>2888</v>
      </c>
      <c r="C382" s="3257">
        <v>0.15</v>
      </c>
      <c r="D382" s="3257">
        <v>0.15</v>
      </c>
      <c r="E382" s="3257">
        <v>0.15</v>
      </c>
      <c r="F382" s="3257">
        <v>0.15</v>
      </c>
      <c r="G382" s="3258">
        <v>0.15</v>
      </c>
    </row>
    <row r="383" spans="1:7">
      <c r="A383" s="3267" t="s">
        <v>2855</v>
      </c>
      <c r="B383" s="3256" t="s">
        <v>2893</v>
      </c>
      <c r="C383" s="3257">
        <v>0.15</v>
      </c>
      <c r="D383" s="3257">
        <v>0.15</v>
      </c>
      <c r="E383" s="3257">
        <v>0.15</v>
      </c>
      <c r="F383" s="3257">
        <v>0.14699999999999999</v>
      </c>
      <c r="G383" s="3258">
        <v>0.15</v>
      </c>
    </row>
    <row r="384" spans="1:7" ht="15" thickBot="1">
      <c r="A384" s="3277" t="s">
        <v>2855</v>
      </c>
      <c r="B384" s="3278" t="s">
        <v>2897</v>
      </c>
      <c r="C384" s="3279">
        <v>0.15</v>
      </c>
      <c r="D384" s="3279">
        <v>0.15</v>
      </c>
      <c r="E384" s="3279">
        <v>0.15</v>
      </c>
      <c r="F384" s="3279">
        <v>0.15</v>
      </c>
      <c r="G384" s="3280">
        <v>0.15</v>
      </c>
    </row>
  </sheetData>
  <sheetProtection password="CEE9" sheet="1" objects="1" scenarios="1"/>
  <mergeCells count="1">
    <mergeCell ref="A1:B1"/>
  </mergeCells>
  <phoneticPr fontId="93" type="noConversion"/>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sqref="A1:XFD1048576"/>
    </sheetView>
  </sheetViews>
  <sheetFormatPr defaultColWidth="13.125" defaultRowHeight="14.25"/>
  <cols>
    <col min="1" max="16384" width="13.125" style="3282"/>
  </cols>
  <sheetData>
    <row r="1" spans="1:6">
      <c r="A1" s="3886" t="s">
        <v>3236</v>
      </c>
      <c r="B1" s="3886"/>
      <c r="C1" s="3886"/>
      <c r="D1" s="3886"/>
      <c r="E1" s="3886"/>
      <c r="F1" s="3887"/>
    </row>
    <row r="2" spans="1:6">
      <c r="A2" s="3283" t="s">
        <v>3237</v>
      </c>
      <c r="B2" s="3284"/>
      <c r="C2" s="3284"/>
      <c r="D2" s="3284"/>
      <c r="E2" s="3284"/>
      <c r="F2" s="3284"/>
    </row>
    <row r="3" spans="1:6">
      <c r="A3" s="3283" t="s">
        <v>3238</v>
      </c>
      <c r="B3" s="3284"/>
      <c r="C3" s="3284"/>
      <c r="D3" s="3284"/>
      <c r="E3" s="3284"/>
      <c r="F3" s="3285" t="s">
        <v>3239</v>
      </c>
    </row>
    <row r="4" spans="1:6">
      <c r="A4" s="3286" t="s">
        <v>672</v>
      </c>
      <c r="B4" s="3286" t="s">
        <v>673</v>
      </c>
      <c r="C4" s="3286" t="s">
        <v>21</v>
      </c>
      <c r="D4" s="3286" t="s">
        <v>674</v>
      </c>
      <c r="E4" s="3286" t="s">
        <v>3</v>
      </c>
      <c r="F4" s="3286" t="s">
        <v>3240</v>
      </c>
    </row>
    <row r="5" spans="1:6">
      <c r="A5" s="3287" t="s">
        <v>675</v>
      </c>
      <c r="B5" s="3286"/>
      <c r="C5" s="3286"/>
      <c r="D5" s="3286"/>
      <c r="E5" s="3286"/>
      <c r="F5" s="3288"/>
    </row>
    <row r="6" spans="1:6">
      <c r="A6" s="3287" t="s">
        <v>144</v>
      </c>
      <c r="B6" s="3289">
        <v>35380</v>
      </c>
      <c r="C6" s="3289">
        <v>35180</v>
      </c>
      <c r="D6" s="3289">
        <v>35030</v>
      </c>
      <c r="E6" s="3289">
        <v>13780</v>
      </c>
      <c r="F6" s="3289">
        <v>25980</v>
      </c>
    </row>
    <row r="7" spans="1:6">
      <c r="A7" s="3287" t="s">
        <v>184</v>
      </c>
      <c r="B7" s="3289">
        <v>29960</v>
      </c>
      <c r="C7" s="3289">
        <v>29800</v>
      </c>
      <c r="D7" s="3289">
        <v>29690</v>
      </c>
      <c r="E7" s="3289">
        <v>10100</v>
      </c>
      <c r="F7" s="3289">
        <v>21690</v>
      </c>
    </row>
    <row r="8" spans="1:6">
      <c r="A8" s="3287" t="s">
        <v>296</v>
      </c>
      <c r="B8" s="3289">
        <v>24480</v>
      </c>
      <c r="C8" s="3289">
        <v>24380</v>
      </c>
      <c r="D8" s="3289">
        <v>25590</v>
      </c>
      <c r="E8" s="3289">
        <v>7010</v>
      </c>
      <c r="F8" s="3289">
        <v>17060</v>
      </c>
    </row>
    <row r="9" spans="1:6">
      <c r="A9" s="3287" t="s">
        <v>110</v>
      </c>
      <c r="B9" s="3289">
        <v>19370</v>
      </c>
      <c r="C9" s="3289">
        <v>19290</v>
      </c>
      <c r="D9" s="3289">
        <v>21280</v>
      </c>
      <c r="E9" s="3289">
        <v>4910</v>
      </c>
      <c r="F9" s="3289">
        <v>13090</v>
      </c>
    </row>
    <row r="10" spans="1:6">
      <c r="A10" s="3287" t="s">
        <v>303</v>
      </c>
      <c r="B10" s="3289">
        <v>15050</v>
      </c>
      <c r="C10" s="3289">
        <v>14980</v>
      </c>
      <c r="D10" s="3289">
        <v>17300</v>
      </c>
      <c r="E10" s="3289">
        <v>3450</v>
      </c>
      <c r="F10" s="3289">
        <v>9900</v>
      </c>
    </row>
    <row r="11" spans="1:6">
      <c r="A11" s="3287" t="s">
        <v>29</v>
      </c>
      <c r="B11" s="3289">
        <v>11550</v>
      </c>
      <c r="C11" s="3289">
        <v>11490</v>
      </c>
      <c r="D11" s="3289">
        <v>13850</v>
      </c>
      <c r="E11" s="3289">
        <v>2400</v>
      </c>
      <c r="F11" s="3289">
        <v>7390</v>
      </c>
    </row>
    <row r="12" spans="1:6">
      <c r="A12" s="3287" t="s">
        <v>304</v>
      </c>
      <c r="B12" s="3289">
        <v>8630</v>
      </c>
      <c r="C12" s="3289">
        <v>8580</v>
      </c>
      <c r="D12" s="3289">
        <v>10740</v>
      </c>
      <c r="E12" s="3289">
        <v>1720</v>
      </c>
      <c r="F12" s="3289">
        <v>5420</v>
      </c>
    </row>
    <row r="13" spans="1:6">
      <c r="A13" s="3287" t="s">
        <v>305</v>
      </c>
      <c r="B13" s="3289">
        <v>6620</v>
      </c>
      <c r="C13" s="3289">
        <v>6580</v>
      </c>
      <c r="D13" s="3289">
        <v>7830</v>
      </c>
      <c r="E13" s="3289">
        <v>1260</v>
      </c>
      <c r="F13" s="3289">
        <v>4040</v>
      </c>
    </row>
    <row r="14" spans="1:6">
      <c r="A14" s="3287" t="s">
        <v>306</v>
      </c>
      <c r="B14" s="3289">
        <v>4900</v>
      </c>
      <c r="C14" s="3289">
        <v>4860</v>
      </c>
      <c r="D14" s="3289">
        <v>5540</v>
      </c>
      <c r="E14" s="3289">
        <v>950</v>
      </c>
      <c r="F14" s="3289">
        <v>2930</v>
      </c>
    </row>
    <row r="15" spans="1:6">
      <c r="A15" s="3287" t="s">
        <v>307</v>
      </c>
      <c r="B15" s="3289">
        <v>3380</v>
      </c>
      <c r="C15" s="3289">
        <v>3340</v>
      </c>
      <c r="D15" s="3289">
        <v>3630</v>
      </c>
      <c r="E15" s="3289">
        <v>730</v>
      </c>
      <c r="F15" s="3289">
        <v>1990</v>
      </c>
    </row>
    <row r="16" spans="1:6">
      <c r="A16" s="3287" t="s">
        <v>369</v>
      </c>
      <c r="B16" s="3289">
        <v>2230</v>
      </c>
      <c r="C16" s="3289">
        <v>2200</v>
      </c>
      <c r="D16" s="3289">
        <v>2180</v>
      </c>
      <c r="E16" s="3289">
        <v>570</v>
      </c>
      <c r="F16" s="3289">
        <v>1330</v>
      </c>
    </row>
    <row r="17" spans="1:6">
      <c r="A17" s="3287" t="s">
        <v>370</v>
      </c>
      <c r="B17" s="3289">
        <v>1390</v>
      </c>
      <c r="C17" s="3289">
        <v>1360</v>
      </c>
      <c r="D17" s="3289">
        <v>1340</v>
      </c>
      <c r="E17" s="3289">
        <v>450</v>
      </c>
      <c r="F17" s="3289">
        <v>860</v>
      </c>
    </row>
  </sheetData>
  <sheetProtection password="CEE9" sheet="1" objects="1" scenarios="1"/>
  <mergeCells count="1">
    <mergeCell ref="A1:F1"/>
  </mergeCells>
  <phoneticPr fontId="134" type="noConversion"/>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2"/>
  <sheetViews>
    <sheetView workbookViewId="0">
      <selection activeCell="I22" sqref="I22"/>
    </sheetView>
  </sheetViews>
  <sheetFormatPr defaultColWidth="8.875" defaultRowHeight="14.25"/>
  <cols>
    <col min="1" max="1" width="4.875" style="1238" customWidth="1"/>
    <col min="2" max="2" width="13.125" style="1244" customWidth="1"/>
    <col min="3" max="3" width="15.625" style="1244" customWidth="1"/>
    <col min="4" max="4" width="9.375" style="1244" bestFit="1" customWidth="1"/>
    <col min="5" max="5" width="13.5" style="1244" customWidth="1"/>
    <col min="6" max="6" width="8.875" style="1244"/>
    <col min="7" max="7" width="9.375" style="1244" bestFit="1" customWidth="1"/>
    <col min="8" max="8" width="12.125" style="1244" customWidth="1"/>
    <col min="9" max="9" width="8.875" style="1244"/>
    <col min="10" max="10" width="9.375" style="1244" bestFit="1" customWidth="1"/>
    <col min="11" max="11" width="4" style="1238" customWidth="1"/>
    <col min="12" max="12" width="5.125" style="1244" customWidth="1"/>
    <col min="13" max="13" width="13.875" style="1244" customWidth="1"/>
    <col min="14" max="256" width="8.875" style="1244"/>
    <col min="257" max="257" width="4.875" style="1235" customWidth="1"/>
    <col min="258" max="258" width="13.125" style="1235" customWidth="1"/>
    <col min="259" max="259" width="15.625" style="1235" customWidth="1"/>
    <col min="260" max="260" width="9.375" style="1235" bestFit="1" customWidth="1"/>
    <col min="261" max="261" width="13.5" style="1235" customWidth="1"/>
    <col min="262" max="262" width="8.875" style="1235"/>
    <col min="263" max="263" width="9.375" style="1235" bestFit="1" customWidth="1"/>
    <col min="264" max="265" width="8.875" style="1235"/>
    <col min="266" max="266" width="9.375" style="1235" bestFit="1" customWidth="1"/>
    <col min="267" max="267" width="4" style="1235" customWidth="1"/>
    <col min="268" max="268" width="5.125" style="1235" customWidth="1"/>
    <col min="269" max="269" width="13.875" style="1235" customWidth="1"/>
    <col min="270" max="512" width="8.875" style="1235"/>
    <col min="513" max="513" width="4.875" style="1235" customWidth="1"/>
    <col min="514" max="514" width="13.125" style="1235" customWidth="1"/>
    <col min="515" max="515" width="15.625" style="1235" customWidth="1"/>
    <col min="516" max="516" width="9.375" style="1235" bestFit="1" customWidth="1"/>
    <col min="517" max="517" width="13.5" style="1235" customWidth="1"/>
    <col min="518" max="518" width="8.875" style="1235"/>
    <col min="519" max="519" width="9.375" style="1235" bestFit="1" customWidth="1"/>
    <col min="520" max="521" width="8.875" style="1235"/>
    <col min="522" max="522" width="9.375" style="1235" bestFit="1" customWidth="1"/>
    <col min="523" max="523" width="4" style="1235" customWidth="1"/>
    <col min="524" max="524" width="5.125" style="1235" customWidth="1"/>
    <col min="525" max="525" width="13.875" style="1235" customWidth="1"/>
    <col min="526" max="768" width="8.875" style="1235"/>
    <col min="769" max="769" width="4.875" style="1235" customWidth="1"/>
    <col min="770" max="770" width="13.125" style="1235" customWidth="1"/>
    <col min="771" max="771" width="15.625" style="1235" customWidth="1"/>
    <col min="772" max="772" width="9.375" style="1235" bestFit="1" customWidth="1"/>
    <col min="773" max="773" width="13.5" style="1235" customWidth="1"/>
    <col min="774" max="774" width="8.875" style="1235"/>
    <col min="775" max="775" width="9.375" style="1235" bestFit="1" customWidth="1"/>
    <col min="776" max="777" width="8.875" style="1235"/>
    <col min="778" max="778" width="9.375" style="1235" bestFit="1" customWidth="1"/>
    <col min="779" max="779" width="4" style="1235" customWidth="1"/>
    <col min="780" max="780" width="5.125" style="1235" customWidth="1"/>
    <col min="781" max="781" width="13.875" style="1235" customWidth="1"/>
    <col min="782" max="1024" width="8.875" style="1235"/>
    <col min="1025" max="1025" width="4.875" style="1235" customWidth="1"/>
    <col min="1026" max="1026" width="13.125" style="1235" customWidth="1"/>
    <col min="1027" max="1027" width="15.625" style="1235" customWidth="1"/>
    <col min="1028" max="1028" width="9.375" style="1235" bestFit="1" customWidth="1"/>
    <col min="1029" max="1029" width="13.5" style="1235" customWidth="1"/>
    <col min="1030" max="1030" width="8.875" style="1235"/>
    <col min="1031" max="1031" width="9.375" style="1235" bestFit="1" customWidth="1"/>
    <col min="1032" max="1033" width="8.875" style="1235"/>
    <col min="1034" max="1034" width="9.375" style="1235" bestFit="1" customWidth="1"/>
    <col min="1035" max="1035" width="4" style="1235" customWidth="1"/>
    <col min="1036" max="1036" width="5.125" style="1235" customWidth="1"/>
    <col min="1037" max="1037" width="13.875" style="1235" customWidth="1"/>
    <col min="1038" max="1280" width="8.875" style="1235"/>
    <col min="1281" max="1281" width="4.875" style="1235" customWidth="1"/>
    <col min="1282" max="1282" width="13.125" style="1235" customWidth="1"/>
    <col min="1283" max="1283" width="15.625" style="1235" customWidth="1"/>
    <col min="1284" max="1284" width="9.375" style="1235" bestFit="1" customWidth="1"/>
    <col min="1285" max="1285" width="13.5" style="1235" customWidth="1"/>
    <col min="1286" max="1286" width="8.875" style="1235"/>
    <col min="1287" max="1287" width="9.375" style="1235" bestFit="1" customWidth="1"/>
    <col min="1288" max="1289" width="8.875" style="1235"/>
    <col min="1290" max="1290" width="9.375" style="1235" bestFit="1" customWidth="1"/>
    <col min="1291" max="1291" width="4" style="1235" customWidth="1"/>
    <col min="1292" max="1292" width="5.125" style="1235" customWidth="1"/>
    <col min="1293" max="1293" width="13.875" style="1235" customWidth="1"/>
    <col min="1294" max="1536" width="8.875" style="1235"/>
    <col min="1537" max="1537" width="4.875" style="1235" customWidth="1"/>
    <col min="1538" max="1538" width="13.125" style="1235" customWidth="1"/>
    <col min="1539" max="1539" width="15.625" style="1235" customWidth="1"/>
    <col min="1540" max="1540" width="9.375" style="1235" bestFit="1" customWidth="1"/>
    <col min="1541" max="1541" width="13.5" style="1235" customWidth="1"/>
    <col min="1542" max="1542" width="8.875" style="1235"/>
    <col min="1543" max="1543" width="9.375" style="1235" bestFit="1" customWidth="1"/>
    <col min="1544" max="1545" width="8.875" style="1235"/>
    <col min="1546" max="1546" width="9.375" style="1235" bestFit="1" customWidth="1"/>
    <col min="1547" max="1547" width="4" style="1235" customWidth="1"/>
    <col min="1548" max="1548" width="5.125" style="1235" customWidth="1"/>
    <col min="1549" max="1549" width="13.875" style="1235" customWidth="1"/>
    <col min="1550" max="1792" width="8.875" style="1235"/>
    <col min="1793" max="1793" width="4.875" style="1235" customWidth="1"/>
    <col min="1794" max="1794" width="13.125" style="1235" customWidth="1"/>
    <col min="1795" max="1795" width="15.625" style="1235" customWidth="1"/>
    <col min="1796" max="1796" width="9.375" style="1235" bestFit="1" customWidth="1"/>
    <col min="1797" max="1797" width="13.5" style="1235" customWidth="1"/>
    <col min="1798" max="1798" width="8.875" style="1235"/>
    <col min="1799" max="1799" width="9.375" style="1235" bestFit="1" customWidth="1"/>
    <col min="1800" max="1801" width="8.875" style="1235"/>
    <col min="1802" max="1802" width="9.375" style="1235" bestFit="1" customWidth="1"/>
    <col min="1803" max="1803" width="4" style="1235" customWidth="1"/>
    <col min="1804" max="1804" width="5.125" style="1235" customWidth="1"/>
    <col min="1805" max="1805" width="13.875" style="1235" customWidth="1"/>
    <col min="1806" max="2048" width="8.875" style="1235"/>
    <col min="2049" max="2049" width="4.875" style="1235" customWidth="1"/>
    <col min="2050" max="2050" width="13.125" style="1235" customWidth="1"/>
    <col min="2051" max="2051" width="15.625" style="1235" customWidth="1"/>
    <col min="2052" max="2052" width="9.375" style="1235" bestFit="1" customWidth="1"/>
    <col min="2053" max="2053" width="13.5" style="1235" customWidth="1"/>
    <col min="2054" max="2054" width="8.875" style="1235"/>
    <col min="2055" max="2055" width="9.375" style="1235" bestFit="1" customWidth="1"/>
    <col min="2056" max="2057" width="8.875" style="1235"/>
    <col min="2058" max="2058" width="9.375" style="1235" bestFit="1" customWidth="1"/>
    <col min="2059" max="2059" width="4" style="1235" customWidth="1"/>
    <col min="2060" max="2060" width="5.125" style="1235" customWidth="1"/>
    <col min="2061" max="2061" width="13.875" style="1235" customWidth="1"/>
    <col min="2062" max="2304" width="8.875" style="1235"/>
    <col min="2305" max="2305" width="4.875" style="1235" customWidth="1"/>
    <col min="2306" max="2306" width="13.125" style="1235" customWidth="1"/>
    <col min="2307" max="2307" width="15.625" style="1235" customWidth="1"/>
    <col min="2308" max="2308" width="9.375" style="1235" bestFit="1" customWidth="1"/>
    <col min="2309" max="2309" width="13.5" style="1235" customWidth="1"/>
    <col min="2310" max="2310" width="8.875" style="1235"/>
    <col min="2311" max="2311" width="9.375" style="1235" bestFit="1" customWidth="1"/>
    <col min="2312" max="2313" width="8.875" style="1235"/>
    <col min="2314" max="2314" width="9.375" style="1235" bestFit="1" customWidth="1"/>
    <col min="2315" max="2315" width="4" style="1235" customWidth="1"/>
    <col min="2316" max="2316" width="5.125" style="1235" customWidth="1"/>
    <col min="2317" max="2317" width="13.875" style="1235" customWidth="1"/>
    <col min="2318" max="2560" width="8.875" style="1235"/>
    <col min="2561" max="2561" width="4.875" style="1235" customWidth="1"/>
    <col min="2562" max="2562" width="13.125" style="1235" customWidth="1"/>
    <col min="2563" max="2563" width="15.625" style="1235" customWidth="1"/>
    <col min="2564" max="2564" width="9.375" style="1235" bestFit="1" customWidth="1"/>
    <col min="2565" max="2565" width="13.5" style="1235" customWidth="1"/>
    <col min="2566" max="2566" width="8.875" style="1235"/>
    <col min="2567" max="2567" width="9.375" style="1235" bestFit="1" customWidth="1"/>
    <col min="2568" max="2569" width="8.875" style="1235"/>
    <col min="2570" max="2570" width="9.375" style="1235" bestFit="1" customWidth="1"/>
    <col min="2571" max="2571" width="4" style="1235" customWidth="1"/>
    <col min="2572" max="2572" width="5.125" style="1235" customWidth="1"/>
    <col min="2573" max="2573" width="13.875" style="1235" customWidth="1"/>
    <col min="2574" max="2816" width="8.875" style="1235"/>
    <col min="2817" max="2817" width="4.875" style="1235" customWidth="1"/>
    <col min="2818" max="2818" width="13.125" style="1235" customWidth="1"/>
    <col min="2819" max="2819" width="15.625" style="1235" customWidth="1"/>
    <col min="2820" max="2820" width="9.375" style="1235" bestFit="1" customWidth="1"/>
    <col min="2821" max="2821" width="13.5" style="1235" customWidth="1"/>
    <col min="2822" max="2822" width="8.875" style="1235"/>
    <col min="2823" max="2823" width="9.375" style="1235" bestFit="1" customWidth="1"/>
    <col min="2824" max="2825" width="8.875" style="1235"/>
    <col min="2826" max="2826" width="9.375" style="1235" bestFit="1" customWidth="1"/>
    <col min="2827" max="2827" width="4" style="1235" customWidth="1"/>
    <col min="2828" max="2828" width="5.125" style="1235" customWidth="1"/>
    <col min="2829" max="2829" width="13.875" style="1235" customWidth="1"/>
    <col min="2830" max="3072" width="8.875" style="1235"/>
    <col min="3073" max="3073" width="4.875" style="1235" customWidth="1"/>
    <col min="3074" max="3074" width="13.125" style="1235" customWidth="1"/>
    <col min="3075" max="3075" width="15.625" style="1235" customWidth="1"/>
    <col min="3076" max="3076" width="9.375" style="1235" bestFit="1" customWidth="1"/>
    <col min="3077" max="3077" width="13.5" style="1235" customWidth="1"/>
    <col min="3078" max="3078" width="8.875" style="1235"/>
    <col min="3079" max="3079" width="9.375" style="1235" bestFit="1" customWidth="1"/>
    <col min="3080" max="3081" width="8.875" style="1235"/>
    <col min="3082" max="3082" width="9.375" style="1235" bestFit="1" customWidth="1"/>
    <col min="3083" max="3083" width="4" style="1235" customWidth="1"/>
    <col min="3084" max="3084" width="5.125" style="1235" customWidth="1"/>
    <col min="3085" max="3085" width="13.875" style="1235" customWidth="1"/>
    <col min="3086" max="3328" width="8.875" style="1235"/>
    <col min="3329" max="3329" width="4.875" style="1235" customWidth="1"/>
    <col min="3330" max="3330" width="13.125" style="1235" customWidth="1"/>
    <col min="3331" max="3331" width="15.625" style="1235" customWidth="1"/>
    <col min="3332" max="3332" width="9.375" style="1235" bestFit="1" customWidth="1"/>
    <col min="3333" max="3333" width="13.5" style="1235" customWidth="1"/>
    <col min="3334" max="3334" width="8.875" style="1235"/>
    <col min="3335" max="3335" width="9.375" style="1235" bestFit="1" customWidth="1"/>
    <col min="3336" max="3337" width="8.875" style="1235"/>
    <col min="3338" max="3338" width="9.375" style="1235" bestFit="1" customWidth="1"/>
    <col min="3339" max="3339" width="4" style="1235" customWidth="1"/>
    <col min="3340" max="3340" width="5.125" style="1235" customWidth="1"/>
    <col min="3341" max="3341" width="13.875" style="1235" customWidth="1"/>
    <col min="3342" max="3584" width="8.875" style="1235"/>
    <col min="3585" max="3585" width="4.875" style="1235" customWidth="1"/>
    <col min="3586" max="3586" width="13.125" style="1235" customWidth="1"/>
    <col min="3587" max="3587" width="15.625" style="1235" customWidth="1"/>
    <col min="3588" max="3588" width="9.375" style="1235" bestFit="1" customWidth="1"/>
    <col min="3589" max="3589" width="13.5" style="1235" customWidth="1"/>
    <col min="3590" max="3590" width="8.875" style="1235"/>
    <col min="3591" max="3591" width="9.375" style="1235" bestFit="1" customWidth="1"/>
    <col min="3592" max="3593" width="8.875" style="1235"/>
    <col min="3594" max="3594" width="9.375" style="1235" bestFit="1" customWidth="1"/>
    <col min="3595" max="3595" width="4" style="1235" customWidth="1"/>
    <col min="3596" max="3596" width="5.125" style="1235" customWidth="1"/>
    <col min="3597" max="3597" width="13.875" style="1235" customWidth="1"/>
    <col min="3598" max="3840" width="8.875" style="1235"/>
    <col min="3841" max="3841" width="4.875" style="1235" customWidth="1"/>
    <col min="3842" max="3842" width="13.125" style="1235" customWidth="1"/>
    <col min="3843" max="3843" width="15.625" style="1235" customWidth="1"/>
    <col min="3844" max="3844" width="9.375" style="1235" bestFit="1" customWidth="1"/>
    <col min="3845" max="3845" width="13.5" style="1235" customWidth="1"/>
    <col min="3846" max="3846" width="8.875" style="1235"/>
    <col min="3847" max="3847" width="9.375" style="1235" bestFit="1" customWidth="1"/>
    <col min="3848" max="3849" width="8.875" style="1235"/>
    <col min="3850" max="3850" width="9.375" style="1235" bestFit="1" customWidth="1"/>
    <col min="3851" max="3851" width="4" style="1235" customWidth="1"/>
    <col min="3852" max="3852" width="5.125" style="1235" customWidth="1"/>
    <col min="3853" max="3853" width="13.875" style="1235" customWidth="1"/>
    <col min="3854" max="4096" width="8.875" style="1235"/>
    <col min="4097" max="4097" width="4.875" style="1235" customWidth="1"/>
    <col min="4098" max="4098" width="13.125" style="1235" customWidth="1"/>
    <col min="4099" max="4099" width="15.625" style="1235" customWidth="1"/>
    <col min="4100" max="4100" width="9.375" style="1235" bestFit="1" customWidth="1"/>
    <col min="4101" max="4101" width="13.5" style="1235" customWidth="1"/>
    <col min="4102" max="4102" width="8.875" style="1235"/>
    <col min="4103" max="4103" width="9.375" style="1235" bestFit="1" customWidth="1"/>
    <col min="4104" max="4105" width="8.875" style="1235"/>
    <col min="4106" max="4106" width="9.375" style="1235" bestFit="1" customWidth="1"/>
    <col min="4107" max="4107" width="4" style="1235" customWidth="1"/>
    <col min="4108" max="4108" width="5.125" style="1235" customWidth="1"/>
    <col min="4109" max="4109" width="13.875" style="1235" customWidth="1"/>
    <col min="4110" max="4352" width="8.875" style="1235"/>
    <col min="4353" max="4353" width="4.875" style="1235" customWidth="1"/>
    <col min="4354" max="4354" width="13.125" style="1235" customWidth="1"/>
    <col min="4355" max="4355" width="15.625" style="1235" customWidth="1"/>
    <col min="4356" max="4356" width="9.375" style="1235" bestFit="1" customWidth="1"/>
    <col min="4357" max="4357" width="13.5" style="1235" customWidth="1"/>
    <col min="4358" max="4358" width="8.875" style="1235"/>
    <col min="4359" max="4359" width="9.375" style="1235" bestFit="1" customWidth="1"/>
    <col min="4360" max="4361" width="8.875" style="1235"/>
    <col min="4362" max="4362" width="9.375" style="1235" bestFit="1" customWidth="1"/>
    <col min="4363" max="4363" width="4" style="1235" customWidth="1"/>
    <col min="4364" max="4364" width="5.125" style="1235" customWidth="1"/>
    <col min="4365" max="4365" width="13.875" style="1235" customWidth="1"/>
    <col min="4366" max="4608" width="8.875" style="1235"/>
    <col min="4609" max="4609" width="4.875" style="1235" customWidth="1"/>
    <col min="4610" max="4610" width="13.125" style="1235" customWidth="1"/>
    <col min="4611" max="4611" width="15.625" style="1235" customWidth="1"/>
    <col min="4612" max="4612" width="9.375" style="1235" bestFit="1" customWidth="1"/>
    <col min="4613" max="4613" width="13.5" style="1235" customWidth="1"/>
    <col min="4614" max="4614" width="8.875" style="1235"/>
    <col min="4615" max="4615" width="9.375" style="1235" bestFit="1" customWidth="1"/>
    <col min="4616" max="4617" width="8.875" style="1235"/>
    <col min="4618" max="4618" width="9.375" style="1235" bestFit="1" customWidth="1"/>
    <col min="4619" max="4619" width="4" style="1235" customWidth="1"/>
    <col min="4620" max="4620" width="5.125" style="1235" customWidth="1"/>
    <col min="4621" max="4621" width="13.875" style="1235" customWidth="1"/>
    <col min="4622" max="4864" width="8.875" style="1235"/>
    <col min="4865" max="4865" width="4.875" style="1235" customWidth="1"/>
    <col min="4866" max="4866" width="13.125" style="1235" customWidth="1"/>
    <col min="4867" max="4867" width="15.625" style="1235" customWidth="1"/>
    <col min="4868" max="4868" width="9.375" style="1235" bestFit="1" customWidth="1"/>
    <col min="4869" max="4869" width="13.5" style="1235" customWidth="1"/>
    <col min="4870" max="4870" width="8.875" style="1235"/>
    <col min="4871" max="4871" width="9.375" style="1235" bestFit="1" customWidth="1"/>
    <col min="4872" max="4873" width="8.875" style="1235"/>
    <col min="4874" max="4874" width="9.375" style="1235" bestFit="1" customWidth="1"/>
    <col min="4875" max="4875" width="4" style="1235" customWidth="1"/>
    <col min="4876" max="4876" width="5.125" style="1235" customWidth="1"/>
    <col min="4877" max="4877" width="13.875" style="1235" customWidth="1"/>
    <col min="4878" max="5120" width="8.875" style="1235"/>
    <col min="5121" max="5121" width="4.875" style="1235" customWidth="1"/>
    <col min="5122" max="5122" width="13.125" style="1235" customWidth="1"/>
    <col min="5123" max="5123" width="15.625" style="1235" customWidth="1"/>
    <col min="5124" max="5124" width="9.375" style="1235" bestFit="1" customWidth="1"/>
    <col min="5125" max="5125" width="13.5" style="1235" customWidth="1"/>
    <col min="5126" max="5126" width="8.875" style="1235"/>
    <col min="5127" max="5127" width="9.375" style="1235" bestFit="1" customWidth="1"/>
    <col min="5128" max="5129" width="8.875" style="1235"/>
    <col min="5130" max="5130" width="9.375" style="1235" bestFit="1" customWidth="1"/>
    <col min="5131" max="5131" width="4" style="1235" customWidth="1"/>
    <col min="5132" max="5132" width="5.125" style="1235" customWidth="1"/>
    <col min="5133" max="5133" width="13.875" style="1235" customWidth="1"/>
    <col min="5134" max="5376" width="8.875" style="1235"/>
    <col min="5377" max="5377" width="4.875" style="1235" customWidth="1"/>
    <col min="5378" max="5378" width="13.125" style="1235" customWidth="1"/>
    <col min="5379" max="5379" width="15.625" style="1235" customWidth="1"/>
    <col min="5380" max="5380" width="9.375" style="1235" bestFit="1" customWidth="1"/>
    <col min="5381" max="5381" width="13.5" style="1235" customWidth="1"/>
    <col min="5382" max="5382" width="8.875" style="1235"/>
    <col min="5383" max="5383" width="9.375" style="1235" bestFit="1" customWidth="1"/>
    <col min="5384" max="5385" width="8.875" style="1235"/>
    <col min="5386" max="5386" width="9.375" style="1235" bestFit="1" customWidth="1"/>
    <col min="5387" max="5387" width="4" style="1235" customWidth="1"/>
    <col min="5388" max="5388" width="5.125" style="1235" customWidth="1"/>
    <col min="5389" max="5389" width="13.875" style="1235" customWidth="1"/>
    <col min="5390" max="5632" width="8.875" style="1235"/>
    <col min="5633" max="5633" width="4.875" style="1235" customWidth="1"/>
    <col min="5634" max="5634" width="13.125" style="1235" customWidth="1"/>
    <col min="5635" max="5635" width="15.625" style="1235" customWidth="1"/>
    <col min="5636" max="5636" width="9.375" style="1235" bestFit="1" customWidth="1"/>
    <col min="5637" max="5637" width="13.5" style="1235" customWidth="1"/>
    <col min="5638" max="5638" width="8.875" style="1235"/>
    <col min="5639" max="5639" width="9.375" style="1235" bestFit="1" customWidth="1"/>
    <col min="5640" max="5641" width="8.875" style="1235"/>
    <col min="5642" max="5642" width="9.375" style="1235" bestFit="1" customWidth="1"/>
    <col min="5643" max="5643" width="4" style="1235" customWidth="1"/>
    <col min="5644" max="5644" width="5.125" style="1235" customWidth="1"/>
    <col min="5645" max="5645" width="13.875" style="1235" customWidth="1"/>
    <col min="5646" max="5888" width="8.875" style="1235"/>
    <col min="5889" max="5889" width="4.875" style="1235" customWidth="1"/>
    <col min="5890" max="5890" width="13.125" style="1235" customWidth="1"/>
    <col min="5891" max="5891" width="15.625" style="1235" customWidth="1"/>
    <col min="5892" max="5892" width="9.375" style="1235" bestFit="1" customWidth="1"/>
    <col min="5893" max="5893" width="13.5" style="1235" customWidth="1"/>
    <col min="5894" max="5894" width="8.875" style="1235"/>
    <col min="5895" max="5895" width="9.375" style="1235" bestFit="1" customWidth="1"/>
    <col min="5896" max="5897" width="8.875" style="1235"/>
    <col min="5898" max="5898" width="9.375" style="1235" bestFit="1" customWidth="1"/>
    <col min="5899" max="5899" width="4" style="1235" customWidth="1"/>
    <col min="5900" max="5900" width="5.125" style="1235" customWidth="1"/>
    <col min="5901" max="5901" width="13.875" style="1235" customWidth="1"/>
    <col min="5902" max="6144" width="8.875" style="1235"/>
    <col min="6145" max="6145" width="4.875" style="1235" customWidth="1"/>
    <col min="6146" max="6146" width="13.125" style="1235" customWidth="1"/>
    <col min="6147" max="6147" width="15.625" style="1235" customWidth="1"/>
    <col min="6148" max="6148" width="9.375" style="1235" bestFit="1" customWidth="1"/>
    <col min="6149" max="6149" width="13.5" style="1235" customWidth="1"/>
    <col min="6150" max="6150" width="8.875" style="1235"/>
    <col min="6151" max="6151" width="9.375" style="1235" bestFit="1" customWidth="1"/>
    <col min="6152" max="6153" width="8.875" style="1235"/>
    <col min="6154" max="6154" width="9.375" style="1235" bestFit="1" customWidth="1"/>
    <col min="6155" max="6155" width="4" style="1235" customWidth="1"/>
    <col min="6156" max="6156" width="5.125" style="1235" customWidth="1"/>
    <col min="6157" max="6157" width="13.875" style="1235" customWidth="1"/>
    <col min="6158" max="6400" width="8.875" style="1235"/>
    <col min="6401" max="6401" width="4.875" style="1235" customWidth="1"/>
    <col min="6402" max="6402" width="13.125" style="1235" customWidth="1"/>
    <col min="6403" max="6403" width="15.625" style="1235" customWidth="1"/>
    <col min="6404" max="6404" width="9.375" style="1235" bestFit="1" customWidth="1"/>
    <col min="6405" max="6405" width="13.5" style="1235" customWidth="1"/>
    <col min="6406" max="6406" width="8.875" style="1235"/>
    <col min="6407" max="6407" width="9.375" style="1235" bestFit="1" customWidth="1"/>
    <col min="6408" max="6409" width="8.875" style="1235"/>
    <col min="6410" max="6410" width="9.375" style="1235" bestFit="1" customWidth="1"/>
    <col min="6411" max="6411" width="4" style="1235" customWidth="1"/>
    <col min="6412" max="6412" width="5.125" style="1235" customWidth="1"/>
    <col min="6413" max="6413" width="13.875" style="1235" customWidth="1"/>
    <col min="6414" max="6656" width="8.875" style="1235"/>
    <col min="6657" max="6657" width="4.875" style="1235" customWidth="1"/>
    <col min="6658" max="6658" width="13.125" style="1235" customWidth="1"/>
    <col min="6659" max="6659" width="15.625" style="1235" customWidth="1"/>
    <col min="6660" max="6660" width="9.375" style="1235" bestFit="1" customWidth="1"/>
    <col min="6661" max="6661" width="13.5" style="1235" customWidth="1"/>
    <col min="6662" max="6662" width="8.875" style="1235"/>
    <col min="6663" max="6663" width="9.375" style="1235" bestFit="1" customWidth="1"/>
    <col min="6664" max="6665" width="8.875" style="1235"/>
    <col min="6666" max="6666" width="9.375" style="1235" bestFit="1" customWidth="1"/>
    <col min="6667" max="6667" width="4" style="1235" customWidth="1"/>
    <col min="6668" max="6668" width="5.125" style="1235" customWidth="1"/>
    <col min="6669" max="6669" width="13.875" style="1235" customWidth="1"/>
    <col min="6670" max="6912" width="8.875" style="1235"/>
    <col min="6913" max="6913" width="4.875" style="1235" customWidth="1"/>
    <col min="6914" max="6914" width="13.125" style="1235" customWidth="1"/>
    <col min="6915" max="6915" width="15.625" style="1235" customWidth="1"/>
    <col min="6916" max="6916" width="9.375" style="1235" bestFit="1" customWidth="1"/>
    <col min="6917" max="6917" width="13.5" style="1235" customWidth="1"/>
    <col min="6918" max="6918" width="8.875" style="1235"/>
    <col min="6919" max="6919" width="9.375" style="1235" bestFit="1" customWidth="1"/>
    <col min="6920" max="6921" width="8.875" style="1235"/>
    <col min="6922" max="6922" width="9.375" style="1235" bestFit="1" customWidth="1"/>
    <col min="6923" max="6923" width="4" style="1235" customWidth="1"/>
    <col min="6924" max="6924" width="5.125" style="1235" customWidth="1"/>
    <col min="6925" max="6925" width="13.875" style="1235" customWidth="1"/>
    <col min="6926" max="7168" width="8.875" style="1235"/>
    <col min="7169" max="7169" width="4.875" style="1235" customWidth="1"/>
    <col min="7170" max="7170" width="13.125" style="1235" customWidth="1"/>
    <col min="7171" max="7171" width="15.625" style="1235" customWidth="1"/>
    <col min="7172" max="7172" width="9.375" style="1235" bestFit="1" customWidth="1"/>
    <col min="7173" max="7173" width="13.5" style="1235" customWidth="1"/>
    <col min="7174" max="7174" width="8.875" style="1235"/>
    <col min="7175" max="7175" width="9.375" style="1235" bestFit="1" customWidth="1"/>
    <col min="7176" max="7177" width="8.875" style="1235"/>
    <col min="7178" max="7178" width="9.375" style="1235" bestFit="1" customWidth="1"/>
    <col min="7179" max="7179" width="4" style="1235" customWidth="1"/>
    <col min="7180" max="7180" width="5.125" style="1235" customWidth="1"/>
    <col min="7181" max="7181" width="13.875" style="1235" customWidth="1"/>
    <col min="7182" max="7424" width="8.875" style="1235"/>
    <col min="7425" max="7425" width="4.875" style="1235" customWidth="1"/>
    <col min="7426" max="7426" width="13.125" style="1235" customWidth="1"/>
    <col min="7427" max="7427" width="15.625" style="1235" customWidth="1"/>
    <col min="7428" max="7428" width="9.375" style="1235" bestFit="1" customWidth="1"/>
    <col min="7429" max="7429" width="13.5" style="1235" customWidth="1"/>
    <col min="7430" max="7430" width="8.875" style="1235"/>
    <col min="7431" max="7431" width="9.375" style="1235" bestFit="1" customWidth="1"/>
    <col min="7432" max="7433" width="8.875" style="1235"/>
    <col min="7434" max="7434" width="9.375" style="1235" bestFit="1" customWidth="1"/>
    <col min="7435" max="7435" width="4" style="1235" customWidth="1"/>
    <col min="7436" max="7436" width="5.125" style="1235" customWidth="1"/>
    <col min="7437" max="7437" width="13.875" style="1235" customWidth="1"/>
    <col min="7438" max="7680" width="8.875" style="1235"/>
    <col min="7681" max="7681" width="4.875" style="1235" customWidth="1"/>
    <col min="7682" max="7682" width="13.125" style="1235" customWidth="1"/>
    <col min="7683" max="7683" width="15.625" style="1235" customWidth="1"/>
    <col min="7684" max="7684" width="9.375" style="1235" bestFit="1" customWidth="1"/>
    <col min="7685" max="7685" width="13.5" style="1235" customWidth="1"/>
    <col min="7686" max="7686" width="8.875" style="1235"/>
    <col min="7687" max="7687" width="9.375" style="1235" bestFit="1" customWidth="1"/>
    <col min="7688" max="7689" width="8.875" style="1235"/>
    <col min="7690" max="7690" width="9.375" style="1235" bestFit="1" customWidth="1"/>
    <col min="7691" max="7691" width="4" style="1235" customWidth="1"/>
    <col min="7692" max="7692" width="5.125" style="1235" customWidth="1"/>
    <col min="7693" max="7693" width="13.875" style="1235" customWidth="1"/>
    <col min="7694" max="7936" width="8.875" style="1235"/>
    <col min="7937" max="7937" width="4.875" style="1235" customWidth="1"/>
    <col min="7938" max="7938" width="13.125" style="1235" customWidth="1"/>
    <col min="7939" max="7939" width="15.625" style="1235" customWidth="1"/>
    <col min="7940" max="7940" width="9.375" style="1235" bestFit="1" customWidth="1"/>
    <col min="7941" max="7941" width="13.5" style="1235" customWidth="1"/>
    <col min="7942" max="7942" width="8.875" style="1235"/>
    <col min="7943" max="7943" width="9.375" style="1235" bestFit="1" customWidth="1"/>
    <col min="7944" max="7945" width="8.875" style="1235"/>
    <col min="7946" max="7946" width="9.375" style="1235" bestFit="1" customWidth="1"/>
    <col min="7947" max="7947" width="4" style="1235" customWidth="1"/>
    <col min="7948" max="7948" width="5.125" style="1235" customWidth="1"/>
    <col min="7949" max="7949" width="13.875" style="1235" customWidth="1"/>
    <col min="7950" max="8192" width="8.875" style="1235"/>
    <col min="8193" max="8193" width="4.875" style="1235" customWidth="1"/>
    <col min="8194" max="8194" width="13.125" style="1235" customWidth="1"/>
    <col min="8195" max="8195" width="15.625" style="1235" customWidth="1"/>
    <col min="8196" max="8196" width="9.375" style="1235" bestFit="1" customWidth="1"/>
    <col min="8197" max="8197" width="13.5" style="1235" customWidth="1"/>
    <col min="8198" max="8198" width="8.875" style="1235"/>
    <col min="8199" max="8199" width="9.375" style="1235" bestFit="1" customWidth="1"/>
    <col min="8200" max="8201" width="8.875" style="1235"/>
    <col min="8202" max="8202" width="9.375" style="1235" bestFit="1" customWidth="1"/>
    <col min="8203" max="8203" width="4" style="1235" customWidth="1"/>
    <col min="8204" max="8204" width="5.125" style="1235" customWidth="1"/>
    <col min="8205" max="8205" width="13.875" style="1235" customWidth="1"/>
    <col min="8206" max="8448" width="8.875" style="1235"/>
    <col min="8449" max="8449" width="4.875" style="1235" customWidth="1"/>
    <col min="8450" max="8450" width="13.125" style="1235" customWidth="1"/>
    <col min="8451" max="8451" width="15.625" style="1235" customWidth="1"/>
    <col min="8452" max="8452" width="9.375" style="1235" bestFit="1" customWidth="1"/>
    <col min="8453" max="8453" width="13.5" style="1235" customWidth="1"/>
    <col min="8454" max="8454" width="8.875" style="1235"/>
    <col min="8455" max="8455" width="9.375" style="1235" bestFit="1" customWidth="1"/>
    <col min="8456" max="8457" width="8.875" style="1235"/>
    <col min="8458" max="8458" width="9.375" style="1235" bestFit="1" customWidth="1"/>
    <col min="8459" max="8459" width="4" style="1235" customWidth="1"/>
    <col min="8460" max="8460" width="5.125" style="1235" customWidth="1"/>
    <col min="8461" max="8461" width="13.875" style="1235" customWidth="1"/>
    <col min="8462" max="8704" width="8.875" style="1235"/>
    <col min="8705" max="8705" width="4.875" style="1235" customWidth="1"/>
    <col min="8706" max="8706" width="13.125" style="1235" customWidth="1"/>
    <col min="8707" max="8707" width="15.625" style="1235" customWidth="1"/>
    <col min="8708" max="8708" width="9.375" style="1235" bestFit="1" customWidth="1"/>
    <col min="8709" max="8709" width="13.5" style="1235" customWidth="1"/>
    <col min="8710" max="8710" width="8.875" style="1235"/>
    <col min="8711" max="8711" width="9.375" style="1235" bestFit="1" customWidth="1"/>
    <col min="8712" max="8713" width="8.875" style="1235"/>
    <col min="8714" max="8714" width="9.375" style="1235" bestFit="1" customWidth="1"/>
    <col min="8715" max="8715" width="4" style="1235" customWidth="1"/>
    <col min="8716" max="8716" width="5.125" style="1235" customWidth="1"/>
    <col min="8717" max="8717" width="13.875" style="1235" customWidth="1"/>
    <col min="8718" max="8960" width="8.875" style="1235"/>
    <col min="8961" max="8961" width="4.875" style="1235" customWidth="1"/>
    <col min="8962" max="8962" width="13.125" style="1235" customWidth="1"/>
    <col min="8963" max="8963" width="15.625" style="1235" customWidth="1"/>
    <col min="8964" max="8964" width="9.375" style="1235" bestFit="1" customWidth="1"/>
    <col min="8965" max="8965" width="13.5" style="1235" customWidth="1"/>
    <col min="8966" max="8966" width="8.875" style="1235"/>
    <col min="8967" max="8967" width="9.375" style="1235" bestFit="1" customWidth="1"/>
    <col min="8968" max="8969" width="8.875" style="1235"/>
    <col min="8970" max="8970" width="9.375" style="1235" bestFit="1" customWidth="1"/>
    <col min="8971" max="8971" width="4" style="1235" customWidth="1"/>
    <col min="8972" max="8972" width="5.125" style="1235" customWidth="1"/>
    <col min="8973" max="8973" width="13.875" style="1235" customWidth="1"/>
    <col min="8974" max="9216" width="8.875" style="1235"/>
    <col min="9217" max="9217" width="4.875" style="1235" customWidth="1"/>
    <col min="9218" max="9218" width="13.125" style="1235" customWidth="1"/>
    <col min="9219" max="9219" width="15.625" style="1235" customWidth="1"/>
    <col min="9220" max="9220" width="9.375" style="1235" bestFit="1" customWidth="1"/>
    <col min="9221" max="9221" width="13.5" style="1235" customWidth="1"/>
    <col min="9222" max="9222" width="8.875" style="1235"/>
    <col min="9223" max="9223" width="9.375" style="1235" bestFit="1" customWidth="1"/>
    <col min="9224" max="9225" width="8.875" style="1235"/>
    <col min="9226" max="9226" width="9.375" style="1235" bestFit="1" customWidth="1"/>
    <col min="9227" max="9227" width="4" style="1235" customWidth="1"/>
    <col min="9228" max="9228" width="5.125" style="1235" customWidth="1"/>
    <col min="9229" max="9229" width="13.875" style="1235" customWidth="1"/>
    <col min="9230" max="9472" width="8.875" style="1235"/>
    <col min="9473" max="9473" width="4.875" style="1235" customWidth="1"/>
    <col min="9474" max="9474" width="13.125" style="1235" customWidth="1"/>
    <col min="9475" max="9475" width="15.625" style="1235" customWidth="1"/>
    <col min="9476" max="9476" width="9.375" style="1235" bestFit="1" customWidth="1"/>
    <col min="9477" max="9477" width="13.5" style="1235" customWidth="1"/>
    <col min="9478" max="9478" width="8.875" style="1235"/>
    <col min="9479" max="9479" width="9.375" style="1235" bestFit="1" customWidth="1"/>
    <col min="9480" max="9481" width="8.875" style="1235"/>
    <col min="9482" max="9482" width="9.375" style="1235" bestFit="1" customWidth="1"/>
    <col min="9483" max="9483" width="4" style="1235" customWidth="1"/>
    <col min="9484" max="9484" width="5.125" style="1235" customWidth="1"/>
    <col min="9485" max="9485" width="13.875" style="1235" customWidth="1"/>
    <col min="9486" max="9728" width="8.875" style="1235"/>
    <col min="9729" max="9729" width="4.875" style="1235" customWidth="1"/>
    <col min="9730" max="9730" width="13.125" style="1235" customWidth="1"/>
    <col min="9731" max="9731" width="15.625" style="1235" customWidth="1"/>
    <col min="9732" max="9732" width="9.375" style="1235" bestFit="1" customWidth="1"/>
    <col min="9733" max="9733" width="13.5" style="1235" customWidth="1"/>
    <col min="9734" max="9734" width="8.875" style="1235"/>
    <col min="9735" max="9735" width="9.375" style="1235" bestFit="1" customWidth="1"/>
    <col min="9736" max="9737" width="8.875" style="1235"/>
    <col min="9738" max="9738" width="9.375" style="1235" bestFit="1" customWidth="1"/>
    <col min="9739" max="9739" width="4" style="1235" customWidth="1"/>
    <col min="9740" max="9740" width="5.125" style="1235" customWidth="1"/>
    <col min="9741" max="9741" width="13.875" style="1235" customWidth="1"/>
    <col min="9742" max="9984" width="8.875" style="1235"/>
    <col min="9985" max="9985" width="4.875" style="1235" customWidth="1"/>
    <col min="9986" max="9986" width="13.125" style="1235" customWidth="1"/>
    <col min="9987" max="9987" width="15.625" style="1235" customWidth="1"/>
    <col min="9988" max="9988" width="9.375" style="1235" bestFit="1" customWidth="1"/>
    <col min="9989" max="9989" width="13.5" style="1235" customWidth="1"/>
    <col min="9990" max="9990" width="8.875" style="1235"/>
    <col min="9991" max="9991" width="9.375" style="1235" bestFit="1" customWidth="1"/>
    <col min="9992" max="9993" width="8.875" style="1235"/>
    <col min="9994" max="9994" width="9.375" style="1235" bestFit="1" customWidth="1"/>
    <col min="9995" max="9995" width="4" style="1235" customWidth="1"/>
    <col min="9996" max="9996" width="5.125" style="1235" customWidth="1"/>
    <col min="9997" max="9997" width="13.875" style="1235" customWidth="1"/>
    <col min="9998" max="10240" width="8.875" style="1235"/>
    <col min="10241" max="10241" width="4.875" style="1235" customWidth="1"/>
    <col min="10242" max="10242" width="13.125" style="1235" customWidth="1"/>
    <col min="10243" max="10243" width="15.625" style="1235" customWidth="1"/>
    <col min="10244" max="10244" width="9.375" style="1235" bestFit="1" customWidth="1"/>
    <col min="10245" max="10245" width="13.5" style="1235" customWidth="1"/>
    <col min="10246" max="10246" width="8.875" style="1235"/>
    <col min="10247" max="10247" width="9.375" style="1235" bestFit="1" customWidth="1"/>
    <col min="10248" max="10249" width="8.875" style="1235"/>
    <col min="10250" max="10250" width="9.375" style="1235" bestFit="1" customWidth="1"/>
    <col min="10251" max="10251" width="4" style="1235" customWidth="1"/>
    <col min="10252" max="10252" width="5.125" style="1235" customWidth="1"/>
    <col min="10253" max="10253" width="13.875" style="1235" customWidth="1"/>
    <col min="10254" max="10496" width="8.875" style="1235"/>
    <col min="10497" max="10497" width="4.875" style="1235" customWidth="1"/>
    <col min="10498" max="10498" width="13.125" style="1235" customWidth="1"/>
    <col min="10499" max="10499" width="15.625" style="1235" customWidth="1"/>
    <col min="10500" max="10500" width="9.375" style="1235" bestFit="1" customWidth="1"/>
    <col min="10501" max="10501" width="13.5" style="1235" customWidth="1"/>
    <col min="10502" max="10502" width="8.875" style="1235"/>
    <col min="10503" max="10503" width="9.375" style="1235" bestFit="1" customWidth="1"/>
    <col min="10504" max="10505" width="8.875" style="1235"/>
    <col min="10506" max="10506" width="9.375" style="1235" bestFit="1" customWidth="1"/>
    <col min="10507" max="10507" width="4" style="1235" customWidth="1"/>
    <col min="10508" max="10508" width="5.125" style="1235" customWidth="1"/>
    <col min="10509" max="10509" width="13.875" style="1235" customWidth="1"/>
    <col min="10510" max="10752" width="8.875" style="1235"/>
    <col min="10753" max="10753" width="4.875" style="1235" customWidth="1"/>
    <col min="10754" max="10754" width="13.125" style="1235" customWidth="1"/>
    <col min="10755" max="10755" width="15.625" style="1235" customWidth="1"/>
    <col min="10756" max="10756" width="9.375" style="1235" bestFit="1" customWidth="1"/>
    <col min="10757" max="10757" width="13.5" style="1235" customWidth="1"/>
    <col min="10758" max="10758" width="8.875" style="1235"/>
    <col min="10759" max="10759" width="9.375" style="1235" bestFit="1" customWidth="1"/>
    <col min="10760" max="10761" width="8.875" style="1235"/>
    <col min="10762" max="10762" width="9.375" style="1235" bestFit="1" customWidth="1"/>
    <col min="10763" max="10763" width="4" style="1235" customWidth="1"/>
    <col min="10764" max="10764" width="5.125" style="1235" customWidth="1"/>
    <col min="10765" max="10765" width="13.875" style="1235" customWidth="1"/>
    <col min="10766" max="11008" width="8.875" style="1235"/>
    <col min="11009" max="11009" width="4.875" style="1235" customWidth="1"/>
    <col min="11010" max="11010" width="13.125" style="1235" customWidth="1"/>
    <col min="11011" max="11011" width="15.625" style="1235" customWidth="1"/>
    <col min="11012" max="11012" width="9.375" style="1235" bestFit="1" customWidth="1"/>
    <col min="11013" max="11013" width="13.5" style="1235" customWidth="1"/>
    <col min="11014" max="11014" width="8.875" style="1235"/>
    <col min="11015" max="11015" width="9.375" style="1235" bestFit="1" customWidth="1"/>
    <col min="11016" max="11017" width="8.875" style="1235"/>
    <col min="11018" max="11018" width="9.375" style="1235" bestFit="1" customWidth="1"/>
    <col min="11019" max="11019" width="4" style="1235" customWidth="1"/>
    <col min="11020" max="11020" width="5.125" style="1235" customWidth="1"/>
    <col min="11021" max="11021" width="13.875" style="1235" customWidth="1"/>
    <col min="11022" max="11264" width="8.875" style="1235"/>
    <col min="11265" max="11265" width="4.875" style="1235" customWidth="1"/>
    <col min="11266" max="11266" width="13.125" style="1235" customWidth="1"/>
    <col min="11267" max="11267" width="15.625" style="1235" customWidth="1"/>
    <col min="11268" max="11268" width="9.375" style="1235" bestFit="1" customWidth="1"/>
    <col min="11269" max="11269" width="13.5" style="1235" customWidth="1"/>
    <col min="11270" max="11270" width="8.875" style="1235"/>
    <col min="11271" max="11271" width="9.375" style="1235" bestFit="1" customWidth="1"/>
    <col min="11272" max="11273" width="8.875" style="1235"/>
    <col min="11274" max="11274" width="9.375" style="1235" bestFit="1" customWidth="1"/>
    <col min="11275" max="11275" width="4" style="1235" customWidth="1"/>
    <col min="11276" max="11276" width="5.125" style="1235" customWidth="1"/>
    <col min="11277" max="11277" width="13.875" style="1235" customWidth="1"/>
    <col min="11278" max="11520" width="8.875" style="1235"/>
    <col min="11521" max="11521" width="4.875" style="1235" customWidth="1"/>
    <col min="11522" max="11522" width="13.125" style="1235" customWidth="1"/>
    <col min="11523" max="11523" width="15.625" style="1235" customWidth="1"/>
    <col min="11524" max="11524" width="9.375" style="1235" bestFit="1" customWidth="1"/>
    <col min="11525" max="11525" width="13.5" style="1235" customWidth="1"/>
    <col min="11526" max="11526" width="8.875" style="1235"/>
    <col min="11527" max="11527" width="9.375" style="1235" bestFit="1" customWidth="1"/>
    <col min="11528" max="11529" width="8.875" style="1235"/>
    <col min="11530" max="11530" width="9.375" style="1235" bestFit="1" customWidth="1"/>
    <col min="11531" max="11531" width="4" style="1235" customWidth="1"/>
    <col min="11532" max="11532" width="5.125" style="1235" customWidth="1"/>
    <col min="11533" max="11533" width="13.875" style="1235" customWidth="1"/>
    <col min="11534" max="11776" width="8.875" style="1235"/>
    <col min="11777" max="11777" width="4.875" style="1235" customWidth="1"/>
    <col min="11778" max="11778" width="13.125" style="1235" customWidth="1"/>
    <col min="11779" max="11779" width="15.625" style="1235" customWidth="1"/>
    <col min="11780" max="11780" width="9.375" style="1235" bestFit="1" customWidth="1"/>
    <col min="11781" max="11781" width="13.5" style="1235" customWidth="1"/>
    <col min="11782" max="11782" width="8.875" style="1235"/>
    <col min="11783" max="11783" width="9.375" style="1235" bestFit="1" customWidth="1"/>
    <col min="11784" max="11785" width="8.875" style="1235"/>
    <col min="11786" max="11786" width="9.375" style="1235" bestFit="1" customWidth="1"/>
    <col min="11787" max="11787" width="4" style="1235" customWidth="1"/>
    <col min="11788" max="11788" width="5.125" style="1235" customWidth="1"/>
    <col min="11789" max="11789" width="13.875" style="1235" customWidth="1"/>
    <col min="11790" max="12032" width="8.875" style="1235"/>
    <col min="12033" max="12033" width="4.875" style="1235" customWidth="1"/>
    <col min="12034" max="12034" width="13.125" style="1235" customWidth="1"/>
    <col min="12035" max="12035" width="15.625" style="1235" customWidth="1"/>
    <col min="12036" max="12036" width="9.375" style="1235" bestFit="1" customWidth="1"/>
    <col min="12037" max="12037" width="13.5" style="1235" customWidth="1"/>
    <col min="12038" max="12038" width="8.875" style="1235"/>
    <col min="12039" max="12039" width="9.375" style="1235" bestFit="1" customWidth="1"/>
    <col min="12040" max="12041" width="8.875" style="1235"/>
    <col min="12042" max="12042" width="9.375" style="1235" bestFit="1" customWidth="1"/>
    <col min="12043" max="12043" width="4" style="1235" customWidth="1"/>
    <col min="12044" max="12044" width="5.125" style="1235" customWidth="1"/>
    <col min="12045" max="12045" width="13.875" style="1235" customWidth="1"/>
    <col min="12046" max="12288" width="8.875" style="1235"/>
    <col min="12289" max="12289" width="4.875" style="1235" customWidth="1"/>
    <col min="12290" max="12290" width="13.125" style="1235" customWidth="1"/>
    <col min="12291" max="12291" width="15.625" style="1235" customWidth="1"/>
    <col min="12292" max="12292" width="9.375" style="1235" bestFit="1" customWidth="1"/>
    <col min="12293" max="12293" width="13.5" style="1235" customWidth="1"/>
    <col min="12294" max="12294" width="8.875" style="1235"/>
    <col min="12295" max="12295" width="9.375" style="1235" bestFit="1" customWidth="1"/>
    <col min="12296" max="12297" width="8.875" style="1235"/>
    <col min="12298" max="12298" width="9.375" style="1235" bestFit="1" customWidth="1"/>
    <col min="12299" max="12299" width="4" style="1235" customWidth="1"/>
    <col min="12300" max="12300" width="5.125" style="1235" customWidth="1"/>
    <col min="12301" max="12301" width="13.875" style="1235" customWidth="1"/>
    <col min="12302" max="12544" width="8.875" style="1235"/>
    <col min="12545" max="12545" width="4.875" style="1235" customWidth="1"/>
    <col min="12546" max="12546" width="13.125" style="1235" customWidth="1"/>
    <col min="12547" max="12547" width="15.625" style="1235" customWidth="1"/>
    <col min="12548" max="12548" width="9.375" style="1235" bestFit="1" customWidth="1"/>
    <col min="12549" max="12549" width="13.5" style="1235" customWidth="1"/>
    <col min="12550" max="12550" width="8.875" style="1235"/>
    <col min="12551" max="12551" width="9.375" style="1235" bestFit="1" customWidth="1"/>
    <col min="12552" max="12553" width="8.875" style="1235"/>
    <col min="12554" max="12554" width="9.375" style="1235" bestFit="1" customWidth="1"/>
    <col min="12555" max="12555" width="4" style="1235" customWidth="1"/>
    <col min="12556" max="12556" width="5.125" style="1235" customWidth="1"/>
    <col min="12557" max="12557" width="13.875" style="1235" customWidth="1"/>
    <col min="12558" max="12800" width="8.875" style="1235"/>
    <col min="12801" max="12801" width="4.875" style="1235" customWidth="1"/>
    <col min="12802" max="12802" width="13.125" style="1235" customWidth="1"/>
    <col min="12803" max="12803" width="15.625" style="1235" customWidth="1"/>
    <col min="12804" max="12804" width="9.375" style="1235" bestFit="1" customWidth="1"/>
    <col min="12805" max="12805" width="13.5" style="1235" customWidth="1"/>
    <col min="12806" max="12806" width="8.875" style="1235"/>
    <col min="12807" max="12807" width="9.375" style="1235" bestFit="1" customWidth="1"/>
    <col min="12808" max="12809" width="8.875" style="1235"/>
    <col min="12810" max="12810" width="9.375" style="1235" bestFit="1" customWidth="1"/>
    <col min="12811" max="12811" width="4" style="1235" customWidth="1"/>
    <col min="12812" max="12812" width="5.125" style="1235" customWidth="1"/>
    <col min="12813" max="12813" width="13.875" style="1235" customWidth="1"/>
    <col min="12814" max="13056" width="8.875" style="1235"/>
    <col min="13057" max="13057" width="4.875" style="1235" customWidth="1"/>
    <col min="13058" max="13058" width="13.125" style="1235" customWidth="1"/>
    <col min="13059" max="13059" width="15.625" style="1235" customWidth="1"/>
    <col min="13060" max="13060" width="9.375" style="1235" bestFit="1" customWidth="1"/>
    <col min="13061" max="13061" width="13.5" style="1235" customWidth="1"/>
    <col min="13062" max="13062" width="8.875" style="1235"/>
    <col min="13063" max="13063" width="9.375" style="1235" bestFit="1" customWidth="1"/>
    <col min="13064" max="13065" width="8.875" style="1235"/>
    <col min="13066" max="13066" width="9.375" style="1235" bestFit="1" customWidth="1"/>
    <col min="13067" max="13067" width="4" style="1235" customWidth="1"/>
    <col min="13068" max="13068" width="5.125" style="1235" customWidth="1"/>
    <col min="13069" max="13069" width="13.875" style="1235" customWidth="1"/>
    <col min="13070" max="13312" width="8.875" style="1235"/>
    <col min="13313" max="13313" width="4.875" style="1235" customWidth="1"/>
    <col min="13314" max="13314" width="13.125" style="1235" customWidth="1"/>
    <col min="13315" max="13315" width="15.625" style="1235" customWidth="1"/>
    <col min="13316" max="13316" width="9.375" style="1235" bestFit="1" customWidth="1"/>
    <col min="13317" max="13317" width="13.5" style="1235" customWidth="1"/>
    <col min="13318" max="13318" width="8.875" style="1235"/>
    <col min="13319" max="13319" width="9.375" style="1235" bestFit="1" customWidth="1"/>
    <col min="13320" max="13321" width="8.875" style="1235"/>
    <col min="13322" max="13322" width="9.375" style="1235" bestFit="1" customWidth="1"/>
    <col min="13323" max="13323" width="4" style="1235" customWidth="1"/>
    <col min="13324" max="13324" width="5.125" style="1235" customWidth="1"/>
    <col min="13325" max="13325" width="13.875" style="1235" customWidth="1"/>
    <col min="13326" max="13568" width="8.875" style="1235"/>
    <col min="13569" max="13569" width="4.875" style="1235" customWidth="1"/>
    <col min="13570" max="13570" width="13.125" style="1235" customWidth="1"/>
    <col min="13571" max="13571" width="15.625" style="1235" customWidth="1"/>
    <col min="13572" max="13572" width="9.375" style="1235" bestFit="1" customWidth="1"/>
    <col min="13573" max="13573" width="13.5" style="1235" customWidth="1"/>
    <col min="13574" max="13574" width="8.875" style="1235"/>
    <col min="13575" max="13575" width="9.375" style="1235" bestFit="1" customWidth="1"/>
    <col min="13576" max="13577" width="8.875" style="1235"/>
    <col min="13578" max="13578" width="9.375" style="1235" bestFit="1" customWidth="1"/>
    <col min="13579" max="13579" width="4" style="1235" customWidth="1"/>
    <col min="13580" max="13580" width="5.125" style="1235" customWidth="1"/>
    <col min="13581" max="13581" width="13.875" style="1235" customWidth="1"/>
    <col min="13582" max="13824" width="8.875" style="1235"/>
    <col min="13825" max="13825" width="4.875" style="1235" customWidth="1"/>
    <col min="13826" max="13826" width="13.125" style="1235" customWidth="1"/>
    <col min="13827" max="13827" width="15.625" style="1235" customWidth="1"/>
    <col min="13828" max="13828" width="9.375" style="1235" bestFit="1" customWidth="1"/>
    <col min="13829" max="13829" width="13.5" style="1235" customWidth="1"/>
    <col min="13830" max="13830" width="8.875" style="1235"/>
    <col min="13831" max="13831" width="9.375" style="1235" bestFit="1" customWidth="1"/>
    <col min="13832" max="13833" width="8.875" style="1235"/>
    <col min="13834" max="13834" width="9.375" style="1235" bestFit="1" customWidth="1"/>
    <col min="13835" max="13835" width="4" style="1235" customWidth="1"/>
    <col min="13836" max="13836" width="5.125" style="1235" customWidth="1"/>
    <col min="13837" max="13837" width="13.875" style="1235" customWidth="1"/>
    <col min="13838" max="14080" width="8.875" style="1235"/>
    <col min="14081" max="14081" width="4.875" style="1235" customWidth="1"/>
    <col min="14082" max="14082" width="13.125" style="1235" customWidth="1"/>
    <col min="14083" max="14083" width="15.625" style="1235" customWidth="1"/>
    <col min="14084" max="14084" width="9.375" style="1235" bestFit="1" customWidth="1"/>
    <col min="14085" max="14085" width="13.5" style="1235" customWidth="1"/>
    <col min="14086" max="14086" width="8.875" style="1235"/>
    <col min="14087" max="14087" width="9.375" style="1235" bestFit="1" customWidth="1"/>
    <col min="14088" max="14089" width="8.875" style="1235"/>
    <col min="14090" max="14090" width="9.375" style="1235" bestFit="1" customWidth="1"/>
    <col min="14091" max="14091" width="4" style="1235" customWidth="1"/>
    <col min="14092" max="14092" width="5.125" style="1235" customWidth="1"/>
    <col min="14093" max="14093" width="13.875" style="1235" customWidth="1"/>
    <col min="14094" max="14336" width="8.875" style="1235"/>
    <col min="14337" max="14337" width="4.875" style="1235" customWidth="1"/>
    <col min="14338" max="14338" width="13.125" style="1235" customWidth="1"/>
    <col min="14339" max="14339" width="15.625" style="1235" customWidth="1"/>
    <col min="14340" max="14340" width="9.375" style="1235" bestFit="1" customWidth="1"/>
    <col min="14341" max="14341" width="13.5" style="1235" customWidth="1"/>
    <col min="14342" max="14342" width="8.875" style="1235"/>
    <col min="14343" max="14343" width="9.375" style="1235" bestFit="1" customWidth="1"/>
    <col min="14344" max="14345" width="8.875" style="1235"/>
    <col min="14346" max="14346" width="9.375" style="1235" bestFit="1" customWidth="1"/>
    <col min="14347" max="14347" width="4" style="1235" customWidth="1"/>
    <col min="14348" max="14348" width="5.125" style="1235" customWidth="1"/>
    <col min="14349" max="14349" width="13.875" style="1235" customWidth="1"/>
    <col min="14350" max="14592" width="8.875" style="1235"/>
    <col min="14593" max="14593" width="4.875" style="1235" customWidth="1"/>
    <col min="14594" max="14594" width="13.125" style="1235" customWidth="1"/>
    <col min="14595" max="14595" width="15.625" style="1235" customWidth="1"/>
    <col min="14596" max="14596" width="9.375" style="1235" bestFit="1" customWidth="1"/>
    <col min="14597" max="14597" width="13.5" style="1235" customWidth="1"/>
    <col min="14598" max="14598" width="8.875" style="1235"/>
    <col min="14599" max="14599" width="9.375" style="1235" bestFit="1" customWidth="1"/>
    <col min="14600" max="14601" width="8.875" style="1235"/>
    <col min="14602" max="14602" width="9.375" style="1235" bestFit="1" customWidth="1"/>
    <col min="14603" max="14603" width="4" style="1235" customWidth="1"/>
    <col min="14604" max="14604" width="5.125" style="1235" customWidth="1"/>
    <col min="14605" max="14605" width="13.875" style="1235" customWidth="1"/>
    <col min="14606" max="14848" width="8.875" style="1235"/>
    <col min="14849" max="14849" width="4.875" style="1235" customWidth="1"/>
    <col min="14850" max="14850" width="13.125" style="1235" customWidth="1"/>
    <col min="14851" max="14851" width="15.625" style="1235" customWidth="1"/>
    <col min="14852" max="14852" width="9.375" style="1235" bestFit="1" customWidth="1"/>
    <col min="14853" max="14853" width="13.5" style="1235" customWidth="1"/>
    <col min="14854" max="14854" width="8.875" style="1235"/>
    <col min="14855" max="14855" width="9.375" style="1235" bestFit="1" customWidth="1"/>
    <col min="14856" max="14857" width="8.875" style="1235"/>
    <col min="14858" max="14858" width="9.375" style="1235" bestFit="1" customWidth="1"/>
    <col min="14859" max="14859" width="4" style="1235" customWidth="1"/>
    <col min="14860" max="14860" width="5.125" style="1235" customWidth="1"/>
    <col min="14861" max="14861" width="13.875" style="1235" customWidth="1"/>
    <col min="14862" max="15104" width="8.875" style="1235"/>
    <col min="15105" max="15105" width="4.875" style="1235" customWidth="1"/>
    <col min="15106" max="15106" width="13.125" style="1235" customWidth="1"/>
    <col min="15107" max="15107" width="15.625" style="1235" customWidth="1"/>
    <col min="15108" max="15108" width="9.375" style="1235" bestFit="1" customWidth="1"/>
    <col min="15109" max="15109" width="13.5" style="1235" customWidth="1"/>
    <col min="15110" max="15110" width="8.875" style="1235"/>
    <col min="15111" max="15111" width="9.375" style="1235" bestFit="1" customWidth="1"/>
    <col min="15112" max="15113" width="8.875" style="1235"/>
    <col min="15114" max="15114" width="9.375" style="1235" bestFit="1" customWidth="1"/>
    <col min="15115" max="15115" width="4" style="1235" customWidth="1"/>
    <col min="15116" max="15116" width="5.125" style="1235" customWidth="1"/>
    <col min="15117" max="15117" width="13.875" style="1235" customWidth="1"/>
    <col min="15118" max="15360" width="8.875" style="1235"/>
    <col min="15361" max="15361" width="4.875" style="1235" customWidth="1"/>
    <col min="15362" max="15362" width="13.125" style="1235" customWidth="1"/>
    <col min="15363" max="15363" width="15.625" style="1235" customWidth="1"/>
    <col min="15364" max="15364" width="9.375" style="1235" bestFit="1" customWidth="1"/>
    <col min="15365" max="15365" width="13.5" style="1235" customWidth="1"/>
    <col min="15366" max="15366" width="8.875" style="1235"/>
    <col min="15367" max="15367" width="9.375" style="1235" bestFit="1" customWidth="1"/>
    <col min="15368" max="15369" width="8.875" style="1235"/>
    <col min="15370" max="15370" width="9.375" style="1235" bestFit="1" customWidth="1"/>
    <col min="15371" max="15371" width="4" style="1235" customWidth="1"/>
    <col min="15372" max="15372" width="5.125" style="1235" customWidth="1"/>
    <col min="15373" max="15373" width="13.875" style="1235" customWidth="1"/>
    <col min="15374" max="15616" width="8.875" style="1235"/>
    <col min="15617" max="15617" width="4.875" style="1235" customWidth="1"/>
    <col min="15618" max="15618" width="13.125" style="1235" customWidth="1"/>
    <col min="15619" max="15619" width="15.625" style="1235" customWidth="1"/>
    <col min="15620" max="15620" width="9.375" style="1235" bestFit="1" customWidth="1"/>
    <col min="15621" max="15621" width="13.5" style="1235" customWidth="1"/>
    <col min="15622" max="15622" width="8.875" style="1235"/>
    <col min="15623" max="15623" width="9.375" style="1235" bestFit="1" customWidth="1"/>
    <col min="15624" max="15625" width="8.875" style="1235"/>
    <col min="15626" max="15626" width="9.375" style="1235" bestFit="1" customWidth="1"/>
    <col min="15627" max="15627" width="4" style="1235" customWidth="1"/>
    <col min="15628" max="15628" width="5.125" style="1235" customWidth="1"/>
    <col min="15629" max="15629" width="13.875" style="1235" customWidth="1"/>
    <col min="15630" max="15872" width="8.875" style="1235"/>
    <col min="15873" max="15873" width="4.875" style="1235" customWidth="1"/>
    <col min="15874" max="15874" width="13.125" style="1235" customWidth="1"/>
    <col min="15875" max="15875" width="15.625" style="1235" customWidth="1"/>
    <col min="15876" max="15876" width="9.375" style="1235" bestFit="1" customWidth="1"/>
    <col min="15877" max="15877" width="13.5" style="1235" customWidth="1"/>
    <col min="15878" max="15878" width="8.875" style="1235"/>
    <col min="15879" max="15879" width="9.375" style="1235" bestFit="1" customWidth="1"/>
    <col min="15880" max="15881" width="8.875" style="1235"/>
    <col min="15882" max="15882" width="9.375" style="1235" bestFit="1" customWidth="1"/>
    <col min="15883" max="15883" width="4" style="1235" customWidth="1"/>
    <col min="15884" max="15884" width="5.125" style="1235" customWidth="1"/>
    <col min="15885" max="15885" width="13.875" style="1235" customWidth="1"/>
    <col min="15886" max="16128" width="8.875" style="1235"/>
    <col min="16129" max="16129" width="4.875" style="1235" customWidth="1"/>
    <col min="16130" max="16130" width="13.125" style="1235" customWidth="1"/>
    <col min="16131" max="16131" width="15.625" style="1235" customWidth="1"/>
    <col min="16132" max="16132" width="9.375" style="1235" bestFit="1" customWidth="1"/>
    <col min="16133" max="16133" width="13.5" style="1235" customWidth="1"/>
    <col min="16134" max="16134" width="8.875" style="1235"/>
    <col min="16135" max="16135" width="9.375" style="1235" bestFit="1" customWidth="1"/>
    <col min="16136" max="16137" width="8.875" style="1235"/>
    <col min="16138" max="16138" width="9.375" style="1235" bestFit="1" customWidth="1"/>
    <col min="16139" max="16139" width="4" style="1235" customWidth="1"/>
    <col min="16140" max="16140" width="5.125" style="1235" customWidth="1"/>
    <col min="16141" max="16141" width="13.875" style="1235" customWidth="1"/>
    <col min="16142" max="16384" width="8.875" style="1235"/>
  </cols>
  <sheetData>
    <row r="1" spans="1:257" s="1297" customFormat="1" ht="15" thickBot="1">
      <c r="A1" s="1291"/>
      <c r="B1" s="1298" t="s">
        <v>602</v>
      </c>
      <c r="C1" s="1292">
        <f>项目基本情况!D3</f>
        <v>45114</v>
      </c>
      <c r="D1" s="1298" t="s">
        <v>603</v>
      </c>
      <c r="E1" s="1293">
        <f>'数据-取费表'!B22</f>
        <v>3</v>
      </c>
      <c r="F1" s="1298" t="s">
        <v>604</v>
      </c>
      <c r="G1" s="1294">
        <f ca="1">INDIRECT("d"&amp;$K$1)/100</f>
        <v>3.6499999999999998E-2</v>
      </c>
      <c r="H1" s="1298" t="s">
        <v>634</v>
      </c>
      <c r="I1" s="1294">
        <f ca="1">F4/100</f>
        <v>1.4999999999999999E-2</v>
      </c>
      <c r="J1" s="1299">
        <f>IF(C1&gt;C13,0,MATCH(C1,C$13:C$109,-1))+IF(SUMIF(C13:C109,C1,D13:D109)=0,13,12)</f>
        <v>13</v>
      </c>
      <c r="K1" s="1299">
        <f ca="1">MATCH(E1,C3:C7,1)+IF(SUMIF(C3:C7,E1,D3:D7)=0,2,1)</f>
        <v>5</v>
      </c>
      <c r="L1" s="1299">
        <f>IF(C1&gt;M13,0,MATCH(C1,M$13:M$100,-1))+IF(SUMIF(M13:M100,C1,N13:N100)=0,13,12)</f>
        <v>13</v>
      </c>
      <c r="M1" s="1291"/>
      <c r="N1" s="1291"/>
      <c r="O1" s="1291"/>
      <c r="P1" s="1291"/>
      <c r="Q1" s="1291"/>
      <c r="R1" s="1291"/>
      <c r="S1" s="1291"/>
      <c r="T1" s="1291"/>
      <c r="U1" s="1291"/>
      <c r="V1" s="1291"/>
      <c r="W1" s="1291"/>
      <c r="X1" s="1291"/>
      <c r="Y1" s="1291"/>
      <c r="Z1" s="1291"/>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75" thickTop="1" thickBot="1">
      <c r="A2" s="1236"/>
      <c r="B2" s="1236"/>
      <c r="C2" s="1236"/>
      <c r="D2" s="1236" t="s">
        <v>605</v>
      </c>
      <c r="E2" s="1236"/>
      <c r="F2" s="1236" t="s">
        <v>606</v>
      </c>
      <c r="G2" s="1237"/>
      <c r="H2" s="1236"/>
      <c r="I2" s="1236"/>
      <c r="J2" s="1236"/>
      <c r="K2" s="1236"/>
      <c r="L2" s="1236"/>
      <c r="M2" s="1236"/>
      <c r="N2" s="1236"/>
      <c r="O2" s="1236"/>
      <c r="P2" s="1236"/>
      <c r="Q2" s="1236"/>
      <c r="R2" s="1236"/>
      <c r="S2" s="1236"/>
      <c r="T2" s="1236"/>
      <c r="U2" s="1236"/>
      <c r="V2" s="1236"/>
      <c r="W2" s="1236"/>
      <c r="X2" s="1236"/>
      <c r="Y2" s="1236"/>
      <c r="Z2" s="1236"/>
      <c r="AA2" s="1236"/>
      <c r="AB2" s="1236"/>
      <c r="AC2" s="1236"/>
      <c r="AD2" s="1236"/>
      <c r="AE2" s="1236"/>
      <c r="AF2" s="1236"/>
      <c r="AG2" s="1236"/>
      <c r="AH2" s="1236"/>
      <c r="AI2" s="1236"/>
      <c r="AJ2" s="1236"/>
      <c r="AK2" s="1236"/>
      <c r="AL2" s="1236"/>
      <c r="AM2" s="1236"/>
      <c r="AN2" s="1236"/>
      <c r="AO2" s="1236"/>
      <c r="AP2" s="1236"/>
      <c r="AQ2" s="1236"/>
      <c r="AR2" s="1236"/>
      <c r="AS2" s="1236"/>
      <c r="AT2" s="1236"/>
      <c r="AU2" s="1236"/>
      <c r="AV2" s="1236"/>
      <c r="AW2" s="1236"/>
      <c r="AX2" s="1236"/>
      <c r="AY2" s="1236"/>
      <c r="AZ2" s="1236"/>
      <c r="BA2" s="1236"/>
      <c r="BB2" s="1236"/>
      <c r="BC2" s="1236"/>
      <c r="BD2" s="1236"/>
      <c r="BE2" s="1236"/>
      <c r="BF2" s="1236"/>
      <c r="BG2" s="1236"/>
      <c r="BH2" s="1236"/>
      <c r="BI2" s="1236"/>
      <c r="BJ2" s="1236"/>
      <c r="BK2" s="1236"/>
      <c r="BL2" s="1236"/>
      <c r="BM2" s="1236"/>
      <c r="BN2" s="1236"/>
      <c r="BO2" s="1236"/>
      <c r="BP2" s="1236"/>
      <c r="BQ2" s="1236"/>
      <c r="BR2" s="1236"/>
      <c r="BS2" s="1236"/>
      <c r="BT2" s="1236"/>
      <c r="BU2" s="1236"/>
      <c r="BV2" s="1236"/>
      <c r="BW2" s="1236"/>
      <c r="BX2" s="1236"/>
      <c r="BY2" s="1236"/>
      <c r="BZ2" s="1236"/>
      <c r="CA2" s="1236"/>
      <c r="CB2" s="1236"/>
      <c r="CC2" s="1236"/>
      <c r="CD2" s="1236"/>
      <c r="CE2" s="1236"/>
      <c r="CF2" s="1236"/>
      <c r="CG2" s="1236"/>
      <c r="CH2" s="1236"/>
      <c r="CI2" s="1236"/>
      <c r="CJ2" s="1236"/>
      <c r="CK2" s="1236"/>
      <c r="CL2" s="1236"/>
      <c r="CM2" s="1236"/>
      <c r="CN2" s="1236"/>
      <c r="CO2" s="1236"/>
      <c r="CP2" s="1236"/>
      <c r="CQ2" s="1236"/>
      <c r="CR2" s="1236"/>
      <c r="CS2" s="1236"/>
      <c r="CT2" s="1236"/>
      <c r="CU2" s="1236"/>
      <c r="CV2" s="1236"/>
      <c r="CW2" s="1236"/>
      <c r="CX2" s="1236"/>
      <c r="CY2" s="1236"/>
      <c r="CZ2" s="1236"/>
      <c r="DA2" s="1236"/>
      <c r="DB2" s="1236"/>
      <c r="DC2" s="1236"/>
      <c r="DD2" s="1236"/>
      <c r="DE2" s="1236"/>
      <c r="DF2" s="1236"/>
      <c r="DG2" s="1236"/>
      <c r="DH2" s="1236"/>
      <c r="DI2" s="1236"/>
      <c r="DJ2" s="1236"/>
      <c r="DK2" s="1236"/>
      <c r="DL2" s="1236"/>
      <c r="DM2" s="1236"/>
      <c r="DN2" s="1236"/>
      <c r="DO2" s="1236"/>
      <c r="DP2" s="1236"/>
      <c r="DQ2" s="1236"/>
      <c r="DR2" s="1236"/>
      <c r="DS2" s="1236"/>
      <c r="DT2" s="1236"/>
      <c r="DU2" s="1236"/>
      <c r="DV2" s="1236"/>
      <c r="DW2" s="1236"/>
      <c r="DX2" s="1236"/>
      <c r="DY2" s="1236"/>
      <c r="DZ2" s="1236"/>
      <c r="EA2" s="1236"/>
      <c r="EB2" s="1236"/>
      <c r="EC2" s="1236"/>
      <c r="ED2" s="1236"/>
      <c r="EE2" s="1236"/>
      <c r="EF2" s="1236"/>
      <c r="EG2" s="1236"/>
      <c r="EH2" s="1236"/>
      <c r="EI2" s="1236"/>
      <c r="EJ2" s="1236"/>
      <c r="EK2" s="1236"/>
      <c r="EL2" s="1236"/>
      <c r="EM2" s="1236"/>
      <c r="EN2" s="1236"/>
      <c r="EO2" s="1236"/>
      <c r="EP2" s="1236"/>
      <c r="EQ2" s="1236"/>
      <c r="ER2" s="1236"/>
      <c r="ES2" s="1236"/>
      <c r="ET2" s="1236"/>
      <c r="EU2" s="1236"/>
      <c r="EV2" s="1236"/>
      <c r="EW2" s="1236"/>
      <c r="EX2" s="1236"/>
      <c r="EY2" s="1236"/>
      <c r="EZ2" s="1236"/>
      <c r="FA2" s="1236"/>
      <c r="FB2" s="1236"/>
      <c r="FC2" s="1236"/>
      <c r="FD2" s="1236"/>
      <c r="FE2" s="1236"/>
      <c r="FF2" s="1236"/>
      <c r="FG2" s="1236"/>
      <c r="FH2" s="1236"/>
      <c r="FI2" s="1236"/>
      <c r="FJ2" s="1236"/>
      <c r="FK2" s="1236"/>
      <c r="FL2" s="1236"/>
      <c r="FM2" s="1236"/>
      <c r="FN2" s="1236"/>
      <c r="FO2" s="1236"/>
      <c r="FP2" s="1236"/>
      <c r="FQ2" s="1236"/>
      <c r="FR2" s="1236"/>
      <c r="FS2" s="1236"/>
      <c r="FT2" s="1236"/>
      <c r="FU2" s="1236"/>
      <c r="FV2" s="1236"/>
      <c r="FW2" s="1236"/>
      <c r="FX2" s="1236"/>
      <c r="FY2" s="1236"/>
      <c r="FZ2" s="1236"/>
      <c r="GA2" s="1236"/>
      <c r="GB2" s="1236"/>
      <c r="GC2" s="1236"/>
      <c r="GD2" s="1236"/>
      <c r="GE2" s="1236"/>
      <c r="GF2" s="1236"/>
      <c r="GG2" s="1236"/>
      <c r="GH2" s="1236"/>
      <c r="GI2" s="1236"/>
      <c r="GJ2" s="1236"/>
      <c r="GK2" s="1236"/>
      <c r="GL2" s="1236"/>
      <c r="GM2" s="1236"/>
      <c r="GN2" s="1236"/>
      <c r="GO2" s="1236"/>
      <c r="GP2" s="1236"/>
      <c r="GQ2" s="1236"/>
      <c r="GR2" s="1236"/>
      <c r="GS2" s="1236"/>
      <c r="GT2" s="1236"/>
      <c r="GU2" s="1236"/>
      <c r="GV2" s="1236"/>
      <c r="GW2" s="1236"/>
      <c r="GX2" s="1236"/>
      <c r="GY2" s="1236"/>
      <c r="GZ2" s="1236"/>
      <c r="HA2" s="1236"/>
      <c r="HB2" s="1236"/>
      <c r="HC2" s="1236"/>
      <c r="HD2" s="1236"/>
      <c r="HE2" s="1236"/>
      <c r="HF2" s="1236"/>
      <c r="HG2" s="1236"/>
      <c r="HH2" s="1236"/>
      <c r="HI2" s="1236"/>
      <c r="HJ2" s="1236"/>
      <c r="HK2" s="1236"/>
      <c r="HL2" s="1236"/>
      <c r="HM2" s="1236"/>
      <c r="HN2" s="1236"/>
      <c r="HO2" s="1236"/>
      <c r="HP2" s="1236"/>
      <c r="HQ2" s="1236"/>
      <c r="HR2" s="1236"/>
      <c r="HS2" s="1236"/>
      <c r="HT2" s="1236"/>
      <c r="HU2" s="1236"/>
      <c r="HV2" s="1236"/>
      <c r="HW2" s="1236"/>
      <c r="HX2" s="1236"/>
      <c r="HY2" s="1236"/>
      <c r="HZ2" s="1236"/>
      <c r="IA2" s="1236"/>
      <c r="IB2" s="1236"/>
      <c r="IC2" s="1236"/>
      <c r="ID2" s="1236"/>
      <c r="IE2" s="1236"/>
      <c r="IF2" s="1236"/>
      <c r="IG2" s="1236"/>
      <c r="IH2" s="1236"/>
      <c r="II2" s="1236"/>
      <c r="IJ2" s="1236"/>
      <c r="IK2" s="1236"/>
      <c r="IL2" s="1236"/>
      <c r="IM2" s="1236"/>
      <c r="IN2" s="1236"/>
      <c r="IO2" s="1236"/>
      <c r="IP2" s="1236"/>
      <c r="IQ2" s="1236"/>
      <c r="IR2" s="1236"/>
      <c r="IS2" s="1236"/>
      <c r="IT2" s="1236"/>
      <c r="IU2" s="1236"/>
      <c r="IV2" s="1236"/>
      <c r="IW2" s="1236"/>
    </row>
    <row r="3" spans="1:257">
      <c r="B3" s="1239" t="s">
        <v>607</v>
      </c>
      <c r="C3" s="1240">
        <v>0</v>
      </c>
      <c r="D3" s="1241">
        <f ca="1">INDIRECT("d"&amp;$J$1)</f>
        <v>3.65</v>
      </c>
      <c r="E3" s="1242">
        <v>0.5</v>
      </c>
      <c r="F3" s="1243">
        <f ca="1">INDIRECT("p"&amp;$L$1)</f>
        <v>1.3</v>
      </c>
      <c r="G3" s="1238"/>
      <c r="H3" s="1238"/>
      <c r="I3" s="1238"/>
      <c r="J3" s="1238"/>
      <c r="L3" s="1238"/>
      <c r="M3" s="1238"/>
      <c r="N3" s="1238"/>
      <c r="O3" s="1238"/>
      <c r="P3" s="1238"/>
      <c r="Q3" s="1238"/>
      <c r="R3" s="1238"/>
      <c r="S3" s="1238"/>
      <c r="T3" s="1238"/>
      <c r="U3" s="1238"/>
      <c r="V3" s="1238"/>
      <c r="W3" s="1238"/>
      <c r="X3" s="1238"/>
      <c r="Y3" s="1238"/>
      <c r="Z3" s="1238"/>
    </row>
    <row r="4" spans="1:257">
      <c r="B4" s="1245" t="s">
        <v>608</v>
      </c>
      <c r="C4" s="1246">
        <v>0.5</v>
      </c>
      <c r="D4" s="1247">
        <f ca="1">INDIRECT("e"&amp;$J$1)</f>
        <v>3.65</v>
      </c>
      <c r="E4" s="1248">
        <v>1</v>
      </c>
      <c r="F4" s="1249">
        <f ca="1">INDIRECT("q"&amp;$L$1)</f>
        <v>1.5</v>
      </c>
      <c r="G4" s="1238"/>
      <c r="H4" s="1238"/>
      <c r="I4" s="1238"/>
      <c r="J4" s="1238"/>
      <c r="L4" s="1238"/>
      <c r="M4" s="1238"/>
      <c r="N4" s="1238"/>
      <c r="O4" s="1238"/>
      <c r="P4" s="1238"/>
      <c r="Q4" s="1238"/>
      <c r="R4" s="1238"/>
      <c r="S4" s="1238"/>
      <c r="T4" s="1238"/>
      <c r="U4" s="1238"/>
      <c r="V4" s="1238"/>
      <c r="W4" s="1238"/>
      <c r="X4" s="1238"/>
      <c r="Y4" s="1238"/>
      <c r="Z4" s="1238"/>
    </row>
    <row r="5" spans="1:257">
      <c r="B5" s="1245" t="s">
        <v>609</v>
      </c>
      <c r="C5" s="1246">
        <v>1</v>
      </c>
      <c r="D5" s="1247">
        <f ca="1">INDIRECT("f"&amp;$J$1)</f>
        <v>3.65</v>
      </c>
      <c r="E5" s="1248">
        <v>2</v>
      </c>
      <c r="F5" s="1249">
        <f ca="1">INDIRECT("r"&amp;$L$1)</f>
        <v>2.1</v>
      </c>
      <c r="G5" s="1238"/>
      <c r="H5" s="1238"/>
      <c r="I5" s="1238"/>
      <c r="J5" s="1238"/>
      <c r="L5" s="1238"/>
      <c r="M5" s="1238"/>
      <c r="N5" s="1238"/>
      <c r="O5" s="1238"/>
      <c r="P5" s="1238"/>
      <c r="Q5" s="1238"/>
      <c r="R5" s="1238"/>
      <c r="S5" s="1238"/>
      <c r="T5" s="1238"/>
      <c r="U5" s="1238"/>
      <c r="V5" s="1238"/>
      <c r="W5" s="1238"/>
      <c r="X5" s="1238"/>
      <c r="Y5" s="1238"/>
      <c r="Z5" s="1238"/>
    </row>
    <row r="6" spans="1:257">
      <c r="B6" s="1245" t="s">
        <v>610</v>
      </c>
      <c r="C6" s="1246">
        <v>3</v>
      </c>
      <c r="D6" s="1247">
        <f ca="1">INDIRECT("g"&amp;$J$1)</f>
        <v>3.65</v>
      </c>
      <c r="E6" s="1248">
        <v>3</v>
      </c>
      <c r="F6" s="1249">
        <f ca="1">INDIRECT("s"&amp;$L$1)</f>
        <v>2.75</v>
      </c>
      <c r="G6" s="1238"/>
      <c r="H6" s="1238"/>
      <c r="I6" s="1238"/>
      <c r="J6" s="1238"/>
      <c r="L6" s="1238"/>
      <c r="M6" s="1238"/>
      <c r="N6" s="1238"/>
      <c r="O6" s="1238"/>
      <c r="P6" s="1238"/>
      <c r="Q6" s="1238"/>
      <c r="R6" s="1238"/>
      <c r="S6" s="1238"/>
      <c r="T6" s="1238"/>
      <c r="U6" s="1238"/>
      <c r="V6" s="1238"/>
      <c r="W6" s="1238"/>
      <c r="X6" s="1238"/>
      <c r="Y6" s="1238"/>
      <c r="Z6" s="1238"/>
    </row>
    <row r="7" spans="1:257" ht="15" thickBot="1">
      <c r="B7" s="1250" t="s">
        <v>611</v>
      </c>
      <c r="C7" s="1251">
        <v>5</v>
      </c>
      <c r="D7" s="1252">
        <f ca="1">INDIRECT("h"&amp;$J$1)</f>
        <v>4.3</v>
      </c>
      <c r="E7" s="1253">
        <v>5</v>
      </c>
      <c r="F7" s="1254">
        <f ca="1">INDIRECT("t"&amp;$L$1)</f>
        <v>0</v>
      </c>
      <c r="G7" s="1238"/>
      <c r="H7" s="1238"/>
      <c r="I7" s="1238"/>
      <c r="J7" s="1238"/>
      <c r="L7" s="1238"/>
      <c r="M7" s="1238"/>
      <c r="N7" s="1238"/>
      <c r="O7" s="1238"/>
      <c r="P7" s="1238"/>
      <c r="Q7" s="1238"/>
      <c r="R7" s="1238"/>
      <c r="S7" s="1238"/>
      <c r="T7" s="1238"/>
      <c r="U7" s="1238"/>
      <c r="V7" s="1238"/>
      <c r="W7" s="1238"/>
      <c r="X7" s="1238"/>
      <c r="Y7" s="1238"/>
      <c r="Z7" s="1238"/>
    </row>
    <row r="8" spans="1:257">
      <c r="A8" s="1255"/>
      <c r="B8" s="1256"/>
      <c r="C8" s="1257"/>
      <c r="D8" s="1238"/>
      <c r="E8" s="1238"/>
      <c r="F8" s="1238"/>
      <c r="G8" s="1238"/>
      <c r="H8" s="1238"/>
      <c r="I8" s="1238"/>
      <c r="J8" s="1238"/>
      <c r="L8" s="1238"/>
      <c r="M8" s="1238"/>
      <c r="N8" s="1238"/>
      <c r="O8" s="1238"/>
      <c r="P8" s="1238"/>
      <c r="Q8" s="1238"/>
      <c r="R8" s="1238"/>
      <c r="S8" s="1238"/>
      <c r="T8" s="1238"/>
      <c r="U8" s="1238"/>
      <c r="V8" s="1238"/>
      <c r="W8" s="1238"/>
      <c r="X8" s="1238"/>
      <c r="Y8" s="1238"/>
      <c r="Z8" s="1238"/>
    </row>
    <row r="9" spans="1:257" ht="20.25">
      <c r="A9" s="1258"/>
      <c r="B9" s="1259" t="s">
        <v>612</v>
      </c>
      <c r="C9" s="1260"/>
      <c r="D9" s="1261"/>
      <c r="E9" s="1261"/>
      <c r="F9" s="1261"/>
      <c r="G9" s="1261"/>
      <c r="H9" s="1261"/>
      <c r="I9" s="1261"/>
      <c r="J9" s="1261"/>
      <c r="K9" s="1261"/>
      <c r="L9" s="1261"/>
      <c r="M9" s="1261"/>
      <c r="N9" s="1261"/>
      <c r="O9" s="1261"/>
      <c r="P9" s="1261"/>
      <c r="Q9" s="1261"/>
      <c r="R9" s="1261"/>
      <c r="S9" s="1261"/>
      <c r="T9" s="1261"/>
      <c r="U9" s="1261"/>
      <c r="V9" s="1261"/>
      <c r="W9" s="1261"/>
      <c r="X9" s="1261"/>
      <c r="Y9" s="1261"/>
      <c r="Z9" s="1261"/>
      <c r="AA9" s="1262"/>
      <c r="AB9" s="1262"/>
      <c r="AC9" s="1262"/>
      <c r="AD9" s="1262"/>
      <c r="AE9" s="1262"/>
      <c r="AF9" s="1262"/>
      <c r="AG9" s="1262"/>
      <c r="AH9" s="1262"/>
      <c r="AI9" s="1262"/>
      <c r="AJ9" s="1262"/>
      <c r="AK9" s="1262"/>
      <c r="AL9" s="1262"/>
      <c r="AM9" s="1262"/>
      <c r="AN9" s="1262"/>
      <c r="AO9" s="1262"/>
      <c r="AP9" s="1262"/>
      <c r="AQ9" s="1262"/>
      <c r="AR9" s="1262"/>
      <c r="AS9" s="1262"/>
      <c r="AT9" s="1262"/>
      <c r="AU9" s="1262"/>
      <c r="AV9" s="1262"/>
      <c r="AW9" s="1262"/>
      <c r="AX9" s="1262"/>
      <c r="AY9" s="1262"/>
      <c r="AZ9" s="1262"/>
      <c r="BA9" s="1262"/>
      <c r="BB9" s="1262"/>
      <c r="BC9" s="1262"/>
      <c r="BD9" s="1262"/>
      <c r="BE9" s="1262"/>
      <c r="BF9" s="1262"/>
      <c r="BG9" s="1262"/>
      <c r="BH9" s="1262"/>
      <c r="BI9" s="1262"/>
      <c r="BJ9" s="1262"/>
      <c r="BK9" s="1262"/>
      <c r="BL9" s="1262"/>
      <c r="BM9" s="1262"/>
      <c r="BN9" s="1262"/>
      <c r="BO9" s="1262"/>
      <c r="BP9" s="1262"/>
      <c r="BQ9" s="1262"/>
      <c r="BR9" s="1262"/>
      <c r="BS9" s="1262"/>
      <c r="BT9" s="1262"/>
      <c r="BU9" s="1262"/>
      <c r="BV9" s="1262"/>
      <c r="BW9" s="1262"/>
      <c r="BX9" s="1262"/>
      <c r="BY9" s="1262"/>
      <c r="BZ9" s="1262"/>
      <c r="CA9" s="1262"/>
      <c r="CB9" s="1262"/>
      <c r="CC9" s="1262"/>
      <c r="CD9" s="1262"/>
      <c r="CE9" s="1262"/>
      <c r="CF9" s="1262"/>
      <c r="CG9" s="1262"/>
      <c r="CH9" s="1262"/>
      <c r="CI9" s="1262"/>
      <c r="CJ9" s="1262"/>
      <c r="CK9" s="1262"/>
      <c r="CL9" s="1262"/>
      <c r="CM9" s="1262"/>
      <c r="CN9" s="1262"/>
      <c r="CO9" s="1262"/>
      <c r="CP9" s="1262"/>
      <c r="CQ9" s="1262"/>
      <c r="CR9" s="1262"/>
      <c r="CS9" s="1262"/>
      <c r="CT9" s="1262"/>
      <c r="CU9" s="1262"/>
      <c r="CV9" s="1262"/>
      <c r="CW9" s="1262"/>
      <c r="CX9" s="1262"/>
      <c r="CY9" s="1262"/>
      <c r="CZ9" s="1262"/>
      <c r="DA9" s="1262"/>
      <c r="DB9" s="1262"/>
      <c r="DC9" s="1262"/>
      <c r="DD9" s="1262"/>
      <c r="DE9" s="1262"/>
      <c r="DF9" s="1262"/>
      <c r="DG9" s="1262"/>
      <c r="DH9" s="1262"/>
      <c r="DI9" s="1262"/>
      <c r="DJ9" s="1262"/>
      <c r="DK9" s="1262"/>
      <c r="DL9" s="1262"/>
      <c r="DM9" s="1262"/>
      <c r="DN9" s="1262"/>
      <c r="DO9" s="1262"/>
      <c r="DP9" s="1262"/>
      <c r="DQ9" s="1262"/>
      <c r="DR9" s="1262"/>
      <c r="DS9" s="1262"/>
      <c r="DT9" s="1262"/>
      <c r="DU9" s="1262"/>
      <c r="DV9" s="1262"/>
      <c r="DW9" s="1262"/>
      <c r="DX9" s="1262"/>
      <c r="DY9" s="1262"/>
      <c r="DZ9" s="1262"/>
      <c r="EA9" s="1262"/>
      <c r="EB9" s="1262"/>
      <c r="EC9" s="1262"/>
      <c r="ED9" s="1262"/>
      <c r="EE9" s="1262"/>
      <c r="EF9" s="1262"/>
      <c r="EG9" s="1262"/>
      <c r="EH9" s="1262"/>
      <c r="EI9" s="1262"/>
      <c r="EJ9" s="1262"/>
      <c r="EK9" s="1262"/>
      <c r="EL9" s="1262"/>
      <c r="EM9" s="1262"/>
      <c r="EN9" s="1262"/>
      <c r="EO9" s="1262"/>
      <c r="EP9" s="1262"/>
      <c r="EQ9" s="1262"/>
      <c r="ER9" s="1262"/>
      <c r="ES9" s="1262"/>
      <c r="ET9" s="1262"/>
      <c r="EU9" s="1262"/>
      <c r="EV9" s="1262"/>
      <c r="EW9" s="1262"/>
      <c r="EX9" s="1262"/>
      <c r="EY9" s="1262"/>
      <c r="EZ9" s="1262"/>
      <c r="FA9" s="1262"/>
      <c r="FB9" s="1262"/>
      <c r="FC9" s="1262"/>
      <c r="FD9" s="1262"/>
      <c r="FE9" s="1262"/>
      <c r="FF9" s="1262"/>
      <c r="FG9" s="1262"/>
      <c r="FH9" s="1262"/>
      <c r="FI9" s="1262"/>
      <c r="FJ9" s="1262"/>
      <c r="FK9" s="1262"/>
      <c r="FL9" s="1262"/>
      <c r="FM9" s="1262"/>
      <c r="FN9" s="1262"/>
      <c r="FO9" s="1262"/>
      <c r="FP9" s="1262"/>
      <c r="FQ9" s="1262"/>
      <c r="FR9" s="1262"/>
      <c r="FS9" s="1262"/>
      <c r="FT9" s="1262"/>
      <c r="FU9" s="1262"/>
      <c r="FV9" s="1262"/>
      <c r="FW9" s="1262"/>
      <c r="FX9" s="1262"/>
      <c r="FY9" s="1262"/>
      <c r="FZ9" s="1262"/>
      <c r="GA9" s="1262"/>
      <c r="GB9" s="1262"/>
      <c r="GC9" s="1262"/>
      <c r="GD9" s="1262"/>
      <c r="GE9" s="1262"/>
      <c r="GF9" s="1262"/>
      <c r="GG9" s="1262"/>
      <c r="GH9" s="1262"/>
      <c r="GI9" s="1262"/>
      <c r="GJ9" s="1262"/>
      <c r="GK9" s="1262"/>
      <c r="GL9" s="1262"/>
      <c r="GM9" s="1262"/>
      <c r="GN9" s="1262"/>
      <c r="GO9" s="1262"/>
      <c r="GP9" s="1262"/>
      <c r="GQ9" s="1262"/>
      <c r="GR9" s="1262"/>
      <c r="GS9" s="1262"/>
      <c r="GT9" s="1262"/>
      <c r="GU9" s="1262"/>
      <c r="GV9" s="1262"/>
      <c r="GW9" s="1262"/>
      <c r="GX9" s="1262"/>
      <c r="GY9" s="1262"/>
      <c r="GZ9" s="1262"/>
      <c r="HA9" s="1262"/>
      <c r="HB9" s="1262"/>
      <c r="HC9" s="1262"/>
      <c r="HD9" s="1262"/>
      <c r="HE9" s="1262"/>
      <c r="HF9" s="1262"/>
      <c r="HG9" s="1262"/>
      <c r="HH9" s="1262"/>
      <c r="HI9" s="1262"/>
      <c r="HJ9" s="1262"/>
      <c r="HK9" s="1262"/>
      <c r="HL9" s="1262"/>
      <c r="HM9" s="1262"/>
      <c r="HN9" s="1262"/>
      <c r="HO9" s="1262"/>
      <c r="HP9" s="1262"/>
      <c r="HQ9" s="1262"/>
      <c r="HR9" s="1262"/>
      <c r="HS9" s="1262"/>
      <c r="HT9" s="1262"/>
      <c r="HU9" s="1262"/>
      <c r="HV9" s="1262"/>
      <c r="HW9" s="1262"/>
      <c r="HX9" s="1262"/>
      <c r="HY9" s="1262"/>
      <c r="HZ9" s="1262"/>
      <c r="IA9" s="1262"/>
      <c r="IB9" s="1262"/>
      <c r="IC9" s="1262"/>
      <c r="ID9" s="1262"/>
      <c r="IE9" s="1262"/>
      <c r="IF9" s="1262"/>
      <c r="IG9" s="1262"/>
      <c r="IH9" s="1262"/>
      <c r="II9" s="1262"/>
      <c r="IJ9" s="1262"/>
      <c r="IK9" s="1262"/>
      <c r="IL9" s="1262"/>
      <c r="IM9" s="1262"/>
      <c r="IN9" s="1262"/>
      <c r="IO9" s="1262"/>
      <c r="IP9" s="1262"/>
      <c r="IQ9" s="1262"/>
      <c r="IR9" s="1262"/>
      <c r="IS9" s="1262"/>
      <c r="IT9" s="1262"/>
      <c r="IU9" s="1262"/>
      <c r="IV9" s="1262"/>
      <c r="IW9" s="1263"/>
    </row>
    <row r="10" spans="1:257" ht="22.5">
      <c r="A10" s="1264"/>
      <c r="B10" s="1265" t="s">
        <v>613</v>
      </c>
      <c r="C10" s="1264"/>
      <c r="D10" s="1264"/>
      <c r="E10" s="1264"/>
      <c r="F10" s="1264"/>
      <c r="G10" s="1264"/>
      <c r="H10" s="1264"/>
      <c r="I10" s="1238"/>
      <c r="J10" s="1238"/>
      <c r="K10" s="1264"/>
      <c r="L10" s="1265" t="s">
        <v>614</v>
      </c>
      <c r="M10" s="1264"/>
      <c r="N10" s="1264"/>
      <c r="O10" s="1264"/>
      <c r="P10" s="1264"/>
      <c r="Q10" s="1264"/>
      <c r="R10" s="1264"/>
      <c r="S10" s="1264"/>
      <c r="T10" s="1264"/>
      <c r="U10" s="1264"/>
      <c r="V10" s="1264"/>
      <c r="W10" s="1264"/>
      <c r="X10" s="1264"/>
      <c r="Y10" s="1264"/>
      <c r="Z10" s="1264"/>
      <c r="AA10" s="1266"/>
      <c r="AB10" s="1266"/>
      <c r="AC10" s="1266"/>
      <c r="AD10" s="1266"/>
      <c r="AE10" s="1266"/>
      <c r="AF10" s="1266"/>
      <c r="AG10" s="1266"/>
      <c r="AH10" s="1266"/>
      <c r="AI10" s="1266"/>
      <c r="AJ10" s="1266"/>
      <c r="AK10" s="1266"/>
      <c r="AL10" s="1266"/>
      <c r="AM10" s="1266"/>
      <c r="AN10" s="1266"/>
      <c r="AO10" s="1266"/>
      <c r="AP10" s="1266"/>
      <c r="AQ10" s="1266"/>
      <c r="AR10" s="1266"/>
      <c r="AS10" s="1266"/>
      <c r="AT10" s="1266"/>
      <c r="AU10" s="1266"/>
      <c r="AV10" s="1266"/>
      <c r="AW10" s="1266"/>
      <c r="AX10" s="1266"/>
      <c r="AY10" s="1266"/>
      <c r="AZ10" s="1266"/>
      <c r="BA10" s="1266"/>
      <c r="BB10" s="1266"/>
      <c r="BC10" s="1266"/>
      <c r="BD10" s="1266"/>
      <c r="BE10" s="1266"/>
      <c r="BF10" s="1266"/>
      <c r="BG10" s="1266"/>
      <c r="BH10" s="1266"/>
      <c r="BI10" s="1266"/>
      <c r="BJ10" s="1266"/>
      <c r="BK10" s="1266"/>
      <c r="BL10" s="1266"/>
      <c r="BM10" s="1266"/>
      <c r="BN10" s="1266"/>
      <c r="BO10" s="1266"/>
      <c r="BP10" s="1266"/>
      <c r="BQ10" s="1266"/>
      <c r="BR10" s="1266"/>
      <c r="BS10" s="1266"/>
      <c r="BT10" s="1266"/>
      <c r="BU10" s="1266"/>
      <c r="BV10" s="1266"/>
      <c r="BW10" s="1266"/>
      <c r="BX10" s="1266"/>
      <c r="BY10" s="1266"/>
      <c r="BZ10" s="1266"/>
      <c r="CA10" s="1266"/>
      <c r="CB10" s="1266"/>
      <c r="CC10" s="1266"/>
      <c r="CD10" s="1266"/>
      <c r="CE10" s="1266"/>
      <c r="CF10" s="1266"/>
      <c r="CG10" s="1266"/>
      <c r="CH10" s="1266"/>
      <c r="CI10" s="1266"/>
      <c r="CJ10" s="1266"/>
      <c r="CK10" s="1266"/>
      <c r="CL10" s="1266"/>
      <c r="CM10" s="1266"/>
      <c r="CN10" s="1266"/>
      <c r="CO10" s="1266"/>
      <c r="CP10" s="1266"/>
      <c r="CQ10" s="1266"/>
      <c r="CR10" s="1266"/>
      <c r="CS10" s="1266"/>
      <c r="CT10" s="1266"/>
      <c r="CU10" s="1266"/>
      <c r="CV10" s="1266"/>
      <c r="CW10" s="1266"/>
      <c r="CX10" s="1266"/>
      <c r="CY10" s="1266"/>
      <c r="CZ10" s="1266"/>
      <c r="DA10" s="1266"/>
      <c r="DB10" s="1266"/>
      <c r="DC10" s="1266"/>
      <c r="DD10" s="1266"/>
      <c r="DE10" s="1266"/>
      <c r="DF10" s="1266"/>
      <c r="DG10" s="1266"/>
      <c r="DH10" s="1266"/>
      <c r="DI10" s="1266"/>
      <c r="DJ10" s="1266"/>
      <c r="DK10" s="1266"/>
      <c r="DL10" s="1266"/>
      <c r="DM10" s="1266"/>
      <c r="DN10" s="1266"/>
      <c r="DO10" s="1266"/>
      <c r="DP10" s="1266"/>
      <c r="DQ10" s="1266"/>
      <c r="DR10" s="1266"/>
      <c r="DS10" s="1266"/>
      <c r="DT10" s="1266"/>
      <c r="DU10" s="1266"/>
      <c r="DV10" s="1266"/>
      <c r="DW10" s="1266"/>
      <c r="DX10" s="1266"/>
      <c r="DY10" s="1266"/>
      <c r="DZ10" s="1266"/>
      <c r="EA10" s="1266"/>
      <c r="EB10" s="1266"/>
      <c r="EC10" s="1266"/>
      <c r="ED10" s="1266"/>
      <c r="EE10" s="1266"/>
      <c r="EF10" s="1266"/>
      <c r="EG10" s="1266"/>
      <c r="EH10" s="1266"/>
      <c r="EI10" s="1266"/>
      <c r="EJ10" s="1266"/>
      <c r="EK10" s="1266"/>
      <c r="EL10" s="1266"/>
      <c r="EM10" s="1266"/>
      <c r="EN10" s="1266"/>
      <c r="EO10" s="1266"/>
      <c r="EP10" s="1266"/>
      <c r="EQ10" s="1266"/>
      <c r="ER10" s="1266"/>
      <c r="ES10" s="1266"/>
      <c r="ET10" s="1266"/>
      <c r="EU10" s="1266"/>
      <c r="EV10" s="1266"/>
      <c r="EW10" s="1266"/>
      <c r="EX10" s="1266"/>
      <c r="EY10" s="1266"/>
      <c r="EZ10" s="1266"/>
      <c r="FA10" s="1266"/>
      <c r="FB10" s="1266"/>
      <c r="FC10" s="1266"/>
      <c r="FD10" s="1266"/>
      <c r="FE10" s="1266"/>
      <c r="FF10" s="1266"/>
      <c r="FG10" s="1266"/>
      <c r="FH10" s="1266"/>
      <c r="FI10" s="1266"/>
      <c r="FJ10" s="1266"/>
      <c r="FK10" s="1266"/>
      <c r="FL10" s="1266"/>
      <c r="FM10" s="1266"/>
      <c r="FN10" s="1266"/>
      <c r="FO10" s="1266"/>
      <c r="FP10" s="1266"/>
      <c r="FQ10" s="1266"/>
      <c r="FR10" s="1266"/>
      <c r="FS10" s="1266"/>
      <c r="FT10" s="1266"/>
      <c r="FU10" s="1266"/>
      <c r="FV10" s="1266"/>
      <c r="FW10" s="1266"/>
      <c r="FX10" s="1266"/>
      <c r="FY10" s="1266"/>
      <c r="FZ10" s="1266"/>
      <c r="GA10" s="1266"/>
      <c r="GB10" s="1266"/>
      <c r="GC10" s="1266"/>
      <c r="GD10" s="1266"/>
      <c r="GE10" s="1266"/>
      <c r="GF10" s="1266"/>
      <c r="GG10" s="1266"/>
      <c r="GH10" s="1266"/>
      <c r="GI10" s="1266"/>
      <c r="GJ10" s="1266"/>
      <c r="GK10" s="1266"/>
      <c r="GL10" s="1266"/>
      <c r="GM10" s="1266"/>
      <c r="GN10" s="1266"/>
      <c r="GO10" s="1266"/>
      <c r="GP10" s="1266"/>
      <c r="GQ10" s="1266"/>
      <c r="GR10" s="1266"/>
      <c r="GS10" s="1266"/>
      <c r="GT10" s="1266"/>
      <c r="GU10" s="1266"/>
      <c r="GV10" s="1266"/>
      <c r="GW10" s="1266"/>
      <c r="GX10" s="1266"/>
      <c r="GY10" s="1266"/>
      <c r="GZ10" s="1266"/>
      <c r="HA10" s="1266"/>
      <c r="HB10" s="1266"/>
      <c r="HC10" s="1266"/>
      <c r="HD10" s="1266"/>
      <c r="HE10" s="1266"/>
      <c r="HF10" s="1266"/>
      <c r="HG10" s="1266"/>
      <c r="HH10" s="1266"/>
      <c r="HI10" s="1266"/>
      <c r="HJ10" s="1266"/>
      <c r="HK10" s="1266"/>
      <c r="HL10" s="1266"/>
      <c r="HM10" s="1266"/>
      <c r="HN10" s="1266"/>
      <c r="HO10" s="1266"/>
      <c r="HP10" s="1266"/>
      <c r="HQ10" s="1266"/>
      <c r="HR10" s="1266"/>
      <c r="HS10" s="1266"/>
      <c r="HT10" s="1266"/>
      <c r="HU10" s="1266"/>
      <c r="HV10" s="1266"/>
      <c r="HW10" s="1266"/>
      <c r="HX10" s="1266"/>
      <c r="HY10" s="1266"/>
      <c r="HZ10" s="1266"/>
      <c r="IA10" s="1266"/>
      <c r="IB10" s="1266"/>
      <c r="IC10" s="1266"/>
      <c r="ID10" s="1266"/>
      <c r="IE10" s="1266"/>
      <c r="IF10" s="1266"/>
      <c r="IG10" s="1266"/>
      <c r="IH10" s="1266"/>
      <c r="II10" s="1266"/>
      <c r="IJ10" s="1266"/>
      <c r="IK10" s="1266"/>
      <c r="IL10" s="1266"/>
      <c r="IM10" s="1266"/>
      <c r="IN10" s="1266"/>
      <c r="IO10" s="1266"/>
      <c r="IP10" s="1266"/>
      <c r="IQ10" s="1266"/>
      <c r="IR10" s="1266"/>
      <c r="IS10" s="1266"/>
      <c r="IT10" s="1266"/>
      <c r="IU10" s="1266"/>
      <c r="IV10" s="1266"/>
    </row>
    <row r="11" spans="1:257">
      <c r="A11" s="1267"/>
      <c r="B11" s="1268" t="s">
        <v>615</v>
      </c>
      <c r="C11" s="1269" t="s">
        <v>616</v>
      </c>
      <c r="D11" s="1270" t="s">
        <v>617</v>
      </c>
      <c r="E11" s="1271"/>
      <c r="F11" s="1270" t="s">
        <v>618</v>
      </c>
      <c r="G11" s="1272"/>
      <c r="H11" s="1271"/>
      <c r="I11" s="1270" t="s">
        <v>619</v>
      </c>
      <c r="J11" s="1271"/>
      <c r="K11" s="1267"/>
      <c r="L11" s="1268" t="s">
        <v>615</v>
      </c>
      <c r="M11" s="1269" t="s">
        <v>616</v>
      </c>
      <c r="N11" s="1268" t="s">
        <v>620</v>
      </c>
      <c r="O11" s="1270" t="s">
        <v>621</v>
      </c>
      <c r="P11" s="1272"/>
      <c r="Q11" s="1272"/>
      <c r="R11" s="1272"/>
      <c r="S11" s="1272"/>
      <c r="T11" s="1271"/>
      <c r="U11" s="1270" t="s">
        <v>622</v>
      </c>
      <c r="V11" s="1272"/>
      <c r="W11" s="1271"/>
      <c r="X11" s="1268" t="s">
        <v>623</v>
      </c>
      <c r="Y11" s="1268" t="s">
        <v>624</v>
      </c>
      <c r="Z11" s="1268" t="s">
        <v>625</v>
      </c>
      <c r="AA11" s="1273"/>
      <c r="AB11" s="1273"/>
      <c r="AC11" s="1273"/>
      <c r="AD11" s="1273"/>
      <c r="AE11" s="1273"/>
      <c r="AF11" s="1273"/>
      <c r="AG11" s="1273"/>
      <c r="AH11" s="1273"/>
      <c r="AI11" s="1273"/>
      <c r="AJ11" s="1273"/>
      <c r="AK11" s="1273"/>
      <c r="AL11" s="1273"/>
      <c r="AM11" s="1273"/>
      <c r="AN11" s="1273"/>
      <c r="AO11" s="1273"/>
      <c r="AP11" s="1273"/>
      <c r="AQ11" s="1273"/>
      <c r="AR11" s="1273"/>
      <c r="AS11" s="1273"/>
      <c r="AT11" s="1273"/>
      <c r="AU11" s="1273"/>
      <c r="AV11" s="1273"/>
      <c r="AW11" s="1273"/>
      <c r="AX11" s="1273"/>
      <c r="AY11" s="1273"/>
      <c r="AZ11" s="1273"/>
      <c r="BA11" s="1273"/>
      <c r="BB11" s="1273"/>
      <c r="BC11" s="1273"/>
      <c r="BD11" s="1273"/>
      <c r="BE11" s="1273"/>
      <c r="BF11" s="1273"/>
      <c r="BG11" s="1273"/>
      <c r="BH11" s="1273"/>
      <c r="BI11" s="1273"/>
      <c r="BJ11" s="1273"/>
      <c r="BK11" s="1273"/>
      <c r="BL11" s="1273"/>
      <c r="BM11" s="1273"/>
      <c r="BN11" s="1273"/>
      <c r="BO11" s="1273"/>
      <c r="BP11" s="1273"/>
      <c r="BQ11" s="1273"/>
      <c r="BR11" s="1273"/>
      <c r="BS11" s="1273"/>
      <c r="BT11" s="1273"/>
      <c r="BU11" s="1273"/>
      <c r="BV11" s="1273"/>
      <c r="BW11" s="1273"/>
      <c r="BX11" s="1273"/>
      <c r="BY11" s="1273"/>
      <c r="BZ11" s="1273"/>
      <c r="CA11" s="1273"/>
      <c r="CB11" s="1273"/>
      <c r="CC11" s="1273"/>
      <c r="CD11" s="1273"/>
      <c r="CE11" s="1273"/>
      <c r="CF11" s="1273"/>
      <c r="CG11" s="1273"/>
      <c r="CH11" s="1273"/>
      <c r="CI11" s="1273"/>
      <c r="CJ11" s="1273"/>
      <c r="CK11" s="1273"/>
      <c r="CL11" s="1273"/>
      <c r="CM11" s="1273"/>
      <c r="CN11" s="1273"/>
      <c r="CO11" s="1273"/>
      <c r="CP11" s="1273"/>
      <c r="CQ11" s="1273"/>
      <c r="CR11" s="1273"/>
      <c r="CS11" s="1273"/>
      <c r="CT11" s="1273"/>
      <c r="CU11" s="1273"/>
      <c r="CV11" s="1273"/>
      <c r="CW11" s="1273"/>
      <c r="CX11" s="1273"/>
      <c r="CY11" s="1273"/>
      <c r="CZ11" s="1273"/>
      <c r="DA11" s="1273"/>
      <c r="DB11" s="1273"/>
      <c r="DC11" s="1273"/>
      <c r="DD11" s="1273"/>
      <c r="DE11" s="1273"/>
      <c r="DF11" s="1273"/>
      <c r="DG11" s="1273"/>
      <c r="DH11" s="1273"/>
      <c r="DI11" s="1273"/>
      <c r="DJ11" s="1273"/>
      <c r="DK11" s="1273"/>
      <c r="DL11" s="1273"/>
      <c r="DM11" s="1273"/>
      <c r="DN11" s="1273"/>
      <c r="DO11" s="1273"/>
      <c r="DP11" s="1273"/>
      <c r="DQ11" s="1273"/>
      <c r="DR11" s="1273"/>
      <c r="DS11" s="1273"/>
      <c r="DT11" s="1273"/>
      <c r="DU11" s="1273"/>
      <c r="DV11" s="1273"/>
      <c r="DW11" s="1273"/>
      <c r="DX11" s="1273"/>
      <c r="DY11" s="1273"/>
      <c r="DZ11" s="1273"/>
      <c r="EA11" s="1273"/>
      <c r="EB11" s="1273"/>
      <c r="EC11" s="1273"/>
      <c r="ED11" s="1273"/>
      <c r="EE11" s="1273"/>
      <c r="EF11" s="1273"/>
      <c r="EG11" s="1273"/>
      <c r="EH11" s="1273"/>
      <c r="EI11" s="1273"/>
      <c r="EJ11" s="1273"/>
      <c r="EK11" s="1273"/>
      <c r="EL11" s="1273"/>
      <c r="EM11" s="1273"/>
      <c r="EN11" s="1273"/>
      <c r="EO11" s="1273"/>
      <c r="EP11" s="1273"/>
      <c r="EQ11" s="1273"/>
      <c r="ER11" s="1273"/>
      <c r="ES11" s="1273"/>
      <c r="ET11" s="1273"/>
      <c r="EU11" s="1273"/>
      <c r="EV11" s="1273"/>
      <c r="EW11" s="1273"/>
      <c r="EX11" s="1273"/>
      <c r="EY11" s="1273"/>
      <c r="EZ11" s="1273"/>
      <c r="FA11" s="1273"/>
      <c r="FB11" s="1273"/>
      <c r="FC11" s="1273"/>
      <c r="FD11" s="1273"/>
      <c r="FE11" s="1273"/>
      <c r="FF11" s="1273"/>
      <c r="FG11" s="1273"/>
      <c r="FH11" s="1273"/>
      <c r="FI11" s="1273"/>
      <c r="FJ11" s="1273"/>
      <c r="FK11" s="1273"/>
      <c r="FL11" s="1273"/>
      <c r="FM11" s="1273"/>
      <c r="FN11" s="1273"/>
      <c r="FO11" s="1273"/>
      <c r="FP11" s="1273"/>
      <c r="FQ11" s="1273"/>
      <c r="FR11" s="1273"/>
      <c r="FS11" s="1273"/>
      <c r="FT11" s="1273"/>
      <c r="FU11" s="1273"/>
      <c r="FV11" s="1273"/>
      <c r="FW11" s="1273"/>
      <c r="FX11" s="1273"/>
      <c r="FY11" s="1273"/>
      <c r="FZ11" s="1273"/>
      <c r="GA11" s="1273"/>
      <c r="GB11" s="1273"/>
      <c r="GC11" s="1273"/>
      <c r="GD11" s="1273"/>
      <c r="GE11" s="1273"/>
      <c r="GF11" s="1273"/>
      <c r="GG11" s="1273"/>
      <c r="GH11" s="1273"/>
      <c r="GI11" s="1273"/>
      <c r="GJ11" s="1273"/>
      <c r="GK11" s="1273"/>
      <c r="GL11" s="1273"/>
      <c r="GM11" s="1273"/>
      <c r="GN11" s="1273"/>
      <c r="GO11" s="1273"/>
      <c r="GP11" s="1273"/>
      <c r="GQ11" s="1273"/>
      <c r="GR11" s="1273"/>
      <c r="GS11" s="1273"/>
      <c r="GT11" s="1273"/>
      <c r="GU11" s="1273"/>
      <c r="GV11" s="1273"/>
      <c r="GW11" s="1273"/>
      <c r="GX11" s="1273"/>
      <c r="GY11" s="1273"/>
      <c r="GZ11" s="1273"/>
      <c r="HA11" s="1273"/>
      <c r="HB11" s="1273"/>
      <c r="HC11" s="1273"/>
      <c r="HD11" s="1273"/>
      <c r="HE11" s="1273"/>
      <c r="HF11" s="1273"/>
      <c r="HG11" s="1273"/>
      <c r="HH11" s="1273"/>
      <c r="HI11" s="1273"/>
      <c r="HJ11" s="1273"/>
      <c r="HK11" s="1273"/>
      <c r="HL11" s="1273"/>
      <c r="HM11" s="1273"/>
      <c r="HN11" s="1273"/>
      <c r="HO11" s="1273"/>
      <c r="HP11" s="1273"/>
      <c r="HQ11" s="1273"/>
      <c r="HR11" s="1273"/>
      <c r="HS11" s="1273"/>
      <c r="HT11" s="1273"/>
      <c r="HU11" s="1273"/>
      <c r="HV11" s="1273"/>
      <c r="HW11" s="1273"/>
      <c r="HX11" s="1273"/>
      <c r="HY11" s="1273"/>
      <c r="HZ11" s="1273"/>
      <c r="IA11" s="1273"/>
      <c r="IB11" s="1273"/>
      <c r="IC11" s="1273"/>
      <c r="ID11" s="1273"/>
      <c r="IE11" s="1273"/>
      <c r="IF11" s="1273"/>
      <c r="IG11" s="1273"/>
      <c r="IH11" s="1273"/>
      <c r="II11" s="1273"/>
      <c r="IJ11" s="1273"/>
      <c r="IK11" s="1273"/>
      <c r="IL11" s="1273"/>
      <c r="IM11" s="1273"/>
      <c r="IN11" s="1273"/>
      <c r="IO11" s="1273"/>
      <c r="IP11" s="1273"/>
      <c r="IQ11" s="1273"/>
      <c r="IR11" s="1273"/>
      <c r="IS11" s="1273"/>
      <c r="IT11" s="1273"/>
      <c r="IU11" s="1273"/>
      <c r="IV11" s="1273"/>
    </row>
    <row r="12" spans="1:257">
      <c r="A12" s="1274"/>
      <c r="B12" s="1275"/>
      <c r="C12" s="1276"/>
      <c r="D12" s="1277" t="s">
        <v>626</v>
      </c>
      <c r="E12" s="1277" t="s">
        <v>627</v>
      </c>
      <c r="F12" s="1277" t="s">
        <v>628</v>
      </c>
      <c r="G12" s="1277" t="s">
        <v>629</v>
      </c>
      <c r="H12" s="1277" t="s">
        <v>611</v>
      </c>
      <c r="I12" s="1278" t="s">
        <v>630</v>
      </c>
      <c r="J12" s="1278" t="s">
        <v>630</v>
      </c>
      <c r="K12" s="1274"/>
      <c r="L12" s="1275"/>
      <c r="M12" s="1276"/>
      <c r="N12" s="1275"/>
      <c r="O12" s="1278" t="s">
        <v>631</v>
      </c>
      <c r="P12" s="1278">
        <v>0.5</v>
      </c>
      <c r="Q12" s="1278">
        <v>1</v>
      </c>
      <c r="R12" s="1278">
        <v>2</v>
      </c>
      <c r="S12" s="1278">
        <v>3</v>
      </c>
      <c r="T12" s="1278">
        <v>5</v>
      </c>
      <c r="U12" s="1278">
        <v>1</v>
      </c>
      <c r="V12" s="1278">
        <v>3</v>
      </c>
      <c r="W12" s="1278">
        <v>5</v>
      </c>
      <c r="X12" s="1275"/>
      <c r="Y12" s="1275"/>
      <c r="Z12" s="1275"/>
      <c r="AA12" s="1279"/>
      <c r="AB12" s="1279"/>
      <c r="AC12" s="1279"/>
      <c r="AD12" s="1279"/>
      <c r="AE12" s="1279"/>
      <c r="AF12" s="1279"/>
      <c r="AG12" s="1279"/>
      <c r="AH12" s="1279"/>
      <c r="AI12" s="1279"/>
      <c r="AJ12" s="1279"/>
      <c r="AK12" s="1279"/>
      <c r="AL12" s="1279"/>
      <c r="AM12" s="1279"/>
      <c r="AN12" s="1279"/>
      <c r="AO12" s="1279"/>
      <c r="AP12" s="1279"/>
      <c r="AQ12" s="1279"/>
      <c r="AR12" s="1279"/>
      <c r="AS12" s="1279"/>
      <c r="AT12" s="1279"/>
      <c r="AU12" s="1279"/>
      <c r="AV12" s="1279"/>
      <c r="AW12" s="1279"/>
      <c r="AX12" s="1279"/>
      <c r="AY12" s="1279"/>
      <c r="AZ12" s="1279"/>
      <c r="BA12" s="1279"/>
      <c r="BB12" s="1279"/>
      <c r="BC12" s="1279"/>
      <c r="BD12" s="1279"/>
      <c r="BE12" s="1279"/>
      <c r="BF12" s="1279"/>
      <c r="BG12" s="1279"/>
      <c r="BH12" s="1279"/>
      <c r="BI12" s="1279"/>
      <c r="BJ12" s="1279"/>
      <c r="BK12" s="1279"/>
      <c r="BL12" s="1279"/>
      <c r="BM12" s="1279"/>
      <c r="BN12" s="1279"/>
      <c r="BO12" s="1279"/>
      <c r="BP12" s="1279"/>
      <c r="BQ12" s="1279"/>
      <c r="BR12" s="1279"/>
      <c r="BS12" s="1279"/>
      <c r="BT12" s="1279"/>
      <c r="BU12" s="1279"/>
      <c r="BV12" s="1279"/>
      <c r="BW12" s="1279"/>
      <c r="BX12" s="1279"/>
      <c r="BY12" s="1279"/>
      <c r="BZ12" s="1279"/>
      <c r="CA12" s="1279"/>
      <c r="CB12" s="1279"/>
      <c r="CC12" s="1279"/>
      <c r="CD12" s="1279"/>
      <c r="CE12" s="1279"/>
      <c r="CF12" s="1279"/>
      <c r="CG12" s="1279"/>
      <c r="CH12" s="1279"/>
      <c r="CI12" s="1279"/>
      <c r="CJ12" s="1279"/>
      <c r="CK12" s="1279"/>
      <c r="CL12" s="1279"/>
      <c r="CM12" s="1279"/>
      <c r="CN12" s="1279"/>
      <c r="CO12" s="1279"/>
      <c r="CP12" s="1279"/>
      <c r="CQ12" s="1279"/>
      <c r="CR12" s="1279"/>
      <c r="CS12" s="1279"/>
      <c r="CT12" s="1279"/>
      <c r="CU12" s="1279"/>
      <c r="CV12" s="1279"/>
      <c r="CW12" s="1279"/>
      <c r="CX12" s="1279"/>
      <c r="CY12" s="1279"/>
      <c r="CZ12" s="1279"/>
      <c r="DA12" s="1279"/>
      <c r="DB12" s="1279"/>
      <c r="DC12" s="1279"/>
      <c r="DD12" s="1279"/>
      <c r="DE12" s="1279"/>
      <c r="DF12" s="1279"/>
      <c r="DG12" s="1279"/>
      <c r="DH12" s="1279"/>
      <c r="DI12" s="1279"/>
      <c r="DJ12" s="1279"/>
      <c r="DK12" s="1279"/>
      <c r="DL12" s="1279"/>
      <c r="DM12" s="1279"/>
      <c r="DN12" s="1279"/>
      <c r="DO12" s="1279"/>
      <c r="DP12" s="1279"/>
      <c r="DQ12" s="1279"/>
      <c r="DR12" s="1279"/>
      <c r="DS12" s="1279"/>
      <c r="DT12" s="1279"/>
      <c r="DU12" s="1279"/>
      <c r="DV12" s="1279"/>
      <c r="DW12" s="1279"/>
      <c r="DX12" s="1279"/>
      <c r="DY12" s="1279"/>
      <c r="DZ12" s="1279"/>
      <c r="EA12" s="1279"/>
      <c r="EB12" s="1279"/>
      <c r="EC12" s="1279"/>
      <c r="ED12" s="1279"/>
      <c r="EE12" s="1279"/>
      <c r="EF12" s="1279"/>
      <c r="EG12" s="1279"/>
      <c r="EH12" s="1279"/>
      <c r="EI12" s="1279"/>
      <c r="EJ12" s="1279"/>
      <c r="EK12" s="1279"/>
      <c r="EL12" s="1279"/>
      <c r="EM12" s="1279"/>
      <c r="EN12" s="1279"/>
      <c r="EO12" s="1279"/>
      <c r="EP12" s="1279"/>
      <c r="EQ12" s="1279"/>
      <c r="ER12" s="1279"/>
      <c r="ES12" s="1279"/>
      <c r="ET12" s="1279"/>
      <c r="EU12" s="1279"/>
      <c r="EV12" s="1279"/>
      <c r="EW12" s="1279"/>
      <c r="EX12" s="1279"/>
      <c r="EY12" s="1279"/>
      <c r="EZ12" s="1279"/>
      <c r="FA12" s="1279"/>
      <c r="FB12" s="1279"/>
      <c r="FC12" s="1279"/>
      <c r="FD12" s="1279"/>
      <c r="FE12" s="1279"/>
      <c r="FF12" s="1279"/>
      <c r="FG12" s="1279"/>
      <c r="FH12" s="1279"/>
      <c r="FI12" s="1279"/>
      <c r="FJ12" s="1279"/>
      <c r="FK12" s="1279"/>
      <c r="FL12" s="1279"/>
      <c r="FM12" s="1279"/>
      <c r="FN12" s="1279"/>
      <c r="FO12" s="1279"/>
      <c r="FP12" s="1279"/>
      <c r="FQ12" s="1279"/>
      <c r="FR12" s="1279"/>
      <c r="FS12" s="1279"/>
      <c r="FT12" s="1279"/>
      <c r="FU12" s="1279"/>
      <c r="FV12" s="1279"/>
      <c r="FW12" s="1279"/>
      <c r="FX12" s="1279"/>
      <c r="FY12" s="1279"/>
      <c r="FZ12" s="1279"/>
      <c r="GA12" s="1279"/>
      <c r="GB12" s="1279"/>
      <c r="GC12" s="1279"/>
      <c r="GD12" s="1279"/>
      <c r="GE12" s="1279"/>
      <c r="GF12" s="1279"/>
      <c r="GG12" s="1279"/>
      <c r="GH12" s="1279"/>
      <c r="GI12" s="1279"/>
      <c r="GJ12" s="1279"/>
      <c r="GK12" s="1279"/>
      <c r="GL12" s="1279"/>
      <c r="GM12" s="1279"/>
      <c r="GN12" s="1279"/>
      <c r="GO12" s="1279"/>
      <c r="GP12" s="1279"/>
      <c r="GQ12" s="1279"/>
      <c r="GR12" s="1279"/>
      <c r="GS12" s="1279"/>
      <c r="GT12" s="1279"/>
      <c r="GU12" s="1279"/>
      <c r="GV12" s="1279"/>
      <c r="GW12" s="1279"/>
      <c r="GX12" s="1279"/>
      <c r="GY12" s="1279"/>
      <c r="GZ12" s="1279"/>
      <c r="HA12" s="1279"/>
      <c r="HB12" s="1279"/>
      <c r="HC12" s="1279"/>
      <c r="HD12" s="1279"/>
      <c r="HE12" s="1279"/>
      <c r="HF12" s="1279"/>
      <c r="HG12" s="1279"/>
      <c r="HH12" s="1279"/>
      <c r="HI12" s="1279"/>
      <c r="HJ12" s="1279"/>
      <c r="HK12" s="1279"/>
      <c r="HL12" s="1279"/>
      <c r="HM12" s="1279"/>
      <c r="HN12" s="1279"/>
      <c r="HO12" s="1279"/>
      <c r="HP12" s="1279"/>
      <c r="HQ12" s="1279"/>
      <c r="HR12" s="1279"/>
      <c r="HS12" s="1279"/>
      <c r="HT12" s="1279"/>
      <c r="HU12" s="1279"/>
      <c r="HV12" s="1279"/>
      <c r="HW12" s="1279"/>
      <c r="HX12" s="1279"/>
      <c r="HY12" s="1279"/>
      <c r="HZ12" s="1279"/>
      <c r="IA12" s="1279"/>
      <c r="IB12" s="1279"/>
      <c r="IC12" s="1279"/>
      <c r="ID12" s="1279"/>
      <c r="IE12" s="1279"/>
      <c r="IF12" s="1279"/>
      <c r="IG12" s="1279"/>
      <c r="IH12" s="1279"/>
      <c r="II12" s="1279"/>
      <c r="IJ12" s="1279"/>
      <c r="IK12" s="1279"/>
      <c r="IL12" s="1279"/>
      <c r="IM12" s="1279"/>
      <c r="IN12" s="1279"/>
      <c r="IO12" s="1279"/>
      <c r="IP12" s="1279"/>
      <c r="IQ12" s="1279"/>
      <c r="IR12" s="1279"/>
      <c r="IS12" s="1279"/>
      <c r="IT12" s="1279"/>
      <c r="IU12" s="1279"/>
      <c r="IV12" s="1279"/>
    </row>
    <row r="13" spans="1:257" ht="15">
      <c r="A13" s="1280"/>
      <c r="B13" s="1281" t="s">
        <v>632</v>
      </c>
      <c r="C13" s="2813">
        <v>44795</v>
      </c>
      <c r="D13" s="2814">
        <v>3.65</v>
      </c>
      <c r="E13" s="2814">
        <f>D13</f>
        <v>3.65</v>
      </c>
      <c r="F13" s="2814">
        <f>D13</f>
        <v>3.65</v>
      </c>
      <c r="G13" s="2814">
        <f>D13</f>
        <v>3.65</v>
      </c>
      <c r="H13" s="2814">
        <v>4.3</v>
      </c>
      <c r="I13" s="1282"/>
      <c r="J13" s="1282"/>
      <c r="K13" s="1280"/>
      <c r="L13" s="1281" t="s">
        <v>632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A14" s="1280"/>
      <c r="B14" s="2808"/>
      <c r="C14" s="2810">
        <v>44701</v>
      </c>
      <c r="D14" s="2809">
        <v>3.7</v>
      </c>
      <c r="E14" s="2809">
        <f>D14</f>
        <v>3.7</v>
      </c>
      <c r="F14" s="2809">
        <f>D14</f>
        <v>3.7</v>
      </c>
      <c r="G14" s="2809">
        <f>D14</f>
        <v>3.7</v>
      </c>
      <c r="H14" s="2809">
        <v>4.45</v>
      </c>
      <c r="I14" s="2814"/>
      <c r="J14" s="2814"/>
      <c r="K14" s="1280"/>
      <c r="L14" s="1286"/>
      <c r="M14" s="1287">
        <v>42242</v>
      </c>
      <c r="N14" s="1286">
        <v>0.35</v>
      </c>
      <c r="O14" s="1286">
        <v>1.35</v>
      </c>
      <c r="P14" s="1286">
        <v>1.55</v>
      </c>
      <c r="Q14" s="1286">
        <v>1.75</v>
      </c>
      <c r="R14" s="1286">
        <v>2.35</v>
      </c>
      <c r="S14" s="1286">
        <v>3</v>
      </c>
      <c r="T14" s="1286"/>
      <c r="U14" s="1286"/>
      <c r="V14" s="1286"/>
      <c r="W14" s="1286"/>
      <c r="X14" s="1286"/>
      <c r="Y14" s="1286"/>
      <c r="Z14" s="1286"/>
    </row>
    <row r="15" spans="1:257">
      <c r="A15" s="1280"/>
      <c r="B15" s="2808"/>
      <c r="C15" s="2810">
        <v>44581</v>
      </c>
      <c r="D15" s="2809">
        <v>3.7</v>
      </c>
      <c r="E15" s="2809">
        <f>D15</f>
        <v>3.7</v>
      </c>
      <c r="F15" s="2809">
        <f>D15</f>
        <v>3.7</v>
      </c>
      <c r="G15" s="2809">
        <f>D15</f>
        <v>3.7</v>
      </c>
      <c r="H15" s="2809">
        <v>4.5999999999999996</v>
      </c>
      <c r="I15" s="2814"/>
      <c r="J15" s="2814"/>
      <c r="K15" s="1280"/>
      <c r="L15" s="1286"/>
      <c r="M15" s="1287">
        <v>42183</v>
      </c>
      <c r="N15" s="1286">
        <v>0.35</v>
      </c>
      <c r="O15" s="1286">
        <v>1.6</v>
      </c>
      <c r="P15" s="1286">
        <v>1.8</v>
      </c>
      <c r="Q15" s="1286">
        <v>2</v>
      </c>
      <c r="R15" s="1286">
        <v>2.6</v>
      </c>
      <c r="S15" s="1286">
        <v>3.25</v>
      </c>
      <c r="T15" s="1286"/>
      <c r="U15" s="1286"/>
      <c r="V15" s="1286"/>
      <c r="W15" s="1286"/>
      <c r="X15" s="1286"/>
      <c r="Y15" s="1286"/>
      <c r="Z15" s="1286"/>
    </row>
    <row r="16" spans="1:257">
      <c r="A16" s="1280"/>
      <c r="B16" s="2809"/>
      <c r="C16" s="2810">
        <v>44550</v>
      </c>
      <c r="D16" s="2809">
        <v>3.8</v>
      </c>
      <c r="E16" s="2809">
        <f>D16</f>
        <v>3.8</v>
      </c>
      <c r="F16" s="2809">
        <f>D16</f>
        <v>3.8</v>
      </c>
      <c r="G16" s="2809">
        <f>D16</f>
        <v>3.8</v>
      </c>
      <c r="H16" s="2809">
        <v>4.6500000000000004</v>
      </c>
      <c r="I16" s="2809"/>
      <c r="J16" s="2814"/>
      <c r="L16" s="1286"/>
      <c r="M16" s="1287">
        <v>42135</v>
      </c>
      <c r="N16" s="1286">
        <v>0.35</v>
      </c>
      <c r="O16" s="1286">
        <v>1.85</v>
      </c>
      <c r="P16" s="1286">
        <v>2.0499999999999998</v>
      </c>
      <c r="Q16" s="1286">
        <v>2.25</v>
      </c>
      <c r="R16" s="1286">
        <v>2.85</v>
      </c>
      <c r="S16" s="1286">
        <v>3.5</v>
      </c>
      <c r="T16" s="1286"/>
      <c r="U16" s="1286"/>
      <c r="V16" s="1286"/>
      <c r="W16" s="1286"/>
      <c r="X16" s="1286"/>
      <c r="Y16" s="1286"/>
      <c r="Z16" s="1286"/>
    </row>
    <row r="17" spans="1:256">
      <c r="A17" s="1280"/>
      <c r="B17" s="2809"/>
      <c r="C17" s="2810">
        <v>43941</v>
      </c>
      <c r="D17" s="2809">
        <v>3.85</v>
      </c>
      <c r="E17" s="2809">
        <v>3.85</v>
      </c>
      <c r="F17" s="2809">
        <v>3.85</v>
      </c>
      <c r="G17" s="2809">
        <v>3.85</v>
      </c>
      <c r="H17" s="2809">
        <v>4.6500000000000004</v>
      </c>
      <c r="I17" s="2809"/>
      <c r="J17" s="2809"/>
      <c r="L17" s="1286"/>
      <c r="M17" s="1287">
        <v>42064</v>
      </c>
      <c r="N17" s="1286">
        <v>0.35</v>
      </c>
      <c r="O17" s="1286">
        <v>2.1</v>
      </c>
      <c r="P17" s="1286">
        <v>2.2999999999999998</v>
      </c>
      <c r="Q17" s="1286">
        <v>2.5</v>
      </c>
      <c r="R17" s="1286">
        <v>3.1</v>
      </c>
      <c r="S17" s="1286">
        <v>3.75</v>
      </c>
      <c r="T17" s="1286">
        <v>4.5</v>
      </c>
      <c r="U17" s="1286">
        <v>2.35</v>
      </c>
      <c r="V17" s="1286">
        <v>2.5499999999999998</v>
      </c>
      <c r="W17" s="1286">
        <v>2.75</v>
      </c>
      <c r="X17" s="1286"/>
      <c r="Y17" s="1286">
        <v>0.8</v>
      </c>
      <c r="Z17" s="1286">
        <v>1.35</v>
      </c>
    </row>
    <row r="18" spans="1:256" ht="15.75">
      <c r="A18" s="1280"/>
      <c r="B18" s="2809"/>
      <c r="C18" s="2810">
        <v>43881</v>
      </c>
      <c r="D18" s="2809">
        <v>4.05</v>
      </c>
      <c r="E18" s="2809">
        <v>4.05</v>
      </c>
      <c r="F18" s="2809">
        <v>4.05</v>
      </c>
      <c r="G18" s="2809">
        <v>4.05</v>
      </c>
      <c r="H18" s="2809">
        <v>4.75</v>
      </c>
      <c r="I18" s="2809"/>
      <c r="J18" s="2809"/>
      <c r="L18" s="2818"/>
      <c r="M18" s="2817">
        <v>41965</v>
      </c>
      <c r="N18" s="2818">
        <v>0.35</v>
      </c>
      <c r="O18" s="2818">
        <v>2.35</v>
      </c>
      <c r="P18" s="2818">
        <v>2.5499999999999998</v>
      </c>
      <c r="Q18" s="2818">
        <v>2.75</v>
      </c>
      <c r="R18" s="2818">
        <v>3.35</v>
      </c>
      <c r="S18" s="2818">
        <v>4</v>
      </c>
      <c r="T18" s="2818">
        <v>4.75</v>
      </c>
      <c r="U18" s="2819">
        <v>2.35</v>
      </c>
      <c r="V18" s="2819">
        <v>2.5499999999999998</v>
      </c>
      <c r="W18" s="2819">
        <v>2.75</v>
      </c>
      <c r="X18" s="2818"/>
      <c r="Y18" s="2819">
        <v>0.8</v>
      </c>
      <c r="Z18" s="2819">
        <v>1.35</v>
      </c>
    </row>
    <row r="19" spans="1:256" s="2820" customFormat="1">
      <c r="A19" s="1280"/>
      <c r="B19" s="2809"/>
      <c r="C19" s="2810">
        <v>43789</v>
      </c>
      <c r="D19" s="2809">
        <v>4.1500000000000004</v>
      </c>
      <c r="E19" s="2809">
        <v>4.1500000000000004</v>
      </c>
      <c r="F19" s="2809">
        <v>4.1500000000000004</v>
      </c>
      <c r="G19" s="2809">
        <v>4.1500000000000004</v>
      </c>
      <c r="H19" s="2809">
        <v>4.8</v>
      </c>
      <c r="I19" s="2809"/>
      <c r="J19" s="2809"/>
      <c r="K19" s="1238"/>
      <c r="L19" s="1286"/>
      <c r="M19" s="1287">
        <v>41096</v>
      </c>
      <c r="N19" s="1286">
        <v>0.35</v>
      </c>
      <c r="O19" s="1286">
        <v>2.6</v>
      </c>
      <c r="P19" s="1286">
        <v>2.8</v>
      </c>
      <c r="Q19" s="1286">
        <v>3</v>
      </c>
      <c r="R19" s="1286">
        <v>3.75</v>
      </c>
      <c r="S19" s="1286">
        <v>4.25</v>
      </c>
      <c r="T19" s="1286">
        <v>4.75</v>
      </c>
      <c r="U19" s="1286">
        <v>2.85</v>
      </c>
      <c r="V19" s="1286">
        <v>2.9</v>
      </c>
      <c r="W19" s="1286">
        <v>3</v>
      </c>
      <c r="X19" s="1286">
        <v>1.1499999999999999</v>
      </c>
      <c r="Y19" s="1286">
        <v>0.8</v>
      </c>
      <c r="Z19" s="1286">
        <v>1.35</v>
      </c>
      <c r="AA19" s="1279"/>
      <c r="AB19" s="1279"/>
      <c r="AC19" s="1279"/>
      <c r="AD19" s="1279"/>
      <c r="AE19" s="1279"/>
      <c r="AF19" s="1279"/>
      <c r="AG19" s="1279"/>
      <c r="AH19" s="1279"/>
      <c r="AI19" s="1279"/>
      <c r="AJ19" s="1279"/>
      <c r="AK19" s="1279"/>
      <c r="AL19" s="1279"/>
      <c r="AM19" s="1279"/>
      <c r="AN19" s="1279"/>
      <c r="AO19" s="1279"/>
      <c r="AP19" s="1279"/>
      <c r="AQ19" s="1279"/>
      <c r="AR19" s="1279"/>
      <c r="AS19" s="1279"/>
      <c r="AT19" s="1279"/>
      <c r="AU19" s="1279"/>
      <c r="AV19" s="1279"/>
      <c r="AW19" s="1279"/>
      <c r="AX19" s="1279"/>
      <c r="AY19" s="1279"/>
      <c r="AZ19" s="1279"/>
      <c r="BA19" s="1279"/>
      <c r="BB19" s="1279"/>
      <c r="BC19" s="1279"/>
      <c r="BD19" s="1279"/>
      <c r="BE19" s="1279"/>
      <c r="BF19" s="1279"/>
      <c r="BG19" s="1279"/>
      <c r="BH19" s="1279"/>
      <c r="BI19" s="1279"/>
      <c r="BJ19" s="1279"/>
      <c r="BK19" s="1279"/>
      <c r="BL19" s="1279"/>
      <c r="BM19" s="1279"/>
      <c r="BN19" s="1279"/>
      <c r="BO19" s="1279"/>
      <c r="BP19" s="1279"/>
      <c r="BQ19" s="1279"/>
      <c r="BR19" s="1279"/>
      <c r="BS19" s="1279"/>
      <c r="BT19" s="1279"/>
      <c r="BU19" s="1279"/>
      <c r="BV19" s="1279"/>
      <c r="BW19" s="1279"/>
      <c r="BX19" s="1279"/>
      <c r="BY19" s="1279"/>
      <c r="BZ19" s="1279"/>
      <c r="CA19" s="1279"/>
      <c r="CB19" s="1279"/>
      <c r="CC19" s="1279"/>
      <c r="CD19" s="1279"/>
      <c r="CE19" s="1279"/>
      <c r="CF19" s="1279"/>
      <c r="CG19" s="1279"/>
      <c r="CH19" s="1279"/>
      <c r="CI19" s="1279"/>
      <c r="CJ19" s="1279"/>
      <c r="CK19" s="1279"/>
      <c r="CL19" s="1279"/>
      <c r="CM19" s="1279"/>
      <c r="CN19" s="1279"/>
      <c r="CO19" s="1279"/>
      <c r="CP19" s="1279"/>
      <c r="CQ19" s="1279"/>
      <c r="CR19" s="1279"/>
      <c r="CS19" s="1279"/>
      <c r="CT19" s="1279"/>
      <c r="CU19" s="1279"/>
      <c r="CV19" s="1279"/>
      <c r="CW19" s="1279"/>
      <c r="CX19" s="1279"/>
      <c r="CY19" s="1279"/>
      <c r="CZ19" s="1279"/>
      <c r="DA19" s="1279"/>
      <c r="DB19" s="1279"/>
      <c r="DC19" s="1279"/>
      <c r="DD19" s="1279"/>
      <c r="DE19" s="1279"/>
      <c r="DF19" s="1279"/>
      <c r="DG19" s="1279"/>
      <c r="DH19" s="1279"/>
      <c r="DI19" s="1279"/>
      <c r="DJ19" s="1279"/>
      <c r="DK19" s="1279"/>
      <c r="DL19" s="1279"/>
      <c r="DM19" s="1279"/>
      <c r="DN19" s="1279"/>
      <c r="DO19" s="1279"/>
      <c r="DP19" s="1279"/>
      <c r="DQ19" s="1279"/>
      <c r="DR19" s="1279"/>
      <c r="DS19" s="1279"/>
      <c r="DT19" s="1279"/>
      <c r="DU19" s="1279"/>
      <c r="DV19" s="1279"/>
      <c r="DW19" s="1279"/>
      <c r="DX19" s="1279"/>
      <c r="DY19" s="1279"/>
      <c r="DZ19" s="1279"/>
      <c r="EA19" s="1279"/>
      <c r="EB19" s="1279"/>
      <c r="EC19" s="1279"/>
      <c r="ED19" s="1279"/>
      <c r="EE19" s="1279"/>
      <c r="EF19" s="1279"/>
      <c r="EG19" s="1279"/>
      <c r="EH19" s="1279"/>
      <c r="EI19" s="1279"/>
      <c r="EJ19" s="1279"/>
      <c r="EK19" s="1279"/>
      <c r="EL19" s="1279"/>
      <c r="EM19" s="1279"/>
      <c r="EN19" s="1279"/>
      <c r="EO19" s="1279"/>
      <c r="EP19" s="1279"/>
      <c r="EQ19" s="1279"/>
      <c r="ER19" s="1279"/>
      <c r="ES19" s="1279"/>
      <c r="ET19" s="1279"/>
      <c r="EU19" s="1279"/>
      <c r="EV19" s="1279"/>
      <c r="EW19" s="1279"/>
      <c r="EX19" s="1279"/>
      <c r="EY19" s="1279"/>
      <c r="EZ19" s="1279"/>
      <c r="FA19" s="1279"/>
      <c r="FB19" s="1279"/>
      <c r="FC19" s="1279"/>
      <c r="FD19" s="1279"/>
      <c r="FE19" s="1279"/>
      <c r="FF19" s="1279"/>
      <c r="FG19" s="1279"/>
      <c r="FH19" s="1279"/>
      <c r="FI19" s="1279"/>
      <c r="FJ19" s="1279"/>
      <c r="FK19" s="1279"/>
      <c r="FL19" s="1279"/>
      <c r="FM19" s="1279"/>
      <c r="FN19" s="1279"/>
      <c r="FO19" s="1279"/>
      <c r="FP19" s="1279"/>
      <c r="FQ19" s="1279"/>
      <c r="FR19" s="1279"/>
      <c r="FS19" s="1279"/>
      <c r="FT19" s="1279"/>
      <c r="FU19" s="1279"/>
      <c r="FV19" s="1279"/>
      <c r="FW19" s="1279"/>
      <c r="FX19" s="1279"/>
      <c r="FY19" s="1279"/>
      <c r="FZ19" s="1279"/>
      <c r="GA19" s="1279"/>
      <c r="GB19" s="1279"/>
      <c r="GC19" s="1279"/>
      <c r="GD19" s="1279"/>
      <c r="GE19" s="1279"/>
      <c r="GF19" s="1279"/>
      <c r="GG19" s="1279"/>
      <c r="GH19" s="1279"/>
      <c r="GI19" s="1279"/>
      <c r="GJ19" s="1279"/>
      <c r="GK19" s="1279"/>
      <c r="GL19" s="1279"/>
      <c r="GM19" s="1279"/>
      <c r="GN19" s="1279"/>
      <c r="GO19" s="1279"/>
      <c r="GP19" s="1279"/>
      <c r="GQ19" s="1279"/>
      <c r="GR19" s="1279"/>
      <c r="GS19" s="1279"/>
      <c r="GT19" s="1279"/>
      <c r="GU19" s="1279"/>
      <c r="GV19" s="1279"/>
      <c r="GW19" s="1279"/>
      <c r="GX19" s="1279"/>
      <c r="GY19" s="1279"/>
      <c r="GZ19" s="1279"/>
      <c r="HA19" s="1279"/>
      <c r="HB19" s="1279"/>
      <c r="HC19" s="1279"/>
      <c r="HD19" s="1279"/>
      <c r="HE19" s="1279"/>
      <c r="HF19" s="1279"/>
      <c r="HG19" s="1279"/>
      <c r="HH19" s="1279"/>
      <c r="HI19" s="1279"/>
      <c r="HJ19" s="1279"/>
      <c r="HK19" s="1279"/>
      <c r="HL19" s="1279"/>
      <c r="HM19" s="1279"/>
      <c r="HN19" s="1279"/>
      <c r="HO19" s="1279"/>
      <c r="HP19" s="1279"/>
      <c r="HQ19" s="1279"/>
      <c r="HR19" s="1279"/>
      <c r="HS19" s="1279"/>
      <c r="HT19" s="1279"/>
      <c r="HU19" s="1279"/>
      <c r="HV19" s="1279"/>
      <c r="HW19" s="1279"/>
      <c r="HX19" s="1279"/>
      <c r="HY19" s="1279"/>
      <c r="HZ19" s="1279"/>
      <c r="IA19" s="1279"/>
      <c r="IB19" s="1279"/>
      <c r="IC19" s="1279"/>
      <c r="ID19" s="1279"/>
      <c r="IE19" s="1279"/>
      <c r="IF19" s="1279"/>
      <c r="IG19" s="1279"/>
      <c r="IH19" s="1279"/>
      <c r="II19" s="1279"/>
      <c r="IJ19" s="1279"/>
      <c r="IK19" s="1279"/>
      <c r="IL19" s="1279"/>
      <c r="IM19" s="1279"/>
      <c r="IN19" s="1279"/>
      <c r="IO19" s="1279"/>
      <c r="IP19" s="1279"/>
      <c r="IQ19" s="1279"/>
      <c r="IR19" s="1279"/>
      <c r="IS19" s="1279"/>
      <c r="IT19" s="1279"/>
      <c r="IU19" s="1279"/>
      <c r="IV19" s="1279"/>
    </row>
    <row r="20" spans="1:256">
      <c r="A20" s="1280"/>
      <c r="B20" s="2809"/>
      <c r="C20" s="2810">
        <v>43728</v>
      </c>
      <c r="D20" s="2809">
        <v>4.2</v>
      </c>
      <c r="E20" s="2809">
        <v>4.2</v>
      </c>
      <c r="F20" s="2809">
        <v>4.2</v>
      </c>
      <c r="G20" s="2809">
        <v>4.2</v>
      </c>
      <c r="H20" s="2809">
        <v>4.8499999999999996</v>
      </c>
      <c r="I20" s="2809"/>
      <c r="J20" s="2809"/>
      <c r="L20" s="1286"/>
      <c r="M20" s="1287">
        <v>41068</v>
      </c>
      <c r="N20" s="1286">
        <v>0.4</v>
      </c>
      <c r="O20" s="1286">
        <v>2.85</v>
      </c>
      <c r="P20" s="1286">
        <v>3.05</v>
      </c>
      <c r="Q20" s="1286">
        <v>3.25</v>
      </c>
      <c r="R20" s="1286">
        <v>4.0999999999999996</v>
      </c>
      <c r="S20" s="1286">
        <v>4.6500000000000004</v>
      </c>
      <c r="T20" s="1286">
        <v>5.0999999999999996</v>
      </c>
      <c r="U20" s="1286">
        <v>3.1</v>
      </c>
      <c r="V20" s="1286">
        <v>3.15</v>
      </c>
      <c r="W20" s="1286">
        <v>3.25</v>
      </c>
      <c r="X20" s="1286">
        <v>1.31</v>
      </c>
      <c r="Y20" s="1286">
        <v>0.94</v>
      </c>
      <c r="Z20" s="1286">
        <v>1.49</v>
      </c>
    </row>
    <row r="21" spans="1:256">
      <c r="A21" s="1280"/>
      <c r="B21" s="2808" t="s">
        <v>2310</v>
      </c>
      <c r="C21" s="2811">
        <v>43697</v>
      </c>
      <c r="D21" s="2812">
        <v>4.25</v>
      </c>
      <c r="E21" s="2812">
        <v>4.25</v>
      </c>
      <c r="F21" s="2812">
        <v>4.25</v>
      </c>
      <c r="G21" s="2812">
        <v>4.25</v>
      </c>
      <c r="H21" s="2812">
        <v>4.8499999999999996</v>
      </c>
      <c r="I21" s="2812"/>
      <c r="J21" s="2812"/>
      <c r="K21" s="1274"/>
      <c r="L21" s="1286"/>
      <c r="M21" s="1287">
        <v>40731</v>
      </c>
      <c r="N21" s="1286">
        <v>0.5</v>
      </c>
      <c r="O21" s="1286">
        <v>3.1</v>
      </c>
      <c r="P21" s="1286">
        <v>3.3</v>
      </c>
      <c r="Q21" s="1286">
        <v>3.5</v>
      </c>
      <c r="R21" s="1286">
        <v>4.4000000000000004</v>
      </c>
      <c r="S21" s="1286">
        <v>5</v>
      </c>
      <c r="T21" s="1286">
        <v>5.5</v>
      </c>
      <c r="U21" s="1286">
        <v>3.1</v>
      </c>
      <c r="V21" s="1286">
        <v>3.3</v>
      </c>
      <c r="W21" s="1286">
        <v>3.5</v>
      </c>
      <c r="X21" s="1286">
        <v>1.31</v>
      </c>
      <c r="Y21" s="1286">
        <v>0.95</v>
      </c>
      <c r="Z21" s="1286">
        <v>1.49</v>
      </c>
    </row>
    <row r="22" spans="1:256">
      <c r="A22" s="2815"/>
      <c r="B22" s="2816"/>
      <c r="C22" s="2817">
        <v>42301</v>
      </c>
      <c r="D22" s="2818">
        <v>4.3499999999999996</v>
      </c>
      <c r="E22" s="2818">
        <v>4.3499999999999996</v>
      </c>
      <c r="F22" s="2818">
        <v>4.75</v>
      </c>
      <c r="G22" s="2818">
        <v>4.75</v>
      </c>
      <c r="H22" s="2818">
        <v>4.9000000000000004</v>
      </c>
      <c r="I22" s="2818"/>
      <c r="J22" s="2818"/>
      <c r="L22" s="1286"/>
      <c r="M22" s="1287">
        <v>40639</v>
      </c>
      <c r="N22" s="1286">
        <v>0.5</v>
      </c>
      <c r="O22" s="1286">
        <v>2.85</v>
      </c>
      <c r="P22" s="1286">
        <v>3.05</v>
      </c>
      <c r="Q22" s="1286">
        <v>3.25</v>
      </c>
      <c r="R22" s="1286">
        <v>4.1500000000000004</v>
      </c>
      <c r="S22" s="1286">
        <v>4.75</v>
      </c>
      <c r="T22" s="1286">
        <v>5.25</v>
      </c>
      <c r="U22" s="1286">
        <v>2.85</v>
      </c>
      <c r="V22" s="1286">
        <v>3.05</v>
      </c>
      <c r="W22" s="1286">
        <v>3.25</v>
      </c>
      <c r="X22" s="1286">
        <v>1.31</v>
      </c>
      <c r="Y22" s="1286">
        <v>0.95</v>
      </c>
      <c r="Z22" s="1286">
        <v>1.49</v>
      </c>
    </row>
    <row r="23" spans="1:256">
      <c r="B23" s="1286"/>
      <c r="C23" s="1287">
        <v>42242</v>
      </c>
      <c r="D23" s="1286">
        <v>4.5999999999999996</v>
      </c>
      <c r="E23" s="1286">
        <v>4.5999999999999996</v>
      </c>
      <c r="F23" s="1286">
        <v>5</v>
      </c>
      <c r="G23" s="1286">
        <v>5</v>
      </c>
      <c r="H23" s="1286">
        <v>5.15</v>
      </c>
      <c r="I23" s="1286">
        <v>2.75</v>
      </c>
      <c r="J23" s="1286">
        <v>3.25</v>
      </c>
      <c r="L23" s="1286"/>
      <c r="M23" s="1287">
        <v>40583</v>
      </c>
      <c r="N23" s="1286">
        <v>0.4</v>
      </c>
      <c r="O23" s="1286">
        <v>2.6</v>
      </c>
      <c r="P23" s="1286">
        <v>2.8</v>
      </c>
      <c r="Q23" s="1286">
        <v>3</v>
      </c>
      <c r="R23" s="1286">
        <v>3.9</v>
      </c>
      <c r="S23" s="1286">
        <v>4.5</v>
      </c>
      <c r="T23" s="1286">
        <v>5</v>
      </c>
      <c r="U23" s="1286">
        <v>2.6</v>
      </c>
      <c r="V23" s="1286">
        <v>2.8</v>
      </c>
      <c r="W23" s="1286">
        <v>3</v>
      </c>
      <c r="X23" s="1286">
        <v>1.21</v>
      </c>
      <c r="Y23" s="1286">
        <v>0.85</v>
      </c>
      <c r="Z23" s="1286">
        <v>1.39</v>
      </c>
    </row>
    <row r="24" spans="1:256">
      <c r="B24" s="1286"/>
      <c r="C24" s="1287">
        <v>42183</v>
      </c>
      <c r="D24" s="1286">
        <v>4.8499999999999996</v>
      </c>
      <c r="E24" s="1286">
        <v>4.8499999999999996</v>
      </c>
      <c r="F24" s="1286">
        <v>5.25</v>
      </c>
      <c r="G24" s="1286">
        <v>5.25</v>
      </c>
      <c r="H24" s="1286">
        <v>5.4</v>
      </c>
      <c r="I24" s="1286">
        <v>3</v>
      </c>
      <c r="J24" s="1286">
        <v>3.5</v>
      </c>
      <c r="L24" s="1286"/>
      <c r="M24" s="1287">
        <v>40538</v>
      </c>
      <c r="N24" s="1286">
        <v>0.36</v>
      </c>
      <c r="O24" s="1286">
        <v>2.25</v>
      </c>
      <c r="P24" s="1286">
        <v>2.5</v>
      </c>
      <c r="Q24" s="1286">
        <v>2.75</v>
      </c>
      <c r="R24" s="1286">
        <v>3.55</v>
      </c>
      <c r="S24" s="1286">
        <v>4.1500000000000004</v>
      </c>
      <c r="T24" s="1286">
        <v>4.55</v>
      </c>
      <c r="U24" s="1286">
        <v>2.16</v>
      </c>
      <c r="V24" s="1286">
        <v>2.5</v>
      </c>
      <c r="W24" s="1286">
        <v>2.85</v>
      </c>
      <c r="X24" s="1286">
        <v>1.17</v>
      </c>
      <c r="Y24" s="1286">
        <v>0.81</v>
      </c>
      <c r="Z24" s="1286">
        <v>1.35</v>
      </c>
    </row>
    <row r="25" spans="1:256">
      <c r="B25" s="1286"/>
      <c r="C25" s="1287">
        <v>42135</v>
      </c>
      <c r="D25" s="1286">
        <v>5.0999999999999996</v>
      </c>
      <c r="E25" s="1286">
        <v>5.0999999999999996</v>
      </c>
      <c r="F25" s="1286">
        <v>5.5</v>
      </c>
      <c r="G25" s="1286">
        <v>5.5</v>
      </c>
      <c r="H25" s="1286">
        <v>5.65</v>
      </c>
      <c r="I25" s="1286">
        <v>3.25</v>
      </c>
      <c r="J25" s="1286">
        <v>3.75</v>
      </c>
      <c r="L25" s="1286"/>
      <c r="M25" s="1287">
        <v>40471</v>
      </c>
      <c r="N25" s="1286">
        <v>0.36</v>
      </c>
      <c r="O25" s="1286">
        <v>1.91</v>
      </c>
      <c r="P25" s="1286">
        <v>2.2000000000000002</v>
      </c>
      <c r="Q25" s="1286">
        <v>2.5</v>
      </c>
      <c r="R25" s="1286">
        <v>3.25</v>
      </c>
      <c r="S25" s="1286">
        <v>3.85</v>
      </c>
      <c r="T25" s="1286">
        <v>4.2</v>
      </c>
      <c r="U25" s="1286">
        <v>1.91</v>
      </c>
      <c r="V25" s="1286">
        <v>2.2000000000000002</v>
      </c>
      <c r="W25" s="1286">
        <v>2.5</v>
      </c>
      <c r="X25" s="1286">
        <v>1.17</v>
      </c>
      <c r="Y25" s="1286">
        <v>0.81</v>
      </c>
      <c r="Z25" s="1286">
        <v>1.35</v>
      </c>
    </row>
    <row r="26" spans="1:256">
      <c r="B26" s="1286"/>
      <c r="C26" s="1287">
        <v>42064</v>
      </c>
      <c r="D26" s="1286">
        <v>5.35</v>
      </c>
      <c r="E26" s="1286">
        <v>5.35</v>
      </c>
      <c r="F26" s="1286">
        <v>5.75</v>
      </c>
      <c r="G26" s="1286">
        <v>5.75</v>
      </c>
      <c r="H26" s="1286">
        <v>5.9</v>
      </c>
      <c r="I26" s="1286"/>
      <c r="J26" s="1286"/>
      <c r="L26" s="1286"/>
      <c r="M26" s="1287">
        <v>39805</v>
      </c>
      <c r="N26" s="1286">
        <v>0.36</v>
      </c>
      <c r="O26" s="1286">
        <v>1.71</v>
      </c>
      <c r="P26" s="1286">
        <v>1.98</v>
      </c>
      <c r="Q26" s="1286">
        <v>2.25</v>
      </c>
      <c r="R26" s="1286">
        <v>2.79</v>
      </c>
      <c r="S26" s="1286">
        <v>3.33</v>
      </c>
      <c r="T26" s="1286">
        <v>3.6</v>
      </c>
      <c r="U26" s="1286">
        <v>1.71</v>
      </c>
      <c r="V26" s="1286">
        <v>1.98</v>
      </c>
      <c r="W26" s="1286">
        <v>2.25</v>
      </c>
      <c r="X26" s="1286">
        <v>1.17</v>
      </c>
      <c r="Y26" s="1286">
        <v>0.81</v>
      </c>
      <c r="Z26" s="1286">
        <v>1.35</v>
      </c>
    </row>
    <row r="27" spans="1:256">
      <c r="B27" s="1286"/>
      <c r="C27" s="1287">
        <v>41965</v>
      </c>
      <c r="D27" s="1286">
        <v>5.6</v>
      </c>
      <c r="E27" s="1286">
        <v>5.6</v>
      </c>
      <c r="F27" s="1286">
        <v>6</v>
      </c>
      <c r="G27" s="1286">
        <v>6</v>
      </c>
      <c r="H27" s="1286">
        <v>6.15</v>
      </c>
      <c r="I27" s="1286"/>
      <c r="J27" s="1286"/>
      <c r="L27" s="1286"/>
      <c r="M27" s="1287">
        <v>39779</v>
      </c>
      <c r="N27" s="1286">
        <v>0.36</v>
      </c>
      <c r="O27" s="1286">
        <v>1.98</v>
      </c>
      <c r="P27" s="1286">
        <v>2.25</v>
      </c>
      <c r="Q27" s="1286">
        <v>2.52</v>
      </c>
      <c r="R27" s="1286">
        <v>3.06</v>
      </c>
      <c r="S27" s="1286">
        <v>3.6</v>
      </c>
      <c r="T27" s="1286">
        <v>3.87</v>
      </c>
      <c r="U27" s="1286">
        <v>1.98</v>
      </c>
      <c r="V27" s="1286">
        <v>2.25</v>
      </c>
      <c r="W27" s="1286">
        <v>2.52</v>
      </c>
      <c r="X27" s="1286">
        <v>1.17</v>
      </c>
      <c r="Y27" s="1286">
        <v>0.81</v>
      </c>
      <c r="Z27" s="1286">
        <v>1.35</v>
      </c>
    </row>
    <row r="28" spans="1:256">
      <c r="B28" s="1286"/>
      <c r="C28" s="1287">
        <v>41096</v>
      </c>
      <c r="D28" s="1286">
        <v>5.6</v>
      </c>
      <c r="E28" s="1286">
        <v>6</v>
      </c>
      <c r="F28" s="1286">
        <v>6.15</v>
      </c>
      <c r="G28" s="1286">
        <v>6.4</v>
      </c>
      <c r="H28" s="1286">
        <v>6.55</v>
      </c>
      <c r="I28" s="1286">
        <v>4</v>
      </c>
      <c r="J28" s="1286">
        <v>4.5</v>
      </c>
      <c r="L28" s="1286"/>
      <c r="M28" s="1287">
        <v>39751</v>
      </c>
      <c r="N28" s="1286">
        <v>0.72</v>
      </c>
      <c r="O28" s="1286">
        <v>2.88</v>
      </c>
      <c r="P28" s="1286">
        <v>3.24</v>
      </c>
      <c r="Q28" s="1286">
        <v>3.6</v>
      </c>
      <c r="R28" s="1286">
        <v>4.1399999999999997</v>
      </c>
      <c r="S28" s="1286">
        <v>4.7699999999999996</v>
      </c>
      <c r="T28" s="1286">
        <v>5.13</v>
      </c>
      <c r="U28" s="1286">
        <v>2.88</v>
      </c>
      <c r="V28" s="1286">
        <v>3.24</v>
      </c>
      <c r="W28" s="1286">
        <v>3.6</v>
      </c>
      <c r="X28" s="1286">
        <v>1.53</v>
      </c>
      <c r="Y28" s="1286">
        <v>1.17</v>
      </c>
      <c r="Z28" s="1286">
        <v>1.71</v>
      </c>
    </row>
    <row r="29" spans="1:256">
      <c r="B29" s="1286"/>
      <c r="C29" s="1287">
        <v>41068</v>
      </c>
      <c r="D29" s="1286">
        <v>5.85</v>
      </c>
      <c r="E29" s="1286">
        <v>6.31</v>
      </c>
      <c r="F29" s="1286">
        <v>6.4</v>
      </c>
      <c r="G29" s="1286">
        <v>6.65</v>
      </c>
      <c r="H29" s="1286">
        <v>6.8</v>
      </c>
      <c r="I29" s="1286">
        <v>4.2</v>
      </c>
      <c r="J29" s="1286">
        <v>4.7</v>
      </c>
      <c r="L29" s="1286"/>
      <c r="M29" s="1288">
        <v>39736</v>
      </c>
      <c r="N29" s="1286">
        <v>0.72</v>
      </c>
      <c r="O29" s="1286">
        <v>3.15</v>
      </c>
      <c r="P29" s="1286">
        <v>3.51</v>
      </c>
      <c r="Q29" s="1286">
        <v>3.87</v>
      </c>
      <c r="R29" s="1286">
        <v>4.41</v>
      </c>
      <c r="S29" s="1286">
        <v>5.13</v>
      </c>
      <c r="T29" s="1286">
        <v>5.58</v>
      </c>
      <c r="U29" s="1286">
        <v>3.15</v>
      </c>
      <c r="V29" s="1286">
        <v>3.51</v>
      </c>
      <c r="W29" s="1286">
        <v>3.87</v>
      </c>
      <c r="X29" s="1286">
        <v>1.53</v>
      </c>
      <c r="Y29" s="1286">
        <v>1.17</v>
      </c>
      <c r="Z29" s="1286">
        <v>1.71</v>
      </c>
    </row>
    <row r="30" spans="1:256">
      <c r="B30" s="1286"/>
      <c r="C30" s="1287">
        <v>40731</v>
      </c>
      <c r="D30" s="1286">
        <v>6.1</v>
      </c>
      <c r="E30" s="1286">
        <v>6.56</v>
      </c>
      <c r="F30" s="1286">
        <v>6.65</v>
      </c>
      <c r="G30" s="1286">
        <v>6.9</v>
      </c>
      <c r="H30" s="1286">
        <v>7.05</v>
      </c>
      <c r="I30" s="1286">
        <v>4.45</v>
      </c>
      <c r="J30" s="1286">
        <v>4.9000000000000004</v>
      </c>
      <c r="L30" s="1286"/>
      <c r="M30" s="1287">
        <v>39730</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1:256">
      <c r="B31" s="1286"/>
      <c r="C31" s="1287">
        <v>40639</v>
      </c>
      <c r="D31" s="1286">
        <v>5.85</v>
      </c>
      <c r="E31" s="1286">
        <v>6.31</v>
      </c>
      <c r="F31" s="1286">
        <v>6.4</v>
      </c>
      <c r="G31" s="1286">
        <v>6.65</v>
      </c>
      <c r="H31" s="1286">
        <v>6.8</v>
      </c>
      <c r="I31" s="1286">
        <v>4.2</v>
      </c>
      <c r="J31" s="1286">
        <v>4.7</v>
      </c>
      <c r="L31" s="1286"/>
      <c r="M31" s="1287">
        <v>39437</v>
      </c>
      <c r="N31" s="1286">
        <v>0.72</v>
      </c>
      <c r="O31" s="1286">
        <v>3.33</v>
      </c>
      <c r="P31" s="1286">
        <v>3.78</v>
      </c>
      <c r="Q31" s="1286">
        <v>4.1399999999999997</v>
      </c>
      <c r="R31" s="1286">
        <v>4.68</v>
      </c>
      <c r="S31" s="1286">
        <v>5.4</v>
      </c>
      <c r="T31" s="1286">
        <v>5.85</v>
      </c>
      <c r="U31" s="1286">
        <v>3.33</v>
      </c>
      <c r="V31" s="1286">
        <v>3.78</v>
      </c>
      <c r="W31" s="1286">
        <v>4.1399999999999997</v>
      </c>
      <c r="X31" s="1286">
        <v>1.53</v>
      </c>
      <c r="Y31" s="1286">
        <v>1.17</v>
      </c>
      <c r="Z31" s="1286">
        <v>1.71</v>
      </c>
    </row>
    <row r="32" spans="1:256">
      <c r="B32" s="1286"/>
      <c r="C32" s="1287">
        <v>40583</v>
      </c>
      <c r="D32" s="1286">
        <v>5.6</v>
      </c>
      <c r="E32" s="1286">
        <v>6.06</v>
      </c>
      <c r="F32" s="1286">
        <v>6.1</v>
      </c>
      <c r="G32" s="1286">
        <v>6.45</v>
      </c>
      <c r="H32" s="1286">
        <v>6.6</v>
      </c>
      <c r="I32" s="1286">
        <v>4</v>
      </c>
      <c r="J32" s="1286">
        <v>4.5</v>
      </c>
      <c r="L32" s="1286"/>
      <c r="M32" s="1287">
        <v>39340</v>
      </c>
      <c r="N32" s="1286">
        <v>0.81</v>
      </c>
      <c r="O32" s="1286">
        <v>2.88</v>
      </c>
      <c r="P32" s="1286">
        <v>3.42</v>
      </c>
      <c r="Q32" s="1286">
        <v>3.87</v>
      </c>
      <c r="R32" s="1286">
        <v>4.5</v>
      </c>
      <c r="S32" s="1286">
        <v>5.22</v>
      </c>
      <c r="T32" s="1286">
        <v>5.76</v>
      </c>
      <c r="U32" s="1286">
        <v>2.88</v>
      </c>
      <c r="V32" s="1286">
        <v>3.42</v>
      </c>
      <c r="W32" s="1286">
        <v>3.87</v>
      </c>
      <c r="X32" s="1286">
        <v>1.53</v>
      </c>
      <c r="Y32" s="1286">
        <v>1.17</v>
      </c>
      <c r="Z32" s="1286">
        <v>1.71</v>
      </c>
    </row>
    <row r="33" spans="2:26">
      <c r="B33" s="1286"/>
      <c r="C33" s="1287">
        <v>40538</v>
      </c>
      <c r="D33" s="1286">
        <v>5.35</v>
      </c>
      <c r="E33" s="1286">
        <v>5.81</v>
      </c>
      <c r="F33" s="1286">
        <v>5.85</v>
      </c>
      <c r="G33" s="1286">
        <v>6.22</v>
      </c>
      <c r="H33" s="1286">
        <v>6.4</v>
      </c>
      <c r="I33" s="1286">
        <v>3.75</v>
      </c>
      <c r="J33" s="1286">
        <v>4.3</v>
      </c>
      <c r="L33" s="1286"/>
      <c r="M33" s="1287">
        <v>39316</v>
      </c>
      <c r="N33" s="1286">
        <v>0.81</v>
      </c>
      <c r="O33" s="1286">
        <v>2.61</v>
      </c>
      <c r="P33" s="1286">
        <v>3.15</v>
      </c>
      <c r="Q33" s="1286">
        <v>3.6</v>
      </c>
      <c r="R33" s="1286">
        <v>4.2300000000000004</v>
      </c>
      <c r="S33" s="1286">
        <v>4.95</v>
      </c>
      <c r="T33" s="1286">
        <v>5.49</v>
      </c>
      <c r="U33" s="1286">
        <v>2.61</v>
      </c>
      <c r="V33" s="1286">
        <v>3.15</v>
      </c>
      <c r="W33" s="1286">
        <v>3.6</v>
      </c>
      <c r="X33" s="1286">
        <v>1.53</v>
      </c>
      <c r="Y33" s="1286">
        <v>1.17</v>
      </c>
      <c r="Z33" s="1286">
        <v>1.71</v>
      </c>
    </row>
    <row r="34" spans="2:26">
      <c r="B34" s="1286"/>
      <c r="C34" s="1287">
        <v>40471</v>
      </c>
      <c r="D34" s="1286">
        <v>5.0999999999999996</v>
      </c>
      <c r="E34" s="1286">
        <v>5.56</v>
      </c>
      <c r="F34" s="1286">
        <v>5.6</v>
      </c>
      <c r="G34" s="1286">
        <v>5.96</v>
      </c>
      <c r="H34" s="1286">
        <v>6.14</v>
      </c>
      <c r="I34" s="1286">
        <v>3.5</v>
      </c>
      <c r="J34" s="1286">
        <v>4.05</v>
      </c>
      <c r="L34" s="1286"/>
      <c r="M34" s="1287">
        <v>39284</v>
      </c>
      <c r="N34" s="1286">
        <v>0.81</v>
      </c>
      <c r="O34" s="1286">
        <v>2.34</v>
      </c>
      <c r="P34" s="1286">
        <v>2.88</v>
      </c>
      <c r="Q34" s="1286">
        <v>3.33</v>
      </c>
      <c r="R34" s="1286">
        <v>3.96</v>
      </c>
      <c r="S34" s="1286">
        <v>4.68</v>
      </c>
      <c r="T34" s="1286">
        <v>5.22</v>
      </c>
      <c r="U34" s="1286">
        <v>2.34</v>
      </c>
      <c r="V34" s="1286">
        <v>2.88</v>
      </c>
      <c r="W34" s="1286">
        <v>3.33</v>
      </c>
      <c r="X34" s="1286">
        <v>1.53</v>
      </c>
      <c r="Y34" s="1286">
        <v>1.17</v>
      </c>
      <c r="Z34" s="1286">
        <v>1.71</v>
      </c>
    </row>
    <row r="35" spans="2:26">
      <c r="B35" s="1286"/>
      <c r="C35" s="1287">
        <v>39805</v>
      </c>
      <c r="D35" s="1286">
        <v>4.8600000000000003</v>
      </c>
      <c r="E35" s="1286">
        <v>5.31</v>
      </c>
      <c r="F35" s="1286">
        <v>5.4</v>
      </c>
      <c r="G35" s="1286">
        <v>5.76</v>
      </c>
      <c r="H35" s="1286">
        <v>5.94</v>
      </c>
      <c r="I35" s="1286">
        <v>3.33</v>
      </c>
      <c r="J35" s="1286">
        <v>3.87</v>
      </c>
      <c r="L35" s="1286"/>
      <c r="M35" s="1287">
        <v>39221</v>
      </c>
      <c r="N35" s="1286">
        <v>0.72</v>
      </c>
      <c r="O35" s="1286">
        <v>2.0699999999999998</v>
      </c>
      <c r="P35" s="1286">
        <v>2.61</v>
      </c>
      <c r="Q35" s="1286">
        <v>3.06</v>
      </c>
      <c r="R35" s="1286">
        <v>3.69</v>
      </c>
      <c r="S35" s="1286">
        <v>4.41</v>
      </c>
      <c r="T35" s="1286">
        <v>4.95</v>
      </c>
      <c r="U35" s="1286">
        <v>2.0699999999999998</v>
      </c>
      <c r="V35" s="1286">
        <v>2.61</v>
      </c>
      <c r="W35" s="1286">
        <v>3.06</v>
      </c>
      <c r="X35" s="1286">
        <v>1.44</v>
      </c>
      <c r="Y35" s="1286">
        <v>1.08</v>
      </c>
      <c r="Z35" s="1286">
        <v>1.62</v>
      </c>
    </row>
    <row r="36" spans="2:26">
      <c r="B36" s="1286"/>
      <c r="C36" s="1287">
        <v>39779</v>
      </c>
      <c r="D36" s="1286">
        <v>5.04</v>
      </c>
      <c r="E36" s="1286">
        <v>5.58</v>
      </c>
      <c r="F36" s="1286">
        <v>5.67</v>
      </c>
      <c r="G36" s="1286">
        <v>5.94</v>
      </c>
      <c r="H36" s="1286">
        <v>6.12</v>
      </c>
      <c r="I36" s="1286">
        <v>3.51</v>
      </c>
      <c r="J36" s="1286">
        <v>4.05</v>
      </c>
      <c r="L36" s="1286"/>
      <c r="M36" s="1287">
        <v>39159</v>
      </c>
      <c r="N36" s="1286">
        <v>0.72</v>
      </c>
      <c r="O36" s="1286">
        <v>1.98</v>
      </c>
      <c r="P36" s="1286">
        <v>2.4300000000000002</v>
      </c>
      <c r="Q36" s="1286">
        <v>2.79</v>
      </c>
      <c r="R36" s="1286">
        <v>3.33</v>
      </c>
      <c r="S36" s="1286">
        <v>3.96</v>
      </c>
      <c r="T36" s="1286">
        <v>4.41</v>
      </c>
      <c r="U36" s="1286">
        <v>1.98</v>
      </c>
      <c r="V36" s="1286">
        <v>2.4300000000000002</v>
      </c>
      <c r="W36" s="1286">
        <v>2.79</v>
      </c>
      <c r="X36" s="1286">
        <v>1.44</v>
      </c>
      <c r="Y36" s="1286">
        <v>1.08</v>
      </c>
      <c r="Z36" s="1286">
        <v>1.62</v>
      </c>
    </row>
    <row r="37" spans="2:26">
      <c r="B37" s="1286"/>
      <c r="C37" s="1287">
        <v>39751</v>
      </c>
      <c r="D37" s="1286">
        <v>6.03</v>
      </c>
      <c r="E37" s="1286">
        <v>6.66</v>
      </c>
      <c r="F37" s="1286">
        <v>6.75</v>
      </c>
      <c r="G37" s="1286">
        <v>7.02</v>
      </c>
      <c r="H37" s="1286">
        <v>7.2</v>
      </c>
      <c r="I37" s="1286">
        <v>4.05</v>
      </c>
      <c r="J37" s="1286">
        <v>4.59</v>
      </c>
      <c r="L37" s="1286"/>
      <c r="M37" s="1287">
        <v>38948</v>
      </c>
      <c r="N37" s="1286">
        <v>0.72</v>
      </c>
      <c r="O37" s="1286">
        <v>1.8</v>
      </c>
      <c r="P37" s="1286">
        <v>2.25</v>
      </c>
      <c r="Q37" s="1286">
        <v>2.52</v>
      </c>
      <c r="R37" s="1286">
        <v>3.06</v>
      </c>
      <c r="S37" s="1286">
        <v>3.69</v>
      </c>
      <c r="T37" s="1286">
        <v>4.1399999999999997</v>
      </c>
      <c r="U37" s="1286">
        <v>1.8</v>
      </c>
      <c r="V37" s="1286">
        <v>2.25</v>
      </c>
      <c r="W37" s="1286">
        <v>2.52</v>
      </c>
      <c r="X37" s="1286">
        <v>1.44</v>
      </c>
      <c r="Y37" s="1286">
        <v>1.08</v>
      </c>
      <c r="Z37" s="1286">
        <v>1.62</v>
      </c>
    </row>
    <row r="38" spans="2:26">
      <c r="B38" s="1286"/>
      <c r="C38" s="1288">
        <v>39748</v>
      </c>
      <c r="D38" s="1286">
        <v>6.12</v>
      </c>
      <c r="E38" s="1286">
        <v>6.93</v>
      </c>
      <c r="F38" s="1286">
        <v>7.02</v>
      </c>
      <c r="G38" s="1286">
        <v>7.29</v>
      </c>
      <c r="H38" s="1286">
        <v>7.47</v>
      </c>
      <c r="I38" s="1286">
        <v>4.05</v>
      </c>
      <c r="J38" s="1286">
        <v>4.59</v>
      </c>
      <c r="L38" s="1286"/>
      <c r="M38" s="1287">
        <v>38289</v>
      </c>
      <c r="N38" s="1286">
        <v>0.72</v>
      </c>
      <c r="O38" s="1286">
        <v>1.71</v>
      </c>
      <c r="P38" s="1286">
        <v>2.0699999999999998</v>
      </c>
      <c r="Q38" s="1286">
        <v>2.25</v>
      </c>
      <c r="R38" s="1286">
        <v>2.7</v>
      </c>
      <c r="S38" s="1286">
        <v>3.24</v>
      </c>
      <c r="T38" s="1286">
        <v>3.6</v>
      </c>
      <c r="U38" s="1286">
        <v>1.71</v>
      </c>
      <c r="V38" s="1286">
        <v>2.0699999999999998</v>
      </c>
      <c r="W38" s="1286">
        <v>2.25</v>
      </c>
      <c r="X38" s="1286">
        <v>1.44</v>
      </c>
      <c r="Y38" s="1286">
        <v>1.08</v>
      </c>
      <c r="Z38" s="1286">
        <v>1.62</v>
      </c>
    </row>
    <row r="39" spans="2:26">
      <c r="B39" s="1286"/>
      <c r="C39" s="1287">
        <v>39730</v>
      </c>
      <c r="D39" s="1286">
        <v>6.12</v>
      </c>
      <c r="E39" s="1286">
        <v>6.93</v>
      </c>
      <c r="F39" s="1286">
        <v>7.02</v>
      </c>
      <c r="G39" s="1286">
        <v>7.29</v>
      </c>
      <c r="H39" s="1286">
        <v>7.47</v>
      </c>
      <c r="I39" s="1286">
        <v>4.32</v>
      </c>
      <c r="J39" s="1286">
        <v>4.8600000000000003</v>
      </c>
      <c r="L39" s="1286"/>
      <c r="M39" s="1287">
        <v>37308</v>
      </c>
      <c r="N39" s="1286">
        <v>0.72</v>
      </c>
      <c r="O39" s="1286">
        <v>1.71</v>
      </c>
      <c r="P39" s="1286">
        <v>1.89</v>
      </c>
      <c r="Q39" s="1286">
        <v>1.98</v>
      </c>
      <c r="R39" s="1286">
        <v>2.25</v>
      </c>
      <c r="S39" s="1286">
        <v>2.52</v>
      </c>
      <c r="T39" s="1286">
        <v>2.79</v>
      </c>
      <c r="U39" s="1286">
        <v>1.71</v>
      </c>
      <c r="V39" s="1286">
        <v>1.89</v>
      </c>
      <c r="W39" s="1286">
        <v>1.98</v>
      </c>
      <c r="X39" s="1286">
        <v>1.44</v>
      </c>
      <c r="Y39" s="1286">
        <v>1.08</v>
      </c>
      <c r="Z39" s="1286">
        <v>1.62</v>
      </c>
    </row>
    <row r="40" spans="2:26">
      <c r="B40" s="1286"/>
      <c r="C40" s="1287">
        <v>39707</v>
      </c>
      <c r="D40" s="1286">
        <v>6.21</v>
      </c>
      <c r="E40" s="1286">
        <v>7.2</v>
      </c>
      <c r="F40" s="1286">
        <v>7.29</v>
      </c>
      <c r="G40" s="1286">
        <v>7.56</v>
      </c>
      <c r="H40" s="1286">
        <v>7.74</v>
      </c>
      <c r="I40" s="1286">
        <v>4.59</v>
      </c>
      <c r="J40" s="1286">
        <v>5.13</v>
      </c>
      <c r="L40" s="1286"/>
      <c r="M40" s="1287">
        <v>36321</v>
      </c>
      <c r="N40" s="1286">
        <v>0.99</v>
      </c>
      <c r="O40" s="1286">
        <v>1.98</v>
      </c>
      <c r="P40" s="1286">
        <v>2.16</v>
      </c>
      <c r="Q40" s="1286">
        <v>2.25</v>
      </c>
      <c r="R40" s="1286">
        <v>2.4300000000000002</v>
      </c>
      <c r="S40" s="1286">
        <v>2.7</v>
      </c>
      <c r="T40" s="1286">
        <v>2.88</v>
      </c>
      <c r="U40" s="1286">
        <v>1.98</v>
      </c>
      <c r="V40" s="1286">
        <v>2.16</v>
      </c>
      <c r="W40" s="1286">
        <v>2.25</v>
      </c>
      <c r="X40" s="1286">
        <v>1.71</v>
      </c>
      <c r="Y40" s="1286">
        <v>1.35</v>
      </c>
      <c r="Z40" s="1286">
        <v>1.89</v>
      </c>
    </row>
    <row r="41" spans="2:26">
      <c r="B41" s="1286"/>
      <c r="C41" s="1287">
        <v>39437</v>
      </c>
      <c r="D41" s="1286">
        <v>6.57</v>
      </c>
      <c r="E41" s="1286">
        <v>7.47</v>
      </c>
      <c r="F41" s="1286">
        <v>7.56</v>
      </c>
      <c r="G41" s="1286">
        <v>7.74</v>
      </c>
      <c r="H41" s="1286">
        <v>7.83</v>
      </c>
      <c r="I41" s="1286">
        <v>4.7699999999999996</v>
      </c>
      <c r="J41" s="1286">
        <v>5.22</v>
      </c>
      <c r="L41" s="1286"/>
      <c r="M41" s="1287">
        <v>36136</v>
      </c>
      <c r="N41" s="1286">
        <v>1.44</v>
      </c>
      <c r="O41" s="1286">
        <v>2.79</v>
      </c>
      <c r="P41" s="1286">
        <v>3.33</v>
      </c>
      <c r="Q41" s="1286">
        <v>3.78</v>
      </c>
      <c r="R41" s="1286">
        <v>3.96</v>
      </c>
      <c r="S41" s="1286">
        <v>4.1399999999999997</v>
      </c>
      <c r="T41" s="1286">
        <v>4.5</v>
      </c>
      <c r="U41" s="1286">
        <v>3.33</v>
      </c>
      <c r="V41" s="1286">
        <v>3.78</v>
      </c>
      <c r="W41" s="1286">
        <v>4.1399999999999997</v>
      </c>
      <c r="X41" s="1286">
        <v>2.16</v>
      </c>
      <c r="Y41" s="1286">
        <v>1.8</v>
      </c>
      <c r="Z41" s="1286">
        <v>2.34</v>
      </c>
    </row>
    <row r="42" spans="2:26">
      <c r="B42" s="1286"/>
      <c r="C42" s="1287">
        <v>39340</v>
      </c>
      <c r="D42" s="1286">
        <v>6.48</v>
      </c>
      <c r="E42" s="1286">
        <v>7.29</v>
      </c>
      <c r="F42" s="1286">
        <v>7.47</v>
      </c>
      <c r="G42" s="1286">
        <v>7.65</v>
      </c>
      <c r="H42" s="1286">
        <v>7.83</v>
      </c>
      <c r="I42" s="1286">
        <v>4.7699999999999996</v>
      </c>
      <c r="J42" s="1286">
        <v>5.22</v>
      </c>
      <c r="L42" s="1286"/>
      <c r="M42" s="1287">
        <v>35977</v>
      </c>
      <c r="N42" s="1286">
        <v>1.44</v>
      </c>
      <c r="O42" s="1286">
        <v>2.79</v>
      </c>
      <c r="P42" s="1286">
        <v>3.96</v>
      </c>
      <c r="Q42" s="1286">
        <v>4.7699999999999996</v>
      </c>
      <c r="R42" s="1286">
        <v>4.8600000000000003</v>
      </c>
      <c r="S42" s="1286">
        <v>4.95</v>
      </c>
      <c r="T42" s="1286">
        <v>5.22</v>
      </c>
      <c r="U42" s="1286">
        <v>3.96</v>
      </c>
      <c r="V42" s="1286">
        <v>4.7699999999999996</v>
      </c>
      <c r="W42" s="1286">
        <v>4.95</v>
      </c>
      <c r="X42" s="1286" t="s">
        <v>633</v>
      </c>
      <c r="Y42" s="1286" t="s">
        <v>633</v>
      </c>
      <c r="Z42" s="1286" t="s">
        <v>633</v>
      </c>
    </row>
    <row r="43" spans="2:26">
      <c r="B43" s="1286"/>
      <c r="C43" s="1287">
        <v>39316</v>
      </c>
      <c r="D43" s="1286">
        <v>6.21</v>
      </c>
      <c r="E43" s="1286">
        <v>7.02</v>
      </c>
      <c r="F43" s="1286">
        <v>7.2</v>
      </c>
      <c r="G43" s="1286">
        <v>7.38</v>
      </c>
      <c r="H43" s="1286">
        <v>7.56</v>
      </c>
      <c r="I43" s="1286">
        <v>4.59</v>
      </c>
      <c r="J43" s="1286">
        <v>5.04</v>
      </c>
      <c r="L43" s="1286"/>
      <c r="M43" s="1287">
        <v>35879</v>
      </c>
      <c r="N43" s="1286">
        <v>1.71</v>
      </c>
      <c r="O43" s="1286">
        <v>2.88</v>
      </c>
      <c r="P43" s="1286">
        <v>4.1399999999999997</v>
      </c>
      <c r="Q43" s="1286">
        <v>5.22</v>
      </c>
      <c r="R43" s="1286">
        <v>5.58</v>
      </c>
      <c r="S43" s="1286">
        <v>6.21</v>
      </c>
      <c r="T43" s="1286">
        <v>6.66</v>
      </c>
      <c r="U43" s="1286">
        <v>4.1399999999999997</v>
      </c>
      <c r="V43" s="1286">
        <v>5.22</v>
      </c>
      <c r="W43" s="1286">
        <v>6.21</v>
      </c>
      <c r="X43" s="1286" t="s">
        <v>633</v>
      </c>
      <c r="Y43" s="1286" t="s">
        <v>633</v>
      </c>
      <c r="Z43" s="1286" t="s">
        <v>633</v>
      </c>
    </row>
    <row r="44" spans="2:26">
      <c r="B44" s="1286"/>
      <c r="C44" s="1287">
        <v>39284</v>
      </c>
      <c r="D44" s="1286">
        <v>6.03</v>
      </c>
      <c r="E44" s="1286">
        <v>6.84</v>
      </c>
      <c r="F44" s="1286">
        <v>7.02</v>
      </c>
      <c r="G44" s="1286">
        <v>7.2</v>
      </c>
      <c r="H44" s="1286">
        <v>7.38</v>
      </c>
      <c r="I44" s="1286">
        <v>4.5</v>
      </c>
      <c r="J44" s="1286">
        <v>4.95</v>
      </c>
      <c r="L44" s="1286"/>
      <c r="M44" s="1287">
        <v>35726</v>
      </c>
      <c r="N44" s="1286">
        <v>1.71</v>
      </c>
      <c r="O44" s="1286">
        <v>2.88</v>
      </c>
      <c r="P44" s="1286">
        <v>4.1399999999999997</v>
      </c>
      <c r="Q44" s="1286">
        <v>5.67</v>
      </c>
      <c r="R44" s="1286">
        <v>5.94</v>
      </c>
      <c r="S44" s="1286">
        <v>6.21</v>
      </c>
      <c r="T44" s="1286">
        <v>6.66</v>
      </c>
      <c r="U44" s="1286">
        <v>4.1399999999999997</v>
      </c>
      <c r="V44" s="1286">
        <v>5.67</v>
      </c>
      <c r="W44" s="1286">
        <v>6.21</v>
      </c>
      <c r="X44" s="1286" t="s">
        <v>633</v>
      </c>
      <c r="Y44" s="1286" t="s">
        <v>633</v>
      </c>
      <c r="Z44" s="1286" t="s">
        <v>633</v>
      </c>
    </row>
    <row r="45" spans="2:26">
      <c r="B45" s="1286"/>
      <c r="C45" s="1287">
        <v>39221</v>
      </c>
      <c r="D45" s="1286">
        <v>5.85</v>
      </c>
      <c r="E45" s="1286">
        <v>6.57</v>
      </c>
      <c r="F45" s="1286">
        <v>6.75</v>
      </c>
      <c r="G45" s="1286">
        <v>6.93</v>
      </c>
      <c r="H45" s="1286">
        <v>7.2</v>
      </c>
      <c r="I45" s="1286">
        <v>4.41</v>
      </c>
      <c r="J45" s="1286">
        <v>4.8600000000000003</v>
      </c>
      <c r="L45" s="1286"/>
      <c r="M45" s="1287">
        <v>35300</v>
      </c>
      <c r="N45" s="1286">
        <v>1.98</v>
      </c>
      <c r="O45" s="1286">
        <v>3.33</v>
      </c>
      <c r="P45" s="1286">
        <v>5.4</v>
      </c>
      <c r="Q45" s="1286">
        <v>7.47</v>
      </c>
      <c r="R45" s="1286">
        <v>7.92</v>
      </c>
      <c r="S45" s="1286">
        <v>8.2799999999999994</v>
      </c>
      <c r="T45" s="1286">
        <v>9</v>
      </c>
      <c r="U45" s="1286">
        <v>5.4</v>
      </c>
      <c r="V45" s="1286">
        <v>7.47</v>
      </c>
      <c r="W45" s="1286">
        <v>8.2799999999999994</v>
      </c>
      <c r="X45" s="1286" t="s">
        <v>633</v>
      </c>
      <c r="Y45" s="1286" t="s">
        <v>633</v>
      </c>
      <c r="Z45" s="1286" t="s">
        <v>633</v>
      </c>
    </row>
    <row r="46" spans="2:26">
      <c r="B46" s="1286"/>
      <c r="C46" s="1287">
        <v>39159</v>
      </c>
      <c r="D46" s="1286">
        <v>5.67</v>
      </c>
      <c r="E46" s="1286">
        <v>6.39</v>
      </c>
      <c r="F46" s="1286">
        <v>6.57</v>
      </c>
      <c r="G46" s="1286">
        <v>6.75</v>
      </c>
      <c r="H46" s="1286">
        <v>7.11</v>
      </c>
      <c r="I46" s="1286">
        <v>4.32</v>
      </c>
      <c r="J46" s="1286">
        <v>4.7699999999999996</v>
      </c>
      <c r="L46" s="1286"/>
      <c r="M46" s="1287">
        <v>35186</v>
      </c>
      <c r="N46" s="1286">
        <v>2.97</v>
      </c>
      <c r="O46" s="1286">
        <v>4.8600000000000003</v>
      </c>
      <c r="P46" s="1286">
        <v>7.2</v>
      </c>
      <c r="Q46" s="1286">
        <v>9.18</v>
      </c>
      <c r="R46" s="1286">
        <v>9.9</v>
      </c>
      <c r="S46" s="1286">
        <v>10.8</v>
      </c>
      <c r="T46" s="1286">
        <v>12.06</v>
      </c>
      <c r="U46" s="1286">
        <v>7.2</v>
      </c>
      <c r="V46" s="1286">
        <v>9.18</v>
      </c>
      <c r="W46" s="1286">
        <v>10.8</v>
      </c>
      <c r="X46" s="1286" t="s">
        <v>633</v>
      </c>
      <c r="Y46" s="1286" t="s">
        <v>633</v>
      </c>
      <c r="Z46" s="1286" t="s">
        <v>633</v>
      </c>
    </row>
    <row r="47" spans="2:26">
      <c r="B47" s="1286"/>
      <c r="C47" s="1287">
        <v>38948</v>
      </c>
      <c r="D47" s="1286">
        <v>5.58</v>
      </c>
      <c r="E47" s="1286">
        <v>6.12</v>
      </c>
      <c r="F47" s="1286">
        <v>6.3</v>
      </c>
      <c r="G47" s="1286">
        <v>6.48</v>
      </c>
      <c r="H47" s="1286">
        <v>6.84</v>
      </c>
      <c r="I47" s="1286">
        <v>4.1399999999999997</v>
      </c>
      <c r="J47" s="1286">
        <v>4.59</v>
      </c>
      <c r="L47" s="1286"/>
      <c r="M47" s="1287">
        <v>34161</v>
      </c>
      <c r="N47" s="1286">
        <v>3.15</v>
      </c>
      <c r="O47" s="1286">
        <v>6.66</v>
      </c>
      <c r="P47" s="1286">
        <v>9</v>
      </c>
      <c r="Q47" s="1286">
        <v>10.98</v>
      </c>
      <c r="R47" s="1286">
        <v>11.7</v>
      </c>
      <c r="S47" s="1286">
        <v>12.24</v>
      </c>
      <c r="T47" s="1286">
        <v>13.86</v>
      </c>
      <c r="U47" s="1286">
        <v>9</v>
      </c>
      <c r="V47" s="1286">
        <v>10.98</v>
      </c>
      <c r="W47" s="1286">
        <v>12.24</v>
      </c>
      <c r="X47" s="1286" t="s">
        <v>633</v>
      </c>
      <c r="Y47" s="1286" t="s">
        <v>633</v>
      </c>
      <c r="Z47" s="1286" t="s">
        <v>633</v>
      </c>
    </row>
    <row r="48" spans="2:26">
      <c r="B48" s="1286"/>
      <c r="C48" s="1287">
        <v>38835</v>
      </c>
      <c r="D48" s="1286">
        <v>5.4</v>
      </c>
      <c r="E48" s="1286">
        <v>5.85</v>
      </c>
      <c r="F48" s="1286">
        <v>6.03</v>
      </c>
      <c r="G48" s="1286">
        <v>6.12</v>
      </c>
      <c r="H48" s="1286">
        <v>6.39</v>
      </c>
      <c r="I48" s="1286">
        <v>4.1399999999999997</v>
      </c>
      <c r="J48" s="1286">
        <v>4.59</v>
      </c>
      <c r="L48" s="1286"/>
      <c r="M48" s="1287">
        <v>34104</v>
      </c>
      <c r="N48" s="1286">
        <v>2.16</v>
      </c>
      <c r="O48" s="1286">
        <v>4.8600000000000003</v>
      </c>
      <c r="P48" s="1286">
        <v>7.2</v>
      </c>
      <c r="Q48" s="1286">
        <v>9.18</v>
      </c>
      <c r="R48" s="1286">
        <v>9.9</v>
      </c>
      <c r="S48" s="1286">
        <v>10.8</v>
      </c>
      <c r="T48" s="1286">
        <v>12.06</v>
      </c>
      <c r="U48" s="1286">
        <v>7.2</v>
      </c>
      <c r="V48" s="1286">
        <v>9.18</v>
      </c>
      <c r="W48" s="1286">
        <v>10.8</v>
      </c>
      <c r="X48" s="1286" t="s">
        <v>633</v>
      </c>
      <c r="Y48" s="1286" t="s">
        <v>633</v>
      </c>
      <c r="Z48" s="1286" t="s">
        <v>633</v>
      </c>
    </row>
    <row r="49" spans="2:26">
      <c r="B49" s="1286"/>
      <c r="C49" s="1287">
        <v>38428</v>
      </c>
      <c r="D49" s="1286">
        <v>5.22</v>
      </c>
      <c r="E49" s="1286">
        <v>5.58</v>
      </c>
      <c r="F49" s="1286">
        <v>5.76</v>
      </c>
      <c r="G49" s="1286">
        <v>5.85</v>
      </c>
      <c r="H49" s="1286">
        <v>6.12</v>
      </c>
      <c r="I49" s="1286">
        <v>3.96</v>
      </c>
      <c r="J49" s="1286">
        <v>4.41</v>
      </c>
      <c r="L49" s="1286"/>
      <c r="M49" s="1287">
        <v>33349</v>
      </c>
      <c r="N49" s="1286">
        <v>1.8</v>
      </c>
      <c r="O49" s="1286">
        <v>3.24</v>
      </c>
      <c r="P49" s="1286">
        <v>5.4</v>
      </c>
      <c r="Q49" s="1286">
        <v>7.56</v>
      </c>
      <c r="R49" s="1286">
        <v>7.92</v>
      </c>
      <c r="S49" s="1286">
        <v>8.2799999999999994</v>
      </c>
      <c r="T49" s="1286">
        <v>9</v>
      </c>
      <c r="U49" s="1286">
        <v>6.12</v>
      </c>
      <c r="V49" s="1286">
        <v>6.84</v>
      </c>
      <c r="W49" s="1286">
        <v>7.56</v>
      </c>
      <c r="X49" s="1286" t="s">
        <v>633</v>
      </c>
      <c r="Y49" s="1286" t="s">
        <v>633</v>
      </c>
      <c r="Z49" s="1286" t="s">
        <v>633</v>
      </c>
    </row>
    <row r="50" spans="2:26">
      <c r="B50" s="1286"/>
      <c r="C50" s="1287">
        <v>38289</v>
      </c>
      <c r="D50" s="1286">
        <v>5.22</v>
      </c>
      <c r="E50" s="1286">
        <v>5.58</v>
      </c>
      <c r="F50" s="1286">
        <v>5.76</v>
      </c>
      <c r="G50" s="1286">
        <v>5.85</v>
      </c>
      <c r="H50" s="1286">
        <v>6.12</v>
      </c>
      <c r="I50" s="1286">
        <v>3.78</v>
      </c>
      <c r="J50" s="1286">
        <v>4.2300000000000004</v>
      </c>
      <c r="L50" s="1286"/>
      <c r="M50" s="1287">
        <v>33106</v>
      </c>
      <c r="N50" s="1286">
        <v>2.16</v>
      </c>
      <c r="O50" s="1286">
        <v>4.32</v>
      </c>
      <c r="P50" s="1286">
        <v>6.48</v>
      </c>
      <c r="Q50" s="1286">
        <v>8.64</v>
      </c>
      <c r="R50" s="1286">
        <v>9.36</v>
      </c>
      <c r="S50" s="1286">
        <v>10.08</v>
      </c>
      <c r="T50" s="1286">
        <v>11.52</v>
      </c>
      <c r="U50" s="1286">
        <v>7.2</v>
      </c>
      <c r="V50" s="1286">
        <v>8.64</v>
      </c>
      <c r="W50" s="1286">
        <v>10.08</v>
      </c>
      <c r="X50" s="1286" t="s">
        <v>633</v>
      </c>
      <c r="Y50" s="1286" t="s">
        <v>633</v>
      </c>
      <c r="Z50" s="1286" t="s">
        <v>633</v>
      </c>
    </row>
    <row r="51" spans="2:26">
      <c r="B51" s="1286"/>
      <c r="C51" s="1287">
        <v>37308</v>
      </c>
      <c r="D51" s="1286">
        <v>5.04</v>
      </c>
      <c r="E51" s="1286">
        <v>5.31</v>
      </c>
      <c r="F51" s="1286">
        <v>5.49</v>
      </c>
      <c r="G51" s="1286">
        <v>5.58</v>
      </c>
      <c r="H51" s="1286">
        <v>5.76</v>
      </c>
      <c r="I51" s="1286">
        <v>3.6</v>
      </c>
      <c r="J51" s="1286">
        <v>4.05</v>
      </c>
      <c r="L51" s="1286"/>
      <c r="M51" s="1287">
        <v>32978</v>
      </c>
      <c r="N51" s="1286">
        <v>2.88</v>
      </c>
      <c r="O51" s="1286">
        <v>6.3</v>
      </c>
      <c r="P51" s="1286">
        <v>7.74</v>
      </c>
      <c r="Q51" s="1286">
        <v>10.08</v>
      </c>
      <c r="R51" s="1286">
        <v>10.98</v>
      </c>
      <c r="S51" s="1286">
        <v>11.88</v>
      </c>
      <c r="T51" s="1286">
        <v>13.68</v>
      </c>
      <c r="U51" s="1286" t="s">
        <v>633</v>
      </c>
      <c r="V51" s="1286" t="s">
        <v>633</v>
      </c>
      <c r="W51" s="1286" t="s">
        <v>633</v>
      </c>
      <c r="X51" s="1286" t="s">
        <v>633</v>
      </c>
      <c r="Y51" s="1286" t="s">
        <v>633</v>
      </c>
      <c r="Z51" s="1286" t="s">
        <v>633</v>
      </c>
    </row>
    <row r="52" spans="2:26">
      <c r="B52" s="1286"/>
      <c r="C52" s="1287">
        <v>36321</v>
      </c>
      <c r="D52" s="1286">
        <v>5.58</v>
      </c>
      <c r="E52" s="1286">
        <v>5.85</v>
      </c>
      <c r="F52" s="1286">
        <v>5.94</v>
      </c>
      <c r="G52" s="1286">
        <v>6.03</v>
      </c>
      <c r="H52" s="1286">
        <v>6.21</v>
      </c>
      <c r="I52" s="1286">
        <v>4.1399999999999997</v>
      </c>
      <c r="J52" s="1286">
        <v>4.59</v>
      </c>
      <c r="L52" s="1286"/>
      <c r="M52" s="1287"/>
      <c r="N52" s="1286"/>
      <c r="O52" s="1286"/>
      <c r="P52" s="1286"/>
      <c r="Q52" s="1286"/>
      <c r="R52" s="1286"/>
      <c r="S52" s="1286"/>
      <c r="T52" s="1286"/>
      <c r="U52" s="1286"/>
      <c r="V52" s="1286"/>
      <c r="W52" s="1286"/>
      <c r="X52" s="1286"/>
      <c r="Y52" s="1286"/>
      <c r="Z52" s="1286"/>
    </row>
    <row r="53" spans="2:26">
      <c r="B53" s="1286"/>
      <c r="C53" s="1287">
        <v>36136</v>
      </c>
      <c r="D53" s="1286">
        <v>6.12</v>
      </c>
      <c r="E53" s="1286">
        <v>6.39</v>
      </c>
      <c r="F53" s="1286">
        <v>6.66</v>
      </c>
      <c r="G53" s="1286">
        <v>7.2</v>
      </c>
      <c r="H53" s="1286">
        <v>7.56</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35977</v>
      </c>
      <c r="D54" s="1286">
        <v>6.57</v>
      </c>
      <c r="E54" s="1286">
        <v>6.93</v>
      </c>
      <c r="F54" s="1286">
        <v>7.11</v>
      </c>
      <c r="G54" s="1286">
        <v>7.65</v>
      </c>
      <c r="H54" s="1286">
        <v>8.01</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35879</v>
      </c>
      <c r="D55" s="1286">
        <v>7.02</v>
      </c>
      <c r="E55" s="1286">
        <v>7.92</v>
      </c>
      <c r="F55" s="1286">
        <v>9</v>
      </c>
      <c r="G55" s="1286">
        <v>9.7200000000000006</v>
      </c>
      <c r="H55" s="1286">
        <v>10.35</v>
      </c>
      <c r="I55" s="1286">
        <v>0</v>
      </c>
      <c r="J55" s="1286">
        <v>0</v>
      </c>
      <c r="L55" s="1286"/>
      <c r="M55" s="1287"/>
      <c r="N55" s="1286"/>
      <c r="O55" s="1286"/>
      <c r="P55" s="1286"/>
      <c r="Q55" s="1286"/>
      <c r="R55" s="1286"/>
      <c r="S55" s="1286"/>
      <c r="T55" s="1286"/>
      <c r="U55" s="1286"/>
      <c r="V55" s="1286"/>
      <c r="W55" s="1286"/>
      <c r="X55" s="1286"/>
      <c r="Y55" s="1286"/>
      <c r="Z55" s="1286"/>
    </row>
    <row r="56" spans="2:26">
      <c r="B56" s="1286"/>
      <c r="C56" s="1287">
        <v>35726</v>
      </c>
      <c r="D56" s="1286">
        <v>7.65</v>
      </c>
      <c r="E56" s="1286">
        <v>8.64</v>
      </c>
      <c r="F56" s="1286">
        <v>9.36</v>
      </c>
      <c r="G56" s="1286">
        <v>9.9</v>
      </c>
      <c r="H56" s="1286">
        <v>10.53</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35300</v>
      </c>
      <c r="D57" s="1286">
        <v>9.18</v>
      </c>
      <c r="E57" s="1286">
        <v>10.08</v>
      </c>
      <c r="F57" s="1286">
        <v>10.98</v>
      </c>
      <c r="G57" s="1286">
        <v>11.7</v>
      </c>
      <c r="H57" s="1286">
        <v>12.42</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v>35186</v>
      </c>
      <c r="D58" s="1286">
        <v>9.7200000000000006</v>
      </c>
      <c r="E58" s="1286">
        <v>10.98</v>
      </c>
      <c r="F58" s="1286">
        <v>13.14</v>
      </c>
      <c r="G58" s="1286">
        <v>14.94</v>
      </c>
      <c r="H58" s="1286">
        <v>15.12</v>
      </c>
      <c r="I58" s="1286">
        <v>0</v>
      </c>
      <c r="J58" s="1286">
        <v>0</v>
      </c>
    </row>
    <row r="59" spans="2:26">
      <c r="B59" s="1286"/>
      <c r="C59" s="1287">
        <v>34881</v>
      </c>
      <c r="D59" s="1286">
        <v>10.08</v>
      </c>
      <c r="E59" s="1286">
        <v>12.06</v>
      </c>
      <c r="F59" s="1286">
        <v>13.5</v>
      </c>
      <c r="G59" s="1286">
        <v>15.12</v>
      </c>
      <c r="H59" s="1286">
        <v>15.3</v>
      </c>
      <c r="I59" s="1286">
        <v>0</v>
      </c>
      <c r="J59" s="1286">
        <v>0</v>
      </c>
    </row>
    <row r="60" spans="2:26">
      <c r="B60" s="1286"/>
      <c r="C60" s="1287">
        <v>34700</v>
      </c>
      <c r="D60" s="1286">
        <v>9</v>
      </c>
      <c r="E60" s="1286">
        <v>10.98</v>
      </c>
      <c r="F60" s="1286">
        <v>12.96</v>
      </c>
      <c r="G60" s="1286">
        <v>14.58</v>
      </c>
      <c r="H60" s="1286">
        <v>14.76</v>
      </c>
      <c r="I60" s="1286">
        <v>0</v>
      </c>
      <c r="J60" s="1286">
        <v>0</v>
      </c>
    </row>
    <row r="61" spans="2:26">
      <c r="B61" s="1286"/>
      <c r="C61" s="1287">
        <v>34161</v>
      </c>
      <c r="D61" s="1286">
        <v>9</v>
      </c>
      <c r="E61" s="1286">
        <v>10.98</v>
      </c>
      <c r="F61" s="1286">
        <v>12.24</v>
      </c>
      <c r="G61" s="1286">
        <v>13.86</v>
      </c>
      <c r="H61" s="1286">
        <v>14.04</v>
      </c>
      <c r="I61" s="1286">
        <v>0</v>
      </c>
      <c r="J61" s="1286">
        <v>0</v>
      </c>
    </row>
    <row r="62" spans="2:26">
      <c r="B62" s="1286"/>
      <c r="C62" s="1287">
        <v>34104</v>
      </c>
      <c r="D62" s="1286">
        <v>8.82</v>
      </c>
      <c r="E62" s="1286">
        <v>9.36</v>
      </c>
      <c r="F62" s="1286">
        <v>10.8</v>
      </c>
      <c r="G62" s="1286">
        <v>12.06</v>
      </c>
      <c r="H62" s="1286">
        <v>12.24</v>
      </c>
      <c r="I62" s="1286">
        <v>0</v>
      </c>
      <c r="J62" s="1286">
        <v>0</v>
      </c>
    </row>
    <row r="63" spans="2:26">
      <c r="B63" s="1286"/>
      <c r="C63" s="1287">
        <v>33349</v>
      </c>
      <c r="D63" s="1286">
        <v>8.1</v>
      </c>
      <c r="E63" s="1286">
        <v>8.64</v>
      </c>
      <c r="F63" s="1286">
        <v>9</v>
      </c>
      <c r="G63" s="1286">
        <v>9.5399999999999991</v>
      </c>
      <c r="H63" s="1286">
        <v>9.7200000000000006</v>
      </c>
      <c r="I63" s="1286">
        <v>0</v>
      </c>
      <c r="J63" s="1286">
        <v>0</v>
      </c>
    </row>
    <row r="64" spans="2:26">
      <c r="B64" s="1286"/>
      <c r="C64" s="1287">
        <v>33318</v>
      </c>
      <c r="D64" s="1286">
        <v>9</v>
      </c>
      <c r="E64" s="1286">
        <v>10.08</v>
      </c>
      <c r="F64" s="1286">
        <v>10.8</v>
      </c>
      <c r="G64" s="1286">
        <v>11.52</v>
      </c>
      <c r="H64" s="1286">
        <v>11.88</v>
      </c>
      <c r="I64" s="1286" t="s">
        <v>633</v>
      </c>
      <c r="J64" s="1286" t="s">
        <v>633</v>
      </c>
    </row>
    <row r="65" spans="2:10">
      <c r="B65" s="1286"/>
      <c r="C65" s="1287">
        <v>33106</v>
      </c>
      <c r="D65" s="1286">
        <v>8.64</v>
      </c>
      <c r="E65" s="1286">
        <v>9.36</v>
      </c>
      <c r="F65" s="1286">
        <v>10.08</v>
      </c>
      <c r="G65" s="1286">
        <v>10.8</v>
      </c>
      <c r="H65" s="1286">
        <v>11.16</v>
      </c>
      <c r="I65" s="1286">
        <v>0</v>
      </c>
      <c r="J65" s="1286">
        <v>0</v>
      </c>
    </row>
    <row r="66" spans="2:10">
      <c r="B66" s="1286"/>
      <c r="C66" s="1287">
        <v>32540</v>
      </c>
      <c r="D66" s="1286">
        <v>11.34</v>
      </c>
      <c r="E66" s="1286">
        <v>11.34</v>
      </c>
      <c r="F66" s="1286">
        <v>12.78</v>
      </c>
      <c r="G66" s="1286">
        <v>14.4</v>
      </c>
      <c r="H66" s="1286">
        <v>19.260000000000002</v>
      </c>
      <c r="I66" s="1286">
        <v>0</v>
      </c>
      <c r="J66" s="1286">
        <v>0</v>
      </c>
    </row>
    <row r="67" spans="2:10">
      <c r="B67" s="1286"/>
      <c r="C67" s="1287"/>
      <c r="D67" s="1286"/>
      <c r="E67" s="1286"/>
      <c r="F67" s="1286"/>
      <c r="G67" s="1286"/>
      <c r="H67" s="1286"/>
      <c r="I67" s="1286"/>
      <c r="J67" s="1286"/>
    </row>
    <row r="68" spans="2:10">
      <c r="B68" s="1289"/>
      <c r="C68" s="1290"/>
      <c r="D68" s="1289"/>
      <c r="E68" s="1289"/>
      <c r="F68" s="1289"/>
      <c r="G68" s="1289"/>
      <c r="H68" s="1289"/>
      <c r="I68" s="1289"/>
      <c r="J68" s="1289"/>
    </row>
    <row r="69" spans="2:10">
      <c r="B69" s="1289"/>
      <c r="C69" s="1290"/>
      <c r="D69" s="1289"/>
      <c r="E69" s="1289"/>
      <c r="F69" s="1289"/>
      <c r="G69" s="1289"/>
      <c r="H69" s="1289"/>
      <c r="I69" s="1289"/>
      <c r="J69" s="1289"/>
    </row>
    <row r="70" spans="2:10">
      <c r="B70" s="1289"/>
      <c r="C70" s="1290"/>
      <c r="D70" s="1289"/>
      <c r="E70" s="1289"/>
      <c r="F70" s="1289"/>
      <c r="G70" s="1289"/>
      <c r="H70" s="1289"/>
      <c r="I70" s="1289"/>
      <c r="J70" s="1289"/>
    </row>
    <row r="71" spans="2:10">
      <c r="B71" s="1238"/>
      <c r="C71" s="1238"/>
      <c r="D71" s="1238"/>
      <c r="E71" s="1238"/>
      <c r="F71" s="1238"/>
      <c r="G71" s="1238"/>
      <c r="H71" s="1238"/>
      <c r="I71" s="1238"/>
      <c r="J71" s="1238"/>
    </row>
    <row r="72" spans="2:10">
      <c r="B72" s="1238"/>
      <c r="C72" s="1238"/>
      <c r="D72" s="1238"/>
      <c r="E72" s="1238"/>
      <c r="F72" s="1238"/>
      <c r="G72" s="1238"/>
      <c r="H72" s="1238"/>
      <c r="I72" s="1238"/>
      <c r="J72" s="1238"/>
    </row>
  </sheetData>
  <sheetProtection password="CEE9" sheet="1" objects="1" scenarios="1"/>
  <phoneticPr fontId="134"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SheetLayoutView="90" zoomScalePageLayoutView="80" workbookViewId="0">
      <selection activeCell="A19" sqref="A1:XFD1048576"/>
    </sheetView>
  </sheetViews>
  <sheetFormatPr defaultColWidth="9" defaultRowHeight="14.25"/>
  <cols>
    <col min="1" max="1" width="16.625" style="1473" customWidth="1"/>
    <col min="2" max="3" width="22.375" style="1473" customWidth="1"/>
    <col min="4" max="4" width="23" style="1473" customWidth="1"/>
    <col min="5" max="16384" width="9" style="1473"/>
  </cols>
  <sheetData>
    <row r="1" spans="1:4" ht="18.75">
      <c r="A1" s="3544" t="s">
        <v>949</v>
      </c>
      <c r="B1" s="3544"/>
      <c r="C1" s="3544"/>
      <c r="D1" s="3544"/>
    </row>
    <row r="2" spans="1:4" ht="18">
      <c r="A2" s="3545" t="s">
        <v>933</v>
      </c>
      <c r="B2" s="3545"/>
      <c r="C2" s="3545"/>
      <c r="D2" s="3545"/>
    </row>
    <row r="3" spans="1:4" ht="18.75">
      <c r="A3" s="1505" t="s">
        <v>934</v>
      </c>
      <c r="B3" s="1505" t="s">
        <v>935</v>
      </c>
      <c r="C3" s="1505" t="s">
        <v>936</v>
      </c>
      <c r="D3" s="1505" t="s">
        <v>937</v>
      </c>
    </row>
    <row r="4" spans="1:4" ht="56.25" customHeight="1">
      <c r="A4" s="1506">
        <f>项目基本情况!B4</f>
        <v>0</v>
      </c>
      <c r="B4" s="1507">
        <f>项目基本情况!C4</f>
        <v>0</v>
      </c>
      <c r="C4" s="1508"/>
      <c r="D4" s="1509" t="s">
        <v>938</v>
      </c>
    </row>
    <row r="5" spans="1:4" ht="56.25" customHeight="1">
      <c r="A5" s="1506">
        <f>项目基本情况!D4</f>
        <v>0</v>
      </c>
      <c r="B5" s="1507">
        <f>项目基本情况!E4</f>
        <v>0</v>
      </c>
      <c r="C5" s="1510"/>
      <c r="D5" s="1509" t="s">
        <v>938</v>
      </c>
    </row>
    <row r="6" spans="1:4" ht="18">
      <c r="A6" s="3545" t="s">
        <v>939</v>
      </c>
      <c r="B6" s="3545"/>
      <c r="C6" s="3545"/>
      <c r="D6" s="3545"/>
    </row>
    <row r="7" spans="1:4" ht="18.75">
      <c r="A7" s="1505" t="s">
        <v>934</v>
      </c>
      <c r="B7" s="1507" t="s">
        <v>940</v>
      </c>
      <c r="C7" s="1505" t="s">
        <v>936</v>
      </c>
      <c r="D7" s="1505" t="s">
        <v>937</v>
      </c>
    </row>
    <row r="8" spans="1:4" ht="56.25" customHeight="1">
      <c r="A8" s="1511" t="s">
        <v>390</v>
      </c>
      <c r="B8" s="1511" t="s">
        <v>0</v>
      </c>
      <c r="C8" s="1508"/>
      <c r="D8" s="1509" t="s">
        <v>938</v>
      </c>
    </row>
    <row r="9" spans="1:4">
      <c r="A9" s="671"/>
      <c r="B9" s="671"/>
      <c r="C9" s="671"/>
      <c r="D9" s="671"/>
    </row>
    <row r="10" spans="1:4" ht="18.75">
      <c r="A10" s="1512" t="s">
        <v>941</v>
      </c>
      <c r="B10" s="671"/>
      <c r="C10" s="671"/>
      <c r="D10" s="671"/>
    </row>
    <row r="11" spans="1:4" ht="30" customHeight="1">
      <c r="A11" s="3546" t="s">
        <v>942</v>
      </c>
      <c r="B11" s="3547"/>
      <c r="C11" s="3547"/>
      <c r="D11" s="3547"/>
    </row>
    <row r="12" spans="1:4" ht="15.75">
      <c r="A12" s="3547"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3548"/>
      <c r="C12" s="3548"/>
      <c r="D12" s="3548"/>
    </row>
    <row r="13" spans="1:4" ht="30" customHeight="1">
      <c r="A13" s="3547" t="str">
        <f>IF(项目基本情况!B8="抵押","3.抵押双方在办理抵押登记手续时，应使用本公司出具的正式《房地产评估报告》，特提醒报告使用者注意。","——")</f>
        <v>——</v>
      </c>
      <c r="B13" s="3548"/>
      <c r="C13" s="3548"/>
      <c r="D13" s="3548"/>
    </row>
    <row r="14" spans="1:4" ht="15.75" customHeight="1">
      <c r="A14" s="3547" t="str">
        <f>IF(项目基本情况!B8="抵押","4.本次评估估价师所知悉的法定优先受偿款情况说明如下：","——")</f>
        <v>——</v>
      </c>
      <c r="B14" s="3548"/>
      <c r="C14" s="3548"/>
      <c r="D14" s="3548"/>
    </row>
    <row r="15" spans="1:4" ht="42" customHeight="1">
      <c r="A15" s="3547" t="str">
        <f>IF(项目基本情况!B8="抵押","（1）"&amp;CONCATENATE(项目基本情况!L20,项目基本情况!L21,项目基本情况!L22),"——")</f>
        <v>——</v>
      </c>
      <c r="B15" s="3547"/>
      <c r="C15" s="3547"/>
      <c r="D15" s="3547"/>
    </row>
    <row r="16" spans="1:4" ht="30" customHeight="1">
      <c r="A16" s="3550" t="s">
        <v>943</v>
      </c>
      <c r="B16" s="3550"/>
      <c r="C16" s="3550"/>
      <c r="D16" s="3550"/>
    </row>
    <row r="17" spans="1:4" ht="144" customHeight="1">
      <c r="A17" s="3550" t="s">
        <v>944</v>
      </c>
      <c r="B17" s="3550"/>
      <c r="C17" s="3550"/>
      <c r="D17" s="3550"/>
    </row>
    <row r="18" spans="1:4" ht="15.75" customHeight="1">
      <c r="A18" s="3547" t="str">
        <f>IF(项目基本情况!B8="抵押",结果表!K120,"——")</f>
        <v>——</v>
      </c>
      <c r="B18" s="3547"/>
      <c r="C18" s="3547"/>
      <c r="D18" s="3547"/>
    </row>
    <row r="19" spans="1:4" ht="46.5" customHeight="1">
      <c r="A19" s="3547"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547"/>
      <c r="C19" s="3547"/>
      <c r="D19" s="3547"/>
    </row>
    <row r="20" spans="1:4" ht="57.75" customHeight="1">
      <c r="A20" s="3547"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547"/>
      <c r="C20" s="3547"/>
      <c r="D20" s="3547"/>
    </row>
    <row r="21" spans="1:4" ht="57.75" customHeight="1">
      <c r="A21" s="3551"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551"/>
      <c r="C21" s="3551"/>
      <c r="D21" s="3551"/>
    </row>
    <row r="22" spans="1:4" ht="18.75" customHeight="1">
      <c r="A22" s="3552" t="s">
        <v>945</v>
      </c>
      <c r="B22" s="3552"/>
      <c r="C22" s="3552"/>
      <c r="D22" s="3552"/>
    </row>
    <row r="23" spans="1:4">
      <c r="A23" s="1513"/>
      <c r="B23" s="1485"/>
      <c r="C23" s="1485"/>
      <c r="D23" s="1485"/>
    </row>
    <row r="24" spans="1:4">
      <c r="A24" s="1513"/>
      <c r="B24" s="1485"/>
      <c r="C24" s="1485"/>
      <c r="D24" s="1485"/>
    </row>
    <row r="25" spans="1:4" ht="18.75">
      <c r="A25" s="1514" t="s">
        <v>946</v>
      </c>
    </row>
    <row r="26" spans="1:4" ht="18">
      <c r="A26" s="1483"/>
    </row>
    <row r="27" spans="1:4" ht="18.75">
      <c r="A27" s="1483" t="s">
        <v>947</v>
      </c>
    </row>
    <row r="30" spans="1:4" ht="18.75">
      <c r="D30" s="1514" t="s">
        <v>948</v>
      </c>
    </row>
    <row r="31" spans="1:4" ht="13.5" customHeight="1">
      <c r="C31" s="3549">
        <v>42551</v>
      </c>
      <c r="D31" s="3549"/>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0"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extLst>
    <ext xmlns:mx="http://schemas.microsoft.com/office/mac/excel/2008/main" uri="{64002731-A6B0-56B0-2670-7721B7C09600}">
      <mx:PLV Mode="1" OnePage="0" WScale="10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workbookViewId="0">
      <selection activeCell="C5" sqref="C5"/>
    </sheetView>
  </sheetViews>
  <sheetFormatPr defaultColWidth="9" defaultRowHeight="14.25"/>
  <cols>
    <col min="1" max="2" width="13.125" style="1471" customWidth="1"/>
    <col min="3" max="10" width="12.5" style="1471" customWidth="1"/>
    <col min="11" max="16384" width="9" style="1471"/>
  </cols>
  <sheetData>
    <row r="1" spans="1:10" ht="18">
      <c r="A1" s="1504" t="s">
        <v>391</v>
      </c>
      <c r="B1" s="1515"/>
      <c r="C1" s="1515"/>
      <c r="D1" s="1515"/>
      <c r="E1" s="1515"/>
      <c r="F1" s="1515"/>
      <c r="G1" s="1515"/>
      <c r="H1" s="1515"/>
      <c r="I1" s="1515"/>
      <c r="J1" s="1515"/>
    </row>
    <row r="2" spans="1:10" ht="18">
      <c r="A2" s="1516"/>
      <c r="B2" s="1515"/>
      <c r="C2" s="1515"/>
      <c r="D2" s="1515"/>
      <c r="E2" s="1515"/>
      <c r="F2" s="1515"/>
      <c r="G2" s="1515"/>
      <c r="H2" s="1515"/>
      <c r="I2" s="1515"/>
      <c r="J2" s="1515"/>
    </row>
    <row r="3" spans="1:10">
      <c r="A3" s="1515"/>
      <c r="B3" s="1515"/>
      <c r="C3" s="1515"/>
      <c r="D3" s="1515"/>
      <c r="E3" s="1515"/>
      <c r="F3" s="1515"/>
      <c r="G3" s="1515"/>
      <c r="H3" s="1515"/>
      <c r="I3" s="1515"/>
      <c r="J3" s="1515"/>
    </row>
    <row r="4" spans="1:10">
      <c r="A4" s="1515"/>
      <c r="B4" s="1515"/>
      <c r="C4" s="1515"/>
      <c r="D4" s="1515"/>
      <c r="E4" s="1515"/>
      <c r="F4" s="1515"/>
      <c r="G4" s="1515"/>
      <c r="H4" s="1515"/>
      <c r="I4" s="1515"/>
      <c r="J4" s="1515"/>
    </row>
    <row r="5" spans="1:10">
      <c r="A5" s="1515"/>
      <c r="B5" s="1515"/>
      <c r="C5" s="1515"/>
      <c r="D5" s="1515"/>
      <c r="E5" s="1515"/>
      <c r="F5" s="1515"/>
      <c r="G5" s="1515"/>
      <c r="H5" s="1515"/>
      <c r="I5" s="1515"/>
      <c r="J5" s="1515"/>
    </row>
    <row r="6" spans="1:10">
      <c r="A6" s="1515"/>
      <c r="B6" s="1515"/>
      <c r="C6" s="1515"/>
      <c r="D6" s="1515"/>
      <c r="E6" s="1515"/>
      <c r="F6" s="1515"/>
      <c r="G6" s="1515"/>
      <c r="H6" s="1515"/>
      <c r="I6" s="1515"/>
      <c r="J6" s="1515"/>
    </row>
    <row r="7" spans="1:10">
      <c r="A7" s="1515"/>
      <c r="B7" s="1515"/>
      <c r="C7" s="1515"/>
      <c r="D7" s="1515"/>
      <c r="E7" s="1515"/>
      <c r="F7" s="1515"/>
      <c r="G7" s="1515"/>
      <c r="H7" s="1515"/>
      <c r="I7" s="1515"/>
      <c r="J7" s="1515"/>
    </row>
    <row r="8" spans="1:10">
      <c r="A8" s="1515"/>
      <c r="B8" s="1515"/>
      <c r="C8" s="1515"/>
      <c r="D8" s="1515"/>
      <c r="E8" s="1515"/>
      <c r="F8" s="1515"/>
      <c r="G8" s="1515"/>
      <c r="H8" s="1515"/>
      <c r="I8" s="1515"/>
      <c r="J8" s="1515"/>
    </row>
    <row r="9" spans="1:10">
      <c r="A9" s="1515"/>
      <c r="B9" s="1515"/>
      <c r="C9" s="1515"/>
      <c r="D9" s="1515"/>
      <c r="E9" s="1515"/>
      <c r="F9" s="1515"/>
      <c r="G9" s="1515"/>
      <c r="H9" s="1515"/>
      <c r="I9" s="1515"/>
      <c r="J9" s="1515"/>
    </row>
    <row r="10" spans="1:10">
      <c r="A10" s="1515"/>
      <c r="B10" s="1515"/>
      <c r="C10" s="1515"/>
      <c r="D10" s="1515"/>
      <c r="E10" s="1515"/>
      <c r="F10" s="1515"/>
      <c r="G10" s="1515"/>
      <c r="H10" s="1515"/>
      <c r="I10" s="1515"/>
      <c r="J10" s="1515"/>
    </row>
    <row r="11" spans="1:10">
      <c r="A11" s="1515"/>
      <c r="B11" s="1515"/>
      <c r="C11" s="1515"/>
      <c r="D11" s="1515"/>
      <c r="E11" s="1515"/>
      <c r="F11" s="1515"/>
      <c r="G11" s="1515"/>
      <c r="H11" s="1515"/>
      <c r="I11" s="1515"/>
      <c r="J11" s="1515"/>
    </row>
    <row r="12" spans="1:10">
      <c r="A12" s="1515"/>
      <c r="B12" s="1515"/>
      <c r="C12" s="1515"/>
      <c r="D12" s="1515"/>
      <c r="E12" s="1515"/>
      <c r="F12" s="1515"/>
      <c r="G12" s="1515"/>
      <c r="H12" s="1515"/>
      <c r="I12" s="1515"/>
      <c r="J12" s="1515"/>
    </row>
    <row r="13" spans="1:10">
      <c r="A13" s="1515"/>
      <c r="B13" s="1515"/>
      <c r="C13" s="1515"/>
      <c r="D13" s="1515"/>
      <c r="E13" s="1515"/>
      <c r="F13" s="1515"/>
      <c r="G13" s="1515"/>
      <c r="H13" s="1515"/>
      <c r="I13" s="1515"/>
      <c r="J13" s="1515"/>
    </row>
    <row r="14" spans="1:10">
      <c r="A14" s="1515"/>
      <c r="B14" s="1515"/>
      <c r="C14" s="1515"/>
      <c r="D14" s="1515"/>
      <c r="E14" s="1515"/>
      <c r="F14" s="1515"/>
      <c r="G14" s="1515"/>
      <c r="H14" s="1515"/>
      <c r="I14" s="1515"/>
      <c r="J14" s="1515"/>
    </row>
    <row r="15" spans="1:10">
      <c r="A15" s="1515"/>
      <c r="B15" s="1515"/>
      <c r="C15" s="1515"/>
      <c r="D15" s="1515"/>
      <c r="E15" s="1515"/>
      <c r="F15" s="1515"/>
      <c r="G15" s="1515"/>
      <c r="H15" s="1515"/>
      <c r="I15" s="1515"/>
      <c r="J15" s="1515"/>
    </row>
    <row r="16" spans="1:10">
      <c r="A16" s="1515"/>
      <c r="B16" s="1515"/>
      <c r="C16" s="1515"/>
      <c r="D16" s="1515"/>
      <c r="E16" s="1515"/>
      <c r="F16" s="1515"/>
      <c r="G16" s="1515"/>
      <c r="H16" s="1515"/>
      <c r="I16" s="1515"/>
      <c r="J16" s="1515"/>
    </row>
    <row r="17" spans="1:10">
      <c r="A17" s="1515"/>
      <c r="B17" s="1515"/>
      <c r="C17" s="1515"/>
      <c r="D17" s="1515"/>
      <c r="E17" s="1515"/>
      <c r="F17" s="1515"/>
      <c r="G17" s="1515"/>
      <c r="H17" s="1515"/>
      <c r="I17" s="1515"/>
      <c r="J17" s="1515"/>
    </row>
    <row r="18" spans="1:10">
      <c r="A18" s="1515"/>
      <c r="B18" s="1515"/>
      <c r="C18" s="1515"/>
      <c r="D18" s="1515"/>
      <c r="E18" s="1515"/>
      <c r="F18" s="1515"/>
      <c r="G18" s="1515"/>
      <c r="H18" s="1515"/>
      <c r="I18" s="1515"/>
      <c r="J18" s="1515"/>
    </row>
    <row r="19" spans="1:10">
      <c r="A19" s="1515"/>
      <c r="B19" s="1515"/>
      <c r="C19" s="1515"/>
      <c r="D19" s="1515"/>
      <c r="E19" s="1515"/>
      <c r="F19" s="1515"/>
      <c r="G19" s="1515"/>
      <c r="H19" s="1515"/>
      <c r="I19" s="1515"/>
      <c r="J19" s="1515"/>
    </row>
    <row r="20" spans="1:10">
      <c r="A20" s="1515"/>
      <c r="B20" s="1515"/>
      <c r="C20" s="1515"/>
      <c r="D20" s="1515"/>
      <c r="E20" s="1515"/>
      <c r="F20" s="1515"/>
      <c r="G20" s="1515"/>
      <c r="H20" s="1515"/>
      <c r="I20" s="1515"/>
      <c r="J20" s="1515"/>
    </row>
    <row r="21" spans="1:10">
      <c r="A21" s="1515"/>
      <c r="B21" s="1515"/>
      <c r="C21" s="1515"/>
      <c r="D21" s="1515"/>
      <c r="E21" s="1515"/>
      <c r="F21" s="1515"/>
      <c r="G21" s="1515"/>
      <c r="H21" s="1515"/>
      <c r="I21" s="1515"/>
      <c r="J21" s="1515"/>
    </row>
    <row r="22" spans="1:10">
      <c r="A22" s="1515"/>
      <c r="B22" s="1515"/>
      <c r="C22" s="1515"/>
      <c r="D22" s="1515"/>
      <c r="E22" s="1515"/>
      <c r="F22" s="1515"/>
      <c r="G22" s="1515"/>
      <c r="H22" s="1515"/>
      <c r="I22" s="1515"/>
      <c r="J22" s="1515"/>
    </row>
    <row r="23" spans="1:10">
      <c r="A23" s="1515"/>
      <c r="B23" s="1515"/>
      <c r="C23" s="1515"/>
      <c r="D23" s="1515"/>
      <c r="E23" s="1515"/>
      <c r="F23" s="1515"/>
      <c r="G23" s="1515"/>
      <c r="H23" s="1515"/>
      <c r="I23" s="1515"/>
      <c r="J23" s="1515"/>
    </row>
    <row r="24" spans="1:10">
      <c r="A24" s="1515"/>
      <c r="B24" s="1515"/>
      <c r="C24" s="1515"/>
      <c r="D24" s="1515"/>
      <c r="E24" s="1515"/>
      <c r="F24" s="1515"/>
      <c r="G24" s="1515"/>
      <c r="H24" s="1515"/>
      <c r="I24" s="1515"/>
      <c r="J24" s="1515"/>
    </row>
    <row r="25" spans="1:10">
      <c r="A25" s="1515"/>
      <c r="B25" s="1515"/>
      <c r="C25" s="1515"/>
      <c r="D25" s="1515"/>
      <c r="E25" s="1515"/>
      <c r="F25" s="1515"/>
      <c r="G25" s="1515"/>
      <c r="H25" s="1515"/>
      <c r="I25" s="1515"/>
      <c r="J25" s="1515"/>
    </row>
    <row r="26" spans="1:10">
      <c r="A26" s="1515"/>
      <c r="B26" s="1515"/>
      <c r="C26" s="1515"/>
      <c r="D26" s="1515"/>
      <c r="E26" s="1515"/>
      <c r="F26" s="1515"/>
      <c r="G26" s="1515"/>
      <c r="H26" s="1515"/>
      <c r="I26" s="1515"/>
      <c r="J26" s="1515"/>
    </row>
    <row r="27" spans="1:10">
      <c r="A27" s="1515"/>
      <c r="B27" s="1515"/>
      <c r="C27" s="1515"/>
      <c r="D27" s="1515"/>
      <c r="E27" s="1515"/>
      <c r="F27" s="1515"/>
      <c r="G27" s="1515"/>
      <c r="H27" s="1515"/>
      <c r="I27" s="1515"/>
      <c r="J27" s="1515"/>
    </row>
    <row r="28" spans="1:10">
      <c r="A28" s="1515"/>
      <c r="B28" s="1515"/>
      <c r="C28" s="1515"/>
      <c r="D28" s="1515"/>
      <c r="E28" s="1515"/>
      <c r="F28" s="1515"/>
      <c r="G28" s="1515"/>
      <c r="H28" s="1515"/>
      <c r="I28" s="1515"/>
      <c r="J28" s="1515"/>
    </row>
    <row r="29" spans="1:10">
      <c r="A29" s="1515"/>
      <c r="B29" s="1515"/>
      <c r="C29" s="1515"/>
      <c r="D29" s="1515"/>
      <c r="E29" s="1515"/>
      <c r="F29" s="1515"/>
      <c r="G29" s="1515"/>
      <c r="H29" s="1515"/>
      <c r="I29" s="1515"/>
      <c r="J29" s="1515"/>
    </row>
    <row r="30" spans="1:10">
      <c r="A30" s="1515"/>
      <c r="B30" s="1515"/>
      <c r="C30" s="1515"/>
      <c r="D30" s="1515"/>
      <c r="E30" s="1515"/>
      <c r="F30" s="1515"/>
      <c r="G30" s="1515"/>
      <c r="H30" s="1515"/>
      <c r="I30" s="1515"/>
      <c r="J30" s="1515"/>
    </row>
    <row r="31" spans="1:10">
      <c r="A31" s="1515"/>
      <c r="B31" s="1515"/>
      <c r="C31" s="1515"/>
      <c r="D31" s="1515"/>
      <c r="E31" s="1515"/>
      <c r="F31" s="1515"/>
      <c r="G31" s="1515"/>
      <c r="H31" s="1515"/>
      <c r="I31" s="1515"/>
      <c r="J31" s="1515"/>
    </row>
  </sheetData>
  <sheetProtection sheet="1" objects="1" scenarios="1" formatCells="0" formatColumns="0" formatRows="0" insertColumns="0" insertRows="0" deleteColumns="0" deleteRows="0"/>
  <phoneticPr fontId="91"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extLst>
    <ext xmlns:mx="http://schemas.microsoft.com/office/mac/excel/2008/main" uri="{64002731-A6B0-56B0-2670-7721B7C09600}">
      <mx:PLV Mode="1" OnePage="0" WScale="10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D26" sqref="D26"/>
    </sheetView>
  </sheetViews>
  <sheetFormatPr defaultColWidth="14.5" defaultRowHeight="15.75"/>
  <cols>
    <col min="1" max="1" width="14.5" style="1521" customWidth="1"/>
    <col min="2" max="16384" width="14.5" style="1503"/>
  </cols>
  <sheetData>
    <row r="1" spans="1:7" s="1518" customFormat="1" ht="18">
      <c r="A1" s="1517" t="s">
        <v>950</v>
      </c>
    </row>
    <row r="3" spans="1:7">
      <c r="A3" s="1519" t="s">
        <v>55</v>
      </c>
      <c r="B3" s="1503" t="s">
        <v>951</v>
      </c>
      <c r="G3" s="1520"/>
    </row>
    <row r="4" spans="1:7">
      <c r="G4" s="1520"/>
    </row>
    <row r="5" spans="1:7">
      <c r="A5" s="1522" t="s">
        <v>46</v>
      </c>
      <c r="B5" s="1503" t="s">
        <v>952</v>
      </c>
      <c r="G5" s="1520"/>
    </row>
    <row r="6" spans="1:7">
      <c r="G6" s="1520"/>
    </row>
    <row r="7" spans="1:7">
      <c r="A7" s="1523" t="s">
        <v>108</v>
      </c>
      <c r="B7" s="1503" t="s">
        <v>953</v>
      </c>
      <c r="G7" s="1520"/>
    </row>
    <row r="8" spans="1:7">
      <c r="G8" s="1520"/>
    </row>
    <row r="9" spans="1:7">
      <c r="A9" s="1524" t="s">
        <v>47</v>
      </c>
      <c r="B9" s="1503" t="s">
        <v>954</v>
      </c>
    </row>
    <row r="11" spans="1:7">
      <c r="A11" s="1525" t="s">
        <v>48</v>
      </c>
      <c r="B11" s="1526" t="s">
        <v>45</v>
      </c>
    </row>
    <row r="13" spans="1:7">
      <c r="A13" s="1527" t="s">
        <v>955</v>
      </c>
    </row>
    <row r="15" spans="1:7" ht="14.25">
      <c r="A15" s="3558" t="s">
        <v>956</v>
      </c>
      <c r="B15" s="3553" t="s">
        <v>109</v>
      </c>
      <c r="C15" s="3554"/>
    </row>
    <row r="16" spans="1:7" ht="14.25">
      <c r="A16" s="3559"/>
      <c r="B16" s="3553" t="s">
        <v>42</v>
      </c>
      <c r="C16" s="3554"/>
    </row>
    <row r="17" spans="1:3" ht="14.25">
      <c r="A17" s="3559"/>
      <c r="B17" s="3556" t="s">
        <v>957</v>
      </c>
      <c r="C17" s="1528" t="s">
        <v>956</v>
      </c>
    </row>
    <row r="18" spans="1:3" ht="14.25">
      <c r="A18" s="3559"/>
      <c r="B18" s="3556"/>
      <c r="C18" s="1528" t="s">
        <v>958</v>
      </c>
    </row>
    <row r="19" spans="1:3" ht="14.25">
      <c r="A19" s="3559"/>
      <c r="B19" s="3556"/>
      <c r="C19" s="1528" t="s">
        <v>959</v>
      </c>
    </row>
    <row r="20" spans="1:3" ht="14.25">
      <c r="A20" s="3560"/>
      <c r="B20" s="3555" t="s">
        <v>960</v>
      </c>
      <c r="C20" s="3554"/>
    </row>
    <row r="21" spans="1:3" ht="14.25">
      <c r="A21" s="1529" t="s">
        <v>961</v>
      </c>
      <c r="B21" s="1530"/>
      <c r="C21" s="1531"/>
    </row>
    <row r="22" spans="1:3" ht="14.25">
      <c r="A22" s="3557" t="s">
        <v>962</v>
      </c>
      <c r="B22" s="3555" t="s">
        <v>963</v>
      </c>
      <c r="C22" s="3554"/>
    </row>
    <row r="23" spans="1:3" ht="14.25">
      <c r="A23" s="3557"/>
      <c r="B23" s="3555" t="s">
        <v>964</v>
      </c>
      <c r="C23" s="3554"/>
    </row>
    <row r="24" spans="1:3" ht="14.25">
      <c r="A24" s="3557"/>
      <c r="B24" s="3555" t="s">
        <v>965</v>
      </c>
      <c r="C24" s="3554"/>
    </row>
    <row r="25" spans="1:3" ht="14.25">
      <c r="A25" s="3557"/>
      <c r="B25" s="3556" t="s">
        <v>966</v>
      </c>
      <c r="C25" s="1528" t="s">
        <v>967</v>
      </c>
    </row>
    <row r="26" spans="1:3" ht="14.25">
      <c r="A26" s="3557"/>
      <c r="B26" s="3556"/>
      <c r="C26" s="1528" t="s">
        <v>968</v>
      </c>
    </row>
    <row r="27" spans="1:3" ht="14.25">
      <c r="A27" s="3557"/>
      <c r="B27" s="3556"/>
      <c r="C27" s="1528" t="s">
        <v>969</v>
      </c>
    </row>
    <row r="28" spans="1:3" ht="14.25">
      <c r="A28" s="3557"/>
      <c r="B28" s="3556"/>
      <c r="C28" s="1528" t="s">
        <v>970</v>
      </c>
    </row>
    <row r="29" spans="1:3" ht="14.25">
      <c r="A29" s="3557"/>
      <c r="B29" s="3556"/>
      <c r="C29" s="1528" t="s">
        <v>971</v>
      </c>
    </row>
    <row r="30" spans="1:3" ht="14.25">
      <c r="A30" s="3557"/>
      <c r="B30" s="3556"/>
      <c r="C30" s="1528" t="s">
        <v>972</v>
      </c>
    </row>
    <row r="31" spans="1:3" ht="14.25">
      <c r="A31" s="3557"/>
      <c r="B31" s="3556"/>
      <c r="C31" s="1528" t="s">
        <v>973</v>
      </c>
    </row>
    <row r="32" spans="1:3" ht="14.25">
      <c r="A32" s="3557"/>
      <c r="B32" s="3556"/>
      <c r="C32" s="1528" t="s">
        <v>974</v>
      </c>
    </row>
    <row r="33" spans="1:3" ht="14.25">
      <c r="A33" s="3557"/>
      <c r="B33" s="3556"/>
      <c r="C33" s="1528" t="s">
        <v>975</v>
      </c>
    </row>
    <row r="34" spans="1:3">
      <c r="A34" s="1532" t="s">
        <v>49</v>
      </c>
    </row>
    <row r="37" spans="1:3">
      <c r="A37" s="1532" t="s">
        <v>976</v>
      </c>
    </row>
    <row r="38" spans="1:3" ht="14.25">
      <c r="A38" s="1533" t="s">
        <v>50</v>
      </c>
    </row>
    <row r="39" spans="1:3" ht="14.25">
      <c r="A39" s="1533" t="s">
        <v>51</v>
      </c>
    </row>
    <row r="40" spans="1:3" ht="14.25">
      <c r="A40" s="1533" t="s">
        <v>52</v>
      </c>
    </row>
    <row r="41" spans="1:3" ht="14.25">
      <c r="A41" s="1534" t="s">
        <v>53</v>
      </c>
    </row>
    <row r="42" spans="1:3" ht="14.25">
      <c r="A42" s="1533" t="s">
        <v>54</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workbookViewId="0">
      <selection activeCell="C4" sqref="C4"/>
    </sheetView>
  </sheetViews>
  <sheetFormatPr defaultColWidth="22.625" defaultRowHeight="24" customHeight="1"/>
  <cols>
    <col min="1" max="1" width="24.625" style="2330" customWidth="1"/>
    <col min="2" max="2" width="38.625" style="2330" customWidth="1"/>
    <col min="3" max="3" width="26" style="2330" customWidth="1"/>
    <col min="4" max="4" width="35" style="2330" hidden="1" customWidth="1"/>
    <col min="5" max="5" width="30.125" style="2330" customWidth="1"/>
    <col min="6" max="6" width="35.5" style="2330" customWidth="1"/>
    <col min="7" max="7" width="31" style="2330" customWidth="1"/>
    <col min="8" max="8" width="37.5" style="2330" hidden="1" customWidth="1"/>
    <col min="9" max="16384" width="22.625" style="2330"/>
  </cols>
  <sheetData>
    <row r="1" spans="1:8" ht="24" customHeight="1">
      <c r="A1" s="2329"/>
      <c r="B1" s="2329"/>
      <c r="C1" s="2329"/>
      <c r="D1" s="2329"/>
      <c r="E1" s="2329"/>
      <c r="F1" s="2329"/>
      <c r="G1" s="2329"/>
      <c r="H1" s="2329"/>
    </row>
    <row r="2" spans="1:8" ht="24" customHeight="1">
      <c r="A2" s="2331" t="s">
        <v>2139</v>
      </c>
      <c r="B2" s="2332">
        <f ca="1">TODAY()</f>
        <v>45286</v>
      </c>
      <c r="C2" s="2333" t="s">
        <v>2140</v>
      </c>
      <c r="D2" s="2333"/>
      <c r="E2" s="2333"/>
      <c r="F2" s="2329"/>
      <c r="G2" s="2329"/>
      <c r="H2" s="2329"/>
    </row>
    <row r="3" spans="1:8" ht="24" customHeight="1">
      <c r="A3" s="2334" t="s">
        <v>2141</v>
      </c>
      <c r="B3" s="2335" t="s">
        <v>2142</v>
      </c>
      <c r="C3" s="2335" t="s">
        <v>2143</v>
      </c>
      <c r="D3" s="2336" t="s">
        <v>2144</v>
      </c>
      <c r="E3" s="2337" t="s">
        <v>2145</v>
      </c>
      <c r="F3" s="1300" t="s">
        <v>2146</v>
      </c>
      <c r="G3" s="2335" t="s">
        <v>2143</v>
      </c>
      <c r="H3" s="2336" t="s">
        <v>2147</v>
      </c>
    </row>
    <row r="4" spans="1:8" ht="24" customHeight="1">
      <c r="A4" s="1300" t="s">
        <v>2148</v>
      </c>
      <c r="B4" s="1300">
        <f ca="1">IF(C4&lt;B2,"已过期",1119970066)</f>
        <v>1119970066</v>
      </c>
      <c r="C4" s="2338">
        <v>45937</v>
      </c>
      <c r="D4" s="2339" t="str">
        <f ca="1">A4&amp;"（注册号："&amp;B4&amp;"）"</f>
        <v>梁津（注册号：1119970066）</v>
      </c>
      <c r="E4" s="2340" t="s">
        <v>2148</v>
      </c>
      <c r="F4" s="1300">
        <f ca="1">IF(G4&lt;B2,"已过期",96010014)</f>
        <v>96010014</v>
      </c>
      <c r="G4" s="2341">
        <v>47118</v>
      </c>
      <c r="H4" s="2342" t="str">
        <f ca="1">E4&amp;"（注册号："&amp;F4&amp;"）"</f>
        <v>梁津（注册号：96010014）</v>
      </c>
    </row>
    <row r="5" spans="1:8" ht="24" customHeight="1">
      <c r="A5" s="1300" t="s">
        <v>2149</v>
      </c>
      <c r="B5" s="1300">
        <f ca="1">IF(C5&lt;B2,"已过期",1119970111)</f>
        <v>1119970111</v>
      </c>
      <c r="C5" s="2338">
        <v>45937</v>
      </c>
      <c r="D5" s="2339" t="str">
        <f t="shared" ref="D5:D15" ca="1" si="0">A5&amp;"（注册号："&amp;B5&amp;"）"</f>
        <v>叶凌（注册号：1119970111）</v>
      </c>
      <c r="E5" s="2340" t="s">
        <v>2149</v>
      </c>
      <c r="F5" s="1300">
        <f ca="1">IF(G5&lt;B2,"已过期",94010078)</f>
        <v>94010078</v>
      </c>
      <c r="G5" s="2341">
        <v>46387</v>
      </c>
      <c r="H5" s="2342" t="str">
        <f t="shared" ref="H5:H16" ca="1" si="1">E5&amp;"（注册号："&amp;F5&amp;"）"</f>
        <v>叶凌（注册号：94010078）</v>
      </c>
    </row>
    <row r="6" spans="1:8" ht="24" customHeight="1">
      <c r="A6" s="1300" t="s">
        <v>2150</v>
      </c>
      <c r="B6" s="1300">
        <f ca="1">IF(C6&lt;B2,"已过期",1120050019)</f>
        <v>1120050019</v>
      </c>
      <c r="C6" s="2338">
        <v>45410</v>
      </c>
      <c r="D6" s="2339" t="str">
        <f t="shared" ca="1" si="0"/>
        <v>王鹏（注册号：1120050019）</v>
      </c>
      <c r="E6" s="2340" t="s">
        <v>2150</v>
      </c>
      <c r="F6" s="1300">
        <f ca="1">IF(G6&lt;B2,"已过期",2002110030)</f>
        <v>2002110030</v>
      </c>
      <c r="G6" s="2341">
        <v>46387</v>
      </c>
      <c r="H6" s="2342" t="str">
        <f t="shared" ca="1" si="1"/>
        <v>王鹏（注册号：2002110030）</v>
      </c>
    </row>
    <row r="7" spans="1:8" ht="24" customHeight="1">
      <c r="A7" s="1300" t="s">
        <v>2151</v>
      </c>
      <c r="B7" s="1300">
        <f ca="1">IF(C7&lt;B2,"已过期",1120000080)</f>
        <v>1120000080</v>
      </c>
      <c r="C7" s="2338">
        <v>45937</v>
      </c>
      <c r="D7" s="2339" t="str">
        <f t="shared" ca="1" si="0"/>
        <v>欧红伟（注册号：1120000080）</v>
      </c>
      <c r="E7" s="2340" t="s">
        <v>2151</v>
      </c>
      <c r="F7" s="1300">
        <f ca="1">IF(G7&lt;B2,"已过期",2000110082)</f>
        <v>2000110082</v>
      </c>
      <c r="G7" s="2341">
        <v>46387</v>
      </c>
      <c r="H7" s="2342" t="str">
        <f t="shared" ca="1" si="1"/>
        <v>欧红伟（注册号：2000110082）</v>
      </c>
    </row>
    <row r="8" spans="1:8" ht="24" customHeight="1">
      <c r="A8" s="1300" t="s">
        <v>2152</v>
      </c>
      <c r="B8" s="1300">
        <f ca="1">IF(C8&lt;B2,"已过期",1419970001)</f>
        <v>1419970001</v>
      </c>
      <c r="C8" s="2338">
        <v>45937</v>
      </c>
      <c r="D8" s="2339" t="str">
        <f t="shared" ca="1" si="0"/>
        <v>吴薇（注册号：1419970001）</v>
      </c>
      <c r="E8" s="2340" t="s">
        <v>2152</v>
      </c>
      <c r="F8" s="1300">
        <f ca="1">IF(G8&lt;B2,"已过期",2002110125)</f>
        <v>2002110125</v>
      </c>
      <c r="G8" s="2341">
        <v>47118</v>
      </c>
      <c r="H8" s="2342" t="str">
        <f t="shared" ca="1" si="1"/>
        <v>吴薇（注册号：2002110125）</v>
      </c>
    </row>
    <row r="9" spans="1:8" ht="24" customHeight="1">
      <c r="A9" s="1300" t="s">
        <v>2153</v>
      </c>
      <c r="B9" s="1300">
        <f ca="1">IF(C9&lt;B2,"已过期",1120060040)</f>
        <v>1120060040</v>
      </c>
      <c r="C9" s="2343">
        <v>45592</v>
      </c>
      <c r="D9" s="2339" t="str">
        <f t="shared" ca="1" si="0"/>
        <v>陈颖（注册号：1120060040）</v>
      </c>
      <c r="E9" s="2340" t="s">
        <v>2153</v>
      </c>
      <c r="F9" s="1300">
        <f ca="1">IF(G9&lt;B2,"已过期",2004110096)</f>
        <v>2004110096</v>
      </c>
      <c r="G9" s="2341">
        <v>47118</v>
      </c>
      <c r="H9" s="2342" t="str">
        <f t="shared" ca="1" si="1"/>
        <v>陈颖（注册号：2004110096）</v>
      </c>
    </row>
    <row r="10" spans="1:8" ht="24" customHeight="1">
      <c r="A10" s="1300" t="s">
        <v>2154</v>
      </c>
      <c r="B10" s="1300">
        <f ca="1">IF(C10&lt;B2,"已过期",1120100036)</f>
        <v>1120100036</v>
      </c>
      <c r="C10" s="2343">
        <v>45752</v>
      </c>
      <c r="D10" s="2339" t="str">
        <f t="shared" ca="1" si="0"/>
        <v>崔锴（注册号：1120100036）</v>
      </c>
      <c r="E10" s="2340" t="s">
        <v>2154</v>
      </c>
      <c r="F10" s="1300">
        <f ca="1">IF(G10&lt;B2,"已过期",2010110070)</f>
        <v>2010110070</v>
      </c>
      <c r="G10" s="2341">
        <v>47907</v>
      </c>
      <c r="H10" s="2342" t="str">
        <f t="shared" ca="1" si="1"/>
        <v>崔锴（注册号：2010110070）</v>
      </c>
    </row>
    <row r="11" spans="1:8" ht="24" customHeight="1">
      <c r="A11" s="1300" t="s">
        <v>2155</v>
      </c>
      <c r="B11" s="1300">
        <f ca="1">IF(C11&lt;B2,"已过期",1120070131)</f>
        <v>1120070131</v>
      </c>
      <c r="C11" s="2338">
        <v>45937</v>
      </c>
      <c r="D11" s="2339" t="str">
        <f t="shared" ca="1" si="0"/>
        <v>郑燚（注册号：1120070131）</v>
      </c>
      <c r="E11" s="2340" t="s">
        <v>2155</v>
      </c>
      <c r="F11" s="1300">
        <f ca="1">IF(G11&lt;B2,"已过期",2014110011)</f>
        <v>2014110011</v>
      </c>
      <c r="G11" s="2341">
        <v>49302</v>
      </c>
      <c r="H11" s="2342" t="str">
        <f t="shared" ca="1" si="1"/>
        <v>郑燚（注册号：2014110011）</v>
      </c>
    </row>
    <row r="12" spans="1:8" ht="24" customHeight="1">
      <c r="A12" s="1300" t="s">
        <v>2156</v>
      </c>
      <c r="B12" s="1300">
        <f ca="1">IF(C12&lt;B2,"已过期",1120040230)</f>
        <v>1120040230</v>
      </c>
      <c r="C12" s="2343">
        <v>45937</v>
      </c>
      <c r="D12" s="2339" t="str">
        <f t="shared" ca="1" si="0"/>
        <v>苏海（注册号：1120040230）</v>
      </c>
      <c r="E12" s="2340" t="s">
        <v>2156</v>
      </c>
      <c r="F12" s="1300">
        <f ca="1">IF(G12&lt;B2,"已过期",98030020)</f>
        <v>98030020</v>
      </c>
      <c r="G12" s="2341">
        <v>47118</v>
      </c>
      <c r="H12" s="2342" t="str">
        <f t="shared" ca="1" si="1"/>
        <v>苏海（注册号：98030020）</v>
      </c>
    </row>
    <row r="13" spans="1:8" ht="24" customHeight="1">
      <c r="A13" s="1300" t="s">
        <v>2157</v>
      </c>
      <c r="B13" s="1300">
        <f ca="1">IF(C13&lt;B2,"已过期",1120020033)</f>
        <v>1120020033</v>
      </c>
      <c r="C13" s="2338">
        <v>45375</v>
      </c>
      <c r="D13" s="2339" t="str">
        <f t="shared" ca="1" si="0"/>
        <v>刘敬东（注册号：1120020033）</v>
      </c>
      <c r="E13" s="2340" t="s">
        <v>2157</v>
      </c>
      <c r="F13" s="1300">
        <f ca="1">IF(G13&lt;B2,"已过期",2000110137)</f>
        <v>2000110137</v>
      </c>
      <c r="G13" s="2341">
        <v>46387</v>
      </c>
      <c r="H13" s="2342" t="str">
        <f t="shared" ca="1" si="1"/>
        <v>刘敬东（注册号：2000110137）</v>
      </c>
    </row>
    <row r="14" spans="1:8" ht="24" customHeight="1">
      <c r="A14" s="1300" t="s">
        <v>2158</v>
      </c>
      <c r="B14" s="1300" t="str">
        <f ca="1">IF(C14&lt;B2,"已过期",1119980106)</f>
        <v>已过期</v>
      </c>
      <c r="C14" s="2343">
        <v>44969</v>
      </c>
      <c r="D14" s="2339" t="str">
        <f t="shared" ca="1" si="0"/>
        <v>刘俊财（注册号：已过期）</v>
      </c>
      <c r="E14" s="2340" t="s">
        <v>2158</v>
      </c>
      <c r="F14" s="1300">
        <f ca="1">IF(G14&lt;B2,"已过期",96010063)</f>
        <v>96010063</v>
      </c>
      <c r="G14" s="2341">
        <v>47483</v>
      </c>
      <c r="H14" s="2342" t="str">
        <f t="shared" ca="1" si="1"/>
        <v>刘俊财（注册号：96010063）</v>
      </c>
    </row>
    <row r="15" spans="1:8" ht="24" customHeight="1">
      <c r="A15" s="1300" t="s">
        <v>2437</v>
      </c>
      <c r="B15" s="1300">
        <v>1120210056</v>
      </c>
      <c r="C15" s="2343">
        <v>45410</v>
      </c>
      <c r="D15" s="2339" t="str">
        <f t="shared" si="0"/>
        <v>宁小鳗（注册号：1120210056）</v>
      </c>
      <c r="E15" s="2340" t="s">
        <v>2159</v>
      </c>
      <c r="F15" s="1300">
        <f ca="1">IF(G15&lt;B2,"已过期",2011110090)</f>
        <v>2011110090</v>
      </c>
      <c r="G15" s="2341">
        <v>48302</v>
      </c>
      <c r="H15" s="2342" t="str">
        <f t="shared" ca="1" si="1"/>
        <v>赵雯（注册号：2011110090）</v>
      </c>
    </row>
    <row r="16" spans="1:8" s="2345" customFormat="1" ht="24" customHeight="1">
      <c r="A16" s="1300"/>
      <c r="B16" s="1300"/>
      <c r="C16" s="1300"/>
      <c r="D16" s="2339" t="str">
        <f>A16&amp;"（注册号："&amp;B16&amp;"）"</f>
        <v>（注册号：）</v>
      </c>
      <c r="E16" s="2340"/>
      <c r="F16" s="1300"/>
      <c r="G16" s="1300"/>
      <c r="H16" s="2344" t="str">
        <f t="shared" si="1"/>
        <v>（注册号：）</v>
      </c>
    </row>
    <row r="17" spans="1:8" ht="24" customHeight="1">
      <c r="A17" s="3561" t="s">
        <v>2160</v>
      </c>
      <c r="B17" s="3561"/>
      <c r="C17" s="3561"/>
      <c r="D17" s="3561"/>
      <c r="E17" s="3561"/>
      <c r="F17" s="3561"/>
      <c r="G17" s="3561"/>
      <c r="H17" s="3561"/>
    </row>
    <row r="18" spans="1:8" ht="24" customHeight="1">
      <c r="A18" s="3562" t="s">
        <v>2161</v>
      </c>
      <c r="B18" s="3562"/>
      <c r="C18" s="3562"/>
      <c r="D18" s="2336"/>
      <c r="E18" s="3563" t="s">
        <v>2162</v>
      </c>
      <c r="F18" s="3562"/>
      <c r="G18" s="3562"/>
    </row>
    <row r="19" spans="1:8" s="2347" customFormat="1" ht="24" customHeight="1">
      <c r="A19" s="2346" t="s">
        <v>2163</v>
      </c>
      <c r="B19" s="2335" t="s">
        <v>2164</v>
      </c>
      <c r="C19" s="2335" t="s">
        <v>2143</v>
      </c>
      <c r="D19" s="2336"/>
      <c r="E19" s="2340" t="s">
        <v>2163</v>
      </c>
      <c r="F19" s="2335" t="s">
        <v>2164</v>
      </c>
      <c r="G19" s="2335" t="s">
        <v>2143</v>
      </c>
    </row>
    <row r="20" spans="1:8" s="2347" customFormat="1" ht="24" customHeight="1">
      <c r="A20" s="2348" t="s">
        <v>2165</v>
      </c>
      <c r="B20" s="2348" t="s">
        <v>2166</v>
      </c>
      <c r="C20" s="2341">
        <v>45898</v>
      </c>
      <c r="D20" s="2349"/>
      <c r="E20" s="2350" t="s">
        <v>2167</v>
      </c>
      <c r="F20" s="2353" t="s">
        <v>2438</v>
      </c>
      <c r="G20" s="2354">
        <v>44926</v>
      </c>
    </row>
    <row r="21" spans="1:8" s="2347" customFormat="1" ht="24" customHeight="1">
      <c r="A21" s="2348"/>
      <c r="B21" s="2348"/>
      <c r="C21" s="2351"/>
      <c r="D21" s="2352"/>
      <c r="E21" s="2350"/>
      <c r="F21" s="2353"/>
      <c r="G21" s="2354"/>
    </row>
    <row r="22" spans="1:8" ht="24" customHeight="1">
      <c r="C22" s="2355"/>
      <c r="D22" s="2355"/>
      <c r="E22" s="2356"/>
      <c r="F22" s="2357"/>
      <c r="G22" s="2358"/>
    </row>
  </sheetData>
  <sheetProtection password="CEE9" sheet="1" objects="1" scenarios="1"/>
  <mergeCells count="3">
    <mergeCell ref="A17:H17"/>
    <mergeCell ref="A18:C18"/>
    <mergeCell ref="E18:G18"/>
  </mergeCells>
  <phoneticPr fontId="82" type="noConversion"/>
  <conditionalFormatting sqref="D16 C4:D5 D7:D12 C13:D13 C12">
    <cfRule type="expression" dxfId="231" priority="53">
      <formula>AND($C4-TODAY()&lt;30,TODAY()&lt;$C4)</formula>
    </cfRule>
  </conditionalFormatting>
  <conditionalFormatting sqref="C20:D20">
    <cfRule type="expression" dxfId="230" priority="52">
      <formula>AND($C20-TODAY()&lt;30,TODAY()&lt;$C20)</formula>
    </cfRule>
  </conditionalFormatting>
  <conditionalFormatting sqref="C20:D20 G4 C4:D5 C13:D13">
    <cfRule type="cellIs" dxfId="229" priority="54" stopIfTrue="1" operator="lessThan">
      <formula>$B$2</formula>
    </cfRule>
  </conditionalFormatting>
  <conditionalFormatting sqref="G5 G7 G9">
    <cfRule type="cellIs" dxfId="228" priority="51" stopIfTrue="1" operator="lessThan">
      <formula>$B$2</formula>
    </cfRule>
  </conditionalFormatting>
  <conditionalFormatting sqref="C6:D6 D14 D16">
    <cfRule type="expression" dxfId="227" priority="49">
      <formula>AND($C6-TODAY()&lt;30,TODAY()&lt;$C6)</formula>
    </cfRule>
  </conditionalFormatting>
  <conditionalFormatting sqref="G6 G8 G10 C6:D6 D7:D12 D14 D16">
    <cfRule type="cellIs" dxfId="226" priority="50" stopIfTrue="1" operator="lessThan">
      <formula>$B$2</formula>
    </cfRule>
  </conditionalFormatting>
  <conditionalFormatting sqref="D12">
    <cfRule type="expression" dxfId="225" priority="47">
      <formula>AND($C12-TODAY()&lt;30,TODAY()&lt;$C12)</formula>
    </cfRule>
  </conditionalFormatting>
  <conditionalFormatting sqref="D12">
    <cfRule type="cellIs" dxfId="224" priority="48" stopIfTrue="1" operator="lessThan">
      <formula>$B$2</formula>
    </cfRule>
  </conditionalFormatting>
  <conditionalFormatting sqref="C13:D13">
    <cfRule type="expression" dxfId="223" priority="45">
      <formula>AND($C13-TODAY()&lt;30,TODAY()&lt;$C13)</formula>
    </cfRule>
  </conditionalFormatting>
  <conditionalFormatting sqref="C13:D13">
    <cfRule type="cellIs" dxfId="222" priority="46" stopIfTrue="1" operator="lessThan">
      <formula>$B$2</formula>
    </cfRule>
  </conditionalFormatting>
  <conditionalFormatting sqref="D14">
    <cfRule type="expression" dxfId="221" priority="43">
      <formula>AND($C14-TODAY()&lt;30,TODAY()&lt;$C14)</formula>
    </cfRule>
  </conditionalFormatting>
  <conditionalFormatting sqref="D14">
    <cfRule type="cellIs" dxfId="220" priority="44" stopIfTrue="1" operator="lessThan">
      <formula>$B$2</formula>
    </cfRule>
  </conditionalFormatting>
  <conditionalFormatting sqref="G13">
    <cfRule type="cellIs" dxfId="219" priority="42" stopIfTrue="1" operator="lessThan">
      <formula>$B$2</formula>
    </cfRule>
  </conditionalFormatting>
  <conditionalFormatting sqref="B4:B11 F4:F11 B13 F13:F14">
    <cfRule type="cellIs" dxfId="218" priority="41" stopIfTrue="1" operator="equal">
      <formula>"已过期"</formula>
    </cfRule>
  </conditionalFormatting>
  <conditionalFormatting sqref="C7">
    <cfRule type="cellIs" dxfId="217" priority="38" stopIfTrue="1" operator="lessThan">
      <formula>$B$2</formula>
    </cfRule>
  </conditionalFormatting>
  <conditionalFormatting sqref="C7">
    <cfRule type="expression" dxfId="216" priority="37">
      <formula>AND($C7-TODAY()&lt;30,TODAY()&lt;$C7)</formula>
    </cfRule>
  </conditionalFormatting>
  <conditionalFormatting sqref="C8">
    <cfRule type="expression" dxfId="215" priority="35">
      <formula>AND($C8-TODAY()&lt;30,TODAY()&lt;$C8)</formula>
    </cfRule>
  </conditionalFormatting>
  <conditionalFormatting sqref="C8">
    <cfRule type="cellIs" dxfId="214" priority="36" stopIfTrue="1" operator="lessThan">
      <formula>$B$2</formula>
    </cfRule>
  </conditionalFormatting>
  <conditionalFormatting sqref="C11">
    <cfRule type="expression" dxfId="213" priority="33">
      <formula>AND($C11-TODAY()&lt;30,TODAY()&lt;$C11)</formula>
    </cfRule>
  </conditionalFormatting>
  <conditionalFormatting sqref="C11">
    <cfRule type="cellIs" dxfId="212" priority="34" stopIfTrue="1" operator="lessThan">
      <formula>$B$2</formula>
    </cfRule>
  </conditionalFormatting>
  <conditionalFormatting sqref="A16:C16">
    <cfRule type="cellIs" dxfId="211" priority="32" stopIfTrue="1" operator="equal">
      <formula>"已过期"</formula>
    </cfRule>
  </conditionalFormatting>
  <conditionalFormatting sqref="E16:G16">
    <cfRule type="cellIs" dxfId="210" priority="31" stopIfTrue="1" operator="equal">
      <formula>"已过期"</formula>
    </cfRule>
  </conditionalFormatting>
  <conditionalFormatting sqref="G11">
    <cfRule type="cellIs" dxfId="209" priority="30" stopIfTrue="1" operator="lessThan">
      <formula>$B$2</formula>
    </cfRule>
  </conditionalFormatting>
  <conditionalFormatting sqref="F12">
    <cfRule type="cellIs" dxfId="208" priority="29" stopIfTrue="1" operator="equal">
      <formula>"已过期"</formula>
    </cfRule>
  </conditionalFormatting>
  <conditionalFormatting sqref="G12">
    <cfRule type="cellIs" dxfId="207" priority="28" stopIfTrue="1" operator="lessThan">
      <formula>$B$2</formula>
    </cfRule>
  </conditionalFormatting>
  <conditionalFormatting sqref="C12">
    <cfRule type="cellIs" dxfId="206" priority="27" stopIfTrue="1" operator="lessThan">
      <formula>$B$2</formula>
    </cfRule>
  </conditionalFormatting>
  <conditionalFormatting sqref="C12">
    <cfRule type="expression" dxfId="205" priority="25">
      <formula>AND($C12-TODAY()&lt;30,TODAY()&lt;$C12)</formula>
    </cfRule>
  </conditionalFormatting>
  <conditionalFormatting sqref="C12">
    <cfRule type="cellIs" dxfId="204" priority="26" stopIfTrue="1" operator="lessThan">
      <formula>$B$2</formula>
    </cfRule>
  </conditionalFormatting>
  <conditionalFormatting sqref="B12">
    <cfRule type="cellIs" dxfId="203" priority="24" stopIfTrue="1" operator="equal">
      <formula>"已过期"</formula>
    </cfRule>
  </conditionalFormatting>
  <conditionalFormatting sqref="C9:C10">
    <cfRule type="expression" dxfId="202" priority="22">
      <formula>AND($C9-TODAY()&lt;30,TODAY()&lt;$C9)</formula>
    </cfRule>
  </conditionalFormatting>
  <conditionalFormatting sqref="C9:C10">
    <cfRule type="cellIs" dxfId="201" priority="23" stopIfTrue="1" operator="lessThan">
      <formula>$B$2</formula>
    </cfRule>
  </conditionalFormatting>
  <conditionalFormatting sqref="G21">
    <cfRule type="expression" dxfId="200" priority="20" stopIfTrue="1">
      <formula>AND(#REF!-TODAY()&lt;30,TODAY()&lt;#REF!)</formula>
    </cfRule>
  </conditionalFormatting>
  <conditionalFormatting sqref="G21">
    <cfRule type="cellIs" dxfId="199" priority="21" stopIfTrue="1" operator="lessThan">
      <formula>$B$2</formula>
    </cfRule>
  </conditionalFormatting>
  <conditionalFormatting sqref="C14">
    <cfRule type="expression" dxfId="198" priority="18">
      <formula>AND($C14-TODAY()&lt;30,TODAY()&lt;$C14)</formula>
    </cfRule>
  </conditionalFormatting>
  <conditionalFormatting sqref="C14">
    <cfRule type="cellIs" dxfId="197" priority="19" stopIfTrue="1" operator="lessThan">
      <formula>$B$2</formula>
    </cfRule>
  </conditionalFormatting>
  <conditionalFormatting sqref="C14">
    <cfRule type="expression" dxfId="196" priority="16">
      <formula>AND($C14-TODAY()&lt;30,TODAY()&lt;$C14)</formula>
    </cfRule>
  </conditionalFormatting>
  <conditionalFormatting sqref="C14">
    <cfRule type="cellIs" dxfId="195" priority="17" stopIfTrue="1" operator="lessThan">
      <formula>$B$2</formula>
    </cfRule>
  </conditionalFormatting>
  <conditionalFormatting sqref="B14">
    <cfRule type="cellIs" dxfId="194" priority="15" stopIfTrue="1" operator="equal">
      <formula>"已过期"</formula>
    </cfRule>
  </conditionalFormatting>
  <conditionalFormatting sqref="G14">
    <cfRule type="cellIs" dxfId="193" priority="14" stopIfTrue="1" operator="lessThan">
      <formula>$B$2</formula>
    </cfRule>
  </conditionalFormatting>
  <conditionalFormatting sqref="D15">
    <cfRule type="expression" dxfId="192" priority="12">
      <formula>AND($C15-TODAY()&lt;30,TODAY()&lt;$C15)</formula>
    </cfRule>
  </conditionalFormatting>
  <conditionalFormatting sqref="D15">
    <cfRule type="cellIs" dxfId="191" priority="13" stopIfTrue="1" operator="lessThan">
      <formula>$B$2</formula>
    </cfRule>
  </conditionalFormatting>
  <conditionalFormatting sqref="D15">
    <cfRule type="expression" dxfId="190" priority="10">
      <formula>AND($C15-TODAY()&lt;30,TODAY()&lt;$C15)</formula>
    </cfRule>
  </conditionalFormatting>
  <conditionalFormatting sqref="D15">
    <cfRule type="cellIs" dxfId="189" priority="11" stopIfTrue="1" operator="lessThan">
      <formula>$B$2</formula>
    </cfRule>
  </conditionalFormatting>
  <conditionalFormatting sqref="F15">
    <cfRule type="cellIs" dxfId="188" priority="9" stopIfTrue="1" operator="equal">
      <formula>"已过期"</formula>
    </cfRule>
  </conditionalFormatting>
  <conditionalFormatting sqref="C15">
    <cfRule type="expression" dxfId="187" priority="7">
      <formula>AND($C15-TODAY()&lt;30,TODAY()&lt;$C15)</formula>
    </cfRule>
  </conditionalFormatting>
  <conditionalFormatting sqref="C15">
    <cfRule type="cellIs" dxfId="186" priority="8" stopIfTrue="1" operator="lessThan">
      <formula>$B$2</formula>
    </cfRule>
  </conditionalFormatting>
  <conditionalFormatting sqref="C15">
    <cfRule type="expression" dxfId="185" priority="5">
      <formula>AND($C15-TODAY()&lt;30,TODAY()&lt;$C15)</formula>
    </cfRule>
  </conditionalFormatting>
  <conditionalFormatting sqref="C15">
    <cfRule type="cellIs" dxfId="184" priority="6" stopIfTrue="1" operator="lessThan">
      <formula>$B$2</formula>
    </cfRule>
  </conditionalFormatting>
  <conditionalFormatting sqref="B15">
    <cfRule type="cellIs" dxfId="183" priority="4" stopIfTrue="1" operator="equal">
      <formula>"已过期"</formula>
    </cfRule>
  </conditionalFormatting>
  <conditionalFormatting sqref="G15">
    <cfRule type="cellIs" dxfId="182" priority="3" stopIfTrue="1" operator="lessThan">
      <formula>$B$2</formula>
    </cfRule>
  </conditionalFormatting>
  <conditionalFormatting sqref="G20">
    <cfRule type="expression" dxfId="181" priority="1" stopIfTrue="1">
      <formula>AND(#REF!-TODAY()&lt;30,TODAY()&lt;#REF!)</formula>
    </cfRule>
  </conditionalFormatting>
  <conditionalFormatting sqref="G20">
    <cfRule type="cellIs" dxfId="180" priority="2"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53</vt:i4>
      </vt:variant>
      <vt:variant>
        <vt:lpstr>命名范围</vt:lpstr>
      </vt:variant>
      <vt:variant>
        <vt:i4>152</vt:i4>
      </vt:variant>
    </vt:vector>
  </HeadingPairs>
  <TitlesOfParts>
    <vt:vector size="205"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多规</vt:lpstr>
      <vt:lpstr>数据-基础表</vt:lpstr>
      <vt:lpstr>数据-汇总表</vt:lpstr>
      <vt:lpstr>数据-取费表</vt:lpstr>
      <vt:lpstr>估价对象房地状况</vt:lpstr>
      <vt:lpstr>结果表</vt:lpstr>
      <vt:lpstr>成本法</vt:lpstr>
      <vt:lpstr>成本法 (元)</vt:lpstr>
      <vt:lpstr>假设开发法</vt:lpstr>
      <vt:lpstr>收益法</vt:lpstr>
      <vt:lpstr>土地比较法-住宅、综合</vt:lpstr>
      <vt:lpstr>地价-分区</vt:lpstr>
      <vt:lpstr>地价</vt:lpstr>
      <vt:lpstr>Sheet4</vt:lpstr>
      <vt:lpstr>招拍挂案例</vt:lpstr>
      <vt:lpstr>收益法 (元)</vt:lpstr>
      <vt:lpstr>收益法-酒店模型</vt:lpstr>
      <vt:lpstr>收益法（汇总）</vt:lpstr>
      <vt:lpstr>比较法-住宅</vt:lpstr>
      <vt:lpstr>共有产权房案例</vt:lpstr>
      <vt:lpstr>Sheet3</vt:lpstr>
      <vt:lpstr>Sheet2</vt:lpstr>
      <vt:lpstr>系统读取表</vt:lpstr>
      <vt:lpstr>二手房变化趋势</vt:lpstr>
      <vt:lpstr>sheet1</vt:lpstr>
      <vt:lpstr>比较法-商业</vt:lpstr>
      <vt:lpstr>比较法-办公</vt:lpstr>
      <vt:lpstr>比较法-工业</vt:lpstr>
      <vt:lpstr>比较法-车位</vt:lpstr>
      <vt:lpstr>比较法-仓储</vt:lpstr>
      <vt:lpstr>土地比较法-工业</vt:lpstr>
      <vt:lpstr>典型户型修正</vt:lpstr>
      <vt:lpstr>基准地价（汇总）</vt:lpstr>
      <vt:lpstr>基准地价修正</vt:lpstr>
      <vt:lpstr>修正</vt:lpstr>
      <vt:lpstr>容积率修正</vt:lpstr>
      <vt:lpstr>成本法（废）</vt:lpstr>
      <vt:lpstr>区片价</vt:lpstr>
      <vt:lpstr>因素修正幅度</vt:lpstr>
      <vt:lpstr>区片价（范围）</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win10</cp:lastModifiedBy>
  <cp:lastPrinted>2017-03-01T09:15:43Z</cp:lastPrinted>
  <dcterms:created xsi:type="dcterms:W3CDTF">2015-07-13T07:17:23Z</dcterms:created>
  <dcterms:modified xsi:type="dcterms:W3CDTF">2023-12-26T09:57:55Z</dcterms:modified>
</cp:coreProperties>
</file>